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  <Override PartName="/xl/threadedComments/threadedComment5.xml" ContentType="application/vnd.ms-excel.threadedcomments+xml"/>
  <Override PartName="/xl/threadedComments/threadedComment6.xml" ContentType="application/vnd.ms-excel.threadedcomments+xml"/>
  <Override PartName="/xl/threadedComments/threadedComment7.xml" ContentType="application/vnd.ms-excel.threadedcomments+xml"/>
  <Override PartName="/xl/threadedComments/threadedComment8.xml" ContentType="application/vnd.ms-excel.threadedcomments+xml"/>
  <Override PartName="/xl/threadedComments/threadedComment9.xml" ContentType="application/vnd.ms-excel.threadedcomments+xml"/>
  <Override PartName="/xl/threadedComments/threadedComment10.xml" ContentType="application/vnd.ms-excel.threadedcomments+xml"/>
  <Override PartName="/xl/threadedComments/threadedComment1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.amorim\Desktop\licitacao\"/>
    </mc:Choice>
  </mc:AlternateContent>
  <bookViews>
    <workbookView xWindow="-120" yWindow="-120" windowWidth="29040" windowHeight="15840" tabRatio="837" firstSheet="8" activeTab="8"/>
  </bookViews>
  <sheets>
    <sheet name="passo-a-passo" sheetId="129" state="hidden" r:id="rId1"/>
    <sheet name="calculo - hotelaria" sheetId="118" state="hidden" r:id="rId2"/>
    <sheet name="calculo - nutricao" sheetId="124" state="hidden" r:id="rId3"/>
    <sheet name="calculo - lavanderia" sheetId="125" state="hidden" r:id="rId4"/>
    <sheet name="calculo - eng.clinica" sheetId="126" state="hidden" r:id="rId5"/>
    <sheet name="calculo - serv.geral" sheetId="127" state="hidden" r:id="rId6"/>
    <sheet name="calculo - sost" sheetId="128" state="hidden" r:id="rId7"/>
    <sheet name="planilha - proposta" sheetId="40" state="hidden" r:id="rId8"/>
    <sheet name="custoEPI" sheetId="130" r:id="rId9"/>
    <sheet name="custoEPI_huol" sheetId="47" r:id="rId10"/>
    <sheet name="custoEPI_mejc" sheetId="132" r:id="rId11"/>
    <sheet name="custoEPI_huab" sheetId="133" r:id="rId12"/>
    <sheet name="Uniformes " sheetId="80" state="hidden" r:id="rId13"/>
    <sheet name="Radios" sheetId="42" state="hidden" r:id="rId14"/>
    <sheet name="ResumoFardamento" sheetId="131" state="hidden" r:id="rId15"/>
  </sheets>
  <externalReferences>
    <externalReference r:id="rId16"/>
  </externalReferences>
  <definedNames>
    <definedName name="_xlnm.Print_Area" localSheetId="4">'calculo - eng.clinica'!$A$1:$B$9</definedName>
    <definedName name="_xlnm.Print_Area" localSheetId="1">'calculo - hotelaria'!$A$1:$B$9</definedName>
    <definedName name="_xlnm.Print_Area" localSheetId="3">'calculo - lavanderia'!$A$1:$B$9</definedName>
    <definedName name="_xlnm.Print_Area" localSheetId="2">'calculo - nutricao'!$A$1:$B$9</definedName>
    <definedName name="_xlnm.Print_Area" localSheetId="5">'calculo - serv.geral'!$A$1:$B$9</definedName>
    <definedName name="_xlnm.Print_Area" localSheetId="6">'calculo - sost'!$A$1:$B$9</definedName>
    <definedName name="_xlnm.Print_Area" localSheetId="11">custoEPI_huab!$A$1:$M$29</definedName>
    <definedName name="_xlnm.Print_Area" localSheetId="9">custoEPI_huol!$A$1:$M$29</definedName>
    <definedName name="_xlnm.Print_Area" localSheetId="10">custoEPI_mejc!$A$1:$M$29</definedName>
    <definedName name="_xlnm.Print_Area" localSheetId="7">'planilha - proposta'!$A$1:$H$65</definedName>
    <definedName name="_xlnm.Print_Area" localSheetId="13">Radios!$A$1:$I$20</definedName>
    <definedName name="_xlnm.Print_Area" localSheetId="12">'Uniformes '!$A$1:$K$19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83" i="132" l="1"/>
  <c r="C481" i="132"/>
  <c r="C456" i="132"/>
  <c r="C431" i="132"/>
  <c r="C408" i="132"/>
  <c r="C406" i="132"/>
  <c r="C381" i="132"/>
  <c r="C356" i="132"/>
  <c r="C331" i="132"/>
  <c r="C308" i="132"/>
  <c r="C306" i="132"/>
  <c r="C283" i="132"/>
  <c r="C281" i="132"/>
  <c r="C256" i="132"/>
  <c r="C233" i="132"/>
  <c r="C231" i="132"/>
  <c r="C209" i="132"/>
  <c r="C206" i="132"/>
  <c r="C181" i="132"/>
  <c r="C158" i="132"/>
  <c r="C156" i="132"/>
  <c r="C131" i="132"/>
  <c r="C109" i="132"/>
  <c r="C106" i="132"/>
  <c r="C82" i="132"/>
  <c r="C81" i="132"/>
  <c r="C57" i="132"/>
  <c r="C56" i="132"/>
  <c r="C34" i="132"/>
  <c r="C32" i="132"/>
  <c r="C31" i="132"/>
  <c r="C9" i="132"/>
  <c r="C6" i="132"/>
  <c r="B8" i="132"/>
  <c r="C8" i="132" s="1"/>
  <c r="B9" i="132"/>
  <c r="B32" i="132"/>
  <c r="B33" i="132"/>
  <c r="C33" i="132" s="1"/>
  <c r="B34" i="132"/>
  <c r="B57" i="132"/>
  <c r="B58" i="132"/>
  <c r="C58" i="132" s="1"/>
  <c r="B59" i="132"/>
  <c r="C59" i="132" s="1"/>
  <c r="B82" i="132"/>
  <c r="B83" i="132"/>
  <c r="C83" i="132" s="1"/>
  <c r="B84" i="132"/>
  <c r="C84" i="132" s="1"/>
  <c r="B107" i="132"/>
  <c r="C107" i="132" s="1"/>
  <c r="B109" i="132"/>
  <c r="B132" i="132"/>
  <c r="C132" i="132" s="1"/>
  <c r="B133" i="132"/>
  <c r="C133" i="132" s="1"/>
  <c r="B134" i="132"/>
  <c r="C134" i="132" s="1"/>
  <c r="B157" i="132"/>
  <c r="C157" i="132" s="1"/>
  <c r="B158" i="132"/>
  <c r="B159" i="132"/>
  <c r="C159" i="132" s="1"/>
  <c r="B184" i="132"/>
  <c r="C184" i="132" s="1"/>
  <c r="B207" i="132"/>
  <c r="C207" i="132" s="1"/>
  <c r="B208" i="132"/>
  <c r="C208" i="132" s="1"/>
  <c r="B209" i="132"/>
  <c r="B232" i="132"/>
  <c r="C232" i="132" s="1"/>
  <c r="B233" i="132"/>
  <c r="B234" i="132"/>
  <c r="C234" i="132" s="1"/>
  <c r="B257" i="132"/>
  <c r="C257" i="132" s="1"/>
  <c r="B282" i="132"/>
  <c r="C282" i="132" s="1"/>
  <c r="B283" i="132"/>
  <c r="B284" i="132"/>
  <c r="C284" i="132" s="1"/>
  <c r="B307" i="132"/>
  <c r="C307" i="132" s="1"/>
  <c r="B308" i="132"/>
  <c r="B309" i="132"/>
  <c r="C309" i="132" s="1"/>
  <c r="B332" i="132"/>
  <c r="C332" i="132" s="1"/>
  <c r="B333" i="132"/>
  <c r="C333" i="132" s="1"/>
  <c r="B334" i="132"/>
  <c r="C334" i="132" s="1"/>
  <c r="B359" i="132"/>
  <c r="C359" i="132" s="1"/>
  <c r="B384" i="132"/>
  <c r="C384" i="132" s="1"/>
  <c r="B407" i="132"/>
  <c r="C407" i="132" s="1"/>
  <c r="B408" i="132"/>
  <c r="B409" i="132"/>
  <c r="C409" i="132" s="1"/>
  <c r="B434" i="132"/>
  <c r="C434" i="132" s="1"/>
  <c r="B457" i="132"/>
  <c r="C457" i="132" s="1"/>
  <c r="B458" i="132"/>
  <c r="C458" i="132" s="1"/>
  <c r="B482" i="132"/>
  <c r="C482" i="132" s="1"/>
  <c r="B483" i="132"/>
  <c r="K503" i="133" l="1"/>
  <c r="M503" i="133" s="1"/>
  <c r="J503" i="133"/>
  <c r="K502" i="133"/>
  <c r="M502" i="133" s="1"/>
  <c r="J502" i="133"/>
  <c r="K501" i="133"/>
  <c r="M501" i="133" s="1"/>
  <c r="J501" i="133"/>
  <c r="K500" i="133"/>
  <c r="M500" i="133" s="1"/>
  <c r="J500" i="133"/>
  <c r="K499" i="133"/>
  <c r="M499" i="133" s="1"/>
  <c r="J499" i="133"/>
  <c r="K498" i="133"/>
  <c r="M498" i="133" s="1"/>
  <c r="J498" i="133"/>
  <c r="K497" i="133"/>
  <c r="M497" i="133" s="1"/>
  <c r="J497" i="133"/>
  <c r="H496" i="133"/>
  <c r="H495" i="133"/>
  <c r="E495" i="133"/>
  <c r="H494" i="133"/>
  <c r="H493" i="133"/>
  <c r="H492" i="133"/>
  <c r="K491" i="133"/>
  <c r="M491" i="133" s="1"/>
  <c r="J491" i="133"/>
  <c r="H491" i="133"/>
  <c r="H490" i="133"/>
  <c r="H489" i="133"/>
  <c r="H488" i="133"/>
  <c r="K487" i="133"/>
  <c r="M487" i="133" s="1"/>
  <c r="J487" i="133"/>
  <c r="K486" i="133"/>
  <c r="J486" i="133"/>
  <c r="B483" i="133"/>
  <c r="B482" i="133"/>
  <c r="K477" i="133"/>
  <c r="L477" i="133" s="1"/>
  <c r="J477" i="133"/>
  <c r="K476" i="133"/>
  <c r="L476" i="133" s="1"/>
  <c r="J476" i="133"/>
  <c r="K475" i="133"/>
  <c r="L475" i="133" s="1"/>
  <c r="J475" i="133"/>
  <c r="K474" i="133"/>
  <c r="L474" i="133" s="1"/>
  <c r="J474" i="133"/>
  <c r="K473" i="133"/>
  <c r="L473" i="133" s="1"/>
  <c r="J473" i="133"/>
  <c r="K472" i="133"/>
  <c r="L472" i="133" s="1"/>
  <c r="J472" i="133"/>
  <c r="K471" i="133"/>
  <c r="L471" i="133" s="1"/>
  <c r="J471" i="133"/>
  <c r="K470" i="133"/>
  <c r="L470" i="133" s="1"/>
  <c r="J470" i="133"/>
  <c r="K469" i="133"/>
  <c r="L469" i="133" s="1"/>
  <c r="J469" i="133"/>
  <c r="H469" i="133"/>
  <c r="K468" i="133"/>
  <c r="M468" i="133" s="1"/>
  <c r="J468" i="133"/>
  <c r="H468" i="133"/>
  <c r="K467" i="133"/>
  <c r="J467" i="133"/>
  <c r="H467" i="133"/>
  <c r="H466" i="133"/>
  <c r="H465" i="133"/>
  <c r="H464" i="133"/>
  <c r="H463" i="133"/>
  <c r="H462" i="133"/>
  <c r="H461" i="133"/>
  <c r="E461" i="133"/>
  <c r="B458" i="133"/>
  <c r="B457" i="133"/>
  <c r="K452" i="133"/>
  <c r="L452" i="133" s="1"/>
  <c r="J452" i="133"/>
  <c r="K451" i="133"/>
  <c r="L451" i="133" s="1"/>
  <c r="J451" i="133"/>
  <c r="K450" i="133"/>
  <c r="L450" i="133" s="1"/>
  <c r="J450" i="133"/>
  <c r="M449" i="133"/>
  <c r="K449" i="133"/>
  <c r="L449" i="133" s="1"/>
  <c r="J449" i="133"/>
  <c r="K448" i="133"/>
  <c r="L448" i="133" s="1"/>
  <c r="J448" i="133"/>
  <c r="K447" i="133"/>
  <c r="L447" i="133" s="1"/>
  <c r="J447" i="133"/>
  <c r="K446" i="133"/>
  <c r="L446" i="133" s="1"/>
  <c r="J446" i="133"/>
  <c r="K445" i="133"/>
  <c r="L445" i="133" s="1"/>
  <c r="J445" i="133"/>
  <c r="K444" i="133"/>
  <c r="L444" i="133" s="1"/>
  <c r="J444" i="133"/>
  <c r="H444" i="133"/>
  <c r="K443" i="133"/>
  <c r="J443" i="133"/>
  <c r="H443" i="133"/>
  <c r="K442" i="133"/>
  <c r="M442" i="133" s="1"/>
  <c r="J442" i="133"/>
  <c r="H442" i="133"/>
  <c r="K441" i="133"/>
  <c r="L441" i="133" s="1"/>
  <c r="J441" i="133"/>
  <c r="H441" i="133"/>
  <c r="K440" i="133"/>
  <c r="L440" i="133" s="1"/>
  <c r="J440" i="133"/>
  <c r="H440" i="133"/>
  <c r="K439" i="133"/>
  <c r="J439" i="133"/>
  <c r="H439" i="133"/>
  <c r="K438" i="133"/>
  <c r="M438" i="133" s="1"/>
  <c r="J438" i="133"/>
  <c r="H438" i="133"/>
  <c r="K437" i="133"/>
  <c r="L437" i="133" s="1"/>
  <c r="J437" i="133"/>
  <c r="H437" i="133"/>
  <c r="H436" i="133"/>
  <c r="E436" i="133"/>
  <c r="J436" i="133"/>
  <c r="B434" i="133"/>
  <c r="K427" i="133"/>
  <c r="M427" i="133" s="1"/>
  <c r="J427" i="133"/>
  <c r="K426" i="133"/>
  <c r="M426" i="133" s="1"/>
  <c r="J426" i="133"/>
  <c r="K425" i="133"/>
  <c r="M425" i="133" s="1"/>
  <c r="J425" i="133"/>
  <c r="K424" i="133"/>
  <c r="M424" i="133" s="1"/>
  <c r="J424" i="133"/>
  <c r="K423" i="133"/>
  <c r="M423" i="133" s="1"/>
  <c r="J423" i="133"/>
  <c r="K422" i="133"/>
  <c r="M422" i="133" s="1"/>
  <c r="J422" i="133"/>
  <c r="K421" i="133"/>
  <c r="M421" i="133" s="1"/>
  <c r="J421" i="133"/>
  <c r="K420" i="133"/>
  <c r="M420" i="133" s="1"/>
  <c r="J420" i="133"/>
  <c r="K419" i="133"/>
  <c r="M419" i="133" s="1"/>
  <c r="J419" i="133"/>
  <c r="H419" i="133"/>
  <c r="H418" i="133"/>
  <c r="H417" i="133"/>
  <c r="H416" i="133"/>
  <c r="H415" i="133"/>
  <c r="H414" i="133"/>
  <c r="K414" i="133" s="1"/>
  <c r="L414" i="133" s="1"/>
  <c r="H413" i="133"/>
  <c r="H412" i="133"/>
  <c r="K412" i="133" s="1"/>
  <c r="E412" i="133"/>
  <c r="H411" i="133"/>
  <c r="E411" i="133"/>
  <c r="B409" i="133"/>
  <c r="B408" i="133"/>
  <c r="B407" i="133"/>
  <c r="K402" i="133"/>
  <c r="L402" i="133" s="1"/>
  <c r="J402" i="133"/>
  <c r="K401" i="133"/>
  <c r="L401" i="133" s="1"/>
  <c r="J401" i="133"/>
  <c r="K400" i="133"/>
  <c r="L400" i="133" s="1"/>
  <c r="J400" i="133"/>
  <c r="K399" i="133"/>
  <c r="L399" i="133" s="1"/>
  <c r="J399" i="133"/>
  <c r="K398" i="133"/>
  <c r="L398" i="133" s="1"/>
  <c r="J398" i="133"/>
  <c r="K397" i="133"/>
  <c r="L397" i="133" s="1"/>
  <c r="J397" i="133"/>
  <c r="K396" i="133"/>
  <c r="L396" i="133" s="1"/>
  <c r="J396" i="133"/>
  <c r="K395" i="133"/>
  <c r="L395" i="133" s="1"/>
  <c r="J395" i="133"/>
  <c r="K394" i="133"/>
  <c r="L394" i="133" s="1"/>
  <c r="J394" i="133"/>
  <c r="H394" i="133"/>
  <c r="K393" i="133"/>
  <c r="L393" i="133" s="1"/>
  <c r="J393" i="133"/>
  <c r="H393" i="133"/>
  <c r="K392" i="133"/>
  <c r="M392" i="133" s="1"/>
  <c r="J392" i="133"/>
  <c r="H392" i="133"/>
  <c r="K391" i="133"/>
  <c r="J391" i="133"/>
  <c r="H391" i="133"/>
  <c r="K390" i="133"/>
  <c r="L390" i="133" s="1"/>
  <c r="J390" i="133"/>
  <c r="H390" i="133"/>
  <c r="K389" i="133"/>
  <c r="L389" i="133" s="1"/>
  <c r="J389" i="133"/>
  <c r="H389" i="133"/>
  <c r="K388" i="133"/>
  <c r="M388" i="133" s="1"/>
  <c r="J388" i="133"/>
  <c r="H388" i="133"/>
  <c r="H387" i="133"/>
  <c r="K387" i="133" s="1"/>
  <c r="H386" i="133"/>
  <c r="E386" i="133"/>
  <c r="B384" i="133"/>
  <c r="J386" i="133" s="1"/>
  <c r="K377" i="133"/>
  <c r="J377" i="133"/>
  <c r="K376" i="133"/>
  <c r="L376" i="133" s="1"/>
  <c r="J376" i="133"/>
  <c r="K375" i="133"/>
  <c r="L375" i="133" s="1"/>
  <c r="J375" i="133"/>
  <c r="K374" i="133"/>
  <c r="L374" i="133" s="1"/>
  <c r="J374" i="133"/>
  <c r="K373" i="133"/>
  <c r="J373" i="133"/>
  <c r="K372" i="133"/>
  <c r="L372" i="133" s="1"/>
  <c r="J372" i="133"/>
  <c r="K371" i="133"/>
  <c r="L371" i="133" s="1"/>
  <c r="J371" i="133"/>
  <c r="K370" i="133"/>
  <c r="L370" i="133" s="1"/>
  <c r="J370" i="133"/>
  <c r="K369" i="133"/>
  <c r="J369" i="133"/>
  <c r="H369" i="133"/>
  <c r="K368" i="133"/>
  <c r="J368" i="133"/>
  <c r="H368" i="133"/>
  <c r="K367" i="133"/>
  <c r="M367" i="133" s="1"/>
  <c r="J367" i="133"/>
  <c r="H367" i="133"/>
  <c r="K366" i="133"/>
  <c r="M366" i="133" s="1"/>
  <c r="J366" i="133"/>
  <c r="H366" i="133"/>
  <c r="K365" i="133"/>
  <c r="L365" i="133" s="1"/>
  <c r="J365" i="133"/>
  <c r="H365" i="133"/>
  <c r="K364" i="133"/>
  <c r="M364" i="133" s="1"/>
  <c r="J364" i="133"/>
  <c r="H364" i="133"/>
  <c r="K363" i="133"/>
  <c r="L363" i="133" s="1"/>
  <c r="J363" i="133"/>
  <c r="H363" i="133"/>
  <c r="K362" i="133"/>
  <c r="J362" i="133"/>
  <c r="H362" i="133"/>
  <c r="H361" i="133"/>
  <c r="E361" i="133"/>
  <c r="B359" i="133"/>
  <c r="K352" i="133"/>
  <c r="J352" i="133"/>
  <c r="K351" i="133"/>
  <c r="M351" i="133" s="1"/>
  <c r="J351" i="133"/>
  <c r="K350" i="133"/>
  <c r="M350" i="133" s="1"/>
  <c r="J350" i="133"/>
  <c r="K349" i="133"/>
  <c r="M349" i="133" s="1"/>
  <c r="J349" i="133"/>
  <c r="K348" i="133"/>
  <c r="J348" i="133"/>
  <c r="K347" i="133"/>
  <c r="M347" i="133" s="1"/>
  <c r="J347" i="133"/>
  <c r="K346" i="133"/>
  <c r="M346" i="133" s="1"/>
  <c r="J346" i="133"/>
  <c r="K345" i="133"/>
  <c r="M345" i="133" s="1"/>
  <c r="J345" i="133"/>
  <c r="K344" i="133"/>
  <c r="J344" i="133"/>
  <c r="H344" i="133"/>
  <c r="K343" i="133"/>
  <c r="M343" i="133" s="1"/>
  <c r="J343" i="133"/>
  <c r="H343" i="133"/>
  <c r="K342" i="133"/>
  <c r="L342" i="133" s="1"/>
  <c r="J342" i="133"/>
  <c r="H342" i="133"/>
  <c r="K341" i="133"/>
  <c r="M341" i="133" s="1"/>
  <c r="J341" i="133"/>
  <c r="H341" i="133"/>
  <c r="K340" i="133"/>
  <c r="J340" i="133"/>
  <c r="H340" i="133"/>
  <c r="K339" i="133"/>
  <c r="M339" i="133" s="1"/>
  <c r="J339" i="133"/>
  <c r="H339" i="133"/>
  <c r="H338" i="133"/>
  <c r="H337" i="133"/>
  <c r="E337" i="133"/>
  <c r="H336" i="133"/>
  <c r="E336" i="133"/>
  <c r="B334" i="133"/>
  <c r="B333" i="133"/>
  <c r="J338" i="133" s="1"/>
  <c r="B332" i="133"/>
  <c r="K327" i="133"/>
  <c r="L327" i="133" s="1"/>
  <c r="J327" i="133"/>
  <c r="K326" i="133"/>
  <c r="L326" i="133" s="1"/>
  <c r="J326" i="133"/>
  <c r="K325" i="133"/>
  <c r="L325" i="133" s="1"/>
  <c r="J325" i="133"/>
  <c r="K324" i="133"/>
  <c r="L324" i="133" s="1"/>
  <c r="J324" i="133"/>
  <c r="K323" i="133"/>
  <c r="L323" i="133" s="1"/>
  <c r="J323" i="133"/>
  <c r="K322" i="133"/>
  <c r="L322" i="133" s="1"/>
  <c r="J322" i="133"/>
  <c r="M321" i="133"/>
  <c r="K321" i="133"/>
  <c r="L321" i="133" s="1"/>
  <c r="J321" i="133"/>
  <c r="K320" i="133"/>
  <c r="L320" i="133" s="1"/>
  <c r="J320" i="133"/>
  <c r="H319" i="133"/>
  <c r="K318" i="133"/>
  <c r="J318" i="133"/>
  <c r="H318" i="133"/>
  <c r="H317" i="133"/>
  <c r="H316" i="133"/>
  <c r="H315" i="133"/>
  <c r="K315" i="133" s="1"/>
  <c r="L315" i="133" s="1"/>
  <c r="H314" i="133"/>
  <c r="I313" i="133"/>
  <c r="H313" i="133"/>
  <c r="E313" i="133"/>
  <c r="H312" i="133"/>
  <c r="H311" i="133"/>
  <c r="B309" i="133"/>
  <c r="B308" i="133"/>
  <c r="B307" i="133"/>
  <c r="I319" i="133" s="1"/>
  <c r="K302" i="133"/>
  <c r="J302" i="133"/>
  <c r="K301" i="133"/>
  <c r="J301" i="133"/>
  <c r="K300" i="133"/>
  <c r="J300" i="133"/>
  <c r="K299" i="133"/>
  <c r="J299" i="133"/>
  <c r="K298" i="133"/>
  <c r="J298" i="133"/>
  <c r="K297" i="133"/>
  <c r="J297" i="133"/>
  <c r="K296" i="133"/>
  <c r="J296" i="133"/>
  <c r="K295" i="133"/>
  <c r="J295" i="133"/>
  <c r="K294" i="133"/>
  <c r="J294" i="133"/>
  <c r="H294" i="133"/>
  <c r="K293" i="133"/>
  <c r="M293" i="133" s="1"/>
  <c r="J293" i="133"/>
  <c r="H293" i="133"/>
  <c r="K292" i="133"/>
  <c r="L292" i="133" s="1"/>
  <c r="J292" i="133"/>
  <c r="H292" i="133"/>
  <c r="K291" i="133"/>
  <c r="L291" i="133" s="1"/>
  <c r="J291" i="133"/>
  <c r="H291" i="133"/>
  <c r="K290" i="133"/>
  <c r="J290" i="133"/>
  <c r="H290" i="133"/>
  <c r="K289" i="133"/>
  <c r="M289" i="133" s="1"/>
  <c r="J289" i="133"/>
  <c r="H289" i="133"/>
  <c r="I288" i="133"/>
  <c r="H288" i="133"/>
  <c r="H287" i="133"/>
  <c r="E287" i="133"/>
  <c r="H286" i="133"/>
  <c r="E286" i="133"/>
  <c r="B284" i="133"/>
  <c r="B283" i="133"/>
  <c r="B282" i="133"/>
  <c r="K277" i="133"/>
  <c r="M277" i="133" s="1"/>
  <c r="J277" i="133"/>
  <c r="K276" i="133"/>
  <c r="M276" i="133" s="1"/>
  <c r="J276" i="133"/>
  <c r="K275" i="133"/>
  <c r="M275" i="133" s="1"/>
  <c r="J275" i="133"/>
  <c r="K274" i="133"/>
  <c r="M274" i="133" s="1"/>
  <c r="J274" i="133"/>
  <c r="K273" i="133"/>
  <c r="M273" i="133" s="1"/>
  <c r="J273" i="133"/>
  <c r="K272" i="133"/>
  <c r="M272" i="133" s="1"/>
  <c r="J272" i="133"/>
  <c r="K271" i="133"/>
  <c r="M271" i="133" s="1"/>
  <c r="J271" i="133"/>
  <c r="K270" i="133"/>
  <c r="M270" i="133" s="1"/>
  <c r="J270" i="133"/>
  <c r="J269" i="133"/>
  <c r="H269" i="133"/>
  <c r="H268" i="133"/>
  <c r="J267" i="133"/>
  <c r="H267" i="133"/>
  <c r="H266" i="133"/>
  <c r="J265" i="133"/>
  <c r="H265" i="133"/>
  <c r="J264" i="133"/>
  <c r="H264" i="133"/>
  <c r="E264" i="133"/>
  <c r="H263" i="133"/>
  <c r="K263" i="133" s="1"/>
  <c r="E263" i="133"/>
  <c r="J262" i="133"/>
  <c r="H262" i="133"/>
  <c r="J261" i="133"/>
  <c r="H261" i="133"/>
  <c r="B257" i="133"/>
  <c r="J266" i="133" s="1"/>
  <c r="K252" i="133"/>
  <c r="L252" i="133" s="1"/>
  <c r="J252" i="133"/>
  <c r="K251" i="133"/>
  <c r="L251" i="133" s="1"/>
  <c r="J251" i="133"/>
  <c r="K250" i="133"/>
  <c r="L250" i="133" s="1"/>
  <c r="J250" i="133"/>
  <c r="K249" i="133"/>
  <c r="J249" i="133"/>
  <c r="K248" i="133"/>
  <c r="L248" i="133" s="1"/>
  <c r="J248" i="133"/>
  <c r="K247" i="133"/>
  <c r="L247" i="133" s="1"/>
  <c r="J247" i="133"/>
  <c r="K246" i="133"/>
  <c r="L246" i="133" s="1"/>
  <c r="J246" i="133"/>
  <c r="K245" i="133"/>
  <c r="J245" i="133"/>
  <c r="K244" i="133"/>
  <c r="L244" i="133" s="1"/>
  <c r="J244" i="133"/>
  <c r="H244" i="133"/>
  <c r="K243" i="133"/>
  <c r="M243" i="133" s="1"/>
  <c r="J243" i="133"/>
  <c r="H243" i="133"/>
  <c r="K242" i="133"/>
  <c r="J242" i="133"/>
  <c r="H242" i="133"/>
  <c r="H241" i="133"/>
  <c r="H240" i="133"/>
  <c r="E240" i="133"/>
  <c r="H239" i="133"/>
  <c r="E239" i="133"/>
  <c r="H238" i="133"/>
  <c r="H237" i="133"/>
  <c r="H236" i="133"/>
  <c r="B234" i="133"/>
  <c r="B233" i="133"/>
  <c r="B232" i="133"/>
  <c r="I239" i="133" s="1"/>
  <c r="K227" i="133"/>
  <c r="L227" i="133" s="1"/>
  <c r="J227" i="133"/>
  <c r="K226" i="133"/>
  <c r="L226" i="133" s="1"/>
  <c r="J226" i="133"/>
  <c r="K225" i="133"/>
  <c r="J225" i="133"/>
  <c r="K224" i="133"/>
  <c r="L224" i="133" s="1"/>
  <c r="J224" i="133"/>
  <c r="K223" i="133"/>
  <c r="L223" i="133" s="1"/>
  <c r="J223" i="133"/>
  <c r="K222" i="133"/>
  <c r="L222" i="133" s="1"/>
  <c r="J222" i="133"/>
  <c r="K221" i="133"/>
  <c r="J221" i="133"/>
  <c r="K220" i="133"/>
  <c r="L220" i="133" s="1"/>
  <c r="J220" i="133"/>
  <c r="H219" i="133"/>
  <c r="H218" i="133"/>
  <c r="K218" i="133" s="1"/>
  <c r="H217" i="133"/>
  <c r="K216" i="133"/>
  <c r="L216" i="133" s="1"/>
  <c r="J216" i="133"/>
  <c r="I216" i="133"/>
  <c r="H216" i="133"/>
  <c r="H215" i="133"/>
  <c r="K214" i="133"/>
  <c r="M214" i="133" s="1"/>
  <c r="J214" i="133"/>
  <c r="H214" i="133"/>
  <c r="I213" i="133"/>
  <c r="H213" i="133"/>
  <c r="H212" i="133"/>
  <c r="H211" i="133"/>
  <c r="B209" i="133"/>
  <c r="B208" i="133"/>
  <c r="I219" i="133"/>
  <c r="B207" i="133"/>
  <c r="K202" i="133"/>
  <c r="M202" i="133" s="1"/>
  <c r="J202" i="133"/>
  <c r="K201" i="133"/>
  <c r="M201" i="133" s="1"/>
  <c r="J201" i="133"/>
  <c r="K200" i="133"/>
  <c r="M200" i="133" s="1"/>
  <c r="J200" i="133"/>
  <c r="K199" i="133"/>
  <c r="J199" i="133"/>
  <c r="K198" i="133"/>
  <c r="M198" i="133" s="1"/>
  <c r="J198" i="133"/>
  <c r="K197" i="133"/>
  <c r="M197" i="133" s="1"/>
  <c r="J197" i="133"/>
  <c r="K196" i="133"/>
  <c r="M196" i="133" s="1"/>
  <c r="J196" i="133"/>
  <c r="K195" i="133"/>
  <c r="J195" i="133"/>
  <c r="K194" i="133"/>
  <c r="M194" i="133" s="1"/>
  <c r="J194" i="133"/>
  <c r="K193" i="133"/>
  <c r="M193" i="133" s="1"/>
  <c r="J193" i="133"/>
  <c r="H193" i="133"/>
  <c r="K192" i="133"/>
  <c r="M192" i="133" s="1"/>
  <c r="J192" i="133"/>
  <c r="H192" i="133"/>
  <c r="K191" i="133"/>
  <c r="M191" i="133" s="1"/>
  <c r="J191" i="133"/>
  <c r="H191" i="133"/>
  <c r="K190" i="133"/>
  <c r="J190" i="133"/>
  <c r="H190" i="133"/>
  <c r="K189" i="133"/>
  <c r="J189" i="133"/>
  <c r="H189" i="133"/>
  <c r="K188" i="133"/>
  <c r="M188" i="133" s="1"/>
  <c r="J188" i="133"/>
  <c r="H188" i="133"/>
  <c r="K187" i="133"/>
  <c r="L187" i="133" s="1"/>
  <c r="J187" i="133"/>
  <c r="I187" i="133"/>
  <c r="H187" i="133"/>
  <c r="H186" i="133"/>
  <c r="K186" i="133" s="1"/>
  <c r="E186" i="133"/>
  <c r="B184" i="133"/>
  <c r="K177" i="133"/>
  <c r="L177" i="133" s="1"/>
  <c r="J177" i="133"/>
  <c r="K176" i="133"/>
  <c r="M176" i="133" s="1"/>
  <c r="J176" i="133"/>
  <c r="K175" i="133"/>
  <c r="L175" i="133" s="1"/>
  <c r="J175" i="133"/>
  <c r="K174" i="133"/>
  <c r="L174" i="133" s="1"/>
  <c r="J174" i="133"/>
  <c r="K173" i="133"/>
  <c r="L173" i="133" s="1"/>
  <c r="J173" i="133"/>
  <c r="K172" i="133"/>
  <c r="M172" i="133" s="1"/>
  <c r="J172" i="133"/>
  <c r="K171" i="133"/>
  <c r="M171" i="133" s="1"/>
  <c r="J171" i="133"/>
  <c r="K170" i="133"/>
  <c r="M170" i="133" s="1"/>
  <c r="J170" i="133"/>
  <c r="K169" i="133"/>
  <c r="J169" i="133"/>
  <c r="K168" i="133"/>
  <c r="J168" i="133"/>
  <c r="H168" i="133"/>
  <c r="H167" i="133"/>
  <c r="K167" i="133" s="1"/>
  <c r="M167" i="133" s="1"/>
  <c r="H166" i="133"/>
  <c r="K166" i="133" s="1"/>
  <c r="M166" i="133" s="1"/>
  <c r="H165" i="133"/>
  <c r="H164" i="133"/>
  <c r="H163" i="133"/>
  <c r="E163" i="133"/>
  <c r="H162" i="133"/>
  <c r="H161" i="133"/>
  <c r="B159" i="133"/>
  <c r="B158" i="133"/>
  <c r="B157" i="133"/>
  <c r="K152" i="133"/>
  <c r="J152" i="133"/>
  <c r="K151" i="133"/>
  <c r="M151" i="133" s="1"/>
  <c r="J151" i="133"/>
  <c r="K150" i="133"/>
  <c r="M150" i="133" s="1"/>
  <c r="J150" i="133"/>
  <c r="K149" i="133"/>
  <c r="M149" i="133" s="1"/>
  <c r="J149" i="133"/>
  <c r="K148" i="133"/>
  <c r="J148" i="133"/>
  <c r="K147" i="133"/>
  <c r="M147" i="133" s="1"/>
  <c r="J147" i="133"/>
  <c r="K146" i="133"/>
  <c r="M146" i="133" s="1"/>
  <c r="J146" i="133"/>
  <c r="K145" i="133"/>
  <c r="M145" i="133" s="1"/>
  <c r="J145" i="133"/>
  <c r="K144" i="133"/>
  <c r="J144" i="133"/>
  <c r="K143" i="133"/>
  <c r="M143" i="133" s="1"/>
  <c r="J143" i="133"/>
  <c r="H143" i="133"/>
  <c r="K142" i="133"/>
  <c r="J142" i="133"/>
  <c r="H142" i="133"/>
  <c r="K141" i="133"/>
  <c r="L141" i="133" s="1"/>
  <c r="J141" i="133"/>
  <c r="H141" i="133"/>
  <c r="H140" i="133"/>
  <c r="K139" i="133"/>
  <c r="J139" i="133"/>
  <c r="H139" i="133"/>
  <c r="H138" i="133"/>
  <c r="H137" i="133"/>
  <c r="E137" i="133"/>
  <c r="H136" i="133"/>
  <c r="B134" i="133"/>
  <c r="B133" i="133"/>
  <c r="I138" i="133" s="1"/>
  <c r="B132" i="133"/>
  <c r="K127" i="133"/>
  <c r="J127" i="133"/>
  <c r="K126" i="133"/>
  <c r="J126" i="133"/>
  <c r="K125" i="133"/>
  <c r="J125" i="133"/>
  <c r="K124" i="133"/>
  <c r="J124" i="133"/>
  <c r="K123" i="133"/>
  <c r="J123" i="133"/>
  <c r="K122" i="133"/>
  <c r="J122" i="133"/>
  <c r="K121" i="133"/>
  <c r="J121" i="133"/>
  <c r="K120" i="133"/>
  <c r="J120" i="133"/>
  <c r="K119" i="133"/>
  <c r="J119" i="133"/>
  <c r="H118" i="133"/>
  <c r="K117" i="133"/>
  <c r="L117" i="133" s="1"/>
  <c r="J117" i="133"/>
  <c r="H117" i="133"/>
  <c r="K116" i="133"/>
  <c r="L116" i="133" s="1"/>
  <c r="J116" i="133"/>
  <c r="H116" i="133"/>
  <c r="H115" i="133"/>
  <c r="H114" i="133"/>
  <c r="E114" i="133"/>
  <c r="H113" i="133"/>
  <c r="E113" i="133"/>
  <c r="H112" i="133"/>
  <c r="H111" i="133"/>
  <c r="K111" i="133" s="1"/>
  <c r="M111" i="133" s="1"/>
  <c r="B109" i="133"/>
  <c r="B107" i="133"/>
  <c r="K102" i="133"/>
  <c r="M102" i="133" s="1"/>
  <c r="J102" i="133"/>
  <c r="K101" i="133"/>
  <c r="M101" i="133" s="1"/>
  <c r="J101" i="133"/>
  <c r="K100" i="133"/>
  <c r="M100" i="133" s="1"/>
  <c r="J100" i="133"/>
  <c r="K99" i="133"/>
  <c r="M99" i="133" s="1"/>
  <c r="J99" i="133"/>
  <c r="K98" i="133"/>
  <c r="M98" i="133" s="1"/>
  <c r="J98" i="133"/>
  <c r="K97" i="133"/>
  <c r="M97" i="133" s="1"/>
  <c r="J97" i="133"/>
  <c r="K96" i="133"/>
  <c r="M96" i="133" s="1"/>
  <c r="J96" i="133"/>
  <c r="K95" i="133"/>
  <c r="M95" i="133" s="1"/>
  <c r="J95" i="133"/>
  <c r="K94" i="133"/>
  <c r="M94" i="133" s="1"/>
  <c r="J94" i="133"/>
  <c r="H94" i="133"/>
  <c r="K93" i="133"/>
  <c r="L93" i="133" s="1"/>
  <c r="J93" i="133"/>
  <c r="H93" i="133"/>
  <c r="H92" i="133"/>
  <c r="J91" i="133"/>
  <c r="H91" i="133"/>
  <c r="H90" i="133"/>
  <c r="E90" i="133"/>
  <c r="I89" i="133"/>
  <c r="H89" i="133"/>
  <c r="H88" i="133"/>
  <c r="E88" i="133"/>
  <c r="H87" i="133"/>
  <c r="K86" i="133"/>
  <c r="M86" i="133" s="1"/>
  <c r="J86" i="133"/>
  <c r="I86" i="133"/>
  <c r="B84" i="133"/>
  <c r="B83" i="133"/>
  <c r="J87" i="133"/>
  <c r="B82" i="133"/>
  <c r="K77" i="133"/>
  <c r="M77" i="133" s="1"/>
  <c r="J77" i="133"/>
  <c r="K76" i="133"/>
  <c r="M76" i="133" s="1"/>
  <c r="J76" i="133"/>
  <c r="K75" i="133"/>
  <c r="M75" i="133" s="1"/>
  <c r="J75" i="133"/>
  <c r="K74" i="133"/>
  <c r="M74" i="133" s="1"/>
  <c r="J74" i="133"/>
  <c r="K73" i="133"/>
  <c r="M73" i="133" s="1"/>
  <c r="J73" i="133"/>
  <c r="K72" i="133"/>
  <c r="M72" i="133" s="1"/>
  <c r="J72" i="133"/>
  <c r="K71" i="133"/>
  <c r="M71" i="133" s="1"/>
  <c r="J71" i="133"/>
  <c r="K70" i="133"/>
  <c r="M70" i="133" s="1"/>
  <c r="J70" i="133"/>
  <c r="H70" i="133"/>
  <c r="K69" i="133"/>
  <c r="L69" i="133" s="1"/>
  <c r="J69" i="133"/>
  <c r="I69" i="133"/>
  <c r="H69" i="133"/>
  <c r="H68" i="133"/>
  <c r="H67" i="133"/>
  <c r="H66" i="133"/>
  <c r="K66" i="133" s="1"/>
  <c r="H65" i="133"/>
  <c r="E65" i="133"/>
  <c r="H64" i="133"/>
  <c r="J63" i="133"/>
  <c r="H63" i="133"/>
  <c r="H62" i="133"/>
  <c r="J61" i="133"/>
  <c r="H61" i="133"/>
  <c r="K61" i="133" s="1"/>
  <c r="M61" i="133" s="1"/>
  <c r="B59" i="133"/>
  <c r="B58" i="133"/>
  <c r="I65" i="133"/>
  <c r="B57" i="133"/>
  <c r="K52" i="133"/>
  <c r="M52" i="133" s="1"/>
  <c r="J52" i="133"/>
  <c r="L51" i="133"/>
  <c r="K51" i="133"/>
  <c r="M51" i="133" s="1"/>
  <c r="J51" i="133"/>
  <c r="K50" i="133"/>
  <c r="M50" i="133" s="1"/>
  <c r="J50" i="133"/>
  <c r="K49" i="133"/>
  <c r="M49" i="133" s="1"/>
  <c r="J49" i="133"/>
  <c r="K48" i="133"/>
  <c r="M48" i="133" s="1"/>
  <c r="J48" i="133"/>
  <c r="K47" i="133"/>
  <c r="M47" i="133" s="1"/>
  <c r="J47" i="133"/>
  <c r="K46" i="133"/>
  <c r="M46" i="133" s="1"/>
  <c r="J46" i="133"/>
  <c r="K45" i="133"/>
  <c r="M45" i="133" s="1"/>
  <c r="J45" i="133"/>
  <c r="H45" i="133"/>
  <c r="K44" i="133"/>
  <c r="M44" i="133" s="1"/>
  <c r="J44" i="133"/>
  <c r="H44" i="133"/>
  <c r="H43" i="133"/>
  <c r="H42" i="133"/>
  <c r="J41" i="133"/>
  <c r="H41" i="133"/>
  <c r="H40" i="133"/>
  <c r="K40" i="133" s="1"/>
  <c r="M40" i="133" s="1"/>
  <c r="K39" i="133"/>
  <c r="M39" i="133" s="1"/>
  <c r="J39" i="133"/>
  <c r="H39" i="133"/>
  <c r="H38" i="133"/>
  <c r="J37" i="133"/>
  <c r="H37" i="133"/>
  <c r="H36" i="133"/>
  <c r="E36" i="133"/>
  <c r="B34" i="133"/>
  <c r="J43" i="133"/>
  <c r="B33" i="133"/>
  <c r="J42" i="133"/>
  <c r="B32" i="133"/>
  <c r="K27" i="133"/>
  <c r="M27" i="133" s="1"/>
  <c r="J27" i="133"/>
  <c r="K26" i="133"/>
  <c r="M26" i="133" s="1"/>
  <c r="J26" i="133"/>
  <c r="K25" i="133"/>
  <c r="M25" i="133" s="1"/>
  <c r="J25" i="133"/>
  <c r="K24" i="133"/>
  <c r="M24" i="133" s="1"/>
  <c r="J24" i="133"/>
  <c r="K23" i="133"/>
  <c r="M23" i="133" s="1"/>
  <c r="J23" i="133"/>
  <c r="K22" i="133"/>
  <c r="M22" i="133" s="1"/>
  <c r="J22" i="133"/>
  <c r="K21" i="133"/>
  <c r="M21" i="133" s="1"/>
  <c r="J21" i="133"/>
  <c r="H20" i="133"/>
  <c r="H19" i="133"/>
  <c r="K18" i="133"/>
  <c r="L18" i="133" s="1"/>
  <c r="J18" i="133"/>
  <c r="H18" i="133"/>
  <c r="K17" i="133"/>
  <c r="M17" i="133" s="1"/>
  <c r="J17" i="133"/>
  <c r="H17" i="133"/>
  <c r="H16" i="133"/>
  <c r="H15" i="133"/>
  <c r="E15" i="133"/>
  <c r="K14" i="133"/>
  <c r="J14" i="133"/>
  <c r="H14" i="133"/>
  <c r="H13" i="133"/>
  <c r="H12" i="133"/>
  <c r="H11" i="133"/>
  <c r="E11" i="133"/>
  <c r="B9" i="133"/>
  <c r="I18" i="133" s="1"/>
  <c r="I20" i="133"/>
  <c r="B8" i="133"/>
  <c r="K503" i="132"/>
  <c r="J503" i="132"/>
  <c r="K502" i="132"/>
  <c r="M502" i="132" s="1"/>
  <c r="J502" i="132"/>
  <c r="K501" i="132"/>
  <c r="M501" i="132" s="1"/>
  <c r="J501" i="132"/>
  <c r="K500" i="132"/>
  <c r="M500" i="132" s="1"/>
  <c r="J500" i="132"/>
  <c r="K499" i="132"/>
  <c r="J499" i="132"/>
  <c r="K498" i="132"/>
  <c r="M498" i="132" s="1"/>
  <c r="J498" i="132"/>
  <c r="K497" i="132"/>
  <c r="M497" i="132" s="1"/>
  <c r="J497" i="132"/>
  <c r="H496" i="132"/>
  <c r="H495" i="132"/>
  <c r="E495" i="132"/>
  <c r="H494" i="132"/>
  <c r="H493" i="132"/>
  <c r="H492" i="132"/>
  <c r="K491" i="132"/>
  <c r="M491" i="132" s="1"/>
  <c r="J491" i="132"/>
  <c r="H491" i="132"/>
  <c r="H490" i="132"/>
  <c r="H489" i="132"/>
  <c r="H488" i="132"/>
  <c r="K487" i="132"/>
  <c r="M487" i="132" s="1"/>
  <c r="J487" i="132"/>
  <c r="K486" i="132"/>
  <c r="J486" i="132"/>
  <c r="J489" i="132"/>
  <c r="K477" i="132"/>
  <c r="J477" i="132"/>
  <c r="K476" i="132"/>
  <c r="L476" i="132" s="1"/>
  <c r="J476" i="132"/>
  <c r="K475" i="132"/>
  <c r="L475" i="132" s="1"/>
  <c r="J475" i="132"/>
  <c r="K474" i="132"/>
  <c r="L474" i="132" s="1"/>
  <c r="J474" i="132"/>
  <c r="K473" i="132"/>
  <c r="J473" i="132"/>
  <c r="K472" i="132"/>
  <c r="L472" i="132" s="1"/>
  <c r="J472" i="132"/>
  <c r="K471" i="132"/>
  <c r="L471" i="132" s="1"/>
  <c r="J471" i="132"/>
  <c r="K470" i="132"/>
  <c r="L470" i="132" s="1"/>
  <c r="J470" i="132"/>
  <c r="K469" i="132"/>
  <c r="J469" i="132"/>
  <c r="H469" i="132"/>
  <c r="K468" i="132"/>
  <c r="J468" i="132"/>
  <c r="H468" i="132"/>
  <c r="K467" i="132"/>
  <c r="J467" i="132"/>
  <c r="H467" i="132"/>
  <c r="H466" i="132"/>
  <c r="H465" i="132"/>
  <c r="H464" i="132"/>
  <c r="H463" i="132"/>
  <c r="H462" i="132"/>
  <c r="H461" i="132"/>
  <c r="E461" i="132"/>
  <c r="J465" i="132"/>
  <c r="I465" i="132"/>
  <c r="K452" i="132"/>
  <c r="J452" i="132"/>
  <c r="K451" i="132"/>
  <c r="M451" i="132" s="1"/>
  <c r="J451" i="132"/>
  <c r="K450" i="132"/>
  <c r="M450" i="132" s="1"/>
  <c r="J450" i="132"/>
  <c r="K449" i="132"/>
  <c r="M449" i="132" s="1"/>
  <c r="J449" i="132"/>
  <c r="K448" i="132"/>
  <c r="J448" i="132"/>
  <c r="K447" i="132"/>
  <c r="M447" i="132" s="1"/>
  <c r="J447" i="132"/>
  <c r="K446" i="132"/>
  <c r="M446" i="132" s="1"/>
  <c r="J446" i="132"/>
  <c r="K445" i="132"/>
  <c r="M445" i="132" s="1"/>
  <c r="J445" i="132"/>
  <c r="K444" i="132"/>
  <c r="J444" i="132"/>
  <c r="H444" i="132"/>
  <c r="K443" i="132"/>
  <c r="J443" i="132"/>
  <c r="H443" i="132"/>
  <c r="K442" i="132"/>
  <c r="J442" i="132"/>
  <c r="H442" i="132"/>
  <c r="K441" i="132"/>
  <c r="J441" i="132"/>
  <c r="H441" i="132"/>
  <c r="K440" i="132"/>
  <c r="J440" i="132"/>
  <c r="H440" i="132"/>
  <c r="K439" i="132"/>
  <c r="J439" i="132"/>
  <c r="H439" i="132"/>
  <c r="K438" i="132"/>
  <c r="J438" i="132"/>
  <c r="H438" i="132"/>
  <c r="K437" i="132"/>
  <c r="J437" i="132"/>
  <c r="H437" i="132"/>
  <c r="J436" i="132"/>
  <c r="H436" i="132"/>
  <c r="E436" i="132"/>
  <c r="K427" i="132"/>
  <c r="J427" i="132"/>
  <c r="K426" i="132"/>
  <c r="J426" i="132"/>
  <c r="K425" i="132"/>
  <c r="J425" i="132"/>
  <c r="K424" i="132"/>
  <c r="J424" i="132"/>
  <c r="K423" i="132"/>
  <c r="J423" i="132"/>
  <c r="K422" i="132"/>
  <c r="J422" i="132"/>
  <c r="K421" i="132"/>
  <c r="J421" i="132"/>
  <c r="K420" i="132"/>
  <c r="J420" i="132"/>
  <c r="K419" i="132"/>
  <c r="J419" i="132"/>
  <c r="H419" i="132"/>
  <c r="H418" i="132"/>
  <c r="H417" i="132"/>
  <c r="I416" i="132"/>
  <c r="H416" i="132"/>
  <c r="H415" i="132"/>
  <c r="K415" i="132" s="1"/>
  <c r="I414" i="132"/>
  <c r="H414" i="132"/>
  <c r="K414" i="132" s="1"/>
  <c r="H413" i="132"/>
  <c r="K413" i="132" s="1"/>
  <c r="H412" i="132"/>
  <c r="E412" i="132"/>
  <c r="H411" i="132"/>
  <c r="E411" i="132"/>
  <c r="I418" i="132"/>
  <c r="K402" i="132"/>
  <c r="M402" i="132" s="1"/>
  <c r="J402" i="132"/>
  <c r="K401" i="132"/>
  <c r="M401" i="132" s="1"/>
  <c r="J401" i="132"/>
  <c r="K400" i="132"/>
  <c r="J400" i="132"/>
  <c r="K399" i="132"/>
  <c r="M399" i="132" s="1"/>
  <c r="J399" i="132"/>
  <c r="K398" i="132"/>
  <c r="M398" i="132" s="1"/>
  <c r="J398" i="132"/>
  <c r="K397" i="132"/>
  <c r="M397" i="132" s="1"/>
  <c r="J397" i="132"/>
  <c r="K396" i="132"/>
  <c r="J396" i="132"/>
  <c r="K395" i="132"/>
  <c r="M395" i="132" s="1"/>
  <c r="J395" i="132"/>
  <c r="K394" i="132"/>
  <c r="M394" i="132" s="1"/>
  <c r="J394" i="132"/>
  <c r="H394" i="132"/>
  <c r="K393" i="132"/>
  <c r="L393" i="132" s="1"/>
  <c r="J393" i="132"/>
  <c r="H393" i="132"/>
  <c r="K392" i="132"/>
  <c r="M392" i="132" s="1"/>
  <c r="J392" i="132"/>
  <c r="H392" i="132"/>
  <c r="K391" i="132"/>
  <c r="L391" i="132" s="1"/>
  <c r="J391" i="132"/>
  <c r="H391" i="132"/>
  <c r="K390" i="132"/>
  <c r="M390" i="132" s="1"/>
  <c r="J390" i="132"/>
  <c r="H390" i="132"/>
  <c r="K389" i="132"/>
  <c r="L389" i="132" s="1"/>
  <c r="J389" i="132"/>
  <c r="H389" i="132"/>
  <c r="K388" i="132"/>
  <c r="L388" i="132" s="1"/>
  <c r="J388" i="132"/>
  <c r="H388" i="132"/>
  <c r="H387" i="132"/>
  <c r="H386" i="132"/>
  <c r="E386" i="132"/>
  <c r="K377" i="132"/>
  <c r="J377" i="132"/>
  <c r="K376" i="132"/>
  <c r="J376" i="132"/>
  <c r="K375" i="132"/>
  <c r="L375" i="132" s="1"/>
  <c r="J375" i="132"/>
  <c r="K374" i="132"/>
  <c r="L374" i="132" s="1"/>
  <c r="J374" i="132"/>
  <c r="K373" i="132"/>
  <c r="L373" i="132" s="1"/>
  <c r="J373" i="132"/>
  <c r="K372" i="132"/>
  <c r="J372" i="132"/>
  <c r="K371" i="132"/>
  <c r="L371" i="132" s="1"/>
  <c r="J371" i="132"/>
  <c r="K370" i="132"/>
  <c r="L370" i="132" s="1"/>
  <c r="J370" i="132"/>
  <c r="K369" i="132"/>
  <c r="J369" i="132"/>
  <c r="H369" i="132"/>
  <c r="K368" i="132"/>
  <c r="M368" i="132" s="1"/>
  <c r="J368" i="132"/>
  <c r="H368" i="132"/>
  <c r="K367" i="132"/>
  <c r="L367" i="132" s="1"/>
  <c r="J367" i="132"/>
  <c r="H367" i="132"/>
  <c r="K366" i="132"/>
  <c r="J366" i="132"/>
  <c r="H366" i="132"/>
  <c r="K365" i="132"/>
  <c r="J365" i="132"/>
  <c r="H365" i="132"/>
  <c r="K364" i="132"/>
  <c r="J364" i="132"/>
  <c r="I364" i="132"/>
  <c r="H364" i="132"/>
  <c r="K363" i="132"/>
  <c r="J363" i="132"/>
  <c r="H363" i="132"/>
  <c r="K362" i="132"/>
  <c r="J362" i="132"/>
  <c r="I362" i="132"/>
  <c r="H362" i="132"/>
  <c r="H361" i="132"/>
  <c r="K361" i="132" s="1"/>
  <c r="E361" i="132"/>
  <c r="K352" i="132"/>
  <c r="J352" i="132"/>
  <c r="K351" i="132"/>
  <c r="L351" i="132" s="1"/>
  <c r="J351" i="132"/>
  <c r="K350" i="132"/>
  <c r="L350" i="132" s="1"/>
  <c r="J350" i="132"/>
  <c r="K349" i="132"/>
  <c r="L349" i="132" s="1"/>
  <c r="J349" i="132"/>
  <c r="K348" i="132"/>
  <c r="J348" i="132"/>
  <c r="K347" i="132"/>
  <c r="L347" i="132" s="1"/>
  <c r="J347" i="132"/>
  <c r="K346" i="132"/>
  <c r="L346" i="132" s="1"/>
  <c r="J346" i="132"/>
  <c r="K345" i="132"/>
  <c r="L345" i="132" s="1"/>
  <c r="J345" i="132"/>
  <c r="K344" i="132"/>
  <c r="J344" i="132"/>
  <c r="H344" i="132"/>
  <c r="K343" i="132"/>
  <c r="M343" i="132" s="1"/>
  <c r="J343" i="132"/>
  <c r="H343" i="132"/>
  <c r="K342" i="132"/>
  <c r="J342" i="132"/>
  <c r="H342" i="132"/>
  <c r="K341" i="132"/>
  <c r="J341" i="132"/>
  <c r="H341" i="132"/>
  <c r="K340" i="132"/>
  <c r="J340" i="132"/>
  <c r="H340" i="132"/>
  <c r="K339" i="132"/>
  <c r="M339" i="132" s="1"/>
  <c r="J339" i="132"/>
  <c r="H339" i="132"/>
  <c r="H338" i="132"/>
  <c r="H337" i="132"/>
  <c r="E337" i="132"/>
  <c r="H336" i="132"/>
  <c r="E336" i="132"/>
  <c r="J337" i="132"/>
  <c r="K327" i="132"/>
  <c r="L327" i="132" s="1"/>
  <c r="J327" i="132"/>
  <c r="K326" i="132"/>
  <c r="L326" i="132" s="1"/>
  <c r="J326" i="132"/>
  <c r="K325" i="132"/>
  <c r="J325" i="132"/>
  <c r="K324" i="132"/>
  <c r="L324" i="132" s="1"/>
  <c r="J324" i="132"/>
  <c r="K323" i="132"/>
  <c r="L323" i="132" s="1"/>
  <c r="J323" i="132"/>
  <c r="K322" i="132"/>
  <c r="L322" i="132" s="1"/>
  <c r="J322" i="132"/>
  <c r="K321" i="132"/>
  <c r="J321" i="132"/>
  <c r="K320" i="132"/>
  <c r="L320" i="132" s="1"/>
  <c r="J320" i="132"/>
  <c r="H319" i="132"/>
  <c r="K318" i="132"/>
  <c r="L318" i="132" s="1"/>
  <c r="J318" i="132"/>
  <c r="I318" i="132"/>
  <c r="H318" i="132"/>
  <c r="I317" i="132"/>
  <c r="H317" i="132"/>
  <c r="I316" i="132"/>
  <c r="H316" i="132"/>
  <c r="I315" i="132"/>
  <c r="H315" i="132"/>
  <c r="K315" i="132" s="1"/>
  <c r="I314" i="132"/>
  <c r="H314" i="132"/>
  <c r="I313" i="132"/>
  <c r="H313" i="132"/>
  <c r="E313" i="132"/>
  <c r="J312" i="132"/>
  <c r="H312" i="132"/>
  <c r="H311" i="132"/>
  <c r="K302" i="132"/>
  <c r="J302" i="132"/>
  <c r="K301" i="132"/>
  <c r="L301" i="132" s="1"/>
  <c r="J301" i="132"/>
  <c r="K300" i="132"/>
  <c r="J300" i="132"/>
  <c r="K299" i="132"/>
  <c r="L299" i="132" s="1"/>
  <c r="J299" i="132"/>
  <c r="K298" i="132"/>
  <c r="J298" i="132"/>
  <c r="K297" i="132"/>
  <c r="J297" i="132"/>
  <c r="K296" i="132"/>
  <c r="L296" i="132" s="1"/>
  <c r="J296" i="132"/>
  <c r="K295" i="132"/>
  <c r="L295" i="132" s="1"/>
  <c r="J295" i="132"/>
  <c r="K294" i="132"/>
  <c r="J294" i="132"/>
  <c r="H294" i="132"/>
  <c r="K293" i="132"/>
  <c r="M293" i="132" s="1"/>
  <c r="J293" i="132"/>
  <c r="H293" i="132"/>
  <c r="K292" i="132"/>
  <c r="L292" i="132" s="1"/>
  <c r="J292" i="132"/>
  <c r="H292" i="132"/>
  <c r="K291" i="132"/>
  <c r="M291" i="132" s="1"/>
  <c r="J291" i="132"/>
  <c r="H291" i="132"/>
  <c r="K290" i="132"/>
  <c r="L290" i="132" s="1"/>
  <c r="J290" i="132"/>
  <c r="H290" i="132"/>
  <c r="K289" i="132"/>
  <c r="M289" i="132" s="1"/>
  <c r="J289" i="132"/>
  <c r="H289" i="132"/>
  <c r="H288" i="132"/>
  <c r="H287" i="132"/>
  <c r="E287" i="132"/>
  <c r="H286" i="132"/>
  <c r="E286" i="132"/>
  <c r="I288" i="132"/>
  <c r="K277" i="132"/>
  <c r="M277" i="132" s="1"/>
  <c r="J277" i="132"/>
  <c r="K276" i="132"/>
  <c r="M276" i="132" s="1"/>
  <c r="J276" i="132"/>
  <c r="K275" i="132"/>
  <c r="M275" i="132" s="1"/>
  <c r="J275" i="132"/>
  <c r="K274" i="132"/>
  <c r="M274" i="132" s="1"/>
  <c r="J274" i="132"/>
  <c r="K273" i="132"/>
  <c r="M273" i="132" s="1"/>
  <c r="J273" i="132"/>
  <c r="K272" i="132"/>
  <c r="M272" i="132" s="1"/>
  <c r="J272" i="132"/>
  <c r="K271" i="132"/>
  <c r="M271" i="132" s="1"/>
  <c r="J271" i="132"/>
  <c r="K270" i="132"/>
  <c r="M270" i="132" s="1"/>
  <c r="J270" i="132"/>
  <c r="H269" i="132"/>
  <c r="H268" i="132"/>
  <c r="H267" i="132"/>
  <c r="J266" i="132"/>
  <c r="H266" i="132"/>
  <c r="H265" i="132"/>
  <c r="H264" i="132"/>
  <c r="E264" i="132"/>
  <c r="H263" i="132"/>
  <c r="E263" i="132"/>
  <c r="H262" i="132"/>
  <c r="H261" i="132"/>
  <c r="J269" i="132"/>
  <c r="K252" i="132"/>
  <c r="M252" i="132" s="1"/>
  <c r="J252" i="132"/>
  <c r="K251" i="132"/>
  <c r="M251" i="132" s="1"/>
  <c r="J251" i="132"/>
  <c r="K250" i="132"/>
  <c r="M250" i="132" s="1"/>
  <c r="J250" i="132"/>
  <c r="K249" i="132"/>
  <c r="M249" i="132" s="1"/>
  <c r="J249" i="132"/>
  <c r="K248" i="132"/>
  <c r="L248" i="132" s="1"/>
  <c r="J248" i="132"/>
  <c r="K247" i="132"/>
  <c r="L247" i="132" s="1"/>
  <c r="J247" i="132"/>
  <c r="K246" i="132"/>
  <c r="L246" i="132" s="1"/>
  <c r="J246" i="132"/>
  <c r="K245" i="132"/>
  <c r="L245" i="132" s="1"/>
  <c r="J245" i="132"/>
  <c r="K244" i="132"/>
  <c r="L244" i="132" s="1"/>
  <c r="J244" i="132"/>
  <c r="H244" i="132"/>
  <c r="K243" i="132"/>
  <c r="J243" i="132"/>
  <c r="H243" i="132"/>
  <c r="K242" i="132"/>
  <c r="J242" i="132"/>
  <c r="H242" i="132"/>
  <c r="H241" i="132"/>
  <c r="H240" i="132"/>
  <c r="E240" i="132"/>
  <c r="H239" i="132"/>
  <c r="E239" i="132"/>
  <c r="H238" i="132"/>
  <c r="K238" i="132" s="1"/>
  <c r="H237" i="132"/>
  <c r="H236" i="132"/>
  <c r="K227" i="132"/>
  <c r="M227" i="132" s="1"/>
  <c r="J227" i="132"/>
  <c r="K226" i="132"/>
  <c r="M226" i="132" s="1"/>
  <c r="J226" i="132"/>
  <c r="K225" i="132"/>
  <c r="M225" i="132" s="1"/>
  <c r="J225" i="132"/>
  <c r="K224" i="132"/>
  <c r="M224" i="132" s="1"/>
  <c r="J224" i="132"/>
  <c r="K223" i="132"/>
  <c r="M223" i="132" s="1"/>
  <c r="J223" i="132"/>
  <c r="K222" i="132"/>
  <c r="M222" i="132" s="1"/>
  <c r="J222" i="132"/>
  <c r="K221" i="132"/>
  <c r="M221" i="132" s="1"/>
  <c r="J221" i="132"/>
  <c r="K220" i="132"/>
  <c r="M220" i="132" s="1"/>
  <c r="J220" i="132"/>
  <c r="H219" i="132"/>
  <c r="H218" i="132"/>
  <c r="H217" i="132"/>
  <c r="K216" i="132"/>
  <c r="J216" i="132"/>
  <c r="H216" i="132"/>
  <c r="H215" i="132"/>
  <c r="K214" i="132"/>
  <c r="L214" i="132" s="1"/>
  <c r="J214" i="132"/>
  <c r="H214" i="132"/>
  <c r="H213" i="132"/>
  <c r="H212" i="132"/>
  <c r="H211" i="132"/>
  <c r="I219" i="132"/>
  <c r="K202" i="132"/>
  <c r="L202" i="132" s="1"/>
  <c r="J202" i="132"/>
  <c r="K201" i="132"/>
  <c r="L201" i="132" s="1"/>
  <c r="J201" i="132"/>
  <c r="K200" i="132"/>
  <c r="L200" i="132" s="1"/>
  <c r="J200" i="132"/>
  <c r="K199" i="132"/>
  <c r="L199" i="132" s="1"/>
  <c r="J199" i="132"/>
  <c r="K198" i="132"/>
  <c r="L198" i="132" s="1"/>
  <c r="J198" i="132"/>
  <c r="K197" i="132"/>
  <c r="L197" i="132" s="1"/>
  <c r="J197" i="132"/>
  <c r="K196" i="132"/>
  <c r="L196" i="132" s="1"/>
  <c r="J196" i="132"/>
  <c r="K195" i="132"/>
  <c r="L195" i="132" s="1"/>
  <c r="J195" i="132"/>
  <c r="K194" i="132"/>
  <c r="L194" i="132" s="1"/>
  <c r="J194" i="132"/>
  <c r="K193" i="132"/>
  <c r="L193" i="132" s="1"/>
  <c r="J193" i="132"/>
  <c r="H193" i="132"/>
  <c r="K192" i="132"/>
  <c r="J192" i="132"/>
  <c r="H192" i="132"/>
  <c r="K191" i="132"/>
  <c r="J191" i="132"/>
  <c r="H191" i="132"/>
  <c r="K190" i="132"/>
  <c r="M190" i="132" s="1"/>
  <c r="J190" i="132"/>
  <c r="H190" i="132"/>
  <c r="K189" i="132"/>
  <c r="J189" i="132"/>
  <c r="H189" i="132"/>
  <c r="K188" i="132"/>
  <c r="M188" i="132" s="1"/>
  <c r="J188" i="132"/>
  <c r="H188" i="132"/>
  <c r="K187" i="132"/>
  <c r="M187" i="132" s="1"/>
  <c r="J187" i="132"/>
  <c r="H187" i="132"/>
  <c r="J186" i="132"/>
  <c r="H186" i="132"/>
  <c r="E186" i="132"/>
  <c r="K177" i="132"/>
  <c r="J177" i="132"/>
  <c r="K176" i="132"/>
  <c r="J176" i="132"/>
  <c r="I176" i="132"/>
  <c r="K175" i="132"/>
  <c r="M175" i="132" s="1"/>
  <c r="J175" i="132"/>
  <c r="K174" i="132"/>
  <c r="J174" i="132"/>
  <c r="K173" i="132"/>
  <c r="M173" i="132" s="1"/>
  <c r="J173" i="132"/>
  <c r="K172" i="132"/>
  <c r="M172" i="132" s="1"/>
  <c r="J172" i="132"/>
  <c r="I172" i="132"/>
  <c r="K171" i="132"/>
  <c r="L171" i="132" s="1"/>
  <c r="J171" i="132"/>
  <c r="K170" i="132"/>
  <c r="J170" i="132"/>
  <c r="K169" i="132"/>
  <c r="J169" i="132"/>
  <c r="K168" i="132"/>
  <c r="J168" i="132"/>
  <c r="I168" i="132"/>
  <c r="H168" i="132"/>
  <c r="H167" i="132"/>
  <c r="H166" i="132"/>
  <c r="K166" i="132" s="1"/>
  <c r="L166" i="132" s="1"/>
  <c r="H165" i="132"/>
  <c r="I164" i="132"/>
  <c r="H164" i="132"/>
  <c r="H163" i="132"/>
  <c r="E163" i="132"/>
  <c r="J162" i="132"/>
  <c r="H162" i="132"/>
  <c r="H161" i="132"/>
  <c r="I166" i="132"/>
  <c r="I175" i="132"/>
  <c r="K152" i="132"/>
  <c r="L152" i="132" s="1"/>
  <c r="J152" i="132"/>
  <c r="K151" i="132"/>
  <c r="L151" i="132" s="1"/>
  <c r="J151" i="132"/>
  <c r="K150" i="132"/>
  <c r="L150" i="132" s="1"/>
  <c r="J150" i="132"/>
  <c r="K149" i="132"/>
  <c r="L149" i="132" s="1"/>
  <c r="J149" i="132"/>
  <c r="K148" i="132"/>
  <c r="L148" i="132" s="1"/>
  <c r="J148" i="132"/>
  <c r="K147" i="132"/>
  <c r="L147" i="132" s="1"/>
  <c r="J147" i="132"/>
  <c r="K146" i="132"/>
  <c r="L146" i="132" s="1"/>
  <c r="J146" i="132"/>
  <c r="K145" i="132"/>
  <c r="L145" i="132" s="1"/>
  <c r="J145" i="132"/>
  <c r="K144" i="132"/>
  <c r="L144" i="132" s="1"/>
  <c r="J144" i="132"/>
  <c r="K143" i="132"/>
  <c r="L143" i="132" s="1"/>
  <c r="J143" i="132"/>
  <c r="H143" i="132"/>
  <c r="K142" i="132"/>
  <c r="J142" i="132"/>
  <c r="H142" i="132"/>
  <c r="K141" i="132"/>
  <c r="J141" i="132"/>
  <c r="H141" i="132"/>
  <c r="H140" i="132"/>
  <c r="K139" i="132"/>
  <c r="M139" i="132" s="1"/>
  <c r="J139" i="132"/>
  <c r="H139" i="132"/>
  <c r="H138" i="132"/>
  <c r="H137" i="132"/>
  <c r="E137" i="132"/>
  <c r="H136" i="132"/>
  <c r="K127" i="132"/>
  <c r="M127" i="132" s="1"/>
  <c r="J127" i="132"/>
  <c r="K126" i="132"/>
  <c r="M126" i="132" s="1"/>
  <c r="J126" i="132"/>
  <c r="K125" i="132"/>
  <c r="M125" i="132" s="1"/>
  <c r="J125" i="132"/>
  <c r="K124" i="132"/>
  <c r="J124" i="132"/>
  <c r="K123" i="132"/>
  <c r="M123" i="132" s="1"/>
  <c r="J123" i="132"/>
  <c r="K122" i="132"/>
  <c r="M122" i="132" s="1"/>
  <c r="J122" i="132"/>
  <c r="K121" i="132"/>
  <c r="M121" i="132" s="1"/>
  <c r="J121" i="132"/>
  <c r="K120" i="132"/>
  <c r="M120" i="132" s="1"/>
  <c r="J120" i="132"/>
  <c r="K119" i="132"/>
  <c r="M119" i="132" s="1"/>
  <c r="J119" i="132"/>
  <c r="H118" i="132"/>
  <c r="K117" i="132"/>
  <c r="M117" i="132" s="1"/>
  <c r="J117" i="132"/>
  <c r="H117" i="132"/>
  <c r="K116" i="132"/>
  <c r="M116" i="132" s="1"/>
  <c r="J116" i="132"/>
  <c r="H116" i="132"/>
  <c r="H115" i="132"/>
  <c r="H114" i="132"/>
  <c r="E114" i="132"/>
  <c r="H113" i="132"/>
  <c r="E113" i="132"/>
  <c r="H112" i="132"/>
  <c r="H111" i="132"/>
  <c r="K111" i="132" s="1"/>
  <c r="K102" i="132"/>
  <c r="J102" i="132"/>
  <c r="K101" i="132"/>
  <c r="L101" i="132" s="1"/>
  <c r="J101" i="132"/>
  <c r="K100" i="132"/>
  <c r="L100" i="132" s="1"/>
  <c r="J100" i="132"/>
  <c r="K99" i="132"/>
  <c r="L99" i="132" s="1"/>
  <c r="J99" i="132"/>
  <c r="K98" i="132"/>
  <c r="L98" i="132" s="1"/>
  <c r="J98" i="132"/>
  <c r="K97" i="132"/>
  <c r="L97" i="132" s="1"/>
  <c r="J97" i="132"/>
  <c r="K96" i="132"/>
  <c r="L96" i="132" s="1"/>
  <c r="J96" i="132"/>
  <c r="K95" i="132"/>
  <c r="L95" i="132" s="1"/>
  <c r="J95" i="132"/>
  <c r="K94" i="132"/>
  <c r="J94" i="132"/>
  <c r="H94" i="132"/>
  <c r="K93" i="132"/>
  <c r="J93" i="132"/>
  <c r="H93" i="132"/>
  <c r="H92" i="132"/>
  <c r="H91" i="132"/>
  <c r="H90" i="132"/>
  <c r="E90" i="132"/>
  <c r="H89" i="132"/>
  <c r="H88" i="132"/>
  <c r="E88" i="132"/>
  <c r="H87" i="132"/>
  <c r="K86" i="132"/>
  <c r="L86" i="132" s="1"/>
  <c r="J86" i="132"/>
  <c r="I91" i="132"/>
  <c r="I92" i="132"/>
  <c r="K77" i="132"/>
  <c r="L77" i="132" s="1"/>
  <c r="J77" i="132"/>
  <c r="K76" i="132"/>
  <c r="L76" i="132" s="1"/>
  <c r="J76" i="132"/>
  <c r="K75" i="132"/>
  <c r="L75" i="132" s="1"/>
  <c r="J75" i="132"/>
  <c r="K74" i="132"/>
  <c r="L74" i="132" s="1"/>
  <c r="J74" i="132"/>
  <c r="K73" i="132"/>
  <c r="L73" i="132" s="1"/>
  <c r="J73" i="132"/>
  <c r="K72" i="132"/>
  <c r="J72" i="132"/>
  <c r="K71" i="132"/>
  <c r="L71" i="132" s="1"/>
  <c r="J71" i="132"/>
  <c r="K70" i="132"/>
  <c r="L70" i="132" s="1"/>
  <c r="J70" i="132"/>
  <c r="H70" i="132"/>
  <c r="K69" i="132"/>
  <c r="M69" i="132" s="1"/>
  <c r="J69" i="132"/>
  <c r="H69" i="132"/>
  <c r="H68" i="132"/>
  <c r="H67" i="132"/>
  <c r="H66" i="132"/>
  <c r="H65" i="132"/>
  <c r="E65" i="132"/>
  <c r="H64" i="132"/>
  <c r="H63" i="132"/>
  <c r="H62" i="132"/>
  <c r="H61" i="132"/>
  <c r="K61" i="132" s="1"/>
  <c r="K52" i="132"/>
  <c r="J52" i="132"/>
  <c r="K51" i="132"/>
  <c r="J51" i="132"/>
  <c r="K50" i="132"/>
  <c r="J50" i="132"/>
  <c r="K49" i="132"/>
  <c r="J49" i="132"/>
  <c r="K48" i="132"/>
  <c r="J48" i="132"/>
  <c r="K47" i="132"/>
  <c r="J47" i="132"/>
  <c r="K46" i="132"/>
  <c r="M46" i="132" s="1"/>
  <c r="J46" i="132"/>
  <c r="K45" i="132"/>
  <c r="M45" i="132" s="1"/>
  <c r="J45" i="132"/>
  <c r="H45" i="132"/>
  <c r="K44" i="132"/>
  <c r="L44" i="132" s="1"/>
  <c r="J44" i="132"/>
  <c r="H44" i="132"/>
  <c r="H43" i="132"/>
  <c r="H42" i="132"/>
  <c r="H41" i="132"/>
  <c r="H40" i="132"/>
  <c r="K39" i="132"/>
  <c r="M39" i="132" s="1"/>
  <c r="J39" i="132"/>
  <c r="H39" i="132"/>
  <c r="H38" i="132"/>
  <c r="H37" i="132"/>
  <c r="H36" i="132"/>
  <c r="E36" i="132"/>
  <c r="K27" i="132"/>
  <c r="M27" i="132" s="1"/>
  <c r="J27" i="132"/>
  <c r="K26" i="132"/>
  <c r="M26" i="132" s="1"/>
  <c r="J26" i="132"/>
  <c r="K25" i="132"/>
  <c r="M25" i="132" s="1"/>
  <c r="J25" i="132"/>
  <c r="K24" i="132"/>
  <c r="M24" i="132" s="1"/>
  <c r="J24" i="132"/>
  <c r="K23" i="132"/>
  <c r="M23" i="132" s="1"/>
  <c r="J23" i="132"/>
  <c r="K22" i="132"/>
  <c r="L22" i="132" s="1"/>
  <c r="J22" i="132"/>
  <c r="K21" i="132"/>
  <c r="L21" i="132" s="1"/>
  <c r="J21" i="132"/>
  <c r="H20" i="132"/>
  <c r="H19" i="132"/>
  <c r="K18" i="132"/>
  <c r="L18" i="132" s="1"/>
  <c r="J18" i="132"/>
  <c r="H18" i="132"/>
  <c r="K17" i="132"/>
  <c r="M17" i="132" s="1"/>
  <c r="J17" i="132"/>
  <c r="H17" i="132"/>
  <c r="H16" i="132"/>
  <c r="H15" i="132"/>
  <c r="E15" i="132"/>
  <c r="K14" i="132"/>
  <c r="L14" i="132" s="1"/>
  <c r="J14" i="132"/>
  <c r="H14" i="132"/>
  <c r="H13" i="132"/>
  <c r="H12" i="132"/>
  <c r="H11" i="132"/>
  <c r="E11" i="132"/>
  <c r="J19" i="132"/>
  <c r="K418" i="132" l="1"/>
  <c r="L171" i="133"/>
  <c r="L27" i="133"/>
  <c r="L223" i="132"/>
  <c r="K264" i="132"/>
  <c r="M264" i="132" s="1"/>
  <c r="M295" i="132"/>
  <c r="M291" i="133"/>
  <c r="K36" i="133"/>
  <c r="M36" i="133" s="1"/>
  <c r="M324" i="133"/>
  <c r="M399" i="133"/>
  <c r="M250" i="133"/>
  <c r="M372" i="133"/>
  <c r="M400" i="133"/>
  <c r="K319" i="133"/>
  <c r="K219" i="133"/>
  <c r="L219" i="133" s="1"/>
  <c r="L39" i="133"/>
  <c r="M69" i="133"/>
  <c r="M244" i="133"/>
  <c r="L438" i="133"/>
  <c r="L167" i="133"/>
  <c r="M474" i="133"/>
  <c r="M473" i="133"/>
  <c r="M477" i="133"/>
  <c r="M445" i="133"/>
  <c r="L426" i="133"/>
  <c r="L423" i="133"/>
  <c r="L420" i="133"/>
  <c r="M390" i="133"/>
  <c r="M396" i="133"/>
  <c r="M395" i="133"/>
  <c r="L341" i="133"/>
  <c r="L345" i="133"/>
  <c r="M315" i="133"/>
  <c r="L272" i="133"/>
  <c r="L277" i="133"/>
  <c r="L243" i="133"/>
  <c r="M226" i="133"/>
  <c r="L191" i="133"/>
  <c r="L194" i="133"/>
  <c r="L170" i="133"/>
  <c r="M174" i="133"/>
  <c r="L149" i="133"/>
  <c r="L143" i="133"/>
  <c r="M117" i="133"/>
  <c r="L100" i="133"/>
  <c r="L96" i="133"/>
  <c r="L97" i="133"/>
  <c r="L101" i="133"/>
  <c r="L71" i="133"/>
  <c r="L75" i="133"/>
  <c r="L70" i="133"/>
  <c r="L74" i="133"/>
  <c r="L50" i="133"/>
  <c r="L23" i="133"/>
  <c r="L24" i="133"/>
  <c r="M474" i="132"/>
  <c r="M214" i="132"/>
  <c r="M149" i="132"/>
  <c r="L120" i="132"/>
  <c r="M100" i="132"/>
  <c r="M198" i="132"/>
  <c r="M351" i="132"/>
  <c r="L447" i="132"/>
  <c r="M18" i="133"/>
  <c r="L22" i="133"/>
  <c r="L26" i="133"/>
  <c r="L44" i="133"/>
  <c r="L73" i="133"/>
  <c r="L77" i="133"/>
  <c r="L95" i="133"/>
  <c r="L99" i="133"/>
  <c r="L151" i="133"/>
  <c r="M173" i="133"/>
  <c r="L200" i="133"/>
  <c r="M252" i="133"/>
  <c r="L276" i="133"/>
  <c r="K288" i="133"/>
  <c r="L288" i="133" s="1"/>
  <c r="L289" i="133"/>
  <c r="M292" i="133"/>
  <c r="L293" i="133"/>
  <c r="M320" i="133"/>
  <c r="L347" i="133"/>
  <c r="M363" i="133"/>
  <c r="M394" i="133"/>
  <c r="M398" i="133"/>
  <c r="M402" i="133"/>
  <c r="M414" i="133"/>
  <c r="L419" i="133"/>
  <c r="L422" i="133"/>
  <c r="M444" i="133"/>
  <c r="M448" i="133"/>
  <c r="M452" i="133"/>
  <c r="L468" i="133"/>
  <c r="M470" i="133"/>
  <c r="M202" i="132"/>
  <c r="L252" i="132"/>
  <c r="L272" i="132"/>
  <c r="L293" i="132"/>
  <c r="M327" i="132"/>
  <c r="L21" i="133"/>
  <c r="L25" i="133"/>
  <c r="L72" i="133"/>
  <c r="L76" i="133"/>
  <c r="M93" i="133"/>
  <c r="L94" i="133"/>
  <c r="L98" i="133"/>
  <c r="L102" i="133"/>
  <c r="L172" i="133"/>
  <c r="L202" i="133"/>
  <c r="L214" i="133"/>
  <c r="M224" i="133"/>
  <c r="L273" i="133"/>
  <c r="M325" i="133"/>
  <c r="M370" i="133"/>
  <c r="M397" i="133"/>
  <c r="M401" i="133"/>
  <c r="M440" i="133"/>
  <c r="M441" i="133"/>
  <c r="L442" i="133"/>
  <c r="M447" i="133"/>
  <c r="M451" i="133"/>
  <c r="M469" i="133"/>
  <c r="M475" i="133"/>
  <c r="L487" i="133"/>
  <c r="L491" i="133"/>
  <c r="L424" i="133"/>
  <c r="L427" i="133"/>
  <c r="M437" i="133"/>
  <c r="M446" i="133"/>
  <c r="M450" i="133"/>
  <c r="L47" i="133"/>
  <c r="L86" i="133"/>
  <c r="M141" i="133"/>
  <c r="L145" i="133"/>
  <c r="L192" i="133"/>
  <c r="L196" i="133"/>
  <c r="M220" i="133"/>
  <c r="M246" i="133"/>
  <c r="L271" i="133"/>
  <c r="L275" i="133"/>
  <c r="M323" i="133"/>
  <c r="M327" i="133"/>
  <c r="L339" i="133"/>
  <c r="M342" i="133"/>
  <c r="L343" i="133"/>
  <c r="L349" i="133"/>
  <c r="L366" i="133"/>
  <c r="M374" i="133"/>
  <c r="L388" i="133"/>
  <c r="L421" i="133"/>
  <c r="L425" i="133"/>
  <c r="M472" i="133"/>
  <c r="M476" i="133"/>
  <c r="L497" i="133"/>
  <c r="L498" i="133"/>
  <c r="L499" i="133"/>
  <c r="L500" i="133"/>
  <c r="L501" i="133"/>
  <c r="L502" i="133"/>
  <c r="L503" i="133"/>
  <c r="L17" i="133"/>
  <c r="L46" i="133"/>
  <c r="L147" i="133"/>
  <c r="L166" i="133"/>
  <c r="M175" i="133"/>
  <c r="L188" i="133"/>
  <c r="L198" i="133"/>
  <c r="M216" i="133"/>
  <c r="M222" i="133"/>
  <c r="M248" i="133"/>
  <c r="L270" i="133"/>
  <c r="L274" i="133"/>
  <c r="M322" i="133"/>
  <c r="M326" i="133"/>
  <c r="L351" i="133"/>
  <c r="L367" i="133"/>
  <c r="M376" i="133"/>
  <c r="M389" i="133"/>
  <c r="L392" i="133"/>
  <c r="M393" i="133"/>
  <c r="M471" i="133"/>
  <c r="M171" i="132"/>
  <c r="L172" i="132"/>
  <c r="L222" i="132"/>
  <c r="L251" i="132"/>
  <c r="L227" i="132"/>
  <c r="L250" i="132"/>
  <c r="L276" i="132"/>
  <c r="M349" i="132"/>
  <c r="M145" i="132"/>
  <c r="L226" i="132"/>
  <c r="L249" i="132"/>
  <c r="M475" i="132"/>
  <c r="L173" i="132"/>
  <c r="M194" i="132"/>
  <c r="M322" i="132"/>
  <c r="L397" i="132"/>
  <c r="L445" i="132"/>
  <c r="M14" i="132"/>
  <c r="L26" i="132"/>
  <c r="M76" i="132"/>
  <c r="L122" i="132"/>
  <c r="M144" i="132"/>
  <c r="M148" i="132"/>
  <c r="M152" i="132"/>
  <c r="M244" i="132"/>
  <c r="M245" i="132"/>
  <c r="M246" i="132"/>
  <c r="M247" i="132"/>
  <c r="M248" i="132"/>
  <c r="L271" i="132"/>
  <c r="L275" i="132"/>
  <c r="L289" i="132"/>
  <c r="M301" i="132"/>
  <c r="M98" i="132"/>
  <c r="L116" i="132"/>
  <c r="L117" i="132"/>
  <c r="M143" i="132"/>
  <c r="M147" i="132"/>
  <c r="M151" i="132"/>
  <c r="L175" i="132"/>
  <c r="L187" i="132"/>
  <c r="L188" i="132"/>
  <c r="M193" i="132"/>
  <c r="M197" i="132"/>
  <c r="M201" i="132"/>
  <c r="L270" i="132"/>
  <c r="L274" i="132"/>
  <c r="M290" i="132"/>
  <c r="L291" i="132"/>
  <c r="M292" i="132"/>
  <c r="M324" i="132"/>
  <c r="M345" i="132"/>
  <c r="M367" i="132"/>
  <c r="L368" i="132"/>
  <c r="M371" i="132"/>
  <c r="M388" i="132"/>
  <c r="L399" i="132"/>
  <c r="K416" i="132"/>
  <c r="L416" i="132" s="1"/>
  <c r="M471" i="132"/>
  <c r="L487" i="132"/>
  <c r="L501" i="132"/>
  <c r="L139" i="132"/>
  <c r="M146" i="132"/>
  <c r="M150" i="132"/>
  <c r="M196" i="132"/>
  <c r="M200" i="132"/>
  <c r="L221" i="132"/>
  <c r="L225" i="132"/>
  <c r="L273" i="132"/>
  <c r="L277" i="132"/>
  <c r="K316" i="132"/>
  <c r="M316" i="132" s="1"/>
  <c r="L339" i="132"/>
  <c r="M347" i="132"/>
  <c r="M375" i="132"/>
  <c r="L392" i="132"/>
  <c r="L401" i="132"/>
  <c r="L449" i="132"/>
  <c r="M470" i="132"/>
  <c r="L500" i="132"/>
  <c r="L69" i="132"/>
  <c r="M70" i="132"/>
  <c r="M195" i="132"/>
  <c r="M199" i="132"/>
  <c r="L220" i="132"/>
  <c r="L224" i="132"/>
  <c r="L343" i="132"/>
  <c r="L395" i="132"/>
  <c r="L451" i="132"/>
  <c r="L94" i="132"/>
  <c r="M94" i="132"/>
  <c r="M176" i="132"/>
  <c r="L176" i="132"/>
  <c r="M341" i="132"/>
  <c r="L341" i="132"/>
  <c r="L348" i="132"/>
  <c r="M348" i="132"/>
  <c r="L362" i="132"/>
  <c r="M362" i="132"/>
  <c r="M420" i="132"/>
  <c r="L420" i="132"/>
  <c r="M468" i="132"/>
  <c r="L468" i="132"/>
  <c r="M48" i="132"/>
  <c r="L48" i="132"/>
  <c r="M52" i="132"/>
  <c r="L52" i="132"/>
  <c r="M93" i="132"/>
  <c r="L93" i="132"/>
  <c r="M142" i="132"/>
  <c r="L142" i="132"/>
  <c r="M168" i="132"/>
  <c r="L168" i="132"/>
  <c r="M192" i="132"/>
  <c r="L192" i="132"/>
  <c r="M216" i="132"/>
  <c r="L216" i="132"/>
  <c r="L300" i="132"/>
  <c r="M300" i="132"/>
  <c r="L340" i="132"/>
  <c r="M340" i="132"/>
  <c r="M396" i="132"/>
  <c r="L396" i="132"/>
  <c r="L418" i="132"/>
  <c r="M418" i="132"/>
  <c r="M440" i="132"/>
  <c r="L440" i="132"/>
  <c r="M444" i="132"/>
  <c r="L444" i="132"/>
  <c r="M452" i="132"/>
  <c r="L452" i="132"/>
  <c r="L473" i="132"/>
  <c r="M473" i="132"/>
  <c r="M503" i="132"/>
  <c r="L503" i="132"/>
  <c r="M124" i="132"/>
  <c r="L124" i="132"/>
  <c r="M189" i="132"/>
  <c r="L189" i="132"/>
  <c r="L414" i="132"/>
  <c r="M414" i="132"/>
  <c r="M424" i="132"/>
  <c r="L424" i="132"/>
  <c r="M50" i="132"/>
  <c r="L50" i="132"/>
  <c r="M18" i="132"/>
  <c r="M22" i="132"/>
  <c r="L39" i="132"/>
  <c r="M44" i="132"/>
  <c r="L45" i="132"/>
  <c r="L102" i="132"/>
  <c r="M102" i="132"/>
  <c r="M141" i="132"/>
  <c r="L141" i="132"/>
  <c r="M177" i="132"/>
  <c r="L177" i="132"/>
  <c r="L344" i="132"/>
  <c r="M344" i="132"/>
  <c r="L352" i="132"/>
  <c r="M352" i="132"/>
  <c r="M365" i="132"/>
  <c r="L365" i="132"/>
  <c r="L377" i="132"/>
  <c r="M377" i="132"/>
  <c r="M419" i="132"/>
  <c r="L419" i="132"/>
  <c r="M421" i="132"/>
  <c r="L421" i="132"/>
  <c r="M423" i="132"/>
  <c r="L423" i="132"/>
  <c r="M425" i="132"/>
  <c r="L425" i="132"/>
  <c r="M427" i="132"/>
  <c r="L427" i="132"/>
  <c r="L369" i="132"/>
  <c r="M369" i="132"/>
  <c r="M422" i="132"/>
  <c r="L422" i="132"/>
  <c r="M426" i="132"/>
  <c r="L426" i="132"/>
  <c r="L437" i="132"/>
  <c r="M437" i="132"/>
  <c r="L441" i="132"/>
  <c r="M441" i="132"/>
  <c r="L46" i="132"/>
  <c r="M21" i="132"/>
  <c r="L24" i="132"/>
  <c r="M47" i="132"/>
  <c r="L47" i="132"/>
  <c r="M49" i="132"/>
  <c r="L49" i="132"/>
  <c r="M51" i="132"/>
  <c r="L51" i="132"/>
  <c r="L72" i="132"/>
  <c r="M72" i="132"/>
  <c r="M169" i="132"/>
  <c r="L169" i="132"/>
  <c r="M243" i="132"/>
  <c r="L243" i="132"/>
  <c r="L297" i="132"/>
  <c r="M297" i="132"/>
  <c r="L315" i="132"/>
  <c r="M315" i="132"/>
  <c r="L364" i="132"/>
  <c r="M364" i="132"/>
  <c r="M400" i="132"/>
  <c r="L400" i="132"/>
  <c r="M438" i="132"/>
  <c r="L438" i="132"/>
  <c r="M442" i="132"/>
  <c r="L442" i="132"/>
  <c r="M448" i="132"/>
  <c r="L448" i="132"/>
  <c r="L469" i="132"/>
  <c r="M469" i="132"/>
  <c r="L477" i="132"/>
  <c r="M477" i="132"/>
  <c r="M499" i="132"/>
  <c r="L499" i="132"/>
  <c r="K163" i="132"/>
  <c r="L163" i="132" s="1"/>
  <c r="M74" i="132"/>
  <c r="M96" i="132"/>
  <c r="L126" i="132"/>
  <c r="L190" i="132"/>
  <c r="K288" i="132"/>
  <c r="M288" i="132" s="1"/>
  <c r="M296" i="132"/>
  <c r="M299" i="132"/>
  <c r="K314" i="132"/>
  <c r="L314" i="132" s="1"/>
  <c r="M472" i="132"/>
  <c r="M476" i="132"/>
  <c r="L491" i="132"/>
  <c r="L498" i="132"/>
  <c r="L502" i="132"/>
  <c r="K91" i="132"/>
  <c r="M91" i="132" s="1"/>
  <c r="M318" i="132"/>
  <c r="M320" i="132"/>
  <c r="M323" i="132"/>
  <c r="M326" i="132"/>
  <c r="M346" i="132"/>
  <c r="M350" i="132"/>
  <c r="M373" i="132"/>
  <c r="L390" i="132"/>
  <c r="M393" i="132"/>
  <c r="L394" i="132"/>
  <c r="L398" i="132"/>
  <c r="L402" i="132"/>
  <c r="L446" i="132"/>
  <c r="L450" i="132"/>
  <c r="L497" i="132"/>
  <c r="I116" i="133"/>
  <c r="I115" i="133"/>
  <c r="I114" i="133"/>
  <c r="J113" i="133"/>
  <c r="I16" i="133"/>
  <c r="K16" i="133" s="1"/>
  <c r="L45" i="133"/>
  <c r="L49" i="133"/>
  <c r="M66" i="133"/>
  <c r="L66" i="133"/>
  <c r="I140" i="133"/>
  <c r="K140" i="133" s="1"/>
  <c r="K137" i="133"/>
  <c r="M142" i="133"/>
  <c r="L142" i="133"/>
  <c r="M148" i="133"/>
  <c r="L148" i="133"/>
  <c r="L169" i="133"/>
  <c r="M169" i="133"/>
  <c r="I13" i="133"/>
  <c r="K15" i="133"/>
  <c r="J16" i="133"/>
  <c r="I39" i="133"/>
  <c r="I43" i="133"/>
  <c r="K43" i="133" s="1"/>
  <c r="L48" i="133"/>
  <c r="L52" i="133"/>
  <c r="K89" i="133"/>
  <c r="J90" i="133"/>
  <c r="K88" i="133"/>
  <c r="I117" i="133"/>
  <c r="K20" i="133"/>
  <c r="L40" i="133"/>
  <c r="K115" i="133"/>
  <c r="J19" i="133"/>
  <c r="J15" i="133"/>
  <c r="I14" i="133"/>
  <c r="K13" i="133"/>
  <c r="I12" i="133"/>
  <c r="K12" i="133" s="1"/>
  <c r="K11" i="133"/>
  <c r="I19" i="133"/>
  <c r="K19" i="133" s="1"/>
  <c r="I17" i="133"/>
  <c r="I15" i="133"/>
  <c r="J13" i="133"/>
  <c r="J11" i="133"/>
  <c r="I11" i="133"/>
  <c r="J12" i="133"/>
  <c r="M14" i="133"/>
  <c r="L14" i="133"/>
  <c r="J20" i="133"/>
  <c r="I37" i="133"/>
  <c r="K37" i="133" s="1"/>
  <c r="K38" i="133"/>
  <c r="I41" i="133"/>
  <c r="K41" i="133" s="1"/>
  <c r="J68" i="133"/>
  <c r="K68" i="133" s="1"/>
  <c r="J66" i="133"/>
  <c r="K64" i="133"/>
  <c r="I63" i="133"/>
  <c r="K63" i="133" s="1"/>
  <c r="I61" i="133"/>
  <c r="J65" i="133"/>
  <c r="I64" i="133"/>
  <c r="I62" i="133"/>
  <c r="K62" i="133" s="1"/>
  <c r="I68" i="133"/>
  <c r="I66" i="133"/>
  <c r="K65" i="133"/>
  <c r="J64" i="133"/>
  <c r="J62" i="133"/>
  <c r="J67" i="133"/>
  <c r="I67" i="133"/>
  <c r="K67" i="133" s="1"/>
  <c r="K114" i="133"/>
  <c r="M189" i="133"/>
  <c r="L189" i="133"/>
  <c r="M218" i="133"/>
  <c r="L218" i="133"/>
  <c r="M120" i="133"/>
  <c r="L120" i="133"/>
  <c r="M124" i="133"/>
  <c r="L124" i="133"/>
  <c r="M126" i="133"/>
  <c r="L126" i="133"/>
  <c r="I176" i="133"/>
  <c r="I172" i="133"/>
  <c r="I168" i="133"/>
  <c r="I166" i="133"/>
  <c r="I164" i="133"/>
  <c r="K163" i="133"/>
  <c r="J162" i="133"/>
  <c r="I174" i="133"/>
  <c r="I173" i="133"/>
  <c r="I171" i="133"/>
  <c r="J167" i="133"/>
  <c r="K162" i="133"/>
  <c r="I170" i="133"/>
  <c r="I169" i="133"/>
  <c r="I167" i="133"/>
  <c r="J166" i="133"/>
  <c r="J165" i="133"/>
  <c r="K164" i="133"/>
  <c r="I162" i="133"/>
  <c r="J161" i="133"/>
  <c r="I165" i="133"/>
  <c r="K165" i="133" s="1"/>
  <c r="J164" i="133"/>
  <c r="J163" i="133"/>
  <c r="I161" i="133"/>
  <c r="K161" i="133" s="1"/>
  <c r="I177" i="133"/>
  <c r="M195" i="133"/>
  <c r="L195" i="133"/>
  <c r="L225" i="133"/>
  <c r="M225" i="133"/>
  <c r="L249" i="133"/>
  <c r="M249" i="133"/>
  <c r="M263" i="133"/>
  <c r="L263" i="133"/>
  <c r="L319" i="133"/>
  <c r="M319" i="133"/>
  <c r="M348" i="133"/>
  <c r="L348" i="133"/>
  <c r="L412" i="133"/>
  <c r="M412" i="133"/>
  <c r="I36" i="133"/>
  <c r="I38" i="133"/>
  <c r="I40" i="133"/>
  <c r="I42" i="133"/>
  <c r="K42" i="133" s="1"/>
  <c r="L61" i="133"/>
  <c r="J118" i="133"/>
  <c r="J114" i="133"/>
  <c r="I113" i="133"/>
  <c r="J111" i="133"/>
  <c r="I118" i="133"/>
  <c r="K118" i="133" s="1"/>
  <c r="J115" i="133"/>
  <c r="K113" i="133"/>
  <c r="J112" i="133"/>
  <c r="I111" i="133"/>
  <c r="I112" i="133"/>
  <c r="K112" i="133" s="1"/>
  <c r="M116" i="133"/>
  <c r="J140" i="133"/>
  <c r="J137" i="133"/>
  <c r="I136" i="133"/>
  <c r="I142" i="133"/>
  <c r="I139" i="133"/>
  <c r="K138" i="133"/>
  <c r="I137" i="133"/>
  <c r="I141" i="133"/>
  <c r="J138" i="133"/>
  <c r="K136" i="133"/>
  <c r="J136" i="133"/>
  <c r="M144" i="133"/>
  <c r="L144" i="133"/>
  <c r="M152" i="133"/>
  <c r="L152" i="133"/>
  <c r="M168" i="133"/>
  <c r="L168" i="133"/>
  <c r="J186" i="133"/>
  <c r="I186" i="133"/>
  <c r="I188" i="133"/>
  <c r="J287" i="133"/>
  <c r="I286" i="133"/>
  <c r="I287" i="133"/>
  <c r="J288" i="133"/>
  <c r="K286" i="133"/>
  <c r="J286" i="133"/>
  <c r="K287" i="133"/>
  <c r="M467" i="133"/>
  <c r="L467" i="133"/>
  <c r="M122" i="133"/>
  <c r="L122" i="133"/>
  <c r="K203" i="133"/>
  <c r="M186" i="133"/>
  <c r="L186" i="133"/>
  <c r="I240" i="133"/>
  <c r="K238" i="133"/>
  <c r="I237" i="133"/>
  <c r="K237" i="133" s="1"/>
  <c r="J241" i="133"/>
  <c r="K240" i="133"/>
  <c r="J238" i="133"/>
  <c r="I241" i="133"/>
  <c r="K241" i="133" s="1"/>
  <c r="J240" i="133"/>
  <c r="K239" i="133"/>
  <c r="I238" i="133"/>
  <c r="J237" i="133"/>
  <c r="J236" i="133"/>
  <c r="J239" i="133"/>
  <c r="I236" i="133"/>
  <c r="K236" i="133" s="1"/>
  <c r="M242" i="133"/>
  <c r="L242" i="133"/>
  <c r="J36" i="133"/>
  <c r="J38" i="133"/>
  <c r="J40" i="133"/>
  <c r="I91" i="133"/>
  <c r="K90" i="133"/>
  <c r="J89" i="133"/>
  <c r="I92" i="133"/>
  <c r="K92" i="133" s="1"/>
  <c r="I90" i="133"/>
  <c r="J88" i="133"/>
  <c r="I87" i="133"/>
  <c r="K87" i="133"/>
  <c r="I88" i="133"/>
  <c r="K91" i="133"/>
  <c r="J92" i="133"/>
  <c r="L111" i="133"/>
  <c r="M119" i="133"/>
  <c r="L119" i="133"/>
  <c r="M121" i="133"/>
  <c r="L121" i="133"/>
  <c r="M123" i="133"/>
  <c r="L123" i="133"/>
  <c r="M125" i="133"/>
  <c r="L125" i="133"/>
  <c r="M127" i="133"/>
  <c r="L127" i="133"/>
  <c r="M139" i="133"/>
  <c r="L139" i="133"/>
  <c r="I163" i="133"/>
  <c r="I175" i="133"/>
  <c r="L190" i="133"/>
  <c r="M190" i="133"/>
  <c r="M199" i="133"/>
  <c r="L199" i="133"/>
  <c r="J218" i="133"/>
  <c r="J212" i="133"/>
  <c r="I218" i="133"/>
  <c r="J217" i="133"/>
  <c r="I215" i="133"/>
  <c r="I212" i="133"/>
  <c r="K212" i="133" s="1"/>
  <c r="J211" i="133"/>
  <c r="I217" i="133"/>
  <c r="K217" i="133" s="1"/>
  <c r="I211" i="133"/>
  <c r="K211" i="133" s="1"/>
  <c r="J219" i="133"/>
  <c r="K215" i="133"/>
  <c r="I214" i="133"/>
  <c r="J213" i="133"/>
  <c r="K213" i="133" s="1"/>
  <c r="J215" i="133"/>
  <c r="L221" i="133"/>
  <c r="M221" i="133"/>
  <c r="L245" i="133"/>
  <c r="M245" i="133"/>
  <c r="M290" i="133"/>
  <c r="L290" i="133"/>
  <c r="M294" i="133"/>
  <c r="L294" i="133"/>
  <c r="M296" i="133"/>
  <c r="L296" i="133"/>
  <c r="M298" i="133"/>
  <c r="L298" i="133"/>
  <c r="M300" i="133"/>
  <c r="L300" i="133"/>
  <c r="M302" i="133"/>
  <c r="L302" i="133"/>
  <c r="I261" i="133"/>
  <c r="K261" i="133" s="1"/>
  <c r="I264" i="133"/>
  <c r="I315" i="133"/>
  <c r="I338" i="133"/>
  <c r="K337" i="133"/>
  <c r="J336" i="133"/>
  <c r="J337" i="133"/>
  <c r="I336" i="133"/>
  <c r="I339" i="133"/>
  <c r="K338" i="133"/>
  <c r="I337" i="133"/>
  <c r="I364" i="133"/>
  <c r="I362" i="133"/>
  <c r="K361" i="133"/>
  <c r="I363" i="133"/>
  <c r="J361" i="133"/>
  <c r="I361" i="133"/>
  <c r="L369" i="133"/>
  <c r="M369" i="133"/>
  <c r="L377" i="133"/>
  <c r="M377" i="133"/>
  <c r="L387" i="133"/>
  <c r="M387" i="133"/>
  <c r="M295" i="133"/>
  <c r="L295" i="133"/>
  <c r="M297" i="133"/>
  <c r="L297" i="133"/>
  <c r="M299" i="133"/>
  <c r="L299" i="133"/>
  <c r="M301" i="133"/>
  <c r="L301" i="133"/>
  <c r="K336" i="133"/>
  <c r="M340" i="133"/>
  <c r="L340" i="133"/>
  <c r="M344" i="133"/>
  <c r="L344" i="133"/>
  <c r="M352" i="133"/>
  <c r="L352" i="133"/>
  <c r="M368" i="133"/>
  <c r="L368" i="133"/>
  <c r="M391" i="133"/>
  <c r="L391" i="133"/>
  <c r="J465" i="133"/>
  <c r="J463" i="133"/>
  <c r="J461" i="133"/>
  <c r="L146" i="133"/>
  <c r="L150" i="133"/>
  <c r="L176" i="133"/>
  <c r="M177" i="133"/>
  <c r="M187" i="133"/>
  <c r="L193" i="133"/>
  <c r="L197" i="133"/>
  <c r="L201" i="133"/>
  <c r="M223" i="133"/>
  <c r="M227" i="133"/>
  <c r="M247" i="133"/>
  <c r="M251" i="133"/>
  <c r="I268" i="133"/>
  <c r="K268" i="133" s="1"/>
  <c r="I266" i="133"/>
  <c r="I269" i="133"/>
  <c r="K269" i="133" s="1"/>
  <c r="I267" i="133"/>
  <c r="K267" i="133" s="1"/>
  <c r="K266" i="133"/>
  <c r="I265" i="133"/>
  <c r="K265" i="133" s="1"/>
  <c r="K264" i="133"/>
  <c r="J263" i="133"/>
  <c r="I262" i="133"/>
  <c r="K262" i="133" s="1"/>
  <c r="I263" i="133"/>
  <c r="J268" i="133"/>
  <c r="J316" i="133"/>
  <c r="J314" i="133"/>
  <c r="I311" i="133"/>
  <c r="I318" i="133"/>
  <c r="K317" i="133"/>
  <c r="I316" i="133"/>
  <c r="K316" i="133" s="1"/>
  <c r="I314" i="133"/>
  <c r="K314" i="133" s="1"/>
  <c r="K313" i="133"/>
  <c r="J312" i="133"/>
  <c r="J319" i="133"/>
  <c r="J317" i="133"/>
  <c r="J315" i="133"/>
  <c r="J313" i="133"/>
  <c r="I312" i="133"/>
  <c r="K312" i="133" s="1"/>
  <c r="K311" i="133"/>
  <c r="J311" i="133"/>
  <c r="I317" i="133"/>
  <c r="M318" i="133"/>
  <c r="L318" i="133"/>
  <c r="M362" i="133"/>
  <c r="L362" i="133"/>
  <c r="L373" i="133"/>
  <c r="M373" i="133"/>
  <c r="J417" i="133"/>
  <c r="J415" i="133"/>
  <c r="J413" i="133"/>
  <c r="K411" i="133"/>
  <c r="I417" i="133"/>
  <c r="K417" i="133" s="1"/>
  <c r="I415" i="133"/>
  <c r="J418" i="133"/>
  <c r="J416" i="133"/>
  <c r="J414" i="133"/>
  <c r="J412" i="133"/>
  <c r="I411" i="133"/>
  <c r="K415" i="133"/>
  <c r="I414" i="133"/>
  <c r="I413" i="133"/>
  <c r="I412" i="133"/>
  <c r="J411" i="133"/>
  <c r="I418" i="133"/>
  <c r="K418" i="133" s="1"/>
  <c r="I416" i="133"/>
  <c r="K416" i="133" s="1"/>
  <c r="K413" i="133"/>
  <c r="I497" i="133"/>
  <c r="J496" i="133"/>
  <c r="I493" i="133"/>
  <c r="K493" i="133" s="1"/>
  <c r="I491" i="133"/>
  <c r="I489" i="133"/>
  <c r="K489" i="133" s="1"/>
  <c r="I487" i="133"/>
  <c r="I496" i="133"/>
  <c r="K495" i="133"/>
  <c r="J494" i="133"/>
  <c r="J492" i="133"/>
  <c r="J490" i="133"/>
  <c r="K490" i="133" s="1"/>
  <c r="J488" i="133"/>
  <c r="K488" i="133" s="1"/>
  <c r="I486" i="133"/>
  <c r="J495" i="133"/>
  <c r="I494" i="133"/>
  <c r="K494" i="133" s="1"/>
  <c r="I492" i="133"/>
  <c r="K492" i="133" s="1"/>
  <c r="I490" i="133"/>
  <c r="I488" i="133"/>
  <c r="I495" i="133"/>
  <c r="J489" i="133"/>
  <c r="K496" i="133"/>
  <c r="J493" i="133"/>
  <c r="I386" i="133"/>
  <c r="I389" i="133"/>
  <c r="M439" i="133"/>
  <c r="L439" i="133"/>
  <c r="M443" i="133"/>
  <c r="L443" i="133"/>
  <c r="K386" i="133"/>
  <c r="I387" i="133"/>
  <c r="I465" i="133"/>
  <c r="L346" i="133"/>
  <c r="L350" i="133"/>
  <c r="L364" i="133"/>
  <c r="M365" i="133"/>
  <c r="M371" i="133"/>
  <c r="M375" i="133"/>
  <c r="J387" i="133"/>
  <c r="I388" i="133"/>
  <c r="I436" i="133"/>
  <c r="K436" i="133"/>
  <c r="M486" i="133"/>
  <c r="L486" i="133"/>
  <c r="K461" i="133"/>
  <c r="I462" i="133"/>
  <c r="K463" i="133"/>
  <c r="I464" i="133"/>
  <c r="K464" i="133" s="1"/>
  <c r="K465" i="133"/>
  <c r="I466" i="133"/>
  <c r="K466" i="133" s="1"/>
  <c r="J462" i="133"/>
  <c r="J464" i="133"/>
  <c r="J466" i="133"/>
  <c r="I461" i="133"/>
  <c r="K462" i="133"/>
  <c r="I463" i="133"/>
  <c r="I43" i="132"/>
  <c r="K43" i="132" s="1"/>
  <c r="I41" i="132"/>
  <c r="K41" i="132" s="1"/>
  <c r="K40" i="132"/>
  <c r="I39" i="132"/>
  <c r="K38" i="132"/>
  <c r="I37" i="132"/>
  <c r="K37" i="132" s="1"/>
  <c r="K36" i="132"/>
  <c r="I42" i="132"/>
  <c r="K42" i="132" s="1"/>
  <c r="J41" i="132"/>
  <c r="J40" i="132"/>
  <c r="J42" i="132"/>
  <c r="I40" i="132"/>
  <c r="J38" i="132"/>
  <c r="J43" i="132"/>
  <c r="I38" i="132"/>
  <c r="J37" i="132"/>
  <c r="J36" i="132"/>
  <c r="I36" i="132"/>
  <c r="J64" i="132"/>
  <c r="I61" i="132"/>
  <c r="J68" i="132"/>
  <c r="K68" i="132" s="1"/>
  <c r="I64" i="132"/>
  <c r="I66" i="132"/>
  <c r="J65" i="132"/>
  <c r="K64" i="132"/>
  <c r="I62" i="132"/>
  <c r="K62" i="132" s="1"/>
  <c r="K92" i="132"/>
  <c r="M111" i="132"/>
  <c r="L111" i="132"/>
  <c r="I142" i="132"/>
  <c r="I140" i="132"/>
  <c r="K140" i="132" s="1"/>
  <c r="I138" i="132"/>
  <c r="J137" i="132"/>
  <c r="I136" i="132"/>
  <c r="I141" i="132"/>
  <c r="I139" i="132"/>
  <c r="K138" i="132"/>
  <c r="I137" i="132"/>
  <c r="J138" i="132"/>
  <c r="J140" i="132"/>
  <c r="K136" i="132"/>
  <c r="K137" i="132"/>
  <c r="J136" i="132"/>
  <c r="M238" i="132"/>
  <c r="L238" i="132"/>
  <c r="I113" i="132"/>
  <c r="J113" i="132"/>
  <c r="I117" i="132"/>
  <c r="J115" i="132"/>
  <c r="K114" i="132"/>
  <c r="J112" i="132"/>
  <c r="J118" i="132"/>
  <c r="I20" i="132"/>
  <c r="K20" i="132" s="1"/>
  <c r="K87" i="132"/>
  <c r="K90" i="132"/>
  <c r="J218" i="132"/>
  <c r="L264" i="132"/>
  <c r="L302" i="132"/>
  <c r="M302" i="132"/>
  <c r="I336" i="132"/>
  <c r="K378" i="132"/>
  <c r="M361" i="132"/>
  <c r="L361" i="132"/>
  <c r="I11" i="132"/>
  <c r="I13" i="132"/>
  <c r="J16" i="132"/>
  <c r="L17" i="132"/>
  <c r="J20" i="132"/>
  <c r="L25" i="132"/>
  <c r="I69" i="132"/>
  <c r="I67" i="132"/>
  <c r="K67" i="132" s="1"/>
  <c r="K66" i="132"/>
  <c r="I65" i="132"/>
  <c r="J63" i="132"/>
  <c r="J61" i="132"/>
  <c r="L61" i="132"/>
  <c r="J62" i="132"/>
  <c r="I63" i="132"/>
  <c r="K63" i="132" s="1"/>
  <c r="K65" i="132"/>
  <c r="J66" i="132"/>
  <c r="J67" i="132"/>
  <c r="I68" i="132"/>
  <c r="M73" i="132"/>
  <c r="M77" i="132"/>
  <c r="M86" i="132"/>
  <c r="I88" i="132"/>
  <c r="J91" i="132"/>
  <c r="M97" i="132"/>
  <c r="M101" i="132"/>
  <c r="I118" i="132"/>
  <c r="K118" i="132" s="1"/>
  <c r="I116" i="132"/>
  <c r="K115" i="132"/>
  <c r="I114" i="132"/>
  <c r="I111" i="132"/>
  <c r="J111" i="132"/>
  <c r="I112" i="132"/>
  <c r="K112" i="132" s="1"/>
  <c r="K113" i="132"/>
  <c r="J114" i="132"/>
  <c r="I115" i="132"/>
  <c r="L119" i="132"/>
  <c r="L123" i="132"/>
  <c r="L127" i="132"/>
  <c r="M174" i="132"/>
  <c r="L174" i="132"/>
  <c r="I188" i="132"/>
  <c r="I186" i="132"/>
  <c r="I187" i="132"/>
  <c r="K186" i="132"/>
  <c r="M191" i="132"/>
  <c r="L191" i="132"/>
  <c r="K219" i="132"/>
  <c r="I241" i="132"/>
  <c r="K241" i="132" s="1"/>
  <c r="K240" i="132"/>
  <c r="J239" i="132"/>
  <c r="I238" i="132"/>
  <c r="I236" i="132"/>
  <c r="K236" i="132" s="1"/>
  <c r="J241" i="132"/>
  <c r="J240" i="132"/>
  <c r="J238" i="132"/>
  <c r="J237" i="132"/>
  <c r="I240" i="132"/>
  <c r="I237" i="132"/>
  <c r="K237" i="132" s="1"/>
  <c r="J236" i="132"/>
  <c r="K239" i="132"/>
  <c r="I239" i="132"/>
  <c r="L242" i="132"/>
  <c r="M242" i="132"/>
  <c r="L298" i="132"/>
  <c r="M298" i="132"/>
  <c r="J387" i="132"/>
  <c r="J386" i="132"/>
  <c r="I388" i="132"/>
  <c r="I387" i="132"/>
  <c r="I386" i="132"/>
  <c r="I389" i="132"/>
  <c r="K386" i="132"/>
  <c r="K387" i="132"/>
  <c r="I16" i="132"/>
  <c r="K16" i="132" s="1"/>
  <c r="I18" i="132"/>
  <c r="J13" i="132"/>
  <c r="I15" i="132"/>
  <c r="I17" i="132"/>
  <c r="M61" i="132"/>
  <c r="J92" i="132"/>
  <c r="J90" i="132"/>
  <c r="I89" i="132"/>
  <c r="K88" i="132"/>
  <c r="J87" i="132"/>
  <c r="I86" i="132"/>
  <c r="J88" i="132"/>
  <c r="J89" i="132"/>
  <c r="M166" i="132"/>
  <c r="J212" i="132"/>
  <c r="I269" i="132"/>
  <c r="K269" i="132" s="1"/>
  <c r="I268" i="132"/>
  <c r="K268" i="132" s="1"/>
  <c r="I266" i="132"/>
  <c r="I264" i="132"/>
  <c r="I261" i="132"/>
  <c r="K261" i="132" s="1"/>
  <c r="I265" i="132"/>
  <c r="K265" i="132" s="1"/>
  <c r="J264" i="132"/>
  <c r="K263" i="132"/>
  <c r="I262" i="132"/>
  <c r="K262" i="132" s="1"/>
  <c r="J261" i="132"/>
  <c r="J263" i="132"/>
  <c r="J268" i="132"/>
  <c r="J267" i="132"/>
  <c r="K266" i="132"/>
  <c r="I263" i="132"/>
  <c r="J262" i="132"/>
  <c r="J265" i="132"/>
  <c r="I267" i="132"/>
  <c r="K267" i="132" s="1"/>
  <c r="L294" i="132"/>
  <c r="M294" i="132"/>
  <c r="L325" i="132"/>
  <c r="M325" i="132"/>
  <c r="J12" i="132"/>
  <c r="K15" i="132"/>
  <c r="J11" i="132"/>
  <c r="I19" i="132"/>
  <c r="K19" i="132" s="1"/>
  <c r="K11" i="132"/>
  <c r="I12" i="132"/>
  <c r="K12" i="132" s="1"/>
  <c r="K13" i="132"/>
  <c r="I14" i="132"/>
  <c r="J15" i="132"/>
  <c r="L23" i="132"/>
  <c r="L27" i="132"/>
  <c r="M71" i="132"/>
  <c r="M75" i="132"/>
  <c r="I87" i="132"/>
  <c r="K89" i="132"/>
  <c r="I90" i="132"/>
  <c r="M95" i="132"/>
  <c r="M99" i="132"/>
  <c r="L121" i="132"/>
  <c r="L125" i="132"/>
  <c r="M170" i="132"/>
  <c r="L170" i="132"/>
  <c r="J217" i="132"/>
  <c r="L321" i="132"/>
  <c r="M321" i="132"/>
  <c r="I161" i="132"/>
  <c r="K161" i="132" s="1"/>
  <c r="K162" i="132"/>
  <c r="J164" i="132"/>
  <c r="J166" i="132"/>
  <c r="I169" i="132"/>
  <c r="I173" i="132"/>
  <c r="I177" i="132"/>
  <c r="I211" i="132"/>
  <c r="K211" i="132" s="1"/>
  <c r="I213" i="132"/>
  <c r="I215" i="132"/>
  <c r="I217" i="132"/>
  <c r="K217" i="132" s="1"/>
  <c r="K218" i="132"/>
  <c r="J286" i="132"/>
  <c r="I287" i="132"/>
  <c r="J319" i="132"/>
  <c r="J317" i="132"/>
  <c r="J315" i="132"/>
  <c r="J313" i="132"/>
  <c r="I312" i="132"/>
  <c r="K312" i="132" s="1"/>
  <c r="K311" i="132"/>
  <c r="J316" i="132"/>
  <c r="J314" i="132"/>
  <c r="I311" i="132"/>
  <c r="J311" i="132"/>
  <c r="K313" i="132"/>
  <c r="K317" i="132"/>
  <c r="I319" i="132"/>
  <c r="K319" i="132" s="1"/>
  <c r="M363" i="132"/>
  <c r="L363" i="132"/>
  <c r="M366" i="132"/>
  <c r="L366" i="132"/>
  <c r="L372" i="132"/>
  <c r="M372" i="132"/>
  <c r="J161" i="132"/>
  <c r="I163" i="132"/>
  <c r="K164" i="132"/>
  <c r="I165" i="132"/>
  <c r="K165" i="132" s="1"/>
  <c r="I167" i="132"/>
  <c r="K167" i="132" s="1"/>
  <c r="I170" i="132"/>
  <c r="I174" i="132"/>
  <c r="J211" i="132"/>
  <c r="J213" i="132"/>
  <c r="K213" i="132" s="1"/>
  <c r="J215" i="132"/>
  <c r="J288" i="132"/>
  <c r="K286" i="132"/>
  <c r="J287" i="132"/>
  <c r="I286" i="132"/>
  <c r="K287" i="132"/>
  <c r="M342" i="132"/>
  <c r="L342" i="132"/>
  <c r="J361" i="132"/>
  <c r="I363" i="132"/>
  <c r="I361" i="132"/>
  <c r="M415" i="132"/>
  <c r="L415" i="132"/>
  <c r="M439" i="132"/>
  <c r="L439" i="132"/>
  <c r="M443" i="132"/>
  <c r="L443" i="132"/>
  <c r="M486" i="132"/>
  <c r="L486" i="132"/>
  <c r="I162" i="132"/>
  <c r="J163" i="132"/>
  <c r="J165" i="132"/>
  <c r="J167" i="132"/>
  <c r="I171" i="132"/>
  <c r="J219" i="132"/>
  <c r="I212" i="132"/>
  <c r="K212" i="132" s="1"/>
  <c r="I214" i="132"/>
  <c r="K215" i="132"/>
  <c r="I216" i="132"/>
  <c r="I218" i="132"/>
  <c r="I339" i="132"/>
  <c r="K338" i="132"/>
  <c r="I337" i="132"/>
  <c r="J338" i="132"/>
  <c r="K336" i="132"/>
  <c r="I338" i="132"/>
  <c r="K337" i="132"/>
  <c r="J336" i="132"/>
  <c r="L376" i="132"/>
  <c r="M376" i="132"/>
  <c r="J417" i="132"/>
  <c r="I436" i="132"/>
  <c r="K436" i="132"/>
  <c r="J461" i="132"/>
  <c r="J463" i="132"/>
  <c r="I497" i="132"/>
  <c r="J496" i="132"/>
  <c r="I493" i="132"/>
  <c r="K493" i="132" s="1"/>
  <c r="I491" i="132"/>
  <c r="I489" i="132"/>
  <c r="K489" i="132" s="1"/>
  <c r="I487" i="132"/>
  <c r="I496" i="132"/>
  <c r="K495" i="132"/>
  <c r="J494" i="132"/>
  <c r="J492" i="132"/>
  <c r="J490" i="132"/>
  <c r="K490" i="132" s="1"/>
  <c r="J488" i="132"/>
  <c r="K488" i="132" s="1"/>
  <c r="I486" i="132"/>
  <c r="J495" i="132"/>
  <c r="I494" i="132"/>
  <c r="K494" i="132" s="1"/>
  <c r="I492" i="132"/>
  <c r="K492" i="132" s="1"/>
  <c r="I490" i="132"/>
  <c r="I488" i="132"/>
  <c r="J493" i="132"/>
  <c r="K496" i="132"/>
  <c r="M413" i="132"/>
  <c r="L413" i="132"/>
  <c r="M467" i="132"/>
  <c r="L467" i="132"/>
  <c r="I495" i="132"/>
  <c r="M370" i="132"/>
  <c r="M374" i="132"/>
  <c r="M389" i="132"/>
  <c r="M391" i="132"/>
  <c r="I412" i="132"/>
  <c r="I411" i="132"/>
  <c r="J412" i="132"/>
  <c r="J414" i="132"/>
  <c r="J416" i="132"/>
  <c r="J418" i="132"/>
  <c r="K461" i="132"/>
  <c r="I462" i="132"/>
  <c r="K463" i="132"/>
  <c r="I464" i="132"/>
  <c r="K464" i="132" s="1"/>
  <c r="K465" i="132"/>
  <c r="I466" i="132"/>
  <c r="K466" i="132" s="1"/>
  <c r="J411" i="132"/>
  <c r="K412" i="132"/>
  <c r="I413" i="132"/>
  <c r="I415" i="132"/>
  <c r="I417" i="132"/>
  <c r="K417" i="132" s="1"/>
  <c r="J462" i="132"/>
  <c r="J464" i="132"/>
  <c r="J466" i="132"/>
  <c r="K411" i="132"/>
  <c r="J413" i="132"/>
  <c r="J415" i="132"/>
  <c r="I461" i="132"/>
  <c r="K462" i="132"/>
  <c r="I463" i="132"/>
  <c r="H496" i="47"/>
  <c r="H495" i="47"/>
  <c r="H494" i="47"/>
  <c r="H493" i="47"/>
  <c r="H492" i="47"/>
  <c r="H491" i="47"/>
  <c r="H490" i="47"/>
  <c r="H489" i="47"/>
  <c r="H488" i="47"/>
  <c r="H469" i="47"/>
  <c r="H468" i="47"/>
  <c r="H467" i="47"/>
  <c r="H466" i="47"/>
  <c r="H465" i="47"/>
  <c r="H464" i="47"/>
  <c r="H463" i="47"/>
  <c r="H462" i="47"/>
  <c r="H461" i="47"/>
  <c r="H444" i="47"/>
  <c r="H443" i="47"/>
  <c r="H442" i="47"/>
  <c r="H441" i="47"/>
  <c r="H440" i="47"/>
  <c r="H439" i="47"/>
  <c r="H438" i="47"/>
  <c r="H437" i="47"/>
  <c r="H436" i="47"/>
  <c r="H419" i="47"/>
  <c r="H418" i="47"/>
  <c r="H417" i="47"/>
  <c r="H416" i="47"/>
  <c r="H415" i="47"/>
  <c r="H414" i="47"/>
  <c r="H413" i="47"/>
  <c r="H412" i="47"/>
  <c r="H411" i="47"/>
  <c r="H394" i="47"/>
  <c r="H393" i="47"/>
  <c r="H392" i="47"/>
  <c r="H391" i="47"/>
  <c r="H390" i="47"/>
  <c r="H389" i="47"/>
  <c r="H388" i="47"/>
  <c r="H387" i="47"/>
  <c r="H386" i="47"/>
  <c r="H369" i="47"/>
  <c r="H368" i="47"/>
  <c r="H367" i="47"/>
  <c r="H366" i="47"/>
  <c r="H365" i="47"/>
  <c r="H364" i="47"/>
  <c r="H363" i="47"/>
  <c r="H362" i="47"/>
  <c r="H361" i="47"/>
  <c r="H344" i="47"/>
  <c r="H343" i="47"/>
  <c r="H342" i="47"/>
  <c r="H341" i="47"/>
  <c r="H340" i="47"/>
  <c r="H339" i="47"/>
  <c r="H338" i="47"/>
  <c r="H337" i="47"/>
  <c r="H336" i="47"/>
  <c r="H319" i="47"/>
  <c r="H318" i="47"/>
  <c r="H317" i="47"/>
  <c r="H316" i="47"/>
  <c r="H315" i="47"/>
  <c r="H314" i="47"/>
  <c r="H313" i="47"/>
  <c r="H312" i="47"/>
  <c r="H311" i="47"/>
  <c r="H294" i="47"/>
  <c r="H293" i="47"/>
  <c r="H292" i="47"/>
  <c r="H291" i="47"/>
  <c r="H290" i="47"/>
  <c r="H289" i="47"/>
  <c r="H288" i="47"/>
  <c r="H287" i="47"/>
  <c r="H286" i="47"/>
  <c r="H269" i="47"/>
  <c r="H268" i="47"/>
  <c r="H267" i="47"/>
  <c r="H266" i="47"/>
  <c r="H265" i="47"/>
  <c r="H264" i="47"/>
  <c r="H263" i="47"/>
  <c r="H262" i="47"/>
  <c r="H261" i="47"/>
  <c r="H244" i="47"/>
  <c r="H243" i="47"/>
  <c r="H242" i="47"/>
  <c r="H241" i="47"/>
  <c r="H240" i="47"/>
  <c r="H239" i="47"/>
  <c r="H238" i="47"/>
  <c r="H237" i="47"/>
  <c r="H236" i="47"/>
  <c r="H219" i="47"/>
  <c r="H218" i="47"/>
  <c r="H217" i="47"/>
  <c r="H216" i="47"/>
  <c r="H215" i="47"/>
  <c r="H214" i="47"/>
  <c r="H213" i="47"/>
  <c r="H212" i="47"/>
  <c r="H211" i="47"/>
  <c r="H193" i="47"/>
  <c r="H192" i="47"/>
  <c r="H191" i="47"/>
  <c r="H190" i="47"/>
  <c r="H189" i="47"/>
  <c r="H188" i="47"/>
  <c r="H187" i="47"/>
  <c r="H186" i="47"/>
  <c r="H168" i="47"/>
  <c r="H167" i="47"/>
  <c r="H166" i="47"/>
  <c r="H165" i="47"/>
  <c r="H164" i="47"/>
  <c r="H163" i="47"/>
  <c r="H162" i="47"/>
  <c r="H161" i="47"/>
  <c r="H143" i="47"/>
  <c r="H142" i="47"/>
  <c r="H141" i="47"/>
  <c r="H140" i="47"/>
  <c r="H139" i="47"/>
  <c r="H138" i="47"/>
  <c r="H137" i="47"/>
  <c r="H136" i="47"/>
  <c r="H118" i="47"/>
  <c r="H117" i="47"/>
  <c r="H116" i="47"/>
  <c r="H115" i="47"/>
  <c r="H114" i="47"/>
  <c r="H113" i="47"/>
  <c r="H112" i="47"/>
  <c r="H111" i="47"/>
  <c r="H94" i="47"/>
  <c r="H93" i="47"/>
  <c r="H92" i="47"/>
  <c r="H91" i="47"/>
  <c r="H90" i="47"/>
  <c r="H89" i="47"/>
  <c r="H88" i="47"/>
  <c r="H87" i="47"/>
  <c r="H70" i="47"/>
  <c r="H69" i="47"/>
  <c r="H68" i="47"/>
  <c r="H67" i="47"/>
  <c r="H66" i="47"/>
  <c r="H65" i="47"/>
  <c r="H64" i="47"/>
  <c r="H63" i="47"/>
  <c r="H62" i="47"/>
  <c r="H61" i="47"/>
  <c r="H45" i="47"/>
  <c r="H44" i="47"/>
  <c r="H43" i="47"/>
  <c r="H42" i="47"/>
  <c r="H41" i="47"/>
  <c r="H40" i="47"/>
  <c r="H39" i="47"/>
  <c r="H38" i="47"/>
  <c r="H37" i="47"/>
  <c r="H36" i="47"/>
  <c r="H12" i="47"/>
  <c r="H13" i="47"/>
  <c r="H14" i="47"/>
  <c r="H15" i="47"/>
  <c r="H16" i="47"/>
  <c r="H17" i="47"/>
  <c r="H18" i="47"/>
  <c r="H19" i="47"/>
  <c r="H20" i="47"/>
  <c r="H11" i="47"/>
  <c r="M167" i="132" l="1"/>
  <c r="L167" i="132"/>
  <c r="L36" i="133"/>
  <c r="M163" i="132"/>
  <c r="M219" i="133"/>
  <c r="L316" i="132"/>
  <c r="M314" i="132"/>
  <c r="L288" i="132"/>
  <c r="M288" i="133"/>
  <c r="K128" i="133"/>
  <c r="M128" i="133" s="1"/>
  <c r="M416" i="132"/>
  <c r="L91" i="132"/>
  <c r="K103" i="132"/>
  <c r="M104" i="132" s="1"/>
  <c r="M312" i="133"/>
  <c r="L312" i="133"/>
  <c r="M489" i="133"/>
  <c r="L489" i="133"/>
  <c r="M265" i="133"/>
  <c r="L265" i="133"/>
  <c r="L261" i="133"/>
  <c r="K278" i="133"/>
  <c r="M261" i="133"/>
  <c r="L37" i="133"/>
  <c r="M37" i="133"/>
  <c r="K53" i="133"/>
  <c r="L43" i="133"/>
  <c r="M43" i="133"/>
  <c r="M140" i="133"/>
  <c r="L140" i="133"/>
  <c r="M464" i="133"/>
  <c r="L464" i="133"/>
  <c r="M492" i="133"/>
  <c r="L492" i="133"/>
  <c r="M488" i="133"/>
  <c r="L488" i="133"/>
  <c r="K504" i="133"/>
  <c r="M490" i="133"/>
  <c r="L490" i="133"/>
  <c r="M493" i="133"/>
  <c r="L493" i="133"/>
  <c r="M267" i="133"/>
  <c r="L267" i="133"/>
  <c r="M92" i="133"/>
  <c r="L92" i="133"/>
  <c r="M241" i="133"/>
  <c r="L241" i="133"/>
  <c r="M62" i="133"/>
  <c r="L62" i="133"/>
  <c r="K78" i="133"/>
  <c r="L41" i="133"/>
  <c r="M41" i="133"/>
  <c r="M269" i="133"/>
  <c r="L269" i="133"/>
  <c r="L418" i="133"/>
  <c r="M418" i="133"/>
  <c r="L213" i="133"/>
  <c r="M213" i="133"/>
  <c r="M129" i="133"/>
  <c r="M237" i="133"/>
  <c r="L237" i="133"/>
  <c r="M136" i="133"/>
  <c r="K153" i="133"/>
  <c r="L136" i="133"/>
  <c r="L138" i="133"/>
  <c r="M138" i="133"/>
  <c r="M118" i="133"/>
  <c r="L118" i="133"/>
  <c r="M42" i="133"/>
  <c r="L42" i="133"/>
  <c r="L65" i="133"/>
  <c r="M65" i="133"/>
  <c r="M64" i="133"/>
  <c r="L64" i="133"/>
  <c r="M38" i="133"/>
  <c r="L38" i="133"/>
  <c r="K28" i="133"/>
  <c r="L11" i="133"/>
  <c r="M11" i="133"/>
  <c r="L20" i="133"/>
  <c r="M20" i="133"/>
  <c r="M88" i="133"/>
  <c r="L88" i="133"/>
  <c r="M15" i="133"/>
  <c r="L15" i="133"/>
  <c r="M137" i="133"/>
  <c r="L137" i="133"/>
  <c r="M417" i="133"/>
  <c r="L417" i="133"/>
  <c r="L313" i="133"/>
  <c r="M313" i="133"/>
  <c r="L211" i="133"/>
  <c r="M211" i="133"/>
  <c r="K228" i="133"/>
  <c r="M87" i="133"/>
  <c r="K103" i="133"/>
  <c r="L87" i="133"/>
  <c r="M287" i="133"/>
  <c r="L287" i="133"/>
  <c r="L495" i="133"/>
  <c r="M495" i="133"/>
  <c r="K428" i="133"/>
  <c r="M411" i="133"/>
  <c r="L411" i="133"/>
  <c r="M311" i="133"/>
  <c r="L311" i="133"/>
  <c r="K328" i="133"/>
  <c r="M314" i="133"/>
  <c r="L314" i="133"/>
  <c r="K353" i="133"/>
  <c r="M336" i="133"/>
  <c r="L336" i="133"/>
  <c r="L386" i="133"/>
  <c r="M386" i="133"/>
  <c r="K403" i="133"/>
  <c r="L413" i="133"/>
  <c r="M413" i="133"/>
  <c r="M316" i="133"/>
  <c r="L316" i="133"/>
  <c r="M268" i="133"/>
  <c r="L268" i="133"/>
  <c r="K378" i="133"/>
  <c r="M361" i="133"/>
  <c r="L361" i="133"/>
  <c r="M338" i="133"/>
  <c r="L338" i="133"/>
  <c r="L215" i="133"/>
  <c r="M215" i="133"/>
  <c r="M91" i="133"/>
  <c r="L91" i="133"/>
  <c r="M90" i="133"/>
  <c r="L90" i="133"/>
  <c r="M238" i="133"/>
  <c r="L238" i="133"/>
  <c r="M204" i="133"/>
  <c r="M203" i="133"/>
  <c r="L203" i="133"/>
  <c r="K303" i="133"/>
  <c r="M286" i="133"/>
  <c r="L286" i="133"/>
  <c r="L161" i="133"/>
  <c r="M161" i="133"/>
  <c r="K178" i="133"/>
  <c r="M162" i="133"/>
  <c r="L162" i="133"/>
  <c r="M12" i="133"/>
  <c r="L12" i="133"/>
  <c r="M496" i="133"/>
  <c r="L496" i="133"/>
  <c r="M466" i="133"/>
  <c r="L466" i="133"/>
  <c r="L112" i="133"/>
  <c r="M112" i="133"/>
  <c r="K253" i="133"/>
  <c r="L236" i="133"/>
  <c r="M236" i="133"/>
  <c r="M164" i="133"/>
  <c r="L164" i="133"/>
  <c r="M163" i="133"/>
  <c r="L163" i="133"/>
  <c r="L114" i="133"/>
  <c r="M114" i="133"/>
  <c r="M63" i="133"/>
  <c r="L63" i="133"/>
  <c r="M19" i="133"/>
  <c r="L19" i="133"/>
  <c r="L16" i="133"/>
  <c r="M16" i="133"/>
  <c r="L67" i="133"/>
  <c r="M67" i="133"/>
  <c r="M462" i="133"/>
  <c r="L462" i="133"/>
  <c r="M463" i="133"/>
  <c r="L463" i="133"/>
  <c r="M494" i="133"/>
  <c r="L494" i="133"/>
  <c r="M436" i="133"/>
  <c r="L436" i="133"/>
  <c r="K453" i="133"/>
  <c r="M415" i="133"/>
  <c r="L415" i="133"/>
  <c r="L264" i="133"/>
  <c r="M264" i="133"/>
  <c r="L217" i="133"/>
  <c r="M217" i="133"/>
  <c r="M465" i="133"/>
  <c r="L465" i="133"/>
  <c r="M461" i="133"/>
  <c r="L461" i="133"/>
  <c r="K478" i="133"/>
  <c r="L416" i="133"/>
  <c r="M416" i="133"/>
  <c r="L317" i="133"/>
  <c r="M317" i="133"/>
  <c r="M262" i="133"/>
  <c r="L262" i="133"/>
  <c r="M266" i="133"/>
  <c r="L266" i="133"/>
  <c r="M337" i="133"/>
  <c r="L337" i="133"/>
  <c r="M212" i="133"/>
  <c r="L212" i="133"/>
  <c r="L239" i="133"/>
  <c r="M239" i="133"/>
  <c r="M240" i="133"/>
  <c r="L240" i="133"/>
  <c r="L165" i="133"/>
  <c r="M165" i="133"/>
  <c r="M113" i="133"/>
  <c r="L113" i="133"/>
  <c r="M68" i="133"/>
  <c r="L68" i="133"/>
  <c r="L13" i="133"/>
  <c r="M13" i="133"/>
  <c r="L115" i="133"/>
  <c r="M115" i="133"/>
  <c r="L89" i="133"/>
  <c r="M89" i="133"/>
  <c r="M464" i="132"/>
  <c r="L464" i="132"/>
  <c r="M490" i="132"/>
  <c r="L490" i="132"/>
  <c r="M493" i="132"/>
  <c r="L493" i="132"/>
  <c r="M212" i="132"/>
  <c r="L212" i="132"/>
  <c r="K228" i="132"/>
  <c r="M211" i="132"/>
  <c r="L211" i="132"/>
  <c r="M12" i="132"/>
  <c r="L12" i="132"/>
  <c r="M42" i="132"/>
  <c r="L42" i="132"/>
  <c r="M489" i="132"/>
  <c r="L489" i="132"/>
  <c r="L63" i="132"/>
  <c r="M63" i="132"/>
  <c r="K78" i="132"/>
  <c r="K504" i="132"/>
  <c r="K178" i="132"/>
  <c r="M161" i="132"/>
  <c r="L161" i="132"/>
  <c r="M267" i="132"/>
  <c r="L267" i="132"/>
  <c r="L412" i="132"/>
  <c r="M412" i="132"/>
  <c r="M312" i="132"/>
  <c r="L312" i="132"/>
  <c r="K428" i="132"/>
  <c r="M411" i="132"/>
  <c r="L411" i="132"/>
  <c r="M463" i="132"/>
  <c r="L463" i="132"/>
  <c r="M492" i="132"/>
  <c r="L492" i="132"/>
  <c r="M496" i="132"/>
  <c r="L496" i="132"/>
  <c r="L495" i="132"/>
  <c r="M495" i="132"/>
  <c r="M337" i="132"/>
  <c r="L337" i="132"/>
  <c r="M215" i="132"/>
  <c r="L215" i="132"/>
  <c r="L319" i="132"/>
  <c r="M319" i="132"/>
  <c r="M15" i="132"/>
  <c r="L15" i="132"/>
  <c r="L386" i="132"/>
  <c r="K403" i="132"/>
  <c r="M386" i="132"/>
  <c r="M239" i="132"/>
  <c r="L239" i="132"/>
  <c r="M241" i="132"/>
  <c r="L241" i="132"/>
  <c r="M338" i="132"/>
  <c r="L338" i="132"/>
  <c r="L287" i="132"/>
  <c r="M287" i="132"/>
  <c r="L317" i="132"/>
  <c r="M317" i="132"/>
  <c r="M89" i="132"/>
  <c r="L89" i="132"/>
  <c r="L13" i="132"/>
  <c r="M13" i="132"/>
  <c r="M261" i="132"/>
  <c r="K278" i="132"/>
  <c r="L261" i="132"/>
  <c r="M219" i="132"/>
  <c r="L219" i="132"/>
  <c r="M65" i="132"/>
  <c r="L65" i="132"/>
  <c r="L62" i="132"/>
  <c r="M62" i="132"/>
  <c r="M41" i="132"/>
  <c r="L41" i="132"/>
  <c r="L336" i="132"/>
  <c r="K353" i="132"/>
  <c r="M336" i="132"/>
  <c r="M265" i="132"/>
  <c r="L265" i="132"/>
  <c r="M165" i="132"/>
  <c r="L165" i="132"/>
  <c r="L313" i="132"/>
  <c r="M313" i="132"/>
  <c r="M162" i="132"/>
  <c r="L162" i="132"/>
  <c r="M268" i="132"/>
  <c r="L268" i="132"/>
  <c r="L112" i="132"/>
  <c r="M112" i="132"/>
  <c r="L263" i="132"/>
  <c r="M263" i="132"/>
  <c r="L16" i="132"/>
  <c r="M16" i="132"/>
  <c r="M217" i="132"/>
  <c r="L217" i="132"/>
  <c r="M186" i="132"/>
  <c r="L186" i="132"/>
  <c r="K203" i="132"/>
  <c r="L113" i="132"/>
  <c r="M113" i="132"/>
  <c r="M90" i="132"/>
  <c r="L90" i="132"/>
  <c r="M137" i="132"/>
  <c r="L137" i="132"/>
  <c r="L64" i="132"/>
  <c r="M64" i="132"/>
  <c r="L38" i="132"/>
  <c r="M38" i="132"/>
  <c r="M461" i="132"/>
  <c r="L461" i="132"/>
  <c r="K478" i="132"/>
  <c r="M262" i="132"/>
  <c r="L262" i="132"/>
  <c r="L164" i="132"/>
  <c r="M164" i="132"/>
  <c r="K328" i="132"/>
  <c r="M311" i="132"/>
  <c r="L311" i="132"/>
  <c r="M237" i="132"/>
  <c r="L237" i="132"/>
  <c r="M213" i="132"/>
  <c r="L213" i="132"/>
  <c r="L11" i="132"/>
  <c r="K28" i="132"/>
  <c r="M11" i="132"/>
  <c r="L68" i="132"/>
  <c r="M68" i="132"/>
  <c r="L387" i="132"/>
  <c r="M387" i="132"/>
  <c r="M240" i="132"/>
  <c r="L240" i="132"/>
  <c r="L115" i="132"/>
  <c r="M115" i="132"/>
  <c r="M87" i="132"/>
  <c r="L87" i="132"/>
  <c r="M114" i="132"/>
  <c r="L114" i="132"/>
  <c r="M136" i="132"/>
  <c r="K153" i="132"/>
  <c r="L136" i="132"/>
  <c r="M138" i="132"/>
  <c r="L138" i="132"/>
  <c r="M118" i="132"/>
  <c r="L118" i="132"/>
  <c r="L92" i="132"/>
  <c r="M92" i="132"/>
  <c r="M67" i="132"/>
  <c r="L67" i="132"/>
  <c r="M465" i="132"/>
  <c r="L465" i="132"/>
  <c r="M436" i="132"/>
  <c r="L436" i="132"/>
  <c r="K453" i="132"/>
  <c r="M488" i="132"/>
  <c r="L488" i="132"/>
  <c r="M494" i="132"/>
  <c r="L494" i="132"/>
  <c r="M462" i="132"/>
  <c r="L462" i="132"/>
  <c r="M417" i="132"/>
  <c r="L417" i="132"/>
  <c r="M466" i="132"/>
  <c r="L466" i="132"/>
  <c r="M269" i="132"/>
  <c r="L269" i="132"/>
  <c r="K303" i="132"/>
  <c r="M286" i="132"/>
  <c r="L286" i="132"/>
  <c r="L218" i="132"/>
  <c r="M218" i="132"/>
  <c r="M19" i="132"/>
  <c r="L19" i="132"/>
  <c r="M266" i="132"/>
  <c r="L266" i="132"/>
  <c r="L88" i="132"/>
  <c r="M88" i="132"/>
  <c r="K253" i="132"/>
  <c r="M236" i="132"/>
  <c r="L236" i="132"/>
  <c r="M140" i="132"/>
  <c r="L140" i="132"/>
  <c r="M66" i="132"/>
  <c r="L66" i="132"/>
  <c r="M378" i="132"/>
  <c r="M379" i="132"/>
  <c r="L378" i="132"/>
  <c r="L20" i="132"/>
  <c r="M20" i="132"/>
  <c r="M43" i="132"/>
  <c r="L43" i="132"/>
  <c r="K128" i="132"/>
  <c r="M36" i="132"/>
  <c r="L36" i="132"/>
  <c r="K53" i="132"/>
  <c r="L40" i="132"/>
  <c r="M40" i="132"/>
  <c r="M37" i="132"/>
  <c r="L37" i="132"/>
  <c r="C17" i="131"/>
  <c r="B17" i="131"/>
  <c r="M103" i="132" l="1"/>
  <c r="L128" i="133"/>
  <c r="L103" i="132"/>
  <c r="M104" i="133"/>
  <c r="L103" i="133"/>
  <c r="M103" i="133"/>
  <c r="M54" i="133"/>
  <c r="L53" i="133"/>
  <c r="M53" i="133"/>
  <c r="L278" i="133"/>
  <c r="M279" i="133"/>
  <c r="M278" i="133"/>
  <c r="M454" i="133"/>
  <c r="M453" i="133"/>
  <c r="L453" i="133"/>
  <c r="M178" i="133"/>
  <c r="M179" i="133"/>
  <c r="L178" i="133"/>
  <c r="M404" i="133"/>
  <c r="L403" i="133"/>
  <c r="M403" i="133"/>
  <c r="M328" i="133"/>
  <c r="L328" i="133"/>
  <c r="M329" i="133"/>
  <c r="M154" i="133"/>
  <c r="L153" i="133"/>
  <c r="M153" i="133"/>
  <c r="M505" i="133"/>
  <c r="M504" i="133"/>
  <c r="L504" i="133"/>
  <c r="M478" i="133"/>
  <c r="L478" i="133"/>
  <c r="M479" i="133"/>
  <c r="M253" i="133"/>
  <c r="M254" i="133"/>
  <c r="L253" i="133"/>
  <c r="M304" i="133"/>
  <c r="M303" i="133"/>
  <c r="L303" i="133"/>
  <c r="M378" i="133"/>
  <c r="L378" i="133"/>
  <c r="M379" i="133"/>
  <c r="M354" i="133"/>
  <c r="L353" i="133"/>
  <c r="M353" i="133"/>
  <c r="L428" i="133"/>
  <c r="M429" i="133"/>
  <c r="M428" i="133"/>
  <c r="M228" i="133"/>
  <c r="M229" i="133"/>
  <c r="L228" i="133"/>
  <c r="L78" i="133"/>
  <c r="M78" i="133"/>
  <c r="M79" i="133"/>
  <c r="M28" i="133"/>
  <c r="L28" i="133"/>
  <c r="M29" i="133"/>
  <c r="M254" i="132"/>
  <c r="M253" i="132"/>
  <c r="L253" i="132"/>
  <c r="M454" i="132"/>
  <c r="M453" i="132"/>
  <c r="L453" i="132"/>
  <c r="M279" i="132"/>
  <c r="L278" i="132"/>
  <c r="M278" i="132"/>
  <c r="M29" i="132"/>
  <c r="M28" i="132"/>
  <c r="L28" i="132"/>
  <c r="M328" i="132"/>
  <c r="M329" i="132"/>
  <c r="L328" i="132"/>
  <c r="M353" i="132"/>
  <c r="L353" i="132"/>
  <c r="M354" i="132"/>
  <c r="M404" i="132"/>
  <c r="L403" i="132"/>
  <c r="M403" i="132"/>
  <c r="L428" i="132"/>
  <c r="M429" i="132"/>
  <c r="M428" i="132"/>
  <c r="L178" i="132"/>
  <c r="M179" i="132"/>
  <c r="M178" i="132"/>
  <c r="L53" i="132"/>
  <c r="M54" i="132"/>
  <c r="M53" i="132"/>
  <c r="M303" i="132"/>
  <c r="M304" i="132"/>
  <c r="L303" i="132"/>
  <c r="M203" i="132"/>
  <c r="L203" i="132"/>
  <c r="M204" i="132"/>
  <c r="M78" i="132"/>
  <c r="L78" i="132"/>
  <c r="M79" i="132"/>
  <c r="M129" i="132"/>
  <c r="L128" i="132"/>
  <c r="M128" i="132"/>
  <c r="M153" i="132"/>
  <c r="L153" i="132"/>
  <c r="M154" i="132"/>
  <c r="M478" i="132"/>
  <c r="L478" i="132"/>
  <c r="M479" i="132"/>
  <c r="M505" i="132"/>
  <c r="M504" i="132"/>
  <c r="L504" i="132"/>
  <c r="M229" i="132"/>
  <c r="M228" i="132"/>
  <c r="L228" i="132"/>
  <c r="C3" i="131" l="1"/>
  <c r="C4" i="131"/>
  <c r="C5" i="131"/>
  <c r="C6" i="131"/>
  <c r="C7" i="131"/>
  <c r="C8" i="131"/>
  <c r="C9" i="131"/>
  <c r="C10" i="131"/>
  <c r="C11" i="131"/>
  <c r="C12" i="131"/>
  <c r="C13" i="131"/>
  <c r="C14" i="131"/>
  <c r="C15" i="131"/>
  <c r="C16" i="131"/>
  <c r="C18" i="131"/>
  <c r="C19" i="131"/>
  <c r="C20" i="131"/>
  <c r="C21" i="131"/>
  <c r="C22" i="131"/>
  <c r="C2" i="131"/>
  <c r="B3" i="131"/>
  <c r="B4" i="131"/>
  <c r="B5" i="131"/>
  <c r="B6" i="131"/>
  <c r="B7" i="131"/>
  <c r="B8" i="131"/>
  <c r="B9" i="131"/>
  <c r="B10" i="131"/>
  <c r="B11" i="131"/>
  <c r="B12" i="131"/>
  <c r="B13" i="131"/>
  <c r="B14" i="131"/>
  <c r="B15" i="131"/>
  <c r="B16" i="131"/>
  <c r="B18" i="131"/>
  <c r="B19" i="131"/>
  <c r="B20" i="131"/>
  <c r="B21" i="131"/>
  <c r="B22" i="131"/>
  <c r="B2" i="131"/>
  <c r="F255" i="80" l="1"/>
  <c r="K491" i="47" l="1"/>
  <c r="K414" i="47"/>
  <c r="M414" i="47" s="1"/>
  <c r="K318" i="47"/>
  <c r="K216" i="47"/>
  <c r="K214" i="47"/>
  <c r="E11" i="47"/>
  <c r="E36" i="47"/>
  <c r="E88" i="47"/>
  <c r="E114" i="47"/>
  <c r="E137" i="47"/>
  <c r="E186" i="47"/>
  <c r="E264" i="47"/>
  <c r="K167" i="47"/>
  <c r="K139" i="47"/>
  <c r="K116" i="47"/>
  <c r="K117" i="47"/>
  <c r="K86" i="47"/>
  <c r="K39" i="47"/>
  <c r="K14" i="47"/>
  <c r="K17" i="47"/>
  <c r="K18" i="47"/>
  <c r="K166" i="47"/>
  <c r="E495" i="47"/>
  <c r="E461" i="47"/>
  <c r="E436" i="47"/>
  <c r="E412" i="47"/>
  <c r="E411" i="47"/>
  <c r="E386" i="47"/>
  <c r="E361" i="47"/>
  <c r="E337" i="47"/>
  <c r="E336" i="47"/>
  <c r="E313" i="47"/>
  <c r="E287" i="47"/>
  <c r="E286" i="47"/>
  <c r="E263" i="47"/>
  <c r="E240" i="47"/>
  <c r="E239" i="47"/>
  <c r="L414" i="47" l="1"/>
  <c r="E163" i="47"/>
  <c r="E113" i="47"/>
  <c r="E90" i="47"/>
  <c r="E65" i="47"/>
  <c r="C131" i="47"/>
  <c r="J487" i="47" l="1"/>
  <c r="J498" i="47"/>
  <c r="J499" i="47"/>
  <c r="J500" i="47"/>
  <c r="J501" i="47"/>
  <c r="J502" i="47"/>
  <c r="J503" i="47"/>
  <c r="J467" i="47"/>
  <c r="J468" i="47"/>
  <c r="J469" i="47"/>
  <c r="J470" i="47"/>
  <c r="J471" i="47"/>
  <c r="J472" i="47"/>
  <c r="J473" i="47"/>
  <c r="J474" i="47"/>
  <c r="J475" i="47"/>
  <c r="J476" i="47"/>
  <c r="J477" i="47"/>
  <c r="J437" i="47"/>
  <c r="J438" i="47"/>
  <c r="J439" i="47"/>
  <c r="J440" i="47"/>
  <c r="J441" i="47"/>
  <c r="J442" i="47"/>
  <c r="J443" i="47"/>
  <c r="J444" i="47"/>
  <c r="J445" i="47"/>
  <c r="J446" i="47"/>
  <c r="J447" i="47"/>
  <c r="J448" i="47"/>
  <c r="J449" i="47"/>
  <c r="J450" i="47"/>
  <c r="J451" i="47"/>
  <c r="J452" i="47"/>
  <c r="J419" i="47"/>
  <c r="J420" i="47"/>
  <c r="J421" i="47"/>
  <c r="J422" i="47"/>
  <c r="J423" i="47"/>
  <c r="J424" i="47"/>
  <c r="J425" i="47"/>
  <c r="J426" i="47"/>
  <c r="J427" i="47"/>
  <c r="J388" i="47"/>
  <c r="J390" i="47"/>
  <c r="J391" i="47"/>
  <c r="J392" i="47"/>
  <c r="J393" i="47"/>
  <c r="J394" i="47"/>
  <c r="J395" i="47"/>
  <c r="J396" i="47"/>
  <c r="J397" i="47"/>
  <c r="J398" i="47"/>
  <c r="J399" i="47"/>
  <c r="J400" i="47"/>
  <c r="J401" i="47"/>
  <c r="J402" i="47"/>
  <c r="J363" i="47"/>
  <c r="J365" i="47"/>
  <c r="J366" i="47"/>
  <c r="J367" i="47"/>
  <c r="J368" i="47"/>
  <c r="J369" i="47"/>
  <c r="J370" i="47"/>
  <c r="J371" i="47"/>
  <c r="J372" i="47"/>
  <c r="J373" i="47"/>
  <c r="J374" i="47"/>
  <c r="J375" i="47"/>
  <c r="J376" i="47"/>
  <c r="J377" i="47"/>
  <c r="J340" i="47"/>
  <c r="J341" i="47"/>
  <c r="J342" i="47"/>
  <c r="J343" i="47"/>
  <c r="J344" i="47"/>
  <c r="J345" i="47"/>
  <c r="J346" i="47"/>
  <c r="J347" i="47"/>
  <c r="J348" i="47"/>
  <c r="J349" i="47"/>
  <c r="J350" i="47"/>
  <c r="J351" i="47"/>
  <c r="J352" i="47"/>
  <c r="J318" i="47"/>
  <c r="J320" i="47"/>
  <c r="J321" i="47"/>
  <c r="J322" i="47"/>
  <c r="J323" i="47"/>
  <c r="J324" i="47"/>
  <c r="J325" i="47"/>
  <c r="J326" i="47"/>
  <c r="J327" i="47"/>
  <c r="J289" i="47"/>
  <c r="J290" i="47"/>
  <c r="J291" i="47"/>
  <c r="J292" i="47"/>
  <c r="J293" i="47"/>
  <c r="J294" i="47"/>
  <c r="J295" i="47"/>
  <c r="J296" i="47"/>
  <c r="J297" i="47"/>
  <c r="J298" i="47"/>
  <c r="J299" i="47"/>
  <c r="J300" i="47"/>
  <c r="J301" i="47"/>
  <c r="J302" i="47"/>
  <c r="J270" i="47"/>
  <c r="J271" i="47"/>
  <c r="J272" i="47"/>
  <c r="J273" i="47"/>
  <c r="J274" i="47"/>
  <c r="J275" i="47"/>
  <c r="J276" i="47"/>
  <c r="J277" i="47"/>
  <c r="J242" i="47"/>
  <c r="J243" i="47"/>
  <c r="J244" i="47"/>
  <c r="J245" i="47"/>
  <c r="J246" i="47"/>
  <c r="J247" i="47"/>
  <c r="J248" i="47"/>
  <c r="J249" i="47"/>
  <c r="J250" i="47"/>
  <c r="J251" i="47"/>
  <c r="J252" i="47"/>
  <c r="J220" i="47"/>
  <c r="J221" i="47"/>
  <c r="J222" i="47"/>
  <c r="J223" i="47"/>
  <c r="J224" i="47"/>
  <c r="J225" i="47"/>
  <c r="J226" i="47"/>
  <c r="J227" i="47"/>
  <c r="J189" i="47"/>
  <c r="J190" i="47"/>
  <c r="J191" i="47"/>
  <c r="J192" i="47"/>
  <c r="J193" i="47"/>
  <c r="J194" i="47"/>
  <c r="J195" i="47"/>
  <c r="J196" i="47"/>
  <c r="J197" i="47"/>
  <c r="J198" i="47"/>
  <c r="J199" i="47"/>
  <c r="J200" i="47"/>
  <c r="J201" i="47"/>
  <c r="J202" i="47"/>
  <c r="J168" i="47"/>
  <c r="J169" i="47"/>
  <c r="J170" i="47"/>
  <c r="J171" i="47"/>
  <c r="J172" i="47"/>
  <c r="J173" i="47"/>
  <c r="J174" i="47"/>
  <c r="J175" i="47"/>
  <c r="J176" i="47"/>
  <c r="J177" i="47"/>
  <c r="J142" i="47"/>
  <c r="J143" i="47"/>
  <c r="J144" i="47"/>
  <c r="J145" i="47"/>
  <c r="J146" i="47"/>
  <c r="J147" i="47"/>
  <c r="J148" i="47"/>
  <c r="J149" i="47"/>
  <c r="J150" i="47"/>
  <c r="J151" i="47"/>
  <c r="J152" i="47"/>
  <c r="J119" i="47"/>
  <c r="J120" i="47"/>
  <c r="J121" i="47"/>
  <c r="J122" i="47"/>
  <c r="J123" i="47"/>
  <c r="J124" i="47"/>
  <c r="J125" i="47"/>
  <c r="J126" i="47"/>
  <c r="J127" i="47"/>
  <c r="J93" i="47"/>
  <c r="J94" i="47"/>
  <c r="J95" i="47"/>
  <c r="J96" i="47"/>
  <c r="J97" i="47"/>
  <c r="J98" i="47"/>
  <c r="J99" i="47"/>
  <c r="J100" i="47"/>
  <c r="J101" i="47"/>
  <c r="J70" i="47"/>
  <c r="J71" i="47"/>
  <c r="J72" i="47"/>
  <c r="J73" i="47"/>
  <c r="J74" i="47"/>
  <c r="J75" i="47"/>
  <c r="J76" i="47"/>
  <c r="J77" i="47"/>
  <c r="J39" i="47"/>
  <c r="J44" i="47"/>
  <c r="J45" i="47"/>
  <c r="J46" i="47"/>
  <c r="J47" i="47"/>
  <c r="J48" i="47"/>
  <c r="J49" i="47"/>
  <c r="J50" i="47"/>
  <c r="J51" i="47"/>
  <c r="J52" i="47"/>
  <c r="J14" i="47"/>
  <c r="J17" i="47"/>
  <c r="J18" i="47"/>
  <c r="J21" i="47"/>
  <c r="J22" i="47"/>
  <c r="J23" i="47"/>
  <c r="J24" i="47"/>
  <c r="J25" i="47"/>
  <c r="J26" i="47"/>
  <c r="J27" i="47"/>
  <c r="J486" i="47"/>
  <c r="B434" i="47"/>
  <c r="C434" i="47" s="1"/>
  <c r="B384" i="47"/>
  <c r="C384" i="47" s="1"/>
  <c r="B359" i="47"/>
  <c r="C359" i="47" s="1"/>
  <c r="B184" i="47"/>
  <c r="C184" i="47" s="1"/>
  <c r="B109" i="47"/>
  <c r="C109" i="47" s="1"/>
  <c r="K315" i="47"/>
  <c r="K111" i="47"/>
  <c r="J362" i="47" l="1"/>
  <c r="K387" i="47"/>
  <c r="J436" i="47"/>
  <c r="J387" i="47"/>
  <c r="J386" i="47"/>
  <c r="J389" i="47"/>
  <c r="J187" i="47"/>
  <c r="J186" i="47"/>
  <c r="J188" i="47"/>
  <c r="J364" i="47"/>
  <c r="J361" i="47"/>
  <c r="K436" i="47"/>
  <c r="K386" i="47"/>
  <c r="K361" i="47"/>
  <c r="K186" i="47"/>
  <c r="B483" i="47"/>
  <c r="C483" i="47" s="1"/>
  <c r="B482" i="47"/>
  <c r="C482" i="47" s="1"/>
  <c r="B458" i="47"/>
  <c r="C458" i="47" s="1"/>
  <c r="B457" i="47"/>
  <c r="C457" i="47" s="1"/>
  <c r="B408" i="47"/>
  <c r="C408" i="47" s="1"/>
  <c r="B409" i="47"/>
  <c r="C409" i="47" s="1"/>
  <c r="B407" i="47"/>
  <c r="C407" i="47" s="1"/>
  <c r="B333" i="47"/>
  <c r="C333" i="47" s="1"/>
  <c r="B334" i="47"/>
  <c r="C334" i="47" s="1"/>
  <c r="B332" i="47"/>
  <c r="C332" i="47" s="1"/>
  <c r="B308" i="47"/>
  <c r="C308" i="47" s="1"/>
  <c r="B309" i="47"/>
  <c r="C309" i="47" s="1"/>
  <c r="B307" i="47"/>
  <c r="C307" i="47" s="1"/>
  <c r="B283" i="47"/>
  <c r="C283" i="47" s="1"/>
  <c r="B284" i="47"/>
  <c r="C284" i="47" s="1"/>
  <c r="B282" i="47"/>
  <c r="C282" i="47" s="1"/>
  <c r="B257" i="47"/>
  <c r="C257" i="47" s="1"/>
  <c r="B233" i="47"/>
  <c r="C233" i="47" s="1"/>
  <c r="B234" i="47"/>
  <c r="C234" i="47" s="1"/>
  <c r="B232" i="47"/>
  <c r="C232" i="47" s="1"/>
  <c r="B208" i="47"/>
  <c r="C208" i="47" s="1"/>
  <c r="B209" i="47"/>
  <c r="C209" i="47" s="1"/>
  <c r="B207" i="47"/>
  <c r="C207" i="47" s="1"/>
  <c r="B158" i="47"/>
  <c r="C158" i="47" s="1"/>
  <c r="B159" i="47"/>
  <c r="C159" i="47" s="1"/>
  <c r="B157" i="47"/>
  <c r="C157" i="47" s="1"/>
  <c r="B133" i="47"/>
  <c r="C133" i="47" s="1"/>
  <c r="B134" i="47"/>
  <c r="C134" i="47" s="1"/>
  <c r="B132" i="47"/>
  <c r="C132" i="47" s="1"/>
  <c r="B107" i="47"/>
  <c r="C107" i="47" s="1"/>
  <c r="B83" i="47"/>
  <c r="C83" i="47" s="1"/>
  <c r="B84" i="47"/>
  <c r="C84" i="47" s="1"/>
  <c r="B82" i="47"/>
  <c r="C82" i="47" s="1"/>
  <c r="B59" i="47"/>
  <c r="C59" i="47" s="1"/>
  <c r="B58" i="47"/>
  <c r="C58" i="47" s="1"/>
  <c r="B57" i="47"/>
  <c r="C57" i="47" s="1"/>
  <c r="B34" i="47"/>
  <c r="C34" i="47" s="1"/>
  <c r="B33" i="47"/>
  <c r="C33" i="47" s="1"/>
  <c r="B32" i="47"/>
  <c r="B9" i="47"/>
  <c r="C9" i="47" s="1"/>
  <c r="B8" i="47"/>
  <c r="K66" i="47" l="1"/>
  <c r="K65" i="47"/>
  <c r="K64" i="47"/>
  <c r="K238" i="47"/>
  <c r="K240" i="47"/>
  <c r="K239" i="47"/>
  <c r="K287" i="47"/>
  <c r="K286" i="47"/>
  <c r="K137" i="47"/>
  <c r="K138" i="47"/>
  <c r="K313" i="47"/>
  <c r="K317" i="47"/>
  <c r="K218" i="47"/>
  <c r="K215" i="47"/>
  <c r="K415" i="47"/>
  <c r="K411" i="47"/>
  <c r="K90" i="47"/>
  <c r="K89" i="47"/>
  <c r="K87" i="47"/>
  <c r="K88" i="47"/>
  <c r="J269" i="47"/>
  <c r="K263" i="47"/>
  <c r="K264" i="47"/>
  <c r="I269" i="47"/>
  <c r="K269" i="47" s="1"/>
  <c r="K266" i="47"/>
  <c r="K115" i="47"/>
  <c r="K113" i="47"/>
  <c r="K114" i="47"/>
  <c r="K164" i="47"/>
  <c r="I168" i="47"/>
  <c r="I172" i="47"/>
  <c r="I176" i="47"/>
  <c r="K163" i="47"/>
  <c r="I169" i="47"/>
  <c r="I173" i="47"/>
  <c r="I177" i="47"/>
  <c r="I171" i="47"/>
  <c r="K162" i="47"/>
  <c r="I170" i="47"/>
  <c r="I174" i="47"/>
  <c r="I167" i="47"/>
  <c r="I175" i="47"/>
  <c r="K337" i="47"/>
  <c r="K338" i="47"/>
  <c r="K336" i="47"/>
  <c r="K495" i="47"/>
  <c r="K496" i="47"/>
  <c r="J493" i="47"/>
  <c r="I493" i="47"/>
  <c r="K493" i="47" s="1"/>
  <c r="I494" i="47"/>
  <c r="K494" i="47" s="1"/>
  <c r="K465" i="47"/>
  <c r="K461" i="47"/>
  <c r="J414" i="47"/>
  <c r="J417" i="47"/>
  <c r="J167" i="47"/>
  <c r="J112" i="47"/>
  <c r="J116" i="47"/>
  <c r="J114" i="47"/>
  <c r="J118" i="47"/>
  <c r="J111" i="47"/>
  <c r="J115" i="47"/>
  <c r="J113" i="47"/>
  <c r="J117" i="47"/>
  <c r="J162" i="47"/>
  <c r="J166" i="47"/>
  <c r="J161" i="47"/>
  <c r="J164" i="47"/>
  <c r="J165" i="47"/>
  <c r="J163" i="47"/>
  <c r="J337" i="47"/>
  <c r="J336" i="47"/>
  <c r="J339" i="47"/>
  <c r="J338" i="47"/>
  <c r="J491" i="47"/>
  <c r="J496" i="47"/>
  <c r="J489" i="47"/>
  <c r="J494" i="47"/>
  <c r="I497" i="47"/>
  <c r="J495" i="47"/>
  <c r="J488" i="47"/>
  <c r="K488" i="47" s="1"/>
  <c r="J492" i="47"/>
  <c r="J497" i="47"/>
  <c r="J490" i="47"/>
  <c r="K490" i="47" s="1"/>
  <c r="C8" i="47"/>
  <c r="I17" i="47" s="1"/>
  <c r="J87" i="47"/>
  <c r="J91" i="47"/>
  <c r="J88" i="47"/>
  <c r="J92" i="47"/>
  <c r="J89" i="47"/>
  <c r="J90" i="47"/>
  <c r="J86" i="47"/>
  <c r="J137" i="47"/>
  <c r="J141" i="47"/>
  <c r="J139" i="47"/>
  <c r="J138" i="47"/>
  <c r="J136" i="47"/>
  <c r="J140" i="47"/>
  <c r="J262" i="47"/>
  <c r="J266" i="47"/>
  <c r="J261" i="47"/>
  <c r="J264" i="47"/>
  <c r="J268" i="47"/>
  <c r="J265" i="47"/>
  <c r="J263" i="47"/>
  <c r="J267" i="47"/>
  <c r="J312" i="47"/>
  <c r="J316" i="47"/>
  <c r="J314" i="47"/>
  <c r="J311" i="47"/>
  <c r="J315" i="47"/>
  <c r="J313" i="47"/>
  <c r="J317" i="47"/>
  <c r="J319" i="47"/>
  <c r="J63" i="47"/>
  <c r="J67" i="47"/>
  <c r="J61" i="47"/>
  <c r="J64" i="47"/>
  <c r="J69" i="47"/>
  <c r="J62" i="47"/>
  <c r="J68" i="47"/>
  <c r="K68" i="47" s="1"/>
  <c r="J65" i="47"/>
  <c r="J66" i="47"/>
  <c r="J237" i="47"/>
  <c r="J241" i="47"/>
  <c r="J236" i="47"/>
  <c r="J240" i="47"/>
  <c r="J238" i="47"/>
  <c r="J239" i="47"/>
  <c r="J287" i="47"/>
  <c r="J288" i="47"/>
  <c r="J286" i="47"/>
  <c r="J462" i="47"/>
  <c r="J466" i="47"/>
  <c r="J461" i="47"/>
  <c r="J464" i="47"/>
  <c r="J463" i="47"/>
  <c r="J465" i="47"/>
  <c r="C32" i="47"/>
  <c r="I37" i="47" s="1"/>
  <c r="K37" i="47" s="1"/>
  <c r="J212" i="47"/>
  <c r="J216" i="47"/>
  <c r="J214" i="47"/>
  <c r="J213" i="47"/>
  <c r="K213" i="47" s="1"/>
  <c r="J217" i="47"/>
  <c r="J218" i="47"/>
  <c r="J211" i="47"/>
  <c r="J215" i="47"/>
  <c r="J219" i="47"/>
  <c r="J412" i="47"/>
  <c r="J416" i="47"/>
  <c r="J418" i="47"/>
  <c r="J411" i="47"/>
  <c r="J415" i="47"/>
  <c r="J413" i="47"/>
  <c r="I43" i="47"/>
  <c r="K43" i="47" s="1"/>
  <c r="I262" i="47"/>
  <c r="K262" i="47" s="1"/>
  <c r="I266" i="47"/>
  <c r="I261" i="47"/>
  <c r="K261" i="47" s="1"/>
  <c r="I263" i="47"/>
  <c r="I267" i="47"/>
  <c r="K267" i="47" s="1"/>
  <c r="I264" i="47"/>
  <c r="I268" i="47"/>
  <c r="K268" i="47" s="1"/>
  <c r="I265" i="47"/>
  <c r="K265" i="47" s="1"/>
  <c r="I315" i="47"/>
  <c r="I319" i="47"/>
  <c r="K319" i="47" s="1"/>
  <c r="I312" i="47"/>
  <c r="K312" i="47" s="1"/>
  <c r="I316" i="47"/>
  <c r="K316" i="47" s="1"/>
  <c r="I318" i="47"/>
  <c r="I314" i="47"/>
  <c r="K314" i="47" s="1"/>
  <c r="I313" i="47"/>
  <c r="I317" i="47"/>
  <c r="I311" i="47"/>
  <c r="I414" i="47"/>
  <c r="I418" i="47"/>
  <c r="I415" i="47"/>
  <c r="I413" i="47"/>
  <c r="I412" i="47"/>
  <c r="I416" i="47"/>
  <c r="K416" i="47" s="1"/>
  <c r="I411" i="47"/>
  <c r="I417" i="47"/>
  <c r="K417" i="47" s="1"/>
  <c r="I465" i="47"/>
  <c r="I461" i="47"/>
  <c r="I466" i="47"/>
  <c r="I464" i="47"/>
  <c r="K464" i="47" s="1"/>
  <c r="I462" i="47"/>
  <c r="I463" i="47"/>
  <c r="I113" i="47"/>
  <c r="I117" i="47"/>
  <c r="I114" i="47"/>
  <c r="I118" i="47"/>
  <c r="K118" i="47" s="1"/>
  <c r="I115" i="47"/>
  <c r="I111" i="47"/>
  <c r="I112" i="47"/>
  <c r="K112" i="47" s="1"/>
  <c r="I116" i="47"/>
  <c r="I186" i="47"/>
  <c r="I187" i="47"/>
  <c r="I188" i="47"/>
  <c r="I238" i="47"/>
  <c r="I239" i="47"/>
  <c r="I236" i="47"/>
  <c r="K236" i="47" s="1"/>
  <c r="I240" i="47"/>
  <c r="I237" i="47"/>
  <c r="K237" i="47" s="1"/>
  <c r="I241" i="47"/>
  <c r="K241" i="47" s="1"/>
  <c r="I288" i="47"/>
  <c r="I286" i="47"/>
  <c r="I287" i="47"/>
  <c r="I90" i="47"/>
  <c r="I87" i="47"/>
  <c r="I91" i="47"/>
  <c r="K91" i="47" s="1"/>
  <c r="I86" i="47"/>
  <c r="I88" i="47"/>
  <c r="I92" i="47"/>
  <c r="K92" i="47" s="1"/>
  <c r="I89" i="47"/>
  <c r="I162" i="47"/>
  <c r="I166" i="47"/>
  <c r="I161" i="47"/>
  <c r="K161" i="47" s="1"/>
  <c r="I163" i="47"/>
  <c r="I164" i="47"/>
  <c r="I165" i="47"/>
  <c r="K165" i="47" s="1"/>
  <c r="I213" i="47"/>
  <c r="I217" i="47"/>
  <c r="K217" i="47" s="1"/>
  <c r="I214" i="47"/>
  <c r="I218" i="47"/>
  <c r="I215" i="47"/>
  <c r="I219" i="47"/>
  <c r="K219" i="47" s="1"/>
  <c r="I211" i="47"/>
  <c r="K211" i="47" s="1"/>
  <c r="I212" i="47"/>
  <c r="K212" i="47" s="1"/>
  <c r="I216" i="47"/>
  <c r="I362" i="47"/>
  <c r="I361" i="47"/>
  <c r="I363" i="47"/>
  <c r="I364" i="47"/>
  <c r="I489" i="47"/>
  <c r="K489" i="47" s="1"/>
  <c r="I490" i="47"/>
  <c r="I486" i="47"/>
  <c r="I495" i="47"/>
  <c r="I492" i="47"/>
  <c r="K492" i="47" s="1"/>
  <c r="I487" i="47"/>
  <c r="I491" i="47"/>
  <c r="I496" i="47"/>
  <c r="I488" i="47"/>
  <c r="I65" i="47"/>
  <c r="I69" i="47"/>
  <c r="I61" i="47"/>
  <c r="I62" i="47"/>
  <c r="K62" i="47" s="1"/>
  <c r="I66" i="47"/>
  <c r="I63" i="47"/>
  <c r="K63" i="47" s="1"/>
  <c r="I67" i="47"/>
  <c r="K67" i="47" s="1"/>
  <c r="I64" i="47"/>
  <c r="I68" i="47"/>
  <c r="I139" i="47"/>
  <c r="I136" i="47"/>
  <c r="I140" i="47"/>
  <c r="K140" i="47" s="1"/>
  <c r="I137" i="47"/>
  <c r="I141" i="47"/>
  <c r="I138" i="47"/>
  <c r="I142" i="47"/>
  <c r="I337" i="47"/>
  <c r="I336" i="47"/>
  <c r="I338" i="47"/>
  <c r="I339" i="47"/>
  <c r="I388" i="47"/>
  <c r="I389" i="47"/>
  <c r="I387" i="47"/>
  <c r="I386" i="47"/>
  <c r="I436" i="47"/>
  <c r="L39" i="47"/>
  <c r="E15" i="47"/>
  <c r="K61" i="47"/>
  <c r="K463" i="47"/>
  <c r="K413" i="47"/>
  <c r="K311" i="47"/>
  <c r="K136" i="47"/>
  <c r="K462" i="47"/>
  <c r="K412" i="47"/>
  <c r="I20" i="47" l="1"/>
  <c r="K20" i="47" s="1"/>
  <c r="I39" i="47"/>
  <c r="I41" i="47"/>
  <c r="K41" i="47" s="1"/>
  <c r="K466" i="47"/>
  <c r="K38" i="47"/>
  <c r="K40" i="47"/>
  <c r="K36" i="47"/>
  <c r="K288" i="47"/>
  <c r="K418" i="47"/>
  <c r="I19" i="47"/>
  <c r="K19" i="47" s="1"/>
  <c r="K11" i="47"/>
  <c r="K15" i="47"/>
  <c r="K13" i="47"/>
  <c r="M493" i="47"/>
  <c r="L493" i="47"/>
  <c r="I16" i="47"/>
  <c r="K16" i="47" s="1"/>
  <c r="I14" i="47"/>
  <c r="I15" i="47"/>
  <c r="I11" i="47"/>
  <c r="I12" i="47"/>
  <c r="K12" i="47" s="1"/>
  <c r="I18" i="47"/>
  <c r="I13" i="47"/>
  <c r="J38" i="47"/>
  <c r="J42" i="47"/>
  <c r="J43" i="47"/>
  <c r="J36" i="47"/>
  <c r="J40" i="47"/>
  <c r="J37" i="47"/>
  <c r="J41" i="47"/>
  <c r="I42" i="47"/>
  <c r="K42" i="47" s="1"/>
  <c r="I40" i="47"/>
  <c r="I38" i="47"/>
  <c r="I36" i="47"/>
  <c r="J13" i="47"/>
  <c r="J12" i="47"/>
  <c r="J15" i="47"/>
  <c r="J19" i="47"/>
  <c r="J11" i="47"/>
  <c r="J16" i="47"/>
  <c r="J20" i="47"/>
  <c r="M39" i="47"/>
  <c r="M36" i="47" l="1"/>
  <c r="L36" i="47"/>
  <c r="M37" i="47"/>
  <c r="L37" i="47"/>
  <c r="L38" i="47"/>
  <c r="M38" i="47"/>
  <c r="AA11" i="128" l="1"/>
  <c r="AA10" i="128"/>
  <c r="AA13" i="127" l="1"/>
  <c r="AA12" i="127"/>
  <c r="AA16" i="125"/>
  <c r="AA13" i="125"/>
  <c r="AA12" i="125"/>
  <c r="AA27" i="124"/>
  <c r="AA17" i="124"/>
  <c r="AA12" i="124"/>
  <c r="AM10" i="127" l="1"/>
  <c r="AM11" i="127" s="1"/>
  <c r="AM12" i="127" s="1"/>
  <c r="AM13" i="127" s="1"/>
  <c r="AM14" i="127" s="1"/>
  <c r="AM11" i="126"/>
  <c r="G10" i="42" l="1"/>
  <c r="G11" i="42"/>
  <c r="G12" i="42"/>
  <c r="G13" i="42"/>
  <c r="G14" i="42"/>
  <c r="G15" i="42"/>
  <c r="G16" i="42"/>
  <c r="G9" i="42"/>
  <c r="F17" i="125" l="1"/>
  <c r="AA17" i="125" s="1"/>
  <c r="F14" i="126"/>
  <c r="F13" i="126"/>
  <c r="F12" i="126"/>
  <c r="F11" i="126"/>
  <c r="F16" i="118"/>
  <c r="F15" i="118"/>
  <c r="F13" i="118"/>
  <c r="I16" i="118"/>
  <c r="I13" i="118"/>
  <c r="I15" i="118" l="1"/>
  <c r="AA15" i="118"/>
  <c r="I11" i="125"/>
  <c r="I15" i="125" l="1"/>
  <c r="AA10" i="125"/>
  <c r="AA15" i="125"/>
  <c r="AA14" i="125"/>
  <c r="AA11" i="125"/>
  <c r="AA13" i="118"/>
  <c r="AA11" i="118"/>
  <c r="AA10" i="118"/>
  <c r="AA10" i="124"/>
  <c r="I11" i="118"/>
  <c r="AM11" i="124"/>
  <c r="I26" i="124"/>
  <c r="I19" i="124"/>
  <c r="AA25" i="124"/>
  <c r="AA24" i="124"/>
  <c r="AA21" i="124"/>
  <c r="C21" i="124"/>
  <c r="AA19" i="124"/>
  <c r="AA18" i="124"/>
  <c r="AA26" i="124"/>
  <c r="AA11" i="124" l="1"/>
  <c r="AA13" i="124"/>
  <c r="AA14" i="124"/>
  <c r="AA15" i="124"/>
  <c r="AA16" i="124"/>
  <c r="I14" i="124"/>
  <c r="I11" i="124"/>
  <c r="I12" i="124" l="1"/>
  <c r="I13" i="124"/>
  <c r="I15" i="124"/>
  <c r="I16" i="124"/>
  <c r="I17" i="124"/>
  <c r="I10" i="124"/>
  <c r="BQ10" i="124"/>
  <c r="BQ11" i="124" s="1"/>
  <c r="BQ12" i="124" s="1"/>
  <c r="BQ13" i="124" s="1"/>
  <c r="BQ14" i="124" s="1"/>
  <c r="BQ17" i="124" s="1"/>
  <c r="BO10" i="124"/>
  <c r="BO11" i="124" s="1"/>
  <c r="BO12" i="124" s="1"/>
  <c r="BO13" i="124" s="1"/>
  <c r="BO14" i="124" s="1"/>
  <c r="BO17" i="124" s="1"/>
  <c r="BM10" i="124"/>
  <c r="BM11" i="124" s="1"/>
  <c r="BM12" i="124" s="1"/>
  <c r="BM13" i="124" s="1"/>
  <c r="BM14" i="124" s="1"/>
  <c r="BM17" i="124" s="1"/>
  <c r="BC10" i="124"/>
  <c r="BC11" i="124" s="1"/>
  <c r="BC12" i="124" s="1"/>
  <c r="BC13" i="124" s="1"/>
  <c r="BC14" i="124" s="1"/>
  <c r="BC17" i="124" s="1"/>
  <c r="AY10" i="124"/>
  <c r="AY11" i="124" s="1"/>
  <c r="AY12" i="124" s="1"/>
  <c r="AY13" i="124" s="1"/>
  <c r="AY14" i="124" s="1"/>
  <c r="AY17" i="124" s="1"/>
  <c r="AW10" i="124"/>
  <c r="AW11" i="124" s="1"/>
  <c r="AW12" i="124" s="1"/>
  <c r="AW13" i="124" s="1"/>
  <c r="AW14" i="124" s="1"/>
  <c r="AW17" i="124" s="1"/>
  <c r="AU10" i="124"/>
  <c r="AU11" i="124" s="1"/>
  <c r="AU12" i="124" s="1"/>
  <c r="AU13" i="124" s="1"/>
  <c r="AU14" i="124" s="1"/>
  <c r="AU17" i="124" s="1"/>
  <c r="AS10" i="124"/>
  <c r="AS11" i="124" s="1"/>
  <c r="AS12" i="124" s="1"/>
  <c r="AS13" i="124" s="1"/>
  <c r="AS14" i="124" s="1"/>
  <c r="AS17" i="124" s="1"/>
  <c r="AQ10" i="124"/>
  <c r="AQ11" i="124" s="1"/>
  <c r="AQ12" i="124" s="1"/>
  <c r="AQ13" i="124" s="1"/>
  <c r="AQ14" i="124" s="1"/>
  <c r="AQ17" i="124" s="1"/>
  <c r="AO10" i="124"/>
  <c r="AO11" i="124" s="1"/>
  <c r="AO12" i="124" s="1"/>
  <c r="AO13" i="124" s="1"/>
  <c r="AO14" i="124" s="1"/>
  <c r="AO17" i="124" s="1"/>
  <c r="AM12" i="124"/>
  <c r="AM13" i="124" s="1"/>
  <c r="AM14" i="124" s="1"/>
  <c r="AM17" i="124" s="1"/>
  <c r="AI10" i="124"/>
  <c r="AI11" i="124" s="1"/>
  <c r="AI12" i="124" s="1"/>
  <c r="AI13" i="124" s="1"/>
  <c r="AI14" i="124" s="1"/>
  <c r="AI17" i="124" s="1"/>
  <c r="AG10" i="124"/>
  <c r="AG11" i="124" s="1"/>
  <c r="AG12" i="124" s="1"/>
  <c r="AG13" i="124" s="1"/>
  <c r="AG14" i="124" s="1"/>
  <c r="AG17" i="124" s="1"/>
  <c r="AA11" i="127"/>
  <c r="AA10" i="127"/>
  <c r="AA14" i="126"/>
  <c r="AA11" i="126"/>
  <c r="I13" i="126"/>
  <c r="I14" i="126"/>
  <c r="I12" i="126"/>
  <c r="I11" i="126"/>
  <c r="BQ11" i="126"/>
  <c r="BQ12" i="126" s="1"/>
  <c r="BQ13" i="126" s="1"/>
  <c r="BQ14" i="126" s="1"/>
  <c r="BO11" i="126"/>
  <c r="BO12" i="126" s="1"/>
  <c r="BO13" i="126" s="1"/>
  <c r="BO14" i="126" s="1"/>
  <c r="BM11" i="126"/>
  <c r="BM12" i="126" s="1"/>
  <c r="BM13" i="126" s="1"/>
  <c r="BM14" i="126" s="1"/>
  <c r="BC11" i="126"/>
  <c r="BC12" i="126" s="1"/>
  <c r="BC13" i="126" s="1"/>
  <c r="BC14" i="126" s="1"/>
  <c r="AY11" i="126"/>
  <c r="AY12" i="126" s="1"/>
  <c r="AY13" i="126" s="1"/>
  <c r="AY14" i="126" s="1"/>
  <c r="AW11" i="126"/>
  <c r="AW12" i="126" s="1"/>
  <c r="AW13" i="126" s="1"/>
  <c r="AW14" i="126" s="1"/>
  <c r="AU11" i="126"/>
  <c r="AU12" i="126" s="1"/>
  <c r="AU13" i="126" s="1"/>
  <c r="AU14" i="126" s="1"/>
  <c r="AS11" i="126"/>
  <c r="AS12" i="126" s="1"/>
  <c r="AS13" i="126" s="1"/>
  <c r="AS14" i="126" s="1"/>
  <c r="AQ11" i="126"/>
  <c r="AQ12" i="126" s="1"/>
  <c r="AQ13" i="126" s="1"/>
  <c r="AQ14" i="126" s="1"/>
  <c r="AO11" i="126"/>
  <c r="AO12" i="126" s="1"/>
  <c r="AO13" i="126" s="1"/>
  <c r="AO14" i="126" s="1"/>
  <c r="AM12" i="126"/>
  <c r="AM13" i="126" s="1"/>
  <c r="AM14" i="126" s="1"/>
  <c r="AI11" i="126"/>
  <c r="AI12" i="126" s="1"/>
  <c r="AI13" i="126" s="1"/>
  <c r="AI14" i="126" s="1"/>
  <c r="AG11" i="126"/>
  <c r="AG12" i="126" s="1"/>
  <c r="AG13" i="126" s="1"/>
  <c r="AG14" i="126" s="1"/>
  <c r="AF10" i="128" l="1"/>
  <c r="AE10" i="128"/>
  <c r="AD10" i="128"/>
  <c r="AB10" i="128"/>
  <c r="AB11" i="128" s="1"/>
  <c r="I11" i="128"/>
  <c r="AA16" i="118"/>
  <c r="BQ13" i="127"/>
  <c r="BQ14" i="127" s="1"/>
  <c r="BO13" i="127"/>
  <c r="BO14" i="127" s="1"/>
  <c r="BM13" i="127"/>
  <c r="BM14" i="127" s="1"/>
  <c r="BC13" i="127"/>
  <c r="BC14" i="127" s="1"/>
  <c r="BA13" i="127"/>
  <c r="BA14" i="127" s="1"/>
  <c r="AY13" i="127"/>
  <c r="AY14" i="127" s="1"/>
  <c r="AW13" i="127"/>
  <c r="AW14" i="127" s="1"/>
  <c r="AU13" i="127"/>
  <c r="AU14" i="127" s="1"/>
  <c r="AS13" i="127"/>
  <c r="AS14" i="127" s="1"/>
  <c r="AQ13" i="127"/>
  <c r="AQ14" i="127" s="1"/>
  <c r="AO13" i="127"/>
  <c r="AO14" i="127" s="1"/>
  <c r="AG13" i="127"/>
  <c r="AG14" i="127" s="1"/>
  <c r="AI13" i="127"/>
  <c r="AI14" i="127" s="1"/>
  <c r="AI11" i="128" l="1"/>
  <c r="AI10" i="128" s="1"/>
  <c r="AI16" i="118"/>
  <c r="AG11" i="128"/>
  <c r="AG10" i="128" s="1"/>
  <c r="AG16" i="118"/>
  <c r="AM11" i="128"/>
  <c r="AM10" i="128" s="1"/>
  <c r="AO11" i="128"/>
  <c r="AO10" i="128" s="1"/>
  <c r="AO16" i="118"/>
  <c r="AQ11" i="128"/>
  <c r="AQ10" i="128" s="1"/>
  <c r="AQ16" i="118"/>
  <c r="AS11" i="128"/>
  <c r="AS10" i="128" s="1"/>
  <c r="AS16" i="118"/>
  <c r="AU11" i="128"/>
  <c r="AU10" i="128" s="1"/>
  <c r="AU16" i="118"/>
  <c r="AW11" i="128"/>
  <c r="AW10" i="128" s="1"/>
  <c r="AW16" i="118"/>
  <c r="AY11" i="128"/>
  <c r="AY10" i="128" s="1"/>
  <c r="AY16" i="118"/>
  <c r="BA11" i="128"/>
  <c r="BA10" i="128" s="1"/>
  <c r="BA16" i="118"/>
  <c r="BC11" i="128"/>
  <c r="BC10" i="128" s="1"/>
  <c r="BC16" i="118"/>
  <c r="BM11" i="128"/>
  <c r="BM10" i="128" s="1"/>
  <c r="BM16" i="118"/>
  <c r="BO11" i="128"/>
  <c r="BO10" i="128" s="1"/>
  <c r="BO16" i="118"/>
  <c r="BQ11" i="128"/>
  <c r="BQ10" i="128" s="1"/>
  <c r="BQ16" i="118"/>
  <c r="BA10" i="127"/>
  <c r="BA10" i="124" l="1"/>
  <c r="BA11" i="124" s="1"/>
  <c r="BA12" i="124" s="1"/>
  <c r="BA13" i="124" s="1"/>
  <c r="BA14" i="124" s="1"/>
  <c r="BA17" i="124" s="1"/>
  <c r="BA11" i="126"/>
  <c r="BA12" i="126" s="1"/>
  <c r="BA13" i="126" s="1"/>
  <c r="BA14" i="126" s="1"/>
  <c r="I11" i="127"/>
  <c r="K70" i="47" l="1"/>
  <c r="L70" i="47" s="1"/>
  <c r="K71" i="47"/>
  <c r="L71" i="47" s="1"/>
  <c r="K72" i="47"/>
  <c r="L72" i="47" s="1"/>
  <c r="K73" i="47"/>
  <c r="L73" i="47" s="1"/>
  <c r="K74" i="47"/>
  <c r="L74" i="47" s="1"/>
  <c r="K75" i="47"/>
  <c r="L75" i="47" s="1"/>
  <c r="K76" i="47"/>
  <c r="L76" i="47" s="1"/>
  <c r="K77" i="47"/>
  <c r="L77" i="47" s="1"/>
  <c r="K45" i="47"/>
  <c r="L45" i="47" s="1"/>
  <c r="K46" i="47"/>
  <c r="L46" i="47" s="1"/>
  <c r="K47" i="47"/>
  <c r="L47" i="47" s="1"/>
  <c r="K48" i="47"/>
  <c r="L48" i="47" s="1"/>
  <c r="K49" i="47"/>
  <c r="M49" i="47" s="1"/>
  <c r="K50" i="47"/>
  <c r="L50" i="47" s="1"/>
  <c r="K51" i="47"/>
  <c r="L51" i="47" s="1"/>
  <c r="K52" i="47"/>
  <c r="L52" i="47" s="1"/>
  <c r="M75" i="47" l="1"/>
  <c r="M71" i="47"/>
  <c r="M47" i="47"/>
  <c r="L49" i="47"/>
  <c r="M76" i="47"/>
  <c r="M72" i="47"/>
  <c r="M45" i="47"/>
  <c r="M51" i="47"/>
  <c r="M74" i="47"/>
  <c r="M70" i="47"/>
  <c r="M77" i="47"/>
  <c r="M73" i="47"/>
  <c r="M50" i="47"/>
  <c r="M46" i="47"/>
  <c r="M52" i="47"/>
  <c r="M48" i="47"/>
  <c r="J102" i="47" l="1"/>
  <c r="K11" i="128" l="1"/>
  <c r="K10" i="128"/>
  <c r="K15" i="127"/>
  <c r="K14" i="127"/>
  <c r="K13" i="127"/>
  <c r="K12" i="127"/>
  <c r="K11" i="127"/>
  <c r="K10" i="127"/>
  <c r="K14" i="126"/>
  <c r="K13" i="126"/>
  <c r="K12" i="126"/>
  <c r="K11" i="126"/>
  <c r="K10" i="126"/>
  <c r="K17" i="125"/>
  <c r="K16" i="125"/>
  <c r="K15" i="125"/>
  <c r="K14" i="125"/>
  <c r="K13" i="125"/>
  <c r="K12" i="125"/>
  <c r="K11" i="125"/>
  <c r="K10" i="125"/>
  <c r="K27" i="124"/>
  <c r="K26" i="124"/>
  <c r="K25" i="124"/>
  <c r="K24" i="124"/>
  <c r="K23" i="124"/>
  <c r="K22" i="124"/>
  <c r="K21" i="124"/>
  <c r="K20" i="124"/>
  <c r="K19" i="124"/>
  <c r="K18" i="124"/>
  <c r="K17" i="124"/>
  <c r="K16" i="124"/>
  <c r="K15" i="124"/>
  <c r="K14" i="124"/>
  <c r="K13" i="124"/>
  <c r="K12" i="124"/>
  <c r="K11" i="124"/>
  <c r="K10" i="124"/>
  <c r="K16" i="118"/>
  <c r="K15" i="118"/>
  <c r="K14" i="118"/>
  <c r="K13" i="118"/>
  <c r="K12" i="118"/>
  <c r="K11" i="118"/>
  <c r="M16" i="118" l="1"/>
  <c r="P16" i="118" s="1"/>
  <c r="M15" i="118"/>
  <c r="P15" i="118" s="1"/>
  <c r="M14" i="118"/>
  <c r="P14" i="118" s="1"/>
  <c r="M13" i="118"/>
  <c r="P13" i="118" s="1"/>
  <c r="M12" i="118"/>
  <c r="P12" i="118" s="1"/>
  <c r="M11" i="118"/>
  <c r="P11" i="118" s="1"/>
  <c r="M10" i="118"/>
  <c r="K10" i="118"/>
  <c r="P10" i="118" s="1"/>
  <c r="G10" i="80" l="1"/>
  <c r="G11" i="80"/>
  <c r="G12" i="80"/>
  <c r="G13" i="80"/>
  <c r="H13" i="80"/>
  <c r="G14" i="80"/>
  <c r="H14" i="80"/>
  <c r="G15" i="80"/>
  <c r="H15" i="80"/>
  <c r="G25" i="80"/>
  <c r="G26" i="80"/>
  <c r="G27" i="80"/>
  <c r="G28" i="80"/>
  <c r="H28" i="80"/>
  <c r="G29" i="80"/>
  <c r="H29" i="80"/>
  <c r="G30" i="80"/>
  <c r="H30" i="80"/>
  <c r="G38" i="80"/>
  <c r="G39" i="80"/>
  <c r="G40" i="80"/>
  <c r="G41" i="80"/>
  <c r="H41" i="80"/>
  <c r="G42" i="80"/>
  <c r="H42" i="80"/>
  <c r="G43" i="80"/>
  <c r="H43" i="80"/>
  <c r="G63" i="80"/>
  <c r="G64" i="80"/>
  <c r="G65" i="80"/>
  <c r="G66" i="80"/>
  <c r="G67" i="80"/>
  <c r="H67" i="80"/>
  <c r="G68" i="80"/>
  <c r="H68" i="80"/>
  <c r="G76" i="80"/>
  <c r="G77" i="80"/>
  <c r="G78" i="80"/>
  <c r="G79" i="80"/>
  <c r="G80" i="80"/>
  <c r="G81" i="80"/>
  <c r="H81" i="80"/>
  <c r="G113" i="80"/>
  <c r="G114" i="80"/>
  <c r="G115" i="80"/>
  <c r="G116" i="80"/>
  <c r="H116" i="80"/>
  <c r="G253" i="80"/>
  <c r="G252" i="80"/>
  <c r="G251" i="80"/>
  <c r="G250" i="80"/>
  <c r="G249" i="80"/>
  <c r="G248" i="80"/>
  <c r="H256" i="80"/>
  <c r="H257" i="80"/>
  <c r="H241" i="80"/>
  <c r="H240" i="80"/>
  <c r="H168" i="80"/>
  <c r="H169" i="80"/>
  <c r="H167" i="80"/>
  <c r="G165" i="80"/>
  <c r="G166" i="80"/>
  <c r="G167" i="80"/>
  <c r="G254" i="80"/>
  <c r="G255" i="80"/>
  <c r="G256" i="80"/>
  <c r="I41" i="80" l="1"/>
  <c r="K41" i="80" s="1"/>
  <c r="I29" i="80"/>
  <c r="K29" i="80" s="1"/>
  <c r="I28" i="80"/>
  <c r="K28" i="80" s="1"/>
  <c r="J256" i="80"/>
  <c r="I67" i="80"/>
  <c r="K67" i="80" s="1"/>
  <c r="J15" i="80"/>
  <c r="I167" i="80"/>
  <c r="K167" i="80" s="1"/>
  <c r="I68" i="80"/>
  <c r="K68" i="80" s="1"/>
  <c r="J41" i="80"/>
  <c r="I116" i="80"/>
  <c r="K116" i="80" s="1"/>
  <c r="J14" i="80"/>
  <c r="J67" i="80"/>
  <c r="J29" i="80"/>
  <c r="J13" i="80"/>
  <c r="I43" i="80"/>
  <c r="K43" i="80" s="1"/>
  <c r="J30" i="80"/>
  <c r="J28" i="80"/>
  <c r="I42" i="80"/>
  <c r="K42" i="80" s="1"/>
  <c r="I81" i="80"/>
  <c r="K81" i="80" s="1"/>
  <c r="I13" i="80"/>
  <c r="K13" i="80" s="1"/>
  <c r="I15" i="80"/>
  <c r="K15" i="80" s="1"/>
  <c r="I14" i="80"/>
  <c r="K14" i="80" s="1"/>
  <c r="I30" i="80"/>
  <c r="K30" i="80" s="1"/>
  <c r="J43" i="80"/>
  <c r="J42" i="80"/>
  <c r="J68" i="80"/>
  <c r="J81" i="80"/>
  <c r="J116" i="80"/>
  <c r="I256" i="80"/>
  <c r="K256" i="80" s="1"/>
  <c r="J167" i="80"/>
  <c r="M11" i="128"/>
  <c r="P11" i="128" s="1"/>
  <c r="E11" i="128"/>
  <c r="D11" i="128"/>
  <c r="C11" i="128"/>
  <c r="B11" i="128"/>
  <c r="M10" i="128"/>
  <c r="E10" i="128"/>
  <c r="D10" i="128"/>
  <c r="C10" i="128"/>
  <c r="B10" i="128"/>
  <c r="M15" i="127"/>
  <c r="P15" i="127" s="1"/>
  <c r="E15" i="127"/>
  <c r="D15" i="127"/>
  <c r="C15" i="127"/>
  <c r="B15" i="127"/>
  <c r="M14" i="127"/>
  <c r="P14" i="127" s="1"/>
  <c r="E14" i="127"/>
  <c r="D14" i="127"/>
  <c r="C14" i="127"/>
  <c r="B14" i="127"/>
  <c r="M13" i="127"/>
  <c r="E13" i="127"/>
  <c r="D13" i="127"/>
  <c r="C13" i="127"/>
  <c r="B13" i="127"/>
  <c r="M12" i="127"/>
  <c r="E12" i="127"/>
  <c r="D12" i="127"/>
  <c r="C12" i="127"/>
  <c r="B12" i="127"/>
  <c r="M11" i="127"/>
  <c r="E11" i="127"/>
  <c r="D11" i="127"/>
  <c r="C11" i="127"/>
  <c r="B11" i="127"/>
  <c r="M10" i="127"/>
  <c r="P10" i="127" s="1"/>
  <c r="E10" i="127"/>
  <c r="D10" i="127"/>
  <c r="C10" i="127"/>
  <c r="B10" i="127"/>
  <c r="M14" i="126"/>
  <c r="P14" i="126" s="1"/>
  <c r="E14" i="126"/>
  <c r="D14" i="126"/>
  <c r="C14" i="126"/>
  <c r="B14" i="126"/>
  <c r="M13" i="126"/>
  <c r="P13" i="126" s="1"/>
  <c r="E13" i="126"/>
  <c r="D13" i="126"/>
  <c r="C13" i="126"/>
  <c r="B13" i="126"/>
  <c r="M12" i="126"/>
  <c r="P12" i="126" s="1"/>
  <c r="E12" i="126"/>
  <c r="D12" i="126"/>
  <c r="C12" i="126"/>
  <c r="B12" i="126"/>
  <c r="M11" i="126"/>
  <c r="P11" i="126" s="1"/>
  <c r="E11" i="126"/>
  <c r="D11" i="126"/>
  <c r="C11" i="126"/>
  <c r="B11" i="126"/>
  <c r="M10" i="126"/>
  <c r="P10" i="126" s="1"/>
  <c r="E10" i="126"/>
  <c r="D10" i="126"/>
  <c r="C10" i="126"/>
  <c r="B10" i="126"/>
  <c r="M17" i="125"/>
  <c r="P17" i="125" s="1"/>
  <c r="E17" i="125"/>
  <c r="D17" i="125"/>
  <c r="C17" i="125"/>
  <c r="B17" i="125"/>
  <c r="M16" i="125"/>
  <c r="P16" i="125" s="1"/>
  <c r="E16" i="125"/>
  <c r="D16" i="125"/>
  <c r="C16" i="125"/>
  <c r="B16" i="125"/>
  <c r="BG16" i="125" s="1"/>
  <c r="M15" i="125"/>
  <c r="P15" i="125" s="1"/>
  <c r="E15" i="125"/>
  <c r="D15" i="125"/>
  <c r="C15" i="125"/>
  <c r="B15" i="125"/>
  <c r="BG15" i="125" s="1"/>
  <c r="M14" i="125"/>
  <c r="P14" i="125" s="1"/>
  <c r="E14" i="125"/>
  <c r="D14" i="125"/>
  <c r="C14" i="125"/>
  <c r="B14" i="125"/>
  <c r="BG14" i="125" s="1"/>
  <c r="M13" i="125"/>
  <c r="P13" i="125" s="1"/>
  <c r="E13" i="125"/>
  <c r="D13" i="125"/>
  <c r="C13" i="125"/>
  <c r="B13" i="125"/>
  <c r="BG13" i="125" s="1"/>
  <c r="M12" i="125"/>
  <c r="P12" i="125" s="1"/>
  <c r="E12" i="125"/>
  <c r="D12" i="125"/>
  <c r="C12" i="125"/>
  <c r="B12" i="125"/>
  <c r="M11" i="125"/>
  <c r="P11" i="125" s="1"/>
  <c r="E11" i="125"/>
  <c r="D11" i="125"/>
  <c r="C11" i="125"/>
  <c r="B11" i="125"/>
  <c r="M10" i="125"/>
  <c r="P10" i="125" s="1"/>
  <c r="E10" i="125"/>
  <c r="D10" i="125"/>
  <c r="C10" i="125"/>
  <c r="B10" i="125"/>
  <c r="M27" i="124"/>
  <c r="E27" i="124"/>
  <c r="D27" i="124"/>
  <c r="C27" i="124"/>
  <c r="B27" i="124"/>
  <c r="M26" i="124"/>
  <c r="P26" i="124" s="1"/>
  <c r="E26" i="124"/>
  <c r="D26" i="124"/>
  <c r="C26" i="124"/>
  <c r="B26" i="124"/>
  <c r="M25" i="124"/>
  <c r="P25" i="124" s="1"/>
  <c r="E25" i="124"/>
  <c r="D25" i="124"/>
  <c r="C25" i="124"/>
  <c r="B25" i="124"/>
  <c r="M24" i="124"/>
  <c r="P24" i="124" s="1"/>
  <c r="E24" i="124"/>
  <c r="D24" i="124"/>
  <c r="C24" i="124"/>
  <c r="B24" i="124"/>
  <c r="BG24" i="124" s="1"/>
  <c r="M23" i="124"/>
  <c r="P23" i="124" s="1"/>
  <c r="E23" i="124"/>
  <c r="D23" i="124"/>
  <c r="C23" i="124"/>
  <c r="B23" i="124"/>
  <c r="BG23" i="124" s="1"/>
  <c r="M22" i="124"/>
  <c r="P22" i="124" s="1"/>
  <c r="E22" i="124"/>
  <c r="D22" i="124"/>
  <c r="C22" i="124"/>
  <c r="B22" i="124"/>
  <c r="BG22" i="124" s="1"/>
  <c r="M21" i="124"/>
  <c r="P21" i="124" s="1"/>
  <c r="E21" i="124"/>
  <c r="D21" i="124"/>
  <c r="B21" i="124"/>
  <c r="BG21" i="124" s="1"/>
  <c r="M20" i="124"/>
  <c r="P20" i="124" s="1"/>
  <c r="E20" i="124"/>
  <c r="D20" i="124"/>
  <c r="C20" i="124"/>
  <c r="B20" i="124"/>
  <c r="BG20" i="124" s="1"/>
  <c r="M19" i="124"/>
  <c r="P19" i="124" s="1"/>
  <c r="E19" i="124"/>
  <c r="D19" i="124"/>
  <c r="C19" i="124"/>
  <c r="B19" i="124"/>
  <c r="BG19" i="124" s="1"/>
  <c r="M18" i="124"/>
  <c r="P18" i="124" s="1"/>
  <c r="E18" i="124"/>
  <c r="D18" i="124"/>
  <c r="C18" i="124"/>
  <c r="B18" i="124"/>
  <c r="BG18" i="124" s="1"/>
  <c r="M17" i="124"/>
  <c r="P17" i="124" s="1"/>
  <c r="E17" i="124"/>
  <c r="D17" i="124"/>
  <c r="C17" i="124"/>
  <c r="B17" i="124"/>
  <c r="BG17" i="124" s="1"/>
  <c r="M16" i="124"/>
  <c r="P16" i="124" s="1"/>
  <c r="E16" i="124"/>
  <c r="D16" i="124"/>
  <c r="C16" i="124"/>
  <c r="B16" i="124"/>
  <c r="BG16" i="124" s="1"/>
  <c r="M15" i="124"/>
  <c r="P15" i="124" s="1"/>
  <c r="E15" i="124"/>
  <c r="D15" i="124"/>
  <c r="C15" i="124"/>
  <c r="B15" i="124"/>
  <c r="BG15" i="124" s="1"/>
  <c r="M14" i="124"/>
  <c r="P14" i="124" s="1"/>
  <c r="E14" i="124"/>
  <c r="D14" i="124"/>
  <c r="C14" i="124"/>
  <c r="B14" i="124"/>
  <c r="BG14" i="124" s="1"/>
  <c r="M13" i="124"/>
  <c r="P13" i="124" s="1"/>
  <c r="E13" i="124"/>
  <c r="D13" i="124"/>
  <c r="C13" i="124"/>
  <c r="B13" i="124"/>
  <c r="BG13" i="124" s="1"/>
  <c r="M12" i="124"/>
  <c r="P12" i="124" s="1"/>
  <c r="E12" i="124"/>
  <c r="D12" i="124"/>
  <c r="C12" i="124"/>
  <c r="B12" i="124"/>
  <c r="BG12" i="124" s="1"/>
  <c r="M11" i="124"/>
  <c r="P11" i="124" s="1"/>
  <c r="E11" i="124"/>
  <c r="D11" i="124"/>
  <c r="C11" i="124"/>
  <c r="B11" i="124"/>
  <c r="BG11" i="124" s="1"/>
  <c r="M10" i="124"/>
  <c r="P10" i="124" s="1"/>
  <c r="E10" i="124"/>
  <c r="D10" i="124"/>
  <c r="C10" i="124"/>
  <c r="B10" i="124"/>
  <c r="BG10" i="124" s="1"/>
  <c r="B10" i="118"/>
  <c r="C10" i="118"/>
  <c r="D10" i="118"/>
  <c r="E10" i="118"/>
  <c r="B11" i="118"/>
  <c r="C11" i="118"/>
  <c r="D11" i="118"/>
  <c r="E11" i="118"/>
  <c r="B12" i="118"/>
  <c r="C12" i="118"/>
  <c r="D12" i="118"/>
  <c r="E12" i="118"/>
  <c r="B13" i="118"/>
  <c r="C13" i="118"/>
  <c r="D13" i="118"/>
  <c r="E13" i="118"/>
  <c r="B14" i="118"/>
  <c r="C14" i="118"/>
  <c r="D14" i="118"/>
  <c r="E14" i="118"/>
  <c r="B15" i="118"/>
  <c r="C15" i="118"/>
  <c r="D15" i="118"/>
  <c r="E15" i="118"/>
  <c r="B16" i="118"/>
  <c r="C16" i="118"/>
  <c r="D16" i="118"/>
  <c r="E16" i="118"/>
  <c r="BB11" i="127" l="1"/>
  <c r="P11" i="127"/>
  <c r="AN12" i="127"/>
  <c r="P12" i="127"/>
  <c r="AR27" i="124"/>
  <c r="P27" i="124"/>
  <c r="O10" i="128"/>
  <c r="P10" i="128"/>
  <c r="AV13" i="127"/>
  <c r="P13" i="127"/>
  <c r="BD10" i="126"/>
  <c r="BB10" i="128"/>
  <c r="AN13" i="126"/>
  <c r="AV11" i="126"/>
  <c r="AR14" i="127"/>
  <c r="BB10" i="127"/>
  <c r="BE22" i="124"/>
  <c r="BF22" i="124"/>
  <c r="BE15" i="127"/>
  <c r="BF15" i="127"/>
  <c r="BE14" i="118"/>
  <c r="BF14" i="118"/>
  <c r="BF20" i="124"/>
  <c r="BE20" i="124"/>
  <c r="BE23" i="124"/>
  <c r="BF23" i="124"/>
  <c r="BE12" i="118"/>
  <c r="BF12" i="118"/>
  <c r="BE16" i="124"/>
  <c r="BF16" i="124"/>
  <c r="AX11" i="127"/>
  <c r="AV11" i="127"/>
  <c r="O14" i="127"/>
  <c r="BB14" i="127"/>
  <c r="AX13" i="126"/>
  <c r="AR12" i="126"/>
  <c r="AN10" i="118"/>
  <c r="Y16" i="118"/>
  <c r="O10" i="118"/>
  <c r="Y15" i="118"/>
  <c r="W13" i="118"/>
  <c r="O12" i="118"/>
  <c r="Z15" i="118"/>
  <c r="S15" i="118"/>
  <c r="AT10" i="118"/>
  <c r="AH10" i="118"/>
  <c r="AP16" i="118"/>
  <c r="AH15" i="118"/>
  <c r="S16" i="118"/>
  <c r="O16" i="118"/>
  <c r="W10" i="118"/>
  <c r="Z11" i="118"/>
  <c r="R11" i="118"/>
  <c r="AT14" i="118"/>
  <c r="AR10" i="118"/>
  <c r="U11" i="118"/>
  <c r="Z10" i="118"/>
  <c r="X10" i="118"/>
  <c r="AZ15" i="118"/>
  <c r="AZ11" i="118"/>
  <c r="AR15" i="118"/>
  <c r="AX11" i="118"/>
  <c r="V10" i="118"/>
  <c r="AX16" i="118"/>
  <c r="AV11" i="118"/>
  <c r="U10" i="118"/>
  <c r="AT11" i="118"/>
  <c r="W11" i="118"/>
  <c r="R16" i="118"/>
  <c r="S11" i="118"/>
  <c r="V16" i="118"/>
  <c r="R15" i="118"/>
  <c r="AR11" i="118"/>
  <c r="O11" i="118"/>
  <c r="O15" i="118"/>
  <c r="AP11" i="118"/>
  <c r="AV13" i="118"/>
  <c r="AN11" i="118"/>
  <c r="V15" i="118"/>
  <c r="AL11" i="118"/>
  <c r="BD10" i="118"/>
  <c r="AJ10" i="118"/>
  <c r="AV14" i="118"/>
  <c r="AJ11" i="118"/>
  <c r="BB10" i="118"/>
  <c r="AZ16" i="118"/>
  <c r="AH11" i="118"/>
  <c r="AX10" i="118"/>
  <c r="AN12" i="118"/>
  <c r="AV16" i="118"/>
  <c r="Y11" i="118"/>
  <c r="AR16" i="118"/>
  <c r="S14" i="118"/>
  <c r="X11" i="118"/>
  <c r="AP10" i="118"/>
  <c r="AR13" i="118"/>
  <c r="AH16" i="118"/>
  <c r="AX15" i="118"/>
  <c r="AP13" i="118"/>
  <c r="BD11" i="118"/>
  <c r="V11" i="118"/>
  <c r="Z16" i="118"/>
  <c r="AV15" i="118"/>
  <c r="O13" i="118"/>
  <c r="BB11" i="118"/>
  <c r="Y10" i="118"/>
  <c r="AP15" i="124"/>
  <c r="AX11" i="124"/>
  <c r="AV25" i="124"/>
  <c r="X12" i="124"/>
  <c r="Z20" i="124"/>
  <c r="X25" i="124"/>
  <c r="AT14" i="124"/>
  <c r="U25" i="124"/>
  <c r="X19" i="124"/>
  <c r="AP11" i="124"/>
  <c r="R11" i="124"/>
  <c r="AX25" i="124"/>
  <c r="AL25" i="124"/>
  <c r="AZ13" i="124"/>
  <c r="BD22" i="124"/>
  <c r="BB21" i="124"/>
  <c r="V11" i="124"/>
  <c r="AT21" i="124"/>
  <c r="X11" i="124"/>
  <c r="Y25" i="124"/>
  <c r="R19" i="124"/>
  <c r="AH19" i="124"/>
  <c r="AR25" i="124"/>
  <c r="Y14" i="124"/>
  <c r="AT10" i="124"/>
  <c r="AX26" i="124"/>
  <c r="AX23" i="124"/>
  <c r="AP13" i="124"/>
  <c r="S23" i="124"/>
  <c r="AX10" i="124"/>
  <c r="X21" i="124"/>
  <c r="O23" i="124"/>
  <c r="R10" i="124"/>
  <c r="BB12" i="124"/>
  <c r="S14" i="124"/>
  <c r="S19" i="124"/>
  <c r="AL21" i="124"/>
  <c r="R23" i="124"/>
  <c r="AH14" i="124"/>
  <c r="AV23" i="124"/>
  <c r="AV14" i="124"/>
  <c r="AZ23" i="124"/>
  <c r="U10" i="124"/>
  <c r="BB10" i="124"/>
  <c r="AZ14" i="124"/>
  <c r="BB23" i="124"/>
  <c r="BB14" i="124"/>
  <c r="AR26" i="124"/>
  <c r="AV22" i="124"/>
  <c r="AT25" i="124"/>
  <c r="R15" i="124"/>
  <c r="AV15" i="124"/>
  <c r="AX15" i="124"/>
  <c r="AR23" i="124"/>
  <c r="V12" i="124"/>
  <c r="AV13" i="124"/>
  <c r="Z19" i="124"/>
  <c r="AH20" i="124"/>
  <c r="AV26" i="124"/>
  <c r="Y12" i="124"/>
  <c r="BD13" i="124"/>
  <c r="AN16" i="124"/>
  <c r="AJ19" i="124"/>
  <c r="AP24" i="124"/>
  <c r="AL19" i="124"/>
  <c r="X10" i="124"/>
  <c r="Z11" i="124"/>
  <c r="AT12" i="124"/>
  <c r="O16" i="124"/>
  <c r="AP18" i="124"/>
  <c r="AT19" i="124"/>
  <c r="AX22" i="124"/>
  <c r="U23" i="124"/>
  <c r="O24" i="124"/>
  <c r="AZ25" i="124"/>
  <c r="AL12" i="124"/>
  <c r="Z10" i="124"/>
  <c r="AH11" i="124"/>
  <c r="AZ12" i="124"/>
  <c r="AX19" i="124"/>
  <c r="Y23" i="124"/>
  <c r="R24" i="124"/>
  <c r="BB25" i="124"/>
  <c r="AJ10" i="124"/>
  <c r="BD12" i="124"/>
  <c r="AR16" i="124"/>
  <c r="AZ19" i="124"/>
  <c r="AR21" i="124"/>
  <c r="S22" i="124"/>
  <c r="AH23" i="124"/>
  <c r="AR24" i="124"/>
  <c r="BD25" i="124"/>
  <c r="AN27" i="124"/>
  <c r="AL10" i="124"/>
  <c r="BD11" i="124"/>
  <c r="AT16" i="124"/>
  <c r="BB19" i="124"/>
  <c r="V22" i="124"/>
  <c r="AJ23" i="124"/>
  <c r="AV24" i="124"/>
  <c r="O25" i="124"/>
  <c r="S21" i="124"/>
  <c r="W22" i="124"/>
  <c r="AL23" i="124"/>
  <c r="AX24" i="124"/>
  <c r="R25" i="124"/>
  <c r="O27" i="124"/>
  <c r="O14" i="124"/>
  <c r="O15" i="124"/>
  <c r="V21" i="124"/>
  <c r="AZ22" i="124"/>
  <c r="S25" i="124"/>
  <c r="AX13" i="124"/>
  <c r="U14" i="124"/>
  <c r="AR15" i="124"/>
  <c r="Y21" i="124"/>
  <c r="V25" i="124"/>
  <c r="AP26" i="124"/>
  <c r="AT27" i="124"/>
  <c r="S13" i="124"/>
  <c r="BD20" i="124"/>
  <c r="O26" i="124"/>
  <c r="V13" i="124"/>
  <c r="AL14" i="124"/>
  <c r="U19" i="124"/>
  <c r="X20" i="124"/>
  <c r="AZ21" i="124"/>
  <c r="AH25" i="124"/>
  <c r="R26" i="124"/>
  <c r="AP12" i="124"/>
  <c r="S12" i="124"/>
  <c r="W13" i="124"/>
  <c r="AR14" i="124"/>
  <c r="BD21" i="124"/>
  <c r="AT23" i="124"/>
  <c r="AJ25" i="124"/>
  <c r="BB16" i="125"/>
  <c r="X11" i="125"/>
  <c r="BB15" i="125"/>
  <c r="BD14" i="125"/>
  <c r="AZ12" i="125"/>
  <c r="AR15" i="125"/>
  <c r="AJ15" i="125"/>
  <c r="AT15" i="125"/>
  <c r="BB10" i="125"/>
  <c r="O12" i="125"/>
  <c r="BD16" i="125"/>
  <c r="V16" i="125"/>
  <c r="AP13" i="125"/>
  <c r="AV11" i="125"/>
  <c r="S11" i="125"/>
  <c r="AL15" i="125"/>
  <c r="V11" i="125"/>
  <c r="AL17" i="125"/>
  <c r="Z15" i="125"/>
  <c r="AX15" i="125"/>
  <c r="AX12" i="125"/>
  <c r="AX14" i="125"/>
  <c r="AH17" i="125"/>
  <c r="BB14" i="125"/>
  <c r="R11" i="125"/>
  <c r="AV16" i="125"/>
  <c r="U11" i="125"/>
  <c r="U16" i="125"/>
  <c r="W11" i="125"/>
  <c r="AX16" i="125"/>
  <c r="U10" i="125"/>
  <c r="AR12" i="125"/>
  <c r="BB12" i="125"/>
  <c r="AJ17" i="125"/>
  <c r="W10" i="125"/>
  <c r="BD12" i="125"/>
  <c r="Y10" i="125"/>
  <c r="Z10" i="125"/>
  <c r="AH10" i="125"/>
  <c r="Y11" i="125"/>
  <c r="R12" i="125"/>
  <c r="AZ15" i="125"/>
  <c r="BD15" i="125"/>
  <c r="AJ10" i="125"/>
  <c r="Z11" i="125"/>
  <c r="S12" i="125"/>
  <c r="AL10" i="125"/>
  <c r="AH11" i="125"/>
  <c r="U12" i="125"/>
  <c r="O15" i="125"/>
  <c r="AJ11" i="125"/>
  <c r="V12" i="125"/>
  <c r="R14" i="125"/>
  <c r="AX11" i="125"/>
  <c r="W12" i="125"/>
  <c r="U14" i="125"/>
  <c r="R15" i="125"/>
  <c r="AZ11" i="125"/>
  <c r="X12" i="125"/>
  <c r="AL13" i="125"/>
  <c r="W14" i="125"/>
  <c r="U15" i="125"/>
  <c r="BB11" i="125"/>
  <c r="Y12" i="125"/>
  <c r="X14" i="125"/>
  <c r="V15" i="125"/>
  <c r="AZ16" i="125"/>
  <c r="BD11" i="125"/>
  <c r="Z12" i="125"/>
  <c r="Y14" i="125"/>
  <c r="W15" i="125"/>
  <c r="R16" i="125"/>
  <c r="AT12" i="125"/>
  <c r="Z14" i="125"/>
  <c r="X15" i="125"/>
  <c r="AV12" i="125"/>
  <c r="AH14" i="125"/>
  <c r="Y15" i="125"/>
  <c r="AZ13" i="126"/>
  <c r="AT11" i="126"/>
  <c r="S11" i="126"/>
  <c r="AZ11" i="126"/>
  <c r="O13" i="126"/>
  <c r="R13" i="126"/>
  <c r="S13" i="126"/>
  <c r="W13" i="126"/>
  <c r="Y13" i="126"/>
  <c r="AX10" i="126"/>
  <c r="AP12" i="126"/>
  <c r="AH13" i="126"/>
  <c r="V10" i="126"/>
  <c r="AH12" i="126"/>
  <c r="AJ13" i="126"/>
  <c r="AL12" i="126"/>
  <c r="AL13" i="126"/>
  <c r="AV12" i="126"/>
  <c r="AR13" i="126"/>
  <c r="AT13" i="126"/>
  <c r="BD11" i="127"/>
  <c r="AZ12" i="127"/>
  <c r="R10" i="127"/>
  <c r="R11" i="127"/>
  <c r="S10" i="127"/>
  <c r="U11" i="127"/>
  <c r="U12" i="127"/>
  <c r="U10" i="127"/>
  <c r="W11" i="127"/>
  <c r="Y12" i="127"/>
  <c r="W10" i="127"/>
  <c r="AH11" i="127"/>
  <c r="AT12" i="127"/>
  <c r="Y10" i="127"/>
  <c r="AJ11" i="127"/>
  <c r="BB12" i="127"/>
  <c r="U14" i="127"/>
  <c r="AL10" i="127"/>
  <c r="AL11" i="127"/>
  <c r="AL14" i="127"/>
  <c r="AX10" i="127"/>
  <c r="AT11" i="127"/>
  <c r="AT14" i="127"/>
  <c r="AZ10" i="127"/>
  <c r="R13" i="127"/>
  <c r="AX13" i="127"/>
  <c r="R10" i="128"/>
  <c r="AJ10" i="128"/>
  <c r="AN11" i="128"/>
  <c r="U10" i="128"/>
  <c r="AR10" i="128"/>
  <c r="AX10" i="128"/>
  <c r="AL10" i="128"/>
  <c r="AH11" i="128"/>
  <c r="AN10" i="128"/>
  <c r="AJ11" i="128"/>
  <c r="AP10" i="128"/>
  <c r="AL11" i="128"/>
  <c r="Q10" i="128"/>
  <c r="AT10" i="128"/>
  <c r="AP11" i="128"/>
  <c r="AV10" i="128"/>
  <c r="O11" i="128"/>
  <c r="AR11" i="128"/>
  <c r="AT11" i="128"/>
  <c r="S10" i="128"/>
  <c r="AZ10" i="128"/>
  <c r="AV11" i="128"/>
  <c r="R11" i="128"/>
  <c r="AX11" i="128"/>
  <c r="V10" i="128"/>
  <c r="BD10" i="128"/>
  <c r="S11" i="128"/>
  <c r="AZ11" i="128"/>
  <c r="W10" i="128"/>
  <c r="U11" i="128"/>
  <c r="BB11" i="128"/>
  <c r="X10" i="128"/>
  <c r="V11" i="128"/>
  <c r="BD11" i="128"/>
  <c r="Y10" i="128"/>
  <c r="W11" i="128"/>
  <c r="Z10" i="128"/>
  <c r="X11" i="128"/>
  <c r="AH10" i="128"/>
  <c r="Y11" i="128"/>
  <c r="Z11" i="128"/>
  <c r="AL15" i="127"/>
  <c r="AH15" i="127"/>
  <c r="AX15" i="127"/>
  <c r="R15" i="127"/>
  <c r="AP15" i="127"/>
  <c r="AN15" i="127"/>
  <c r="Z10" i="127"/>
  <c r="X11" i="127"/>
  <c r="V12" i="127"/>
  <c r="BD12" i="127"/>
  <c r="S13" i="127"/>
  <c r="AZ13" i="127"/>
  <c r="AV14" i="127"/>
  <c r="O15" i="127"/>
  <c r="AR15" i="127"/>
  <c r="AH10" i="127"/>
  <c r="Y11" i="127"/>
  <c r="W12" i="127"/>
  <c r="U13" i="127"/>
  <c r="BB13" i="127"/>
  <c r="R14" i="127"/>
  <c r="AX14" i="127"/>
  <c r="AT15" i="127"/>
  <c r="AJ10" i="127"/>
  <c r="Z11" i="127"/>
  <c r="X12" i="127"/>
  <c r="V13" i="127"/>
  <c r="BD13" i="127"/>
  <c r="S14" i="127"/>
  <c r="AZ14" i="127"/>
  <c r="AV15" i="127"/>
  <c r="W13" i="127"/>
  <c r="AN10" i="127"/>
  <c r="Z12" i="127"/>
  <c r="X13" i="127"/>
  <c r="V14" i="127"/>
  <c r="BD14" i="127"/>
  <c r="S15" i="127"/>
  <c r="AZ15" i="127"/>
  <c r="AP10" i="127"/>
  <c r="AH12" i="127"/>
  <c r="Y13" i="127"/>
  <c r="W14" i="127"/>
  <c r="U15" i="127"/>
  <c r="BB15" i="127"/>
  <c r="O10" i="127"/>
  <c r="AR10" i="127"/>
  <c r="AN11" i="127"/>
  <c r="AJ12" i="127"/>
  <c r="Z13" i="127"/>
  <c r="X14" i="127"/>
  <c r="V15" i="127"/>
  <c r="BD15" i="127"/>
  <c r="AT10" i="127"/>
  <c r="AP11" i="127"/>
  <c r="AL12" i="127"/>
  <c r="AH13" i="127"/>
  <c r="Y14" i="127"/>
  <c r="W15" i="127"/>
  <c r="AV10" i="127"/>
  <c r="O11" i="127"/>
  <c r="AR11" i="127"/>
  <c r="AJ13" i="127"/>
  <c r="Z14" i="127"/>
  <c r="X15" i="127"/>
  <c r="AP12" i="127"/>
  <c r="AL13" i="127"/>
  <c r="AH14" i="127"/>
  <c r="Y15" i="127"/>
  <c r="O12" i="127"/>
  <c r="AR12" i="127"/>
  <c r="AN13" i="127"/>
  <c r="AJ14" i="127"/>
  <c r="Z15" i="127"/>
  <c r="AP13" i="127"/>
  <c r="V10" i="127"/>
  <c r="BD10" i="127"/>
  <c r="S11" i="127"/>
  <c r="AZ11" i="127"/>
  <c r="AV12" i="127"/>
  <c r="O13" i="127"/>
  <c r="AR13" i="127"/>
  <c r="AN14" i="127"/>
  <c r="AJ15" i="127"/>
  <c r="R12" i="127"/>
  <c r="AX12" i="127"/>
  <c r="AT13" i="127"/>
  <c r="AP14" i="127"/>
  <c r="X10" i="127"/>
  <c r="V11" i="127"/>
  <c r="S12" i="127"/>
  <c r="AJ14" i="126"/>
  <c r="AH14" i="126"/>
  <c r="Z14" i="126"/>
  <c r="Y14" i="126"/>
  <c r="X14" i="126"/>
  <c r="W14" i="126"/>
  <c r="BD14" i="126"/>
  <c r="V14" i="126"/>
  <c r="BB14" i="126"/>
  <c r="U14" i="126"/>
  <c r="AZ14" i="126"/>
  <c r="S14" i="126"/>
  <c r="AX14" i="126"/>
  <c r="R14" i="126"/>
  <c r="AV14" i="126"/>
  <c r="AT14" i="126"/>
  <c r="AR14" i="126"/>
  <c r="O14" i="126"/>
  <c r="AP14" i="126"/>
  <c r="AL14" i="126"/>
  <c r="AN14" i="126"/>
  <c r="U10" i="126"/>
  <c r="BB10" i="126"/>
  <c r="R11" i="126"/>
  <c r="AX11" i="126"/>
  <c r="AT12" i="126"/>
  <c r="AP13" i="126"/>
  <c r="W10" i="126"/>
  <c r="U11" i="126"/>
  <c r="BB11" i="126"/>
  <c r="R12" i="126"/>
  <c r="AX12" i="126"/>
  <c r="X10" i="126"/>
  <c r="V11" i="126"/>
  <c r="BD11" i="126"/>
  <c r="S12" i="126"/>
  <c r="AZ12" i="126"/>
  <c r="AV13" i="126"/>
  <c r="Y10" i="126"/>
  <c r="W11" i="126"/>
  <c r="U12" i="126"/>
  <c r="BB12" i="126"/>
  <c r="Z10" i="126"/>
  <c r="X11" i="126"/>
  <c r="V12" i="126"/>
  <c r="BD12" i="126"/>
  <c r="AH10" i="126"/>
  <c r="Y11" i="126"/>
  <c r="W12" i="126"/>
  <c r="U13" i="126"/>
  <c r="BB13" i="126"/>
  <c r="AJ10" i="126"/>
  <c r="Z11" i="126"/>
  <c r="X12" i="126"/>
  <c r="V13" i="126"/>
  <c r="BD13" i="126"/>
  <c r="AL10" i="126"/>
  <c r="AH11" i="126"/>
  <c r="Y12" i="126"/>
  <c r="AN10" i="126"/>
  <c r="AJ11" i="126"/>
  <c r="Z12" i="126"/>
  <c r="X13" i="126"/>
  <c r="AP10" i="126"/>
  <c r="AL11" i="126"/>
  <c r="O10" i="126"/>
  <c r="AR10" i="126"/>
  <c r="AN11" i="126"/>
  <c r="AJ12" i="126"/>
  <c r="Z13" i="126"/>
  <c r="AT10" i="126"/>
  <c r="AP11" i="126"/>
  <c r="AV10" i="126"/>
  <c r="O11" i="126"/>
  <c r="AR11" i="126"/>
  <c r="AN12" i="126"/>
  <c r="R10" i="126"/>
  <c r="S10" i="126"/>
  <c r="AZ10" i="126"/>
  <c r="O12" i="126"/>
  <c r="AN13" i="125"/>
  <c r="O13" i="125"/>
  <c r="AH13" i="125"/>
  <c r="Y13" i="125"/>
  <c r="AR13" i="125"/>
  <c r="AT13" i="125"/>
  <c r="W16" i="125"/>
  <c r="AP17" i="125"/>
  <c r="AN10" i="125"/>
  <c r="AV13" i="125"/>
  <c r="AJ14" i="125"/>
  <c r="X16" i="125"/>
  <c r="O17" i="125"/>
  <c r="AR17" i="125"/>
  <c r="AN17" i="125"/>
  <c r="AP10" i="125"/>
  <c r="AL11" i="125"/>
  <c r="AH12" i="125"/>
  <c r="R13" i="125"/>
  <c r="AX13" i="125"/>
  <c r="AL14" i="125"/>
  <c r="AH15" i="125"/>
  <c r="Y16" i="125"/>
  <c r="AT17" i="125"/>
  <c r="O10" i="125"/>
  <c r="AR10" i="125"/>
  <c r="AN11" i="125"/>
  <c r="AJ12" i="125"/>
  <c r="S13" i="125"/>
  <c r="AZ13" i="125"/>
  <c r="AN14" i="125"/>
  <c r="Z16" i="125"/>
  <c r="AV17" i="125"/>
  <c r="AT10" i="125"/>
  <c r="AP11" i="125"/>
  <c r="AL12" i="125"/>
  <c r="U13" i="125"/>
  <c r="BB13" i="125"/>
  <c r="AP14" i="125"/>
  <c r="AH16" i="125"/>
  <c r="R17" i="125"/>
  <c r="AX17" i="125"/>
  <c r="AV10" i="125"/>
  <c r="O11" i="125"/>
  <c r="AR11" i="125"/>
  <c r="AN12" i="125"/>
  <c r="V13" i="125"/>
  <c r="BD13" i="125"/>
  <c r="O14" i="125"/>
  <c r="AR14" i="125"/>
  <c r="AN15" i="125"/>
  <c r="AJ16" i="125"/>
  <c r="S17" i="125"/>
  <c r="AZ17" i="125"/>
  <c r="R10" i="125"/>
  <c r="AX10" i="125"/>
  <c r="AT11" i="125"/>
  <c r="AP12" i="125"/>
  <c r="W13" i="125"/>
  <c r="AT14" i="125"/>
  <c r="AP15" i="125"/>
  <c r="AL16" i="125"/>
  <c r="U17" i="125"/>
  <c r="BB17" i="125"/>
  <c r="S10" i="125"/>
  <c r="AZ10" i="125"/>
  <c r="X13" i="125"/>
  <c r="AV14" i="125"/>
  <c r="AN16" i="125"/>
  <c r="V17" i="125"/>
  <c r="BD17" i="125"/>
  <c r="AP16" i="125"/>
  <c r="W17" i="125"/>
  <c r="V10" i="125"/>
  <c r="BD10" i="125"/>
  <c r="Z13" i="125"/>
  <c r="S14" i="125"/>
  <c r="AZ14" i="125"/>
  <c r="AV15" i="125"/>
  <c r="O16" i="125"/>
  <c r="AR16" i="125"/>
  <c r="X17" i="125"/>
  <c r="AT16" i="125"/>
  <c r="Y17" i="125"/>
  <c r="X10" i="125"/>
  <c r="AJ13" i="125"/>
  <c r="V14" i="125"/>
  <c r="S15" i="125"/>
  <c r="Z17" i="125"/>
  <c r="S16" i="125"/>
  <c r="AN18" i="124"/>
  <c r="AJ17" i="124"/>
  <c r="AH17" i="124"/>
  <c r="Z17" i="124"/>
  <c r="Y17" i="124"/>
  <c r="X17" i="124"/>
  <c r="W17" i="124"/>
  <c r="BD17" i="124"/>
  <c r="V17" i="124"/>
  <c r="BB17" i="124"/>
  <c r="U17" i="124"/>
  <c r="AZ17" i="124"/>
  <c r="S17" i="124"/>
  <c r="R17" i="124"/>
  <c r="AX17" i="124"/>
  <c r="AV17" i="124"/>
  <c r="AT17" i="124"/>
  <c r="AR17" i="124"/>
  <c r="O17" i="124"/>
  <c r="AL17" i="124"/>
  <c r="AJ18" i="124"/>
  <c r="AH18" i="124"/>
  <c r="Z18" i="124"/>
  <c r="Y18" i="124"/>
  <c r="X18" i="124"/>
  <c r="W18" i="124"/>
  <c r="BD18" i="124"/>
  <c r="V18" i="124"/>
  <c r="BB18" i="124"/>
  <c r="U18" i="124"/>
  <c r="AZ18" i="124"/>
  <c r="S18" i="124"/>
  <c r="AX18" i="124"/>
  <c r="R18" i="124"/>
  <c r="AV18" i="124"/>
  <c r="AT18" i="124"/>
  <c r="AR18" i="124"/>
  <c r="O18" i="124"/>
  <c r="AL18" i="124"/>
  <c r="AP17" i="124"/>
  <c r="AN17" i="124"/>
  <c r="AH10" i="124"/>
  <c r="Y11" i="124"/>
  <c r="W12" i="124"/>
  <c r="U13" i="124"/>
  <c r="BB13" i="124"/>
  <c r="R14" i="124"/>
  <c r="AX14" i="124"/>
  <c r="AT15" i="124"/>
  <c r="AP16" i="124"/>
  <c r="Y20" i="124"/>
  <c r="W21" i="124"/>
  <c r="U22" i="124"/>
  <c r="BB22" i="124"/>
  <c r="AT24" i="124"/>
  <c r="AT26" i="124"/>
  <c r="AP27" i="124"/>
  <c r="AN10" i="124"/>
  <c r="AJ11" i="124"/>
  <c r="Z12" i="124"/>
  <c r="X13" i="124"/>
  <c r="V14" i="124"/>
  <c r="BD14" i="124"/>
  <c r="S15" i="124"/>
  <c r="AZ15" i="124"/>
  <c r="AV16" i="124"/>
  <c r="AN19" i="124"/>
  <c r="AJ20" i="124"/>
  <c r="Z21" i="124"/>
  <c r="X22" i="124"/>
  <c r="V23" i="124"/>
  <c r="BD23" i="124"/>
  <c r="S24" i="124"/>
  <c r="AZ24" i="124"/>
  <c r="S26" i="124"/>
  <c r="AZ26" i="124"/>
  <c r="AV27" i="124"/>
  <c r="AP10" i="124"/>
  <c r="AL11" i="124"/>
  <c r="AH12" i="124"/>
  <c r="Y13" i="124"/>
  <c r="W14" i="124"/>
  <c r="U15" i="124"/>
  <c r="BB15" i="124"/>
  <c r="R16" i="124"/>
  <c r="AX16" i="124"/>
  <c r="AP19" i="124"/>
  <c r="AL20" i="124"/>
  <c r="AH21" i="124"/>
  <c r="Y22" i="124"/>
  <c r="W23" i="124"/>
  <c r="U24" i="124"/>
  <c r="BB24" i="124"/>
  <c r="W25" i="124"/>
  <c r="U26" i="124"/>
  <c r="BB26" i="124"/>
  <c r="R27" i="124"/>
  <c r="AX27" i="124"/>
  <c r="O10" i="124"/>
  <c r="AR10" i="124"/>
  <c r="AN11" i="124"/>
  <c r="AJ12" i="124"/>
  <c r="Z13" i="124"/>
  <c r="X14" i="124"/>
  <c r="V15" i="124"/>
  <c r="BD15" i="124"/>
  <c r="S16" i="124"/>
  <c r="AZ16" i="124"/>
  <c r="O19" i="124"/>
  <c r="AR19" i="124"/>
  <c r="AN20" i="124"/>
  <c r="AJ21" i="124"/>
  <c r="Z22" i="124"/>
  <c r="X23" i="124"/>
  <c r="V24" i="124"/>
  <c r="BD24" i="124"/>
  <c r="V26" i="124"/>
  <c r="BD26" i="124"/>
  <c r="S27" i="124"/>
  <c r="AZ27" i="124"/>
  <c r="AH13" i="124"/>
  <c r="W15" i="124"/>
  <c r="U16" i="124"/>
  <c r="AP20" i="124"/>
  <c r="AH22" i="124"/>
  <c r="W24" i="124"/>
  <c r="W26" i="124"/>
  <c r="U27" i="124"/>
  <c r="BB27" i="124"/>
  <c r="AV10" i="124"/>
  <c r="O11" i="124"/>
  <c r="AR11" i="124"/>
  <c r="AN12" i="124"/>
  <c r="AJ13" i="124"/>
  <c r="Z14" i="124"/>
  <c r="X15" i="124"/>
  <c r="V16" i="124"/>
  <c r="BD16" i="124"/>
  <c r="AV19" i="124"/>
  <c r="O20" i="124"/>
  <c r="AR20" i="124"/>
  <c r="AN21" i="124"/>
  <c r="AJ22" i="124"/>
  <c r="Z23" i="124"/>
  <c r="X24" i="124"/>
  <c r="Z25" i="124"/>
  <c r="X26" i="124"/>
  <c r="V27" i="124"/>
  <c r="BD27" i="124"/>
  <c r="BB16" i="124"/>
  <c r="AT11" i="124"/>
  <c r="AL13" i="124"/>
  <c r="Y15" i="124"/>
  <c r="W16" i="124"/>
  <c r="AT20" i="124"/>
  <c r="AP21" i="124"/>
  <c r="AL22" i="124"/>
  <c r="Y24" i="124"/>
  <c r="Y26" i="124"/>
  <c r="W27" i="124"/>
  <c r="S10" i="124"/>
  <c r="AZ10" i="124"/>
  <c r="AV11" i="124"/>
  <c r="O12" i="124"/>
  <c r="AR12" i="124"/>
  <c r="AN13" i="124"/>
  <c r="AJ14" i="124"/>
  <c r="Z15" i="124"/>
  <c r="X16" i="124"/>
  <c r="AV20" i="124"/>
  <c r="O21" i="124"/>
  <c r="AN22" i="124"/>
  <c r="Z24" i="124"/>
  <c r="Z26" i="124"/>
  <c r="X27" i="124"/>
  <c r="R20" i="124"/>
  <c r="AX20" i="124"/>
  <c r="AP22" i="124"/>
  <c r="AH24" i="124"/>
  <c r="AH26" i="124"/>
  <c r="Y27" i="124"/>
  <c r="AH15" i="124"/>
  <c r="V10" i="124"/>
  <c r="BD10" i="124"/>
  <c r="S11" i="124"/>
  <c r="AZ11" i="124"/>
  <c r="AV12" i="124"/>
  <c r="O13" i="124"/>
  <c r="AR13" i="124"/>
  <c r="AN14" i="124"/>
  <c r="AJ15" i="124"/>
  <c r="Z16" i="124"/>
  <c r="V19" i="124"/>
  <c r="BD19" i="124"/>
  <c r="S20" i="124"/>
  <c r="AZ20" i="124"/>
  <c r="AV21" i="124"/>
  <c r="O22" i="124"/>
  <c r="AR22" i="124"/>
  <c r="AN23" i="124"/>
  <c r="AJ24" i="124"/>
  <c r="AN25" i="124"/>
  <c r="AJ26" i="124"/>
  <c r="Z27" i="124"/>
  <c r="Y16" i="124"/>
  <c r="W10" i="124"/>
  <c r="U11" i="124"/>
  <c r="BB11" i="124"/>
  <c r="R12" i="124"/>
  <c r="AX12" i="124"/>
  <c r="AT13" i="124"/>
  <c r="AP14" i="124"/>
  <c r="AL15" i="124"/>
  <c r="AH16" i="124"/>
  <c r="W19" i="124"/>
  <c r="U20" i="124"/>
  <c r="BB20" i="124"/>
  <c r="R21" i="124"/>
  <c r="AX21" i="124"/>
  <c r="AT22" i="124"/>
  <c r="AP23" i="124"/>
  <c r="AL24" i="124"/>
  <c r="AP25" i="124"/>
  <c r="AL26" i="124"/>
  <c r="AH27" i="124"/>
  <c r="AN15" i="124"/>
  <c r="V20" i="124"/>
  <c r="AN24" i="124"/>
  <c r="AN26" i="124"/>
  <c r="AJ27" i="124"/>
  <c r="AJ16" i="124"/>
  <c r="Y10" i="124"/>
  <c r="W11" i="124"/>
  <c r="U12" i="124"/>
  <c r="R13" i="124"/>
  <c r="AL16" i="124"/>
  <c r="Y19" i="124"/>
  <c r="W20" i="124"/>
  <c r="U21" i="124"/>
  <c r="R22" i="124"/>
  <c r="AL27" i="124"/>
  <c r="BB16" i="118"/>
  <c r="U16" i="118"/>
  <c r="BB15" i="118"/>
  <c r="U15" i="118"/>
  <c r="AX14" i="118"/>
  <c r="R14" i="118"/>
  <c r="AT13" i="118"/>
  <c r="AP12" i="118"/>
  <c r="AL12" i="118"/>
  <c r="O14" i="118"/>
  <c r="AR14" i="118"/>
  <c r="AN13" i="118"/>
  <c r="AJ12" i="118"/>
  <c r="AT16" i="118"/>
  <c r="AT15" i="118"/>
  <c r="AP14" i="118"/>
  <c r="AL13" i="118"/>
  <c r="AH12" i="118"/>
  <c r="AP15" i="118"/>
  <c r="AL14" i="118"/>
  <c r="Y12" i="118"/>
  <c r="Z12" i="118"/>
  <c r="AN16" i="118"/>
  <c r="AN15" i="118"/>
  <c r="AJ14" i="118"/>
  <c r="Z13" i="118"/>
  <c r="X12" i="118"/>
  <c r="AZ10" i="118"/>
  <c r="S10" i="118"/>
  <c r="AN14" i="118"/>
  <c r="AL15" i="118"/>
  <c r="AH14" i="118"/>
  <c r="Y13" i="118"/>
  <c r="W12" i="118"/>
  <c r="R10" i="118"/>
  <c r="AJ13" i="118"/>
  <c r="AH13" i="118"/>
  <c r="AL16" i="118"/>
  <c r="AJ16" i="118"/>
  <c r="AJ15" i="118"/>
  <c r="Z14" i="118"/>
  <c r="X13" i="118"/>
  <c r="BD12" i="118"/>
  <c r="V12" i="118"/>
  <c r="AV10" i="118"/>
  <c r="Y14" i="118"/>
  <c r="BB12" i="118"/>
  <c r="BD13" i="118"/>
  <c r="AZ12" i="118"/>
  <c r="S12" i="118"/>
  <c r="X14" i="118"/>
  <c r="V13" i="118"/>
  <c r="W14" i="118"/>
  <c r="BB13" i="118"/>
  <c r="U13" i="118"/>
  <c r="AX12" i="118"/>
  <c r="R12" i="118"/>
  <c r="X16" i="118"/>
  <c r="X15" i="118"/>
  <c r="BD14" i="118"/>
  <c r="V14" i="118"/>
  <c r="AZ13" i="118"/>
  <c r="S13" i="118"/>
  <c r="AV12" i="118"/>
  <c r="W16" i="118"/>
  <c r="W15" i="118"/>
  <c r="BB14" i="118"/>
  <c r="U14" i="118"/>
  <c r="AX13" i="118"/>
  <c r="R13" i="118"/>
  <c r="AT12" i="118"/>
  <c r="AL10" i="118"/>
  <c r="U12" i="118"/>
  <c r="BD16" i="118"/>
  <c r="BD15" i="118"/>
  <c r="AZ14" i="118"/>
  <c r="AR12" i="118"/>
  <c r="Q13" i="126" l="1"/>
  <c r="Q14" i="127"/>
  <c r="Q12" i="118"/>
  <c r="Q14" i="118"/>
  <c r="Q10" i="118"/>
  <c r="Q11" i="118"/>
  <c r="Q16" i="118"/>
  <c r="Q18" i="124"/>
  <c r="Q26" i="124"/>
  <c r="Q23" i="124"/>
  <c r="BJ23" i="124" s="1"/>
  <c r="BL23" i="124" s="1"/>
  <c r="BR23" i="124" s="1"/>
  <c r="Q25" i="124"/>
  <c r="Q27" i="124"/>
  <c r="Q16" i="124"/>
  <c r="BJ16" i="124" s="1"/>
  <c r="Q14" i="124"/>
  <c r="Q24" i="124"/>
  <c r="Q15" i="124"/>
  <c r="Q12" i="125"/>
  <c r="Q15" i="125"/>
  <c r="Q13" i="125"/>
  <c r="Q11" i="126"/>
  <c r="Q13" i="127"/>
  <c r="Q11" i="128"/>
  <c r="Q12" i="127"/>
  <c r="Q11" i="127"/>
  <c r="Q10" i="127"/>
  <c r="Q15" i="127"/>
  <c r="Q14" i="126"/>
  <c r="Q12" i="126"/>
  <c r="Q10" i="126"/>
  <c r="Q17" i="125"/>
  <c r="Q10" i="125"/>
  <c r="Q16" i="125"/>
  <c r="Q11" i="125"/>
  <c r="Q14" i="125"/>
  <c r="Q11" i="124"/>
  <c r="Q10" i="124"/>
  <c r="Q13" i="124"/>
  <c r="Q19" i="124"/>
  <c r="Q17" i="124"/>
  <c r="Q21" i="124"/>
  <c r="Q12" i="124"/>
  <c r="Q20" i="124"/>
  <c r="Q22" i="124"/>
  <c r="BJ22" i="124" s="1"/>
  <c r="Q15" i="118"/>
  <c r="Q13" i="118"/>
  <c r="BL22" i="124" l="1"/>
  <c r="BN23" i="124"/>
  <c r="BL16" i="124"/>
  <c r="BR16" i="124" s="1"/>
  <c r="BP23" i="124"/>
  <c r="BJ20" i="124"/>
  <c r="BS23" i="124" l="1"/>
  <c r="F42" i="40" s="1"/>
  <c r="G42" i="40" s="1"/>
  <c r="H42" i="40" s="1"/>
  <c r="BP22" i="124"/>
  <c r="BN22" i="124"/>
  <c r="BR22" i="124"/>
  <c r="BL20" i="124"/>
  <c r="BR20" i="124" s="1"/>
  <c r="BN16" i="124"/>
  <c r="BP16" i="124"/>
  <c r="BS16" i="124" l="1"/>
  <c r="F28" i="40" s="1"/>
  <c r="G28" i="40" s="1"/>
  <c r="H28" i="40" s="1"/>
  <c r="BS22" i="124"/>
  <c r="F41" i="40" s="1"/>
  <c r="G41" i="40" s="1"/>
  <c r="H41" i="40" s="1"/>
  <c r="BN20" i="124"/>
  <c r="BP20" i="124"/>
  <c r="BS20" i="124" l="1"/>
  <c r="F39" i="40" s="1"/>
  <c r="G39" i="40" s="1"/>
  <c r="H39" i="40" s="1"/>
  <c r="C481" i="47"/>
  <c r="C456" i="47"/>
  <c r="C431" i="47"/>
  <c r="C406" i="47"/>
  <c r="C381" i="47"/>
  <c r="C356" i="47"/>
  <c r="C331" i="47"/>
  <c r="C306" i="47"/>
  <c r="K503" i="47"/>
  <c r="M503" i="47" s="1"/>
  <c r="K502" i="47"/>
  <c r="M502" i="47" s="1"/>
  <c r="K501" i="47"/>
  <c r="M501" i="47" s="1"/>
  <c r="K500" i="47"/>
  <c r="M500" i="47" s="1"/>
  <c r="K499" i="47"/>
  <c r="M499" i="47" s="1"/>
  <c r="K498" i="47"/>
  <c r="M498" i="47" s="1"/>
  <c r="K497" i="47"/>
  <c r="K477" i="47"/>
  <c r="M477" i="47" s="1"/>
  <c r="K476" i="47"/>
  <c r="M476" i="47" s="1"/>
  <c r="K475" i="47"/>
  <c r="M475" i="47" s="1"/>
  <c r="K474" i="47"/>
  <c r="M474" i="47" s="1"/>
  <c r="K473" i="47"/>
  <c r="M473" i="47" s="1"/>
  <c r="K472" i="47"/>
  <c r="M472" i="47" s="1"/>
  <c r="K471" i="47"/>
  <c r="M471" i="47" s="1"/>
  <c r="K470" i="47"/>
  <c r="M470" i="47" s="1"/>
  <c r="K452" i="47"/>
  <c r="L452" i="47" s="1"/>
  <c r="K451" i="47"/>
  <c r="L451" i="47" s="1"/>
  <c r="K450" i="47"/>
  <c r="M450" i="47" s="1"/>
  <c r="K449" i="47"/>
  <c r="L449" i="47" s="1"/>
  <c r="K448" i="47"/>
  <c r="L448" i="47" s="1"/>
  <c r="K447" i="47"/>
  <c r="L447" i="47" s="1"/>
  <c r="K446" i="47"/>
  <c r="M446" i="47" s="1"/>
  <c r="K445" i="47"/>
  <c r="L445" i="47" s="1"/>
  <c r="K427" i="47"/>
  <c r="M427" i="47" s="1"/>
  <c r="K426" i="47"/>
  <c r="M426" i="47" s="1"/>
  <c r="K425" i="47"/>
  <c r="M425" i="47" s="1"/>
  <c r="K424" i="47"/>
  <c r="M424" i="47" s="1"/>
  <c r="K423" i="47"/>
  <c r="M423" i="47" s="1"/>
  <c r="K422" i="47"/>
  <c r="M422" i="47" s="1"/>
  <c r="K421" i="47"/>
  <c r="L421" i="47" s="1"/>
  <c r="K420" i="47"/>
  <c r="M420" i="47" s="1"/>
  <c r="K402" i="47"/>
  <c r="M402" i="47" s="1"/>
  <c r="K401" i="47"/>
  <c r="M401" i="47" s="1"/>
  <c r="K400" i="47"/>
  <c r="M400" i="47" s="1"/>
  <c r="K399" i="47"/>
  <c r="M399" i="47" s="1"/>
  <c r="K398" i="47"/>
  <c r="M398" i="47" s="1"/>
  <c r="K397" i="47"/>
  <c r="M397" i="47" s="1"/>
  <c r="K396" i="47"/>
  <c r="M396" i="47" s="1"/>
  <c r="K395" i="47"/>
  <c r="M395" i="47" s="1"/>
  <c r="K377" i="47"/>
  <c r="M377" i="47" s="1"/>
  <c r="K376" i="47"/>
  <c r="M376" i="47" s="1"/>
  <c r="K375" i="47"/>
  <c r="M375" i="47" s="1"/>
  <c r="K374" i="47"/>
  <c r="M374" i="47" s="1"/>
  <c r="K373" i="47"/>
  <c r="M373" i="47" s="1"/>
  <c r="K372" i="47"/>
  <c r="M372" i="47" s="1"/>
  <c r="K371" i="47"/>
  <c r="M371" i="47" s="1"/>
  <c r="K370" i="47"/>
  <c r="M370" i="47" s="1"/>
  <c r="K352" i="47"/>
  <c r="M352" i="47" s="1"/>
  <c r="K351" i="47"/>
  <c r="L351" i="47" s="1"/>
  <c r="K350" i="47"/>
  <c r="M350" i="47" s="1"/>
  <c r="K349" i="47"/>
  <c r="M349" i="47" s="1"/>
  <c r="K348" i="47"/>
  <c r="M348" i="47" s="1"/>
  <c r="K347" i="47"/>
  <c r="M347" i="47" s="1"/>
  <c r="K346" i="47"/>
  <c r="M346" i="47" s="1"/>
  <c r="K345" i="47"/>
  <c r="L345" i="47" s="1"/>
  <c r="K327" i="47"/>
  <c r="M327" i="47" s="1"/>
  <c r="K326" i="47"/>
  <c r="M326" i="47" s="1"/>
  <c r="K325" i="47"/>
  <c r="M325" i="47" s="1"/>
  <c r="K324" i="47"/>
  <c r="M324" i="47" s="1"/>
  <c r="K323" i="47"/>
  <c r="M323" i="47" s="1"/>
  <c r="K322" i="47"/>
  <c r="M322" i="47" s="1"/>
  <c r="K321" i="47"/>
  <c r="M321" i="47" s="1"/>
  <c r="K320" i="47"/>
  <c r="M320" i="47" s="1"/>
  <c r="C281" i="47"/>
  <c r="C256" i="47"/>
  <c r="C231" i="47"/>
  <c r="C206" i="47"/>
  <c r="C181" i="47"/>
  <c r="C156" i="47"/>
  <c r="C106" i="47"/>
  <c r="C81" i="47"/>
  <c r="C56" i="47"/>
  <c r="C31" i="47"/>
  <c r="K302" i="47"/>
  <c r="L302" i="47" s="1"/>
  <c r="K301" i="47"/>
  <c r="M301" i="47" s="1"/>
  <c r="K300" i="47"/>
  <c r="M300" i="47" s="1"/>
  <c r="K299" i="47"/>
  <c r="M299" i="47" s="1"/>
  <c r="K298" i="47"/>
  <c r="L298" i="47" s="1"/>
  <c r="K297" i="47"/>
  <c r="M297" i="47" s="1"/>
  <c r="K296" i="47"/>
  <c r="M296" i="47" s="1"/>
  <c r="K295" i="47"/>
  <c r="M295" i="47" s="1"/>
  <c r="K277" i="47"/>
  <c r="M277" i="47" s="1"/>
  <c r="K276" i="47"/>
  <c r="M276" i="47" s="1"/>
  <c r="K275" i="47"/>
  <c r="M275" i="47" s="1"/>
  <c r="K274" i="47"/>
  <c r="L274" i="47" s="1"/>
  <c r="K273" i="47"/>
  <c r="M273" i="47" s="1"/>
  <c r="K272" i="47"/>
  <c r="M272" i="47" s="1"/>
  <c r="K271" i="47"/>
  <c r="M271" i="47" s="1"/>
  <c r="K270" i="47"/>
  <c r="M270" i="47" s="1"/>
  <c r="K252" i="47"/>
  <c r="M252" i="47" s="1"/>
  <c r="K251" i="47"/>
  <c r="M251" i="47" s="1"/>
  <c r="K250" i="47"/>
  <c r="M250" i="47" s="1"/>
  <c r="K249" i="47"/>
  <c r="L249" i="47" s="1"/>
  <c r="K248" i="47"/>
  <c r="M248" i="47" s="1"/>
  <c r="K247" i="47"/>
  <c r="M247" i="47" s="1"/>
  <c r="K246" i="47"/>
  <c r="M246" i="47" s="1"/>
  <c r="K245" i="47"/>
  <c r="L245" i="47" s="1"/>
  <c r="K227" i="47"/>
  <c r="M227" i="47" s="1"/>
  <c r="K226" i="47"/>
  <c r="M226" i="47" s="1"/>
  <c r="K225" i="47"/>
  <c r="M225" i="47" s="1"/>
  <c r="K224" i="47"/>
  <c r="M224" i="47" s="1"/>
  <c r="K223" i="47"/>
  <c r="M223" i="47" s="1"/>
  <c r="K222" i="47"/>
  <c r="M222" i="47" s="1"/>
  <c r="K221" i="47"/>
  <c r="M221" i="47" s="1"/>
  <c r="K220" i="47"/>
  <c r="M220" i="47" s="1"/>
  <c r="K202" i="47"/>
  <c r="L202" i="47" s="1"/>
  <c r="K201" i="47"/>
  <c r="L201" i="47" s="1"/>
  <c r="K200" i="47"/>
  <c r="M200" i="47" s="1"/>
  <c r="K199" i="47"/>
  <c r="M199" i="47" s="1"/>
  <c r="K198" i="47"/>
  <c r="M198" i="47" s="1"/>
  <c r="K197" i="47"/>
  <c r="M197" i="47" s="1"/>
  <c r="K196" i="47"/>
  <c r="M196" i="47" s="1"/>
  <c r="K195" i="47"/>
  <c r="M195" i="47" s="1"/>
  <c r="K177" i="47"/>
  <c r="L177" i="47" s="1"/>
  <c r="K176" i="47"/>
  <c r="M176" i="47" s="1"/>
  <c r="K175" i="47"/>
  <c r="M175" i="47" s="1"/>
  <c r="K174" i="47"/>
  <c r="M174" i="47" s="1"/>
  <c r="K173" i="47"/>
  <c r="L173" i="47" s="1"/>
  <c r="K172" i="47"/>
  <c r="M172" i="47" s="1"/>
  <c r="K171" i="47"/>
  <c r="M171" i="47" s="1"/>
  <c r="K170" i="47"/>
  <c r="M170" i="47" s="1"/>
  <c r="K152" i="47"/>
  <c r="M152" i="47" s="1"/>
  <c r="K151" i="47"/>
  <c r="M151" i="47" s="1"/>
  <c r="K150" i="47"/>
  <c r="M150" i="47" s="1"/>
  <c r="K149" i="47"/>
  <c r="M149" i="47" s="1"/>
  <c r="K148" i="47"/>
  <c r="M148" i="47" s="1"/>
  <c r="K147" i="47"/>
  <c r="M147" i="47" s="1"/>
  <c r="K146" i="47"/>
  <c r="M146" i="47" s="1"/>
  <c r="K145" i="47"/>
  <c r="M145" i="47" s="1"/>
  <c r="K127" i="47"/>
  <c r="L127" i="47" s="1"/>
  <c r="K126" i="47"/>
  <c r="M126" i="47" s="1"/>
  <c r="K125" i="47"/>
  <c r="M125" i="47" s="1"/>
  <c r="K124" i="47"/>
  <c r="L124" i="47" s="1"/>
  <c r="K123" i="47"/>
  <c r="L123" i="47" s="1"/>
  <c r="K122" i="47"/>
  <c r="M122" i="47" s="1"/>
  <c r="K121" i="47"/>
  <c r="M121" i="47" s="1"/>
  <c r="K120" i="47"/>
  <c r="L120" i="47" s="1"/>
  <c r="K102" i="47"/>
  <c r="M102" i="47" s="1"/>
  <c r="K101" i="47"/>
  <c r="M101" i="47" s="1"/>
  <c r="K100" i="47"/>
  <c r="M100" i="47" s="1"/>
  <c r="K99" i="47"/>
  <c r="M99" i="47" s="1"/>
  <c r="K98" i="47"/>
  <c r="M98" i="47" s="1"/>
  <c r="K97" i="47"/>
  <c r="M97" i="47" s="1"/>
  <c r="K96" i="47"/>
  <c r="M96" i="47" s="1"/>
  <c r="K95" i="47"/>
  <c r="M95" i="47" s="1"/>
  <c r="E63" i="40"/>
  <c r="K10" i="42"/>
  <c r="K11" i="42"/>
  <c r="K12" i="42"/>
  <c r="K13" i="42"/>
  <c r="K14" i="42"/>
  <c r="K15" i="42"/>
  <c r="K16" i="42"/>
  <c r="K9" i="42"/>
  <c r="C6" i="47"/>
  <c r="K22" i="47"/>
  <c r="M22" i="47" s="1"/>
  <c r="K23" i="47"/>
  <c r="L23" i="47" s="1"/>
  <c r="K24" i="47"/>
  <c r="L24" i="47" s="1"/>
  <c r="K25" i="47"/>
  <c r="M25" i="47" s="1"/>
  <c r="K26" i="47"/>
  <c r="M26" i="47" s="1"/>
  <c r="K27" i="47"/>
  <c r="L27" i="47" s="1"/>
  <c r="C246" i="80"/>
  <c r="C234" i="80"/>
  <c r="C222" i="80"/>
  <c r="H228" i="80" s="1"/>
  <c r="C210" i="80"/>
  <c r="C198" i="80"/>
  <c r="H200" i="80" s="1"/>
  <c r="C186" i="80"/>
  <c r="H188" i="80" s="1"/>
  <c r="C174" i="80"/>
  <c r="H178" i="80" s="1"/>
  <c r="C159" i="80"/>
  <c r="C147" i="80"/>
  <c r="C135" i="80"/>
  <c r="H140" i="80" s="1"/>
  <c r="C123" i="80"/>
  <c r="H126" i="80" s="1"/>
  <c r="C110" i="80"/>
  <c r="C98" i="80"/>
  <c r="H101" i="80" s="1"/>
  <c r="C86" i="80"/>
  <c r="H90" i="80" s="1"/>
  <c r="C73" i="80"/>
  <c r="C60" i="80"/>
  <c r="C48" i="80"/>
  <c r="H51" i="80" s="1"/>
  <c r="C35" i="80"/>
  <c r="C22" i="80"/>
  <c r="C7" i="80"/>
  <c r="C245" i="80"/>
  <c r="C233" i="80"/>
  <c r="C221" i="80"/>
  <c r="C209" i="80"/>
  <c r="C197" i="80"/>
  <c r="C185" i="80"/>
  <c r="C173" i="80"/>
  <c r="C158" i="80"/>
  <c r="C146" i="80"/>
  <c r="C134" i="80"/>
  <c r="C122" i="80"/>
  <c r="C109" i="80"/>
  <c r="C97" i="80"/>
  <c r="C85" i="80"/>
  <c r="C72" i="80"/>
  <c r="C59" i="80"/>
  <c r="C47" i="80"/>
  <c r="C34" i="80"/>
  <c r="C21" i="80"/>
  <c r="H261" i="80"/>
  <c r="G261" i="80"/>
  <c r="H260" i="80"/>
  <c r="G260" i="80"/>
  <c r="H259" i="80"/>
  <c r="G259" i="80"/>
  <c r="H258" i="80"/>
  <c r="G258" i="80"/>
  <c r="G257" i="80"/>
  <c r="G241" i="80"/>
  <c r="G240" i="80"/>
  <c r="G239" i="80"/>
  <c r="G238" i="80"/>
  <c r="G237" i="80"/>
  <c r="G236" i="80"/>
  <c r="H229" i="80"/>
  <c r="G229" i="80"/>
  <c r="G228" i="80"/>
  <c r="G227" i="80"/>
  <c r="G226" i="80"/>
  <c r="G225" i="80"/>
  <c r="G224" i="80"/>
  <c r="H217" i="80"/>
  <c r="G217" i="80"/>
  <c r="G216" i="80"/>
  <c r="G215" i="80"/>
  <c r="G214" i="80"/>
  <c r="G213" i="80"/>
  <c r="G212" i="80"/>
  <c r="H205" i="80"/>
  <c r="G205" i="80"/>
  <c r="H204" i="80"/>
  <c r="G204" i="80"/>
  <c r="G203" i="80"/>
  <c r="G202" i="80"/>
  <c r="G201" i="80"/>
  <c r="G200" i="80"/>
  <c r="H193" i="80"/>
  <c r="G193" i="80"/>
  <c r="H192" i="80"/>
  <c r="G192" i="80"/>
  <c r="G191" i="80"/>
  <c r="G190" i="80"/>
  <c r="H189" i="80"/>
  <c r="G189" i="80"/>
  <c r="G188" i="80"/>
  <c r="H181" i="80"/>
  <c r="G181" i="80"/>
  <c r="G180" i="80"/>
  <c r="G179" i="80"/>
  <c r="G178" i="80"/>
  <c r="G177" i="80"/>
  <c r="H176" i="80"/>
  <c r="G176" i="80"/>
  <c r="G169" i="80"/>
  <c r="G168" i="80"/>
  <c r="G164" i="80"/>
  <c r="G163" i="80"/>
  <c r="G162" i="80"/>
  <c r="G161" i="80"/>
  <c r="H154" i="80"/>
  <c r="G154" i="80"/>
  <c r="H153" i="80"/>
  <c r="G153" i="80"/>
  <c r="G152" i="80"/>
  <c r="G151" i="80"/>
  <c r="G150" i="80"/>
  <c r="G149" i="80"/>
  <c r="G142" i="80"/>
  <c r="G141" i="80"/>
  <c r="G140" i="80"/>
  <c r="G139" i="80"/>
  <c r="G138" i="80"/>
  <c r="G137" i="80"/>
  <c r="H130" i="80"/>
  <c r="G130" i="80"/>
  <c r="H129" i="80"/>
  <c r="G129" i="80"/>
  <c r="G128" i="80"/>
  <c r="G127" i="80"/>
  <c r="G126" i="80"/>
  <c r="G125" i="80"/>
  <c r="G118" i="80"/>
  <c r="G117" i="80"/>
  <c r="G112" i="80"/>
  <c r="G105" i="80"/>
  <c r="G104" i="80"/>
  <c r="G103" i="80"/>
  <c r="G102" i="80"/>
  <c r="G101" i="80"/>
  <c r="G100" i="80"/>
  <c r="H93" i="80"/>
  <c r="G93" i="80"/>
  <c r="G92" i="80"/>
  <c r="G91" i="80"/>
  <c r="G90" i="80"/>
  <c r="G89" i="80"/>
  <c r="G88" i="80"/>
  <c r="G75" i="80"/>
  <c r="G62" i="80"/>
  <c r="H55" i="80"/>
  <c r="G55" i="80"/>
  <c r="G54" i="80"/>
  <c r="G53" i="80"/>
  <c r="G52" i="80"/>
  <c r="G51" i="80"/>
  <c r="G50" i="80"/>
  <c r="G37" i="80"/>
  <c r="G24" i="80"/>
  <c r="C6" i="80"/>
  <c r="H224" i="80" l="1"/>
  <c r="H225" i="80"/>
  <c r="H226" i="80"/>
  <c r="M497" i="47"/>
  <c r="F17" i="130"/>
  <c r="H152" i="80"/>
  <c r="H149" i="80"/>
  <c r="K44" i="47"/>
  <c r="K69" i="47"/>
  <c r="M111" i="47"/>
  <c r="M113" i="47"/>
  <c r="M114" i="47"/>
  <c r="M115" i="47"/>
  <c r="L118" i="47"/>
  <c r="M311" i="47"/>
  <c r="M313" i="47"/>
  <c r="L314" i="47"/>
  <c r="M315" i="47"/>
  <c r="M316" i="47"/>
  <c r="M317" i="47"/>
  <c r="M318" i="47"/>
  <c r="M319" i="47"/>
  <c r="K141" i="47"/>
  <c r="M141" i="47" s="1"/>
  <c r="M137" i="47"/>
  <c r="L136" i="47"/>
  <c r="M138" i="47"/>
  <c r="M139" i="47"/>
  <c r="M140" i="47"/>
  <c r="K142" i="47"/>
  <c r="M142" i="47" s="1"/>
  <c r="M337" i="47"/>
  <c r="L338" i="47"/>
  <c r="K339" i="47"/>
  <c r="M339" i="47" s="1"/>
  <c r="M162" i="47"/>
  <c r="L161" i="47"/>
  <c r="M163" i="47"/>
  <c r="M164" i="47"/>
  <c r="M165" i="47"/>
  <c r="M166" i="47"/>
  <c r="K362" i="47"/>
  <c r="L362" i="47" s="1"/>
  <c r="K364" i="47"/>
  <c r="M364" i="47" s="1"/>
  <c r="M361" i="47"/>
  <c r="M186" i="47"/>
  <c r="K187" i="47"/>
  <c r="K188" i="47"/>
  <c r="M188" i="47" s="1"/>
  <c r="M387" i="47"/>
  <c r="K389" i="47"/>
  <c r="M389" i="47" s="1"/>
  <c r="M386" i="47"/>
  <c r="L20" i="47"/>
  <c r="K21" i="47"/>
  <c r="M21" i="47" s="1"/>
  <c r="L212" i="47"/>
  <c r="M213" i="47"/>
  <c r="M214" i="47"/>
  <c r="M215" i="47"/>
  <c r="L216" i="47"/>
  <c r="M217" i="47"/>
  <c r="M218" i="47"/>
  <c r="M219" i="47"/>
  <c r="M211" i="47"/>
  <c r="M412" i="47"/>
  <c r="L413" i="47"/>
  <c r="M415" i="47"/>
  <c r="M416" i="47"/>
  <c r="M418" i="47"/>
  <c r="L411" i="47"/>
  <c r="F14" i="130"/>
  <c r="M238" i="47"/>
  <c r="M239" i="47"/>
  <c r="M240" i="47"/>
  <c r="M241" i="47"/>
  <c r="M262" i="47"/>
  <c r="M263" i="47"/>
  <c r="M264" i="47"/>
  <c r="L265" i="47"/>
  <c r="M266" i="47"/>
  <c r="L267" i="47"/>
  <c r="M268" i="47"/>
  <c r="L261" i="47"/>
  <c r="M462" i="47"/>
  <c r="M463" i="47"/>
  <c r="L461" i="47"/>
  <c r="M464" i="47"/>
  <c r="M465" i="47"/>
  <c r="M89" i="47"/>
  <c r="M87" i="47"/>
  <c r="L88" i="47"/>
  <c r="M91" i="47"/>
  <c r="M92" i="47"/>
  <c r="M287" i="47"/>
  <c r="M288" i="47"/>
  <c r="K487" i="47"/>
  <c r="L487" i="47" s="1"/>
  <c r="K486" i="47"/>
  <c r="M492" i="47"/>
  <c r="L494" i="47"/>
  <c r="M495" i="47"/>
  <c r="M496" i="47"/>
  <c r="H203" i="80"/>
  <c r="I203" i="80" s="1"/>
  <c r="K203" i="80" s="1"/>
  <c r="H201" i="80"/>
  <c r="I201" i="80" s="1"/>
  <c r="K201" i="80" s="1"/>
  <c r="H202" i="80"/>
  <c r="J202" i="80" s="1"/>
  <c r="H190" i="80"/>
  <c r="J190" i="80" s="1"/>
  <c r="H227" i="80"/>
  <c r="I227" i="80" s="1"/>
  <c r="K227" i="80" s="1"/>
  <c r="H191" i="80"/>
  <c r="I191" i="80" s="1"/>
  <c r="K191" i="80" s="1"/>
  <c r="H102" i="80"/>
  <c r="J102" i="80" s="1"/>
  <c r="H103" i="80"/>
  <c r="I103" i="80" s="1"/>
  <c r="K103" i="80" s="1"/>
  <c r="H180" i="80"/>
  <c r="J180" i="80" s="1"/>
  <c r="H179" i="80"/>
  <c r="I179" i="80" s="1"/>
  <c r="K179" i="80" s="1"/>
  <c r="H164" i="80"/>
  <c r="J164" i="80" s="1"/>
  <c r="H161" i="80"/>
  <c r="I161" i="80" s="1"/>
  <c r="K161" i="80" s="1"/>
  <c r="H166" i="80"/>
  <c r="H162" i="80"/>
  <c r="J162" i="80" s="1"/>
  <c r="H163" i="80"/>
  <c r="I163" i="80" s="1"/>
  <c r="H165" i="80"/>
  <c r="H113" i="80"/>
  <c r="H115" i="80"/>
  <c r="H112" i="80"/>
  <c r="J112" i="80" s="1"/>
  <c r="H114" i="80"/>
  <c r="H105" i="80"/>
  <c r="J105" i="80" s="1"/>
  <c r="H104" i="80"/>
  <c r="J104" i="80" s="1"/>
  <c r="H76" i="80"/>
  <c r="H77" i="80"/>
  <c r="H78" i="80"/>
  <c r="H80" i="80"/>
  <c r="H75" i="80"/>
  <c r="J75" i="80" s="1"/>
  <c r="H79" i="80"/>
  <c r="H66" i="80"/>
  <c r="H64" i="80"/>
  <c r="H62" i="80"/>
  <c r="J62" i="80" s="1"/>
  <c r="H63" i="80"/>
  <c r="H65" i="80"/>
  <c r="H53" i="80"/>
  <c r="I53" i="80" s="1"/>
  <c r="K53" i="80" s="1"/>
  <c r="H50" i="80"/>
  <c r="I50" i="80" s="1"/>
  <c r="K50" i="80" s="1"/>
  <c r="H54" i="80"/>
  <c r="I54" i="80" s="1"/>
  <c r="H38" i="80"/>
  <c r="H39" i="80"/>
  <c r="H40" i="80"/>
  <c r="H37" i="80"/>
  <c r="I37" i="80" s="1"/>
  <c r="H254" i="80"/>
  <c r="H253" i="80"/>
  <c r="H255" i="80"/>
  <c r="H252" i="80"/>
  <c r="H249" i="80"/>
  <c r="H251" i="80"/>
  <c r="H248" i="80"/>
  <c r="I248" i="80" s="1"/>
  <c r="H250" i="80"/>
  <c r="H239" i="80"/>
  <c r="I239" i="80" s="1"/>
  <c r="K239" i="80" s="1"/>
  <c r="H237" i="80"/>
  <c r="J237" i="80" s="1"/>
  <c r="H238" i="80"/>
  <c r="I238" i="80" s="1"/>
  <c r="K238" i="80" s="1"/>
  <c r="H236" i="80"/>
  <c r="J236" i="80" s="1"/>
  <c r="H215" i="80"/>
  <c r="J215" i="80" s="1"/>
  <c r="H214" i="80"/>
  <c r="J214" i="80" s="1"/>
  <c r="H213" i="80"/>
  <c r="I213" i="80" s="1"/>
  <c r="K213" i="80" s="1"/>
  <c r="H216" i="80"/>
  <c r="J216" i="80" s="1"/>
  <c r="H24" i="80"/>
  <c r="J24" i="80" s="1"/>
  <c r="H26" i="80"/>
  <c r="H25" i="80"/>
  <c r="H27" i="80"/>
  <c r="H9" i="80"/>
  <c r="H11" i="80"/>
  <c r="H10" i="80"/>
  <c r="H12" i="80"/>
  <c r="H177" i="80"/>
  <c r="I177" i="80" s="1"/>
  <c r="K177" i="80" s="1"/>
  <c r="H52" i="80"/>
  <c r="J52" i="80" s="1"/>
  <c r="H137" i="80"/>
  <c r="J137" i="80" s="1"/>
  <c r="H212" i="80"/>
  <c r="J212" i="80" s="1"/>
  <c r="H139" i="80"/>
  <c r="J139" i="80" s="1"/>
  <c r="H117" i="80"/>
  <c r="I117" i="80" s="1"/>
  <c r="K117" i="80" s="1"/>
  <c r="H118" i="80"/>
  <c r="J118" i="80" s="1"/>
  <c r="H151" i="80"/>
  <c r="I151" i="80" s="1"/>
  <c r="K151" i="80" s="1"/>
  <c r="H127" i="80"/>
  <c r="J127" i="80" s="1"/>
  <c r="H91" i="80"/>
  <c r="J91" i="80" s="1"/>
  <c r="H141" i="80"/>
  <c r="I141" i="80" s="1"/>
  <c r="K141" i="80" s="1"/>
  <c r="H92" i="80"/>
  <c r="J92" i="80" s="1"/>
  <c r="H128" i="80"/>
  <c r="I128" i="80" s="1"/>
  <c r="K128" i="80" s="1"/>
  <c r="H142" i="80"/>
  <c r="I142" i="80" s="1"/>
  <c r="K142" i="80" s="1"/>
  <c r="I149" i="80"/>
  <c r="K149" i="80" s="1"/>
  <c r="H125" i="80"/>
  <c r="I125" i="80" s="1"/>
  <c r="K125" i="80" s="1"/>
  <c r="H150" i="80"/>
  <c r="J150" i="80" s="1"/>
  <c r="H88" i="80"/>
  <c r="I88" i="80" s="1"/>
  <c r="H138" i="80"/>
  <c r="I138" i="80" s="1"/>
  <c r="K138" i="80" s="1"/>
  <c r="H89" i="80"/>
  <c r="I89" i="80" s="1"/>
  <c r="K89" i="80" s="1"/>
  <c r="H100" i="80"/>
  <c r="I100" i="80" s="1"/>
  <c r="K100" i="80" s="1"/>
  <c r="J205" i="80"/>
  <c r="I257" i="80"/>
  <c r="K257" i="80" s="1"/>
  <c r="I189" i="80"/>
  <c r="K189" i="80" s="1"/>
  <c r="J260" i="80"/>
  <c r="J130" i="80"/>
  <c r="J189" i="80"/>
  <c r="I240" i="80"/>
  <c r="K240" i="80" s="1"/>
  <c r="J129" i="80"/>
  <c r="J200" i="80"/>
  <c r="J93" i="80"/>
  <c r="J225" i="80"/>
  <c r="I129" i="80"/>
  <c r="K129" i="80" s="1"/>
  <c r="I193" i="80"/>
  <c r="K193" i="80" s="1"/>
  <c r="J229" i="80"/>
  <c r="J188" i="80"/>
  <c r="I229" i="80"/>
  <c r="K229" i="80" s="1"/>
  <c r="M345" i="47"/>
  <c r="M447" i="47"/>
  <c r="M451" i="47"/>
  <c r="L349" i="47"/>
  <c r="M351" i="47"/>
  <c r="M449" i="47"/>
  <c r="M445" i="47"/>
  <c r="K469" i="47"/>
  <c r="M469" i="47" s="1"/>
  <c r="L347" i="47"/>
  <c r="K388" i="47"/>
  <c r="M388" i="47" s="1"/>
  <c r="L398" i="47"/>
  <c r="M452" i="47"/>
  <c r="K439" i="47"/>
  <c r="K340" i="47"/>
  <c r="K341" i="47"/>
  <c r="L341" i="47" s="1"/>
  <c r="K363" i="47"/>
  <c r="L363" i="47" s="1"/>
  <c r="K391" i="47"/>
  <c r="M391" i="47" s="1"/>
  <c r="K441" i="47"/>
  <c r="K342" i="47"/>
  <c r="L342" i="47" s="1"/>
  <c r="K343" i="47"/>
  <c r="M343" i="47" s="1"/>
  <c r="K392" i="47"/>
  <c r="L392" i="47" s="1"/>
  <c r="L417" i="47"/>
  <c r="M448" i="47"/>
  <c r="K344" i="47"/>
  <c r="M344" i="47" s="1"/>
  <c r="K365" i="47"/>
  <c r="M365" i="47" s="1"/>
  <c r="K393" i="47"/>
  <c r="M393" i="47" s="1"/>
  <c r="K442" i="47"/>
  <c r="L442" i="47" s="1"/>
  <c r="K394" i="47"/>
  <c r="M394" i="47" s="1"/>
  <c r="K443" i="47"/>
  <c r="K468" i="47"/>
  <c r="M468" i="47" s="1"/>
  <c r="K390" i="47"/>
  <c r="L390" i="47" s="1"/>
  <c r="K366" i="47"/>
  <c r="L366" i="47" s="1"/>
  <c r="K419" i="47"/>
  <c r="M419" i="47" s="1"/>
  <c r="K440" i="47"/>
  <c r="L440" i="47" s="1"/>
  <c r="K367" i="47"/>
  <c r="L367" i="47" s="1"/>
  <c r="L402" i="47"/>
  <c r="K368" i="47"/>
  <c r="M368" i="47" s="1"/>
  <c r="M436" i="47"/>
  <c r="K444" i="47"/>
  <c r="L444" i="47" s="1"/>
  <c r="M466" i="47"/>
  <c r="K369" i="47"/>
  <c r="M369" i="47" s="1"/>
  <c r="K437" i="47"/>
  <c r="K438" i="47"/>
  <c r="M438" i="47" s="1"/>
  <c r="K467" i="47"/>
  <c r="M467" i="47" s="1"/>
  <c r="L497" i="47"/>
  <c r="L501" i="47"/>
  <c r="L498" i="47"/>
  <c r="L502" i="47"/>
  <c r="L499" i="47"/>
  <c r="L503" i="47"/>
  <c r="L500" i="47"/>
  <c r="L471" i="47"/>
  <c r="L475" i="47"/>
  <c r="L472" i="47"/>
  <c r="L476" i="47"/>
  <c r="L473" i="47"/>
  <c r="L477" i="47"/>
  <c r="L470" i="47"/>
  <c r="L474" i="47"/>
  <c r="L446" i="47"/>
  <c r="L450" i="47"/>
  <c r="L425" i="47"/>
  <c r="M421" i="47"/>
  <c r="L422" i="47"/>
  <c r="L426" i="47"/>
  <c r="L423" i="47"/>
  <c r="L427" i="47"/>
  <c r="L420" i="47"/>
  <c r="L424" i="47"/>
  <c r="L396" i="47"/>
  <c r="L400" i="47"/>
  <c r="L397" i="47"/>
  <c r="L401" i="47"/>
  <c r="L395" i="47"/>
  <c r="L399" i="47"/>
  <c r="L371" i="47"/>
  <c r="L375" i="47"/>
  <c r="L372" i="47"/>
  <c r="L376" i="47"/>
  <c r="L373" i="47"/>
  <c r="L377" i="47"/>
  <c r="L370" i="47"/>
  <c r="L374" i="47"/>
  <c r="L346" i="47"/>
  <c r="L350" i="47"/>
  <c r="L348" i="47"/>
  <c r="L352" i="47"/>
  <c r="L321" i="47"/>
  <c r="L325" i="47"/>
  <c r="L322" i="47"/>
  <c r="L326" i="47"/>
  <c r="L323" i="47"/>
  <c r="L327" i="47"/>
  <c r="L320" i="47"/>
  <c r="L324" i="47"/>
  <c r="M274" i="47"/>
  <c r="M127" i="47"/>
  <c r="L270" i="47"/>
  <c r="M202" i="47"/>
  <c r="L122" i="47"/>
  <c r="K93" i="47"/>
  <c r="M93" i="47" s="1"/>
  <c r="M124" i="47"/>
  <c r="L125" i="47"/>
  <c r="L277" i="47"/>
  <c r="M123" i="47"/>
  <c r="L198" i="47"/>
  <c r="K289" i="47"/>
  <c r="M289" i="47" s="1"/>
  <c r="M298" i="47"/>
  <c r="M173" i="47"/>
  <c r="L273" i="47"/>
  <c r="L126" i="47"/>
  <c r="K189" i="47"/>
  <c r="L189" i="47" s="1"/>
  <c r="L197" i="47"/>
  <c r="K242" i="47"/>
  <c r="M242" i="47" s="1"/>
  <c r="M249" i="47"/>
  <c r="L121" i="47"/>
  <c r="M201" i="47"/>
  <c r="K190" i="47"/>
  <c r="M190" i="47" s="1"/>
  <c r="K290" i="47"/>
  <c r="M290" i="47" s="1"/>
  <c r="M167" i="47"/>
  <c r="K191" i="47"/>
  <c r="K243" i="47"/>
  <c r="M243" i="47" s="1"/>
  <c r="K291" i="47"/>
  <c r="L291" i="47" s="1"/>
  <c r="K143" i="47"/>
  <c r="M143" i="47" s="1"/>
  <c r="K168" i="47"/>
  <c r="M168" i="47" s="1"/>
  <c r="K244" i="47"/>
  <c r="M244" i="47" s="1"/>
  <c r="M269" i="47"/>
  <c r="K292" i="47"/>
  <c r="M292" i="47" s="1"/>
  <c r="K293" i="47"/>
  <c r="M293" i="47" s="1"/>
  <c r="K144" i="47"/>
  <c r="M144" i="47" s="1"/>
  <c r="K169" i="47"/>
  <c r="M169" i="47" s="1"/>
  <c r="K192" i="47"/>
  <c r="M192" i="47" s="1"/>
  <c r="K294" i="47"/>
  <c r="L294" i="47" s="1"/>
  <c r="K94" i="47"/>
  <c r="M94" i="47" s="1"/>
  <c r="M177" i="47"/>
  <c r="K193" i="47"/>
  <c r="M193" i="47" s="1"/>
  <c r="M245" i="47"/>
  <c r="L86" i="47"/>
  <c r="K119" i="47"/>
  <c r="M119" i="47" s="1"/>
  <c r="K194" i="47"/>
  <c r="L194" i="47" s="1"/>
  <c r="L199" i="47"/>
  <c r="M302" i="47"/>
  <c r="L112" i="47"/>
  <c r="M120" i="47"/>
  <c r="L195" i="47"/>
  <c r="L247" i="47"/>
  <c r="L251" i="47"/>
  <c r="L296" i="47"/>
  <c r="L300" i="47"/>
  <c r="L248" i="47"/>
  <c r="L252" i="47"/>
  <c r="L297" i="47"/>
  <c r="L301" i="47"/>
  <c r="L271" i="47"/>
  <c r="L275" i="47"/>
  <c r="L272" i="47"/>
  <c r="L276" i="47"/>
  <c r="L246" i="47"/>
  <c r="L250" i="47"/>
  <c r="L295" i="47"/>
  <c r="L299" i="47"/>
  <c r="L172" i="47"/>
  <c r="L176" i="47"/>
  <c r="L221" i="47"/>
  <c r="L225" i="47"/>
  <c r="L222" i="47"/>
  <c r="L226" i="47"/>
  <c r="L196" i="47"/>
  <c r="L200" i="47"/>
  <c r="L170" i="47"/>
  <c r="L174" i="47"/>
  <c r="L223" i="47"/>
  <c r="L227" i="47"/>
  <c r="L171" i="47"/>
  <c r="L175" i="47"/>
  <c r="L220" i="47"/>
  <c r="L224" i="47"/>
  <c r="L97" i="47"/>
  <c r="L101" i="47"/>
  <c r="L146" i="47"/>
  <c r="L150" i="47"/>
  <c r="L98" i="47"/>
  <c r="L102" i="47"/>
  <c r="L147" i="47"/>
  <c r="L151" i="47"/>
  <c r="L95" i="47"/>
  <c r="L99" i="47"/>
  <c r="L148" i="47"/>
  <c r="L152" i="47"/>
  <c r="L96" i="47"/>
  <c r="L100" i="47"/>
  <c r="L145" i="47"/>
  <c r="L149" i="47"/>
  <c r="I188" i="80"/>
  <c r="K188" i="80" s="1"/>
  <c r="I153" i="80"/>
  <c r="K153" i="80" s="1"/>
  <c r="J169" i="80"/>
  <c r="J126" i="80"/>
  <c r="J140" i="80"/>
  <c r="J176" i="80"/>
  <c r="I224" i="80"/>
  <c r="K224" i="80" s="1"/>
  <c r="I259" i="80"/>
  <c r="K259" i="80" s="1"/>
  <c r="I226" i="80"/>
  <c r="K226" i="80" s="1"/>
  <c r="J55" i="80"/>
  <c r="J51" i="80"/>
  <c r="C7" i="42"/>
  <c r="L22" i="47"/>
  <c r="L25" i="47"/>
  <c r="M23" i="47"/>
  <c r="M27" i="47"/>
  <c r="L26" i="47"/>
  <c r="M24" i="47"/>
  <c r="J258" i="80"/>
  <c r="J240" i="80"/>
  <c r="I241" i="80"/>
  <c r="K241" i="80" s="1"/>
  <c r="I228" i="80"/>
  <c r="J217" i="80"/>
  <c r="J204" i="80"/>
  <c r="I192" i="80"/>
  <c r="K192" i="80" s="1"/>
  <c r="I178" i="80"/>
  <c r="K178" i="80" s="1"/>
  <c r="J154" i="80"/>
  <c r="J153" i="80"/>
  <c r="I169" i="80"/>
  <c r="K169" i="80" s="1"/>
  <c r="J181" i="80"/>
  <c r="J228" i="80"/>
  <c r="J257" i="80"/>
  <c r="I126" i="80"/>
  <c r="K126" i="80" s="1"/>
  <c r="J192" i="80"/>
  <c r="I204" i="80"/>
  <c r="K204" i="80" s="1"/>
  <c r="J101" i="80"/>
  <c r="I181" i="80"/>
  <c r="K181" i="80" s="1"/>
  <c r="J193" i="80"/>
  <c r="J90" i="80"/>
  <c r="I200" i="80"/>
  <c r="K200" i="80" s="1"/>
  <c r="J259" i="80"/>
  <c r="I140" i="80"/>
  <c r="K140" i="80" s="1"/>
  <c r="J152" i="80"/>
  <c r="I225" i="80"/>
  <c r="K225" i="80" s="1"/>
  <c r="J241" i="80"/>
  <c r="J261" i="80"/>
  <c r="J178" i="80"/>
  <c r="I130" i="80"/>
  <c r="K130" i="80" s="1"/>
  <c r="J168" i="80"/>
  <c r="J226" i="80"/>
  <c r="I260" i="80"/>
  <c r="K260" i="80" s="1"/>
  <c r="I261" i="80"/>
  <c r="K261" i="80" s="1"/>
  <c r="I258" i="80"/>
  <c r="K258" i="80" s="1"/>
  <c r="I168" i="80"/>
  <c r="K168" i="80" s="1"/>
  <c r="I176" i="80"/>
  <c r="J179" i="80"/>
  <c r="I154" i="80"/>
  <c r="K154" i="80" s="1"/>
  <c r="I205" i="80"/>
  <c r="K205" i="80" s="1"/>
  <c r="J224" i="80"/>
  <c r="I217" i="80"/>
  <c r="K217" i="80" s="1"/>
  <c r="I152" i="80"/>
  <c r="K152" i="80" s="1"/>
  <c r="I93" i="80"/>
  <c r="K93" i="80" s="1"/>
  <c r="I101" i="80"/>
  <c r="K101" i="80" s="1"/>
  <c r="I90" i="80"/>
  <c r="K90" i="80" s="1"/>
  <c r="I55" i="80"/>
  <c r="K55" i="80" s="1"/>
  <c r="I51" i="80"/>
  <c r="K51" i="80" s="1"/>
  <c r="K54" i="80" l="1"/>
  <c r="I180" i="80"/>
  <c r="K180" i="80" s="1"/>
  <c r="K248" i="80"/>
  <c r="D13" i="131"/>
  <c r="K163" i="80"/>
  <c r="D5" i="131"/>
  <c r="K228" i="80"/>
  <c r="F18" i="130"/>
  <c r="F6" i="130"/>
  <c r="F10" i="130"/>
  <c r="M491" i="47"/>
  <c r="F15" i="130"/>
  <c r="L488" i="47"/>
  <c r="F12" i="130"/>
  <c r="L236" i="47"/>
  <c r="F11" i="130"/>
  <c r="L116" i="47"/>
  <c r="F8" i="130"/>
  <c r="F13" i="130"/>
  <c r="M489" i="47"/>
  <c r="F20" i="130"/>
  <c r="M90" i="47"/>
  <c r="F25" i="130"/>
  <c r="M312" i="47"/>
  <c r="F16" i="130"/>
  <c r="F26" i="130"/>
  <c r="F24" i="130"/>
  <c r="M117" i="47"/>
  <c r="F9" i="130"/>
  <c r="M490" i="47"/>
  <c r="F21" i="130"/>
  <c r="F7" i="130"/>
  <c r="L496" i="47"/>
  <c r="L66" i="47"/>
  <c r="M66" i="47"/>
  <c r="L40" i="47"/>
  <c r="M40" i="47"/>
  <c r="L65" i="47"/>
  <c r="M65" i="47"/>
  <c r="L62" i="47"/>
  <c r="M62" i="47"/>
  <c r="L64" i="47"/>
  <c r="M64" i="47"/>
  <c r="L68" i="47"/>
  <c r="M68" i="47"/>
  <c r="M63" i="47"/>
  <c r="L63" i="47"/>
  <c r="L61" i="47"/>
  <c r="M61" i="47"/>
  <c r="L44" i="47"/>
  <c r="M44" i="47"/>
  <c r="L21" i="47"/>
  <c r="M20" i="47"/>
  <c r="M43" i="47"/>
  <c r="L43" i="47"/>
  <c r="M41" i="47"/>
  <c r="L41" i="47"/>
  <c r="L69" i="47"/>
  <c r="M69" i="47"/>
  <c r="L67" i="47"/>
  <c r="M67" i="47"/>
  <c r="K78" i="47"/>
  <c r="M79" i="47" s="1"/>
  <c r="L42" i="47"/>
  <c r="K53" i="47"/>
  <c r="M54" i="47" s="1"/>
  <c r="M42" i="47"/>
  <c r="J201" i="80"/>
  <c r="J203" i="80"/>
  <c r="J191" i="80"/>
  <c r="M340" i="47"/>
  <c r="K353" i="47"/>
  <c r="L263" i="47"/>
  <c r="M286" i="47"/>
  <c r="K303" i="47"/>
  <c r="M304" i="47" s="1"/>
  <c r="I102" i="80"/>
  <c r="K102" i="80" s="1"/>
  <c r="J50" i="80"/>
  <c r="I202" i="80"/>
  <c r="K202" i="80" s="1"/>
  <c r="J103" i="80"/>
  <c r="J227" i="80"/>
  <c r="I105" i="80"/>
  <c r="K105" i="80" s="1"/>
  <c r="I190" i="80"/>
  <c r="K190" i="80" s="1"/>
  <c r="J149" i="80"/>
  <c r="I75" i="80"/>
  <c r="K75" i="80" s="1"/>
  <c r="J248" i="80"/>
  <c r="J37" i="80"/>
  <c r="I62" i="80"/>
  <c r="K62" i="80" s="1"/>
  <c r="I52" i="80"/>
  <c r="J54" i="80"/>
  <c r="I237" i="80"/>
  <c r="K237" i="80" s="1"/>
  <c r="I162" i="80"/>
  <c r="K162" i="80" s="1"/>
  <c r="J163" i="80"/>
  <c r="I164" i="80"/>
  <c r="J161" i="80"/>
  <c r="I165" i="80"/>
  <c r="K165" i="80" s="1"/>
  <c r="J165" i="80"/>
  <c r="I166" i="80"/>
  <c r="J166" i="80"/>
  <c r="I112" i="80"/>
  <c r="K112" i="80" s="1"/>
  <c r="I113" i="80"/>
  <c r="K113" i="80" s="1"/>
  <c r="J113" i="80"/>
  <c r="I114" i="80"/>
  <c r="K114" i="80" s="1"/>
  <c r="J114" i="80"/>
  <c r="I115" i="80"/>
  <c r="K115" i="80" s="1"/>
  <c r="J115" i="80"/>
  <c r="I104" i="80"/>
  <c r="K104" i="80" s="1"/>
  <c r="J79" i="80"/>
  <c r="I79" i="80"/>
  <c r="K79" i="80" s="1"/>
  <c r="J80" i="80"/>
  <c r="I80" i="80"/>
  <c r="I78" i="80"/>
  <c r="J78" i="80"/>
  <c r="J77" i="80"/>
  <c r="I77" i="80"/>
  <c r="J76" i="80"/>
  <c r="I76" i="80"/>
  <c r="K76" i="80" s="1"/>
  <c r="J65" i="80"/>
  <c r="I65" i="80"/>
  <c r="K65" i="80" s="1"/>
  <c r="J63" i="80"/>
  <c r="I63" i="80"/>
  <c r="K63" i="80" s="1"/>
  <c r="J64" i="80"/>
  <c r="I64" i="80"/>
  <c r="K64" i="80" s="1"/>
  <c r="I66" i="80"/>
  <c r="K66" i="80" s="1"/>
  <c r="J66" i="80"/>
  <c r="J53" i="80"/>
  <c r="I38" i="80"/>
  <c r="K38" i="80" s="1"/>
  <c r="J38" i="80"/>
  <c r="I40" i="80"/>
  <c r="K40" i="80" s="1"/>
  <c r="J40" i="80"/>
  <c r="J39" i="80"/>
  <c r="I39" i="80"/>
  <c r="I253" i="80"/>
  <c r="K253" i="80" s="1"/>
  <c r="J253" i="80"/>
  <c r="I254" i="80"/>
  <c r="J254" i="80"/>
  <c r="I250" i="80"/>
  <c r="K250" i="80" s="1"/>
  <c r="J250" i="80"/>
  <c r="I251" i="80"/>
  <c r="J251" i="80"/>
  <c r="J249" i="80"/>
  <c r="I249" i="80"/>
  <c r="K249" i="80" s="1"/>
  <c r="J252" i="80"/>
  <c r="I252" i="80"/>
  <c r="J255" i="80"/>
  <c r="I255" i="80"/>
  <c r="J238" i="80"/>
  <c r="J239" i="80"/>
  <c r="I236" i="80"/>
  <c r="J213" i="80"/>
  <c r="I216" i="80"/>
  <c r="K216" i="80" s="1"/>
  <c r="I215" i="80"/>
  <c r="K215" i="80" s="1"/>
  <c r="I24" i="80"/>
  <c r="K24" i="80" s="1"/>
  <c r="J25" i="80"/>
  <c r="I25" i="80"/>
  <c r="K25" i="80" s="1"/>
  <c r="J27" i="80"/>
  <c r="I27" i="80"/>
  <c r="K27" i="80" s="1"/>
  <c r="J26" i="80"/>
  <c r="I26" i="80"/>
  <c r="K26" i="80" s="1"/>
  <c r="J12" i="80"/>
  <c r="I12" i="80"/>
  <c r="J10" i="80"/>
  <c r="I10" i="80"/>
  <c r="J11" i="80"/>
  <c r="I11" i="80"/>
  <c r="J142" i="80"/>
  <c r="I118" i="80"/>
  <c r="K118" i="80" s="1"/>
  <c r="J125" i="80"/>
  <c r="J151" i="80"/>
  <c r="I139" i="80"/>
  <c r="K139" i="80" s="1"/>
  <c r="I91" i="80"/>
  <c r="K91" i="80" s="1"/>
  <c r="J128" i="80"/>
  <c r="J177" i="80"/>
  <c r="I137" i="80"/>
  <c r="K137" i="80" s="1"/>
  <c r="I214" i="80"/>
  <c r="K214" i="80" s="1"/>
  <c r="I212" i="80"/>
  <c r="K212" i="80" s="1"/>
  <c r="J117" i="80"/>
  <c r="J88" i="80"/>
  <c r="I150" i="80"/>
  <c r="K150" i="80" s="1"/>
  <c r="I92" i="80"/>
  <c r="K92" i="80" s="1"/>
  <c r="J100" i="80"/>
  <c r="J138" i="80"/>
  <c r="J89" i="80"/>
  <c r="I127" i="80"/>
  <c r="K127" i="80" s="1"/>
  <c r="J141" i="80"/>
  <c r="M261" i="47"/>
  <c r="M336" i="47"/>
  <c r="M444" i="47"/>
  <c r="M390" i="47"/>
  <c r="M417" i="47"/>
  <c r="L311" i="47"/>
  <c r="M212" i="47"/>
  <c r="L317" i="47"/>
  <c r="L313" i="47"/>
  <c r="M314" i="47"/>
  <c r="M366" i="47"/>
  <c r="L412" i="47"/>
  <c r="L386" i="47"/>
  <c r="L489" i="47"/>
  <c r="M487" i="47"/>
  <c r="M367" i="47"/>
  <c r="M338" i="47"/>
  <c r="L319" i="47"/>
  <c r="L391" i="47"/>
  <c r="L387" i="47"/>
  <c r="L337" i="47"/>
  <c r="L469" i="47"/>
  <c r="K403" i="47"/>
  <c r="L361" i="47"/>
  <c r="M363" i="47"/>
  <c r="M442" i="47"/>
  <c r="L344" i="47"/>
  <c r="L438" i="47"/>
  <c r="M488" i="47"/>
  <c r="M362" i="47"/>
  <c r="L467" i="47"/>
  <c r="L490" i="47"/>
  <c r="M440" i="47"/>
  <c r="L163" i="47"/>
  <c r="L318" i="47"/>
  <c r="L419" i="47"/>
  <c r="L365" i="47"/>
  <c r="L336" i="47"/>
  <c r="L388" i="47"/>
  <c r="L418" i="47"/>
  <c r="L491" i="47"/>
  <c r="M494" i="47"/>
  <c r="M342" i="47"/>
  <c r="L393" i="47"/>
  <c r="L415" i="47"/>
  <c r="L217" i="47"/>
  <c r="M341" i="47"/>
  <c r="L339" i="47"/>
  <c r="M392" i="47"/>
  <c r="L495" i="47"/>
  <c r="L312" i="47"/>
  <c r="L462" i="47"/>
  <c r="L243" i="47"/>
  <c r="K504" i="47"/>
  <c r="L340" i="47"/>
  <c r="M413" i="47"/>
  <c r="L486" i="47"/>
  <c r="M267" i="47"/>
  <c r="L239" i="47"/>
  <c r="L394" i="47"/>
  <c r="L463" i="47"/>
  <c r="L439" i="47"/>
  <c r="M439" i="47"/>
  <c r="L416" i="47"/>
  <c r="K428" i="47"/>
  <c r="L468" i="47"/>
  <c r="K328" i="47"/>
  <c r="L343" i="47"/>
  <c r="L368" i="47"/>
  <c r="L492" i="47"/>
  <c r="L290" i="47"/>
  <c r="L316" i="47"/>
  <c r="L369" i="47"/>
  <c r="M411" i="47"/>
  <c r="L466" i="47"/>
  <c r="L464" i="47"/>
  <c r="L437" i="47"/>
  <c r="M437" i="47"/>
  <c r="L441" i="47"/>
  <c r="M441" i="47"/>
  <c r="M461" i="47"/>
  <c r="K478" i="47"/>
  <c r="L315" i="47"/>
  <c r="K378" i="47"/>
  <c r="M379" i="47" s="1"/>
  <c r="L443" i="47"/>
  <c r="M443" i="47"/>
  <c r="L389" i="47"/>
  <c r="L436" i="47"/>
  <c r="M486" i="47"/>
  <c r="L364" i="47"/>
  <c r="L465" i="47"/>
  <c r="K453" i="47"/>
  <c r="L93" i="47"/>
  <c r="L115" i="47"/>
  <c r="L244" i="47"/>
  <c r="M216" i="47"/>
  <c r="L240" i="47"/>
  <c r="L286" i="47"/>
  <c r="L289" i="47"/>
  <c r="L144" i="47"/>
  <c r="L119" i="47"/>
  <c r="L262" i="47"/>
  <c r="L139" i="47"/>
  <c r="M291" i="47"/>
  <c r="M116" i="47"/>
  <c r="M88" i="47"/>
  <c r="L268" i="47"/>
  <c r="L238" i="47"/>
  <c r="M86" i="47"/>
  <c r="L266" i="47"/>
  <c r="M118" i="47"/>
  <c r="L90" i="47"/>
  <c r="L167" i="47"/>
  <c r="L218" i="47"/>
  <c r="L287" i="47"/>
  <c r="L113" i="47"/>
  <c r="L188" i="47"/>
  <c r="L215" i="47"/>
  <c r="L165" i="47"/>
  <c r="L264" i="47"/>
  <c r="L92" i="47"/>
  <c r="L94" i="47"/>
  <c r="M236" i="47"/>
  <c r="M161" i="47"/>
  <c r="L137" i="47"/>
  <c r="M194" i="47"/>
  <c r="M265" i="47"/>
  <c r="L114" i="47"/>
  <c r="L89" i="47"/>
  <c r="L168" i="47"/>
  <c r="L164" i="47"/>
  <c r="M136" i="47"/>
  <c r="L140" i="47"/>
  <c r="L141" i="47"/>
  <c r="L288" i="47"/>
  <c r="L142" i="47"/>
  <c r="M189" i="47"/>
  <c r="L91" i="47"/>
  <c r="L111" i="47"/>
  <c r="L192" i="47"/>
  <c r="K128" i="47"/>
  <c r="L87" i="47"/>
  <c r="L193" i="47"/>
  <c r="L117" i="47"/>
  <c r="L269" i="47"/>
  <c r="M112" i="47"/>
  <c r="L237" i="47"/>
  <c r="M237" i="47"/>
  <c r="L214" i="47"/>
  <c r="K178" i="47"/>
  <c r="M179" i="47" s="1"/>
  <c r="M294" i="47"/>
  <c r="L241" i="47"/>
  <c r="L143" i="47"/>
  <c r="L219" i="47"/>
  <c r="L213" i="47"/>
  <c r="K253" i="47"/>
  <c r="L292" i="47"/>
  <c r="K278" i="47"/>
  <c r="M279" i="47" s="1"/>
  <c r="L211" i="47"/>
  <c r="K203" i="47"/>
  <c r="L169" i="47"/>
  <c r="K153" i="47"/>
  <c r="M154" i="47" s="1"/>
  <c r="L186" i="47"/>
  <c r="L293" i="47"/>
  <c r="L166" i="47"/>
  <c r="M187" i="47"/>
  <c r="L187" i="47"/>
  <c r="K103" i="47"/>
  <c r="L162" i="47"/>
  <c r="L190" i="47"/>
  <c r="L242" i="47"/>
  <c r="M191" i="47"/>
  <c r="L191" i="47"/>
  <c r="L138" i="47"/>
  <c r="K228" i="47"/>
  <c r="I230" i="80"/>
  <c r="K231" i="80" s="1"/>
  <c r="BE13" i="127" s="1"/>
  <c r="I182" i="80"/>
  <c r="K176" i="80"/>
  <c r="K88" i="80"/>
  <c r="K37" i="80"/>
  <c r="D17" i="131" l="1"/>
  <c r="K80" i="80"/>
  <c r="D20" i="131"/>
  <c r="K251" i="80"/>
  <c r="D8" i="131"/>
  <c r="K52" i="80"/>
  <c r="D14" i="131"/>
  <c r="D12" i="131"/>
  <c r="K254" i="80"/>
  <c r="D19" i="131"/>
  <c r="D9" i="131"/>
  <c r="K11" i="80"/>
  <c r="D4" i="131"/>
  <c r="K236" i="80"/>
  <c r="D16" i="131"/>
  <c r="K39" i="80"/>
  <c r="D22" i="131"/>
  <c r="K10" i="80"/>
  <c r="D6" i="131"/>
  <c r="K255" i="80"/>
  <c r="D2" i="131"/>
  <c r="K166" i="80"/>
  <c r="D11" i="131"/>
  <c r="K164" i="80"/>
  <c r="D3" i="131"/>
  <c r="K12" i="80"/>
  <c r="D18" i="131"/>
  <c r="K77" i="80"/>
  <c r="D10" i="131"/>
  <c r="K252" i="80"/>
  <c r="D15" i="131"/>
  <c r="K78" i="80"/>
  <c r="D21" i="131"/>
  <c r="M504" i="47"/>
  <c r="M505" i="47"/>
  <c r="M478" i="47"/>
  <c r="M479" i="47"/>
  <c r="BF14" i="127" s="1"/>
  <c r="M453" i="47"/>
  <c r="M454" i="47"/>
  <c r="BF13" i="127" s="1"/>
  <c r="M428" i="47"/>
  <c r="M429" i="47"/>
  <c r="BF12" i="127" s="1"/>
  <c r="M404" i="47"/>
  <c r="BF16" i="118" s="1"/>
  <c r="M353" i="47"/>
  <c r="M354" i="47"/>
  <c r="BF27" i="124" s="1"/>
  <c r="M328" i="47"/>
  <c r="M329" i="47"/>
  <c r="M254" i="47"/>
  <c r="BF21" i="124" s="1"/>
  <c r="L228" i="47"/>
  <c r="M229" i="47"/>
  <c r="M204" i="47"/>
  <c r="BF13" i="125" s="1"/>
  <c r="L128" i="47"/>
  <c r="M129" i="47"/>
  <c r="BF17" i="124" s="1"/>
  <c r="BF15" i="124"/>
  <c r="M104" i="47"/>
  <c r="BF13" i="124" s="1"/>
  <c r="M78" i="47"/>
  <c r="L78" i="47"/>
  <c r="BF12" i="124"/>
  <c r="M53" i="47"/>
  <c r="L53" i="47"/>
  <c r="BF14" i="126"/>
  <c r="I206" i="80"/>
  <c r="J206" i="80" s="1"/>
  <c r="L278" i="47"/>
  <c r="I106" i="80"/>
  <c r="J106" i="80" s="1"/>
  <c r="I194" i="80"/>
  <c r="K195" i="80" s="1"/>
  <c r="BE17" i="125" s="1"/>
  <c r="I56" i="80"/>
  <c r="K56" i="80" s="1"/>
  <c r="I170" i="80"/>
  <c r="K171" i="80" s="1"/>
  <c r="BE16" i="125" s="1"/>
  <c r="BF13" i="118"/>
  <c r="BF15" i="118"/>
  <c r="BF10" i="118"/>
  <c r="BF11" i="118"/>
  <c r="I69" i="80"/>
  <c r="J69" i="80" s="1"/>
  <c r="I44" i="80"/>
  <c r="K44" i="80" s="1"/>
  <c r="I262" i="80"/>
  <c r="K262" i="80" s="1"/>
  <c r="I242" i="80"/>
  <c r="J242" i="80" s="1"/>
  <c r="I94" i="80"/>
  <c r="J94" i="80" s="1"/>
  <c r="I131" i="80"/>
  <c r="K132" i="80" s="1"/>
  <c r="BE21" i="124" s="1"/>
  <c r="I143" i="80"/>
  <c r="K144" i="80" s="1"/>
  <c r="BE24" i="124" s="1"/>
  <c r="I155" i="80"/>
  <c r="K156" i="80" s="1"/>
  <c r="I218" i="80"/>
  <c r="K219" i="80" s="1"/>
  <c r="BE12" i="127" s="1"/>
  <c r="I119" i="80"/>
  <c r="J119" i="80" s="1"/>
  <c r="I82" i="80"/>
  <c r="K83" i="80" s="1"/>
  <c r="BE12" i="125" s="1"/>
  <c r="I31" i="80"/>
  <c r="K32" i="80" s="1"/>
  <c r="BE14" i="126" s="1"/>
  <c r="L353" i="47"/>
  <c r="L478" i="47"/>
  <c r="L403" i="47"/>
  <c r="M403" i="47"/>
  <c r="L504" i="47"/>
  <c r="L428" i="47"/>
  <c r="L453" i="47"/>
  <c r="L328" i="47"/>
  <c r="BF17" i="125"/>
  <c r="M378" i="47"/>
  <c r="L378" i="47"/>
  <c r="BF16" i="125"/>
  <c r="M178" i="47"/>
  <c r="M228" i="47"/>
  <c r="L203" i="47"/>
  <c r="L178" i="47"/>
  <c r="M278" i="47"/>
  <c r="BF24" i="124"/>
  <c r="M128" i="47"/>
  <c r="M203" i="47"/>
  <c r="L303" i="47"/>
  <c r="M103" i="47"/>
  <c r="M303" i="47"/>
  <c r="L103" i="47"/>
  <c r="L253" i="47"/>
  <c r="M253" i="47"/>
  <c r="L153" i="47"/>
  <c r="BF12" i="125"/>
  <c r="M153" i="47"/>
  <c r="J230" i="80"/>
  <c r="K230" i="80"/>
  <c r="K183" i="80"/>
  <c r="BE27" i="124" s="1"/>
  <c r="K182" i="80"/>
  <c r="J182" i="80"/>
  <c r="K107" i="80" l="1"/>
  <c r="BE13" i="125" s="1"/>
  <c r="BJ13" i="125" s="1"/>
  <c r="BL13" i="125" s="1"/>
  <c r="K106" i="80"/>
  <c r="K207" i="80"/>
  <c r="BE16" i="118" s="1"/>
  <c r="K206" i="80"/>
  <c r="J194" i="80"/>
  <c r="BF14" i="124"/>
  <c r="BF11" i="124"/>
  <c r="BF10" i="124"/>
  <c r="BF25" i="124"/>
  <c r="BF26" i="124"/>
  <c r="BF18" i="124"/>
  <c r="BF19" i="124"/>
  <c r="J56" i="80"/>
  <c r="K57" i="80"/>
  <c r="BE15" i="124" s="1"/>
  <c r="BJ15" i="124" s="1"/>
  <c r="BL15" i="124" s="1"/>
  <c r="K194" i="80"/>
  <c r="BE25" i="124"/>
  <c r="BE26" i="124"/>
  <c r="BJ16" i="125"/>
  <c r="BL16" i="125" s="1"/>
  <c r="BP16" i="125" s="1"/>
  <c r="BE14" i="125"/>
  <c r="BE15" i="125"/>
  <c r="J170" i="80"/>
  <c r="BF14" i="125"/>
  <c r="BF15" i="125"/>
  <c r="K170" i="80"/>
  <c r="BE13" i="118"/>
  <c r="BE15" i="118"/>
  <c r="J155" i="80"/>
  <c r="BJ24" i="124"/>
  <c r="BL24" i="124" s="1"/>
  <c r="BJ21" i="124"/>
  <c r="BL21" i="124" s="1"/>
  <c r="BP21" i="124" s="1"/>
  <c r="BE10" i="125"/>
  <c r="BE11" i="125"/>
  <c r="BF10" i="125"/>
  <c r="BF11" i="125"/>
  <c r="K69" i="80"/>
  <c r="K70" i="80"/>
  <c r="BE17" i="124" s="1"/>
  <c r="K45" i="80"/>
  <c r="BE12" i="124" s="1"/>
  <c r="J44" i="80"/>
  <c r="BF10" i="128"/>
  <c r="BF11" i="128"/>
  <c r="K263" i="80"/>
  <c r="J262" i="80"/>
  <c r="K242" i="80"/>
  <c r="K243" i="80"/>
  <c r="BE14" i="127" s="1"/>
  <c r="BF10" i="127"/>
  <c r="BF11" i="127"/>
  <c r="BE10" i="127"/>
  <c r="BE11" i="127"/>
  <c r="BE12" i="126"/>
  <c r="BE13" i="126"/>
  <c r="BF12" i="126"/>
  <c r="BF13" i="126"/>
  <c r="K119" i="80"/>
  <c r="K120" i="80"/>
  <c r="K155" i="80"/>
  <c r="K131" i="80"/>
  <c r="J131" i="80"/>
  <c r="K94" i="80"/>
  <c r="K95" i="80"/>
  <c r="K82" i="80"/>
  <c r="J82" i="80"/>
  <c r="J218" i="80"/>
  <c r="K218" i="80"/>
  <c r="J143" i="80"/>
  <c r="K143" i="80"/>
  <c r="J31" i="80"/>
  <c r="K31" i="80"/>
  <c r="H10" i="42"/>
  <c r="H11" i="42"/>
  <c r="H12" i="42"/>
  <c r="H13" i="42"/>
  <c r="H14" i="42"/>
  <c r="H15" i="42"/>
  <c r="H16" i="42"/>
  <c r="H17" i="80"/>
  <c r="H16" i="80"/>
  <c r="BJ14" i="125" l="1"/>
  <c r="BL14" i="125" s="1"/>
  <c r="BP14" i="125" s="1"/>
  <c r="BE13" i="124"/>
  <c r="BJ13" i="124" s="1"/>
  <c r="BL13" i="124" s="1"/>
  <c r="BN13" i="124" s="1"/>
  <c r="BE14" i="124"/>
  <c r="BJ14" i="124" s="1"/>
  <c r="BL14" i="124" s="1"/>
  <c r="BR14" i="124" s="1"/>
  <c r="BE18" i="124"/>
  <c r="BJ18" i="124" s="1"/>
  <c r="BL18" i="124" s="1"/>
  <c r="BE19" i="124"/>
  <c r="BR15" i="124"/>
  <c r="BN15" i="124"/>
  <c r="BP15" i="124"/>
  <c r="BN16" i="125"/>
  <c r="BR16" i="125"/>
  <c r="BJ15" i="125"/>
  <c r="BL15" i="125" s="1"/>
  <c r="BN15" i="125" s="1"/>
  <c r="BP24" i="124"/>
  <c r="BN24" i="124"/>
  <c r="BR24" i="124"/>
  <c r="BR21" i="124"/>
  <c r="BN21" i="124"/>
  <c r="BN13" i="125"/>
  <c r="BP13" i="125"/>
  <c r="BR13" i="125"/>
  <c r="BE10" i="118"/>
  <c r="BE11" i="118"/>
  <c r="BJ17" i="124"/>
  <c r="BL17" i="124" s="1"/>
  <c r="BN17" i="124" s="1"/>
  <c r="BJ12" i="124"/>
  <c r="BL12" i="124" s="1"/>
  <c r="BP12" i="124" s="1"/>
  <c r="BE10" i="124"/>
  <c r="BJ10" i="124" s="1"/>
  <c r="BE11" i="124"/>
  <c r="BE10" i="128"/>
  <c r="BE11" i="128"/>
  <c r="G17" i="42"/>
  <c r="G16" i="80"/>
  <c r="G17" i="80"/>
  <c r="G9" i="80"/>
  <c r="BR14" i="125" l="1"/>
  <c r="BN14" i="125"/>
  <c r="BP13" i="124"/>
  <c r="BR13" i="124"/>
  <c r="BJ19" i="124"/>
  <c r="BL19" i="124" s="1"/>
  <c r="BS15" i="124"/>
  <c r="F27" i="40" s="1"/>
  <c r="G27" i="40" s="1"/>
  <c r="H27" i="40" s="1"/>
  <c r="BS16" i="125"/>
  <c r="F49" i="40" s="1"/>
  <c r="G49" i="40" s="1"/>
  <c r="H49" i="40" s="1"/>
  <c r="BP15" i="125"/>
  <c r="BR15" i="125"/>
  <c r="BS21" i="124"/>
  <c r="F40" i="40" s="1"/>
  <c r="G40" i="40" s="1"/>
  <c r="H40" i="40" s="1"/>
  <c r="BS24" i="124"/>
  <c r="F43" i="40" s="1"/>
  <c r="G43" i="40" s="1"/>
  <c r="H43" i="40" s="1"/>
  <c r="BS13" i="125"/>
  <c r="F36" i="40" s="1"/>
  <c r="G36" i="40" s="1"/>
  <c r="H36" i="40" s="1"/>
  <c r="BP18" i="124"/>
  <c r="BN18" i="124"/>
  <c r="BR18" i="124"/>
  <c r="BP17" i="124"/>
  <c r="BR17" i="124"/>
  <c r="BN12" i="124"/>
  <c r="BR12" i="124"/>
  <c r="BP14" i="124"/>
  <c r="BN14" i="124"/>
  <c r="BL10" i="124"/>
  <c r="BN10" i="124" s="1"/>
  <c r="BJ11" i="124"/>
  <c r="BL11" i="124" s="1"/>
  <c r="BR11" i="124" s="1"/>
  <c r="J9" i="80"/>
  <c r="I9" i="80"/>
  <c r="I16" i="80"/>
  <c r="K16" i="80" s="1"/>
  <c r="BS14" i="125" l="1"/>
  <c r="F47" i="40" s="1"/>
  <c r="G47" i="40" s="1"/>
  <c r="H47" i="40" s="1"/>
  <c r="BS13" i="124"/>
  <c r="F25" i="40" s="1"/>
  <c r="G25" i="40" s="1"/>
  <c r="H25" i="40" s="1"/>
  <c r="K9" i="80"/>
  <c r="D7" i="131"/>
  <c r="D23" i="131" s="1"/>
  <c r="BR19" i="124"/>
  <c r="BP19" i="124"/>
  <c r="BN19" i="124"/>
  <c r="BS15" i="125"/>
  <c r="F48" i="40" s="1"/>
  <c r="G48" i="40" s="1"/>
  <c r="H48" i="40" s="1"/>
  <c r="BS17" i="124"/>
  <c r="F29" i="40" s="1"/>
  <c r="G29" i="40" s="1"/>
  <c r="H29" i="40" s="1"/>
  <c r="BS18" i="124"/>
  <c r="F37" i="40" s="1"/>
  <c r="G37" i="40" s="1"/>
  <c r="H37" i="40" s="1"/>
  <c r="BS14" i="124"/>
  <c r="F26" i="40" s="1"/>
  <c r="G26" i="40" s="1"/>
  <c r="H26" i="40" s="1"/>
  <c r="BS12" i="124"/>
  <c r="F24" i="40" s="1"/>
  <c r="G24" i="40" s="1"/>
  <c r="H24" i="40" s="1"/>
  <c r="BR10" i="124"/>
  <c r="BN11" i="124"/>
  <c r="BP11" i="124"/>
  <c r="BP10" i="124"/>
  <c r="J17" i="80"/>
  <c r="I17" i="80"/>
  <c r="K17" i="80" s="1"/>
  <c r="J16" i="80"/>
  <c r="BS19" i="124" l="1"/>
  <c r="F38" i="40" s="1"/>
  <c r="G38" i="40" s="1"/>
  <c r="H38" i="40" s="1"/>
  <c r="BS10" i="124"/>
  <c r="F22" i="40" s="1"/>
  <c r="G22" i="40" s="1"/>
  <c r="H22" i="40" s="1"/>
  <c r="BS11" i="124"/>
  <c r="F23" i="40" s="1"/>
  <c r="G23" i="40" s="1"/>
  <c r="H23" i="40" s="1"/>
  <c r="I18" i="42"/>
  <c r="I16" i="42"/>
  <c r="I13" i="42"/>
  <c r="H9" i="42"/>
  <c r="H17" i="42" s="1"/>
  <c r="BG17" i="125" l="1"/>
  <c r="BJ17" i="125" s="1"/>
  <c r="BL17" i="125" s="1"/>
  <c r="BP17" i="125" s="1"/>
  <c r="BG11" i="126"/>
  <c r="BG10" i="126"/>
  <c r="BG16" i="118"/>
  <c r="BJ16" i="118" s="1"/>
  <c r="BL16" i="118" s="1"/>
  <c r="BN16" i="118" s="1"/>
  <c r="BG27" i="124"/>
  <c r="BG25" i="124"/>
  <c r="BG26" i="124"/>
  <c r="BG13" i="127"/>
  <c r="BJ13" i="127" s="1"/>
  <c r="BL13" i="127" s="1"/>
  <c r="BG10" i="125"/>
  <c r="BG11" i="125"/>
  <c r="BG12" i="125"/>
  <c r="BG14" i="127"/>
  <c r="BG15" i="127"/>
  <c r="BG10" i="127"/>
  <c r="BG11" i="127"/>
  <c r="BG12" i="127"/>
  <c r="BG14" i="126"/>
  <c r="BG12" i="126"/>
  <c r="BG13" i="126"/>
  <c r="BG11" i="128"/>
  <c r="BG10" i="128"/>
  <c r="BG14" i="118"/>
  <c r="BG15" i="118"/>
  <c r="BG13" i="118"/>
  <c r="BG10" i="118"/>
  <c r="BG12" i="118"/>
  <c r="BG11" i="118"/>
  <c r="I14" i="42"/>
  <c r="I15" i="42"/>
  <c r="I12" i="42"/>
  <c r="I10" i="42"/>
  <c r="I11" i="42"/>
  <c r="BN17" i="125" l="1"/>
  <c r="BR17" i="125"/>
  <c r="BJ26" i="124"/>
  <c r="BL26" i="124" s="1"/>
  <c r="BN26" i="124" s="1"/>
  <c r="BJ25" i="124"/>
  <c r="BL25" i="124" s="1"/>
  <c r="BP25" i="124" s="1"/>
  <c r="BJ27" i="124"/>
  <c r="BL27" i="124" s="1"/>
  <c r="BP27" i="124" s="1"/>
  <c r="BR16" i="118"/>
  <c r="BP16" i="118"/>
  <c r="BR13" i="127"/>
  <c r="BP13" i="127"/>
  <c r="BN13" i="127"/>
  <c r="BJ12" i="125"/>
  <c r="BL12" i="125" s="1"/>
  <c r="BR12" i="125" s="1"/>
  <c r="BJ11" i="125"/>
  <c r="BL11" i="125" s="1"/>
  <c r="BP11" i="125" s="1"/>
  <c r="BJ10" i="125"/>
  <c r="BL10" i="125" s="1"/>
  <c r="BP10" i="125" s="1"/>
  <c r="BJ15" i="127"/>
  <c r="BL15" i="127" s="1"/>
  <c r="BN15" i="127" s="1"/>
  <c r="BJ14" i="127"/>
  <c r="BL14" i="127" s="1"/>
  <c r="BN14" i="127" s="1"/>
  <c r="BJ12" i="127"/>
  <c r="BL12" i="127" s="1"/>
  <c r="BR12" i="127" s="1"/>
  <c r="BJ11" i="127"/>
  <c r="BJ10" i="127"/>
  <c r="BL10" i="127" s="1"/>
  <c r="BP10" i="127" s="1"/>
  <c r="BJ13" i="126"/>
  <c r="BJ12" i="126"/>
  <c r="BL12" i="126" s="1"/>
  <c r="BR12" i="126" s="1"/>
  <c r="BJ14" i="126"/>
  <c r="BL14" i="126" s="1"/>
  <c r="BJ10" i="128"/>
  <c r="BL10" i="128" s="1"/>
  <c r="BJ11" i="128"/>
  <c r="BL11" i="128" s="1"/>
  <c r="BJ13" i="118"/>
  <c r="BL13" i="118" s="1"/>
  <c r="BR13" i="118" s="1"/>
  <c r="BJ15" i="118"/>
  <c r="BL15" i="118" s="1"/>
  <c r="BN15" i="118" s="1"/>
  <c r="BJ14" i="118"/>
  <c r="BL14" i="118" s="1"/>
  <c r="BR14" i="118" s="1"/>
  <c r="BJ11" i="118"/>
  <c r="BL11" i="118" s="1"/>
  <c r="BJ12" i="118"/>
  <c r="BL12" i="118" s="1"/>
  <c r="BP12" i="118" s="1"/>
  <c r="BJ10" i="118"/>
  <c r="BL10" i="118" s="1"/>
  <c r="BN10" i="118" s="1"/>
  <c r="F23" i="130"/>
  <c r="F22" i="130"/>
  <c r="F19" i="130"/>
  <c r="F29" i="130"/>
  <c r="F27" i="130"/>
  <c r="F28" i="130"/>
  <c r="I18" i="80"/>
  <c r="K19" i="80" s="1"/>
  <c r="F30" i="130" l="1"/>
  <c r="BP26" i="124"/>
  <c r="BR26" i="124"/>
  <c r="BS17" i="125"/>
  <c r="F53" i="40" s="1"/>
  <c r="G53" i="40" s="1"/>
  <c r="H53" i="40" s="1"/>
  <c r="BN25" i="124"/>
  <c r="BR25" i="124"/>
  <c r="BN27" i="124"/>
  <c r="BR27" i="124"/>
  <c r="BS13" i="127"/>
  <c r="F58" i="40" s="1"/>
  <c r="G58" i="40" s="1"/>
  <c r="H58" i="40" s="1"/>
  <c r="BP12" i="125"/>
  <c r="BS16" i="118"/>
  <c r="F54" i="40" s="1"/>
  <c r="G54" i="40" s="1"/>
  <c r="H54" i="40" s="1"/>
  <c r="BP15" i="127"/>
  <c r="BR10" i="125"/>
  <c r="BN11" i="125"/>
  <c r="BR11" i="125"/>
  <c r="BR15" i="127"/>
  <c r="BN10" i="125"/>
  <c r="BN12" i="125"/>
  <c r="BN12" i="126"/>
  <c r="BL11" i="127"/>
  <c r="BN11" i="127" s="1"/>
  <c r="BN12" i="127"/>
  <c r="BP12" i="127"/>
  <c r="BR14" i="127"/>
  <c r="BP14" i="127"/>
  <c r="BR10" i="127"/>
  <c r="BL13" i="126"/>
  <c r="BP13" i="126" s="1"/>
  <c r="BN10" i="127"/>
  <c r="BN14" i="126"/>
  <c r="BP14" i="126"/>
  <c r="BP12" i="126"/>
  <c r="BR14" i="126"/>
  <c r="BE10" i="126"/>
  <c r="BE11" i="126"/>
  <c r="BR11" i="128"/>
  <c r="BN11" i="128"/>
  <c r="BP10" i="128"/>
  <c r="BN10" i="128"/>
  <c r="BR10" i="128"/>
  <c r="BP13" i="118"/>
  <c r="BP11" i="128"/>
  <c r="BN13" i="118"/>
  <c r="BP15" i="118"/>
  <c r="BR15" i="118"/>
  <c r="BN11" i="118"/>
  <c r="BR11" i="118"/>
  <c r="BP14" i="118"/>
  <c r="BP11" i="118"/>
  <c r="BN14" i="118"/>
  <c r="BR12" i="118"/>
  <c r="BP10" i="118"/>
  <c r="BN12" i="118"/>
  <c r="BR10" i="118"/>
  <c r="L11" i="47"/>
  <c r="M11" i="47"/>
  <c r="L12" i="47"/>
  <c r="M12" i="47"/>
  <c r="M18" i="47"/>
  <c r="L18" i="47"/>
  <c r="M13" i="47"/>
  <c r="L13" i="47"/>
  <c r="M14" i="47"/>
  <c r="L14" i="47"/>
  <c r="L19" i="47"/>
  <c r="M19" i="47"/>
  <c r="M15" i="47"/>
  <c r="L15" i="47"/>
  <c r="M16" i="47"/>
  <c r="L16" i="47"/>
  <c r="M17" i="47"/>
  <c r="L17" i="47"/>
  <c r="J18" i="80"/>
  <c r="K18" i="80"/>
  <c r="BS27" i="124" l="1"/>
  <c r="F52" i="40" s="1"/>
  <c r="G52" i="40" s="1"/>
  <c r="H52" i="40" s="1"/>
  <c r="BS25" i="124"/>
  <c r="F50" i="40" s="1"/>
  <c r="G50" i="40" s="1"/>
  <c r="H50" i="40" s="1"/>
  <c r="BS26" i="124"/>
  <c r="F51" i="40" s="1"/>
  <c r="G51" i="40" s="1"/>
  <c r="H51" i="40" s="1"/>
  <c r="BS12" i="125"/>
  <c r="F32" i="40" s="1"/>
  <c r="G32" i="40" s="1"/>
  <c r="H32" i="40" s="1"/>
  <c r="BS10" i="125"/>
  <c r="F30" i="40" s="1"/>
  <c r="G30" i="40" s="1"/>
  <c r="H30" i="40" s="1"/>
  <c r="BS15" i="127"/>
  <c r="F60" i="40" s="1"/>
  <c r="G60" i="40" s="1"/>
  <c r="H60" i="40" s="1"/>
  <c r="BR11" i="127"/>
  <c r="BS12" i="127"/>
  <c r="F57" i="40" s="1"/>
  <c r="G57" i="40" s="1"/>
  <c r="H57" i="40" s="1"/>
  <c r="BS14" i="127"/>
  <c r="F59" i="40" s="1"/>
  <c r="G59" i="40" s="1"/>
  <c r="H59" i="40" s="1"/>
  <c r="BS10" i="127"/>
  <c r="F55" i="40" s="1"/>
  <c r="G55" i="40" s="1"/>
  <c r="H55" i="40" s="1"/>
  <c r="BR13" i="126"/>
  <c r="BN13" i="126"/>
  <c r="BS11" i="125"/>
  <c r="F31" i="40" s="1"/>
  <c r="G31" i="40" s="1"/>
  <c r="H31" i="40" s="1"/>
  <c r="BS14" i="126"/>
  <c r="F21" i="40" s="1"/>
  <c r="G21" i="40" s="1"/>
  <c r="H21" i="40" s="1"/>
  <c r="BP11" i="127"/>
  <c r="BS12" i="126"/>
  <c r="F19" i="40" s="1"/>
  <c r="G19" i="40" s="1"/>
  <c r="H19" i="40" s="1"/>
  <c r="BS12" i="118"/>
  <c r="F35" i="40" s="1"/>
  <c r="G35" i="40" s="1"/>
  <c r="H35" i="40" s="1"/>
  <c r="BS15" i="118"/>
  <c r="F46" i="40" s="1"/>
  <c r="G46" i="40" s="1"/>
  <c r="H46" i="40" s="1"/>
  <c r="BS13" i="118"/>
  <c r="F44" i="40" s="1"/>
  <c r="G44" i="40" s="1"/>
  <c r="H44" i="40" s="1"/>
  <c r="BS10" i="128"/>
  <c r="F61" i="40" s="1"/>
  <c r="G61" i="40" s="1"/>
  <c r="H61" i="40" s="1"/>
  <c r="BS11" i="128"/>
  <c r="F62" i="40" s="1"/>
  <c r="G62" i="40" s="1"/>
  <c r="H62" i="40" s="1"/>
  <c r="BS10" i="118"/>
  <c r="F33" i="40" s="1"/>
  <c r="BS11" i="118"/>
  <c r="F34" i="40" s="1"/>
  <c r="G34" i="40" s="1"/>
  <c r="H34" i="40" s="1"/>
  <c r="BS14" i="118"/>
  <c r="F45" i="40" s="1"/>
  <c r="G45" i="40" s="1"/>
  <c r="H45" i="40" s="1"/>
  <c r="I9" i="42"/>
  <c r="I17" i="42" s="1"/>
  <c r="BS11" i="127" l="1"/>
  <c r="F56" i="40" s="1"/>
  <c r="G56" i="40" s="1"/>
  <c r="H56" i="40" s="1"/>
  <c r="G33" i="40"/>
  <c r="H33" i="40" s="1"/>
  <c r="BS13" i="126"/>
  <c r="F20" i="40" s="1"/>
  <c r="G20" i="40" s="1"/>
  <c r="H20" i="40" s="1"/>
  <c r="K28" i="47"/>
  <c r="M29" i="47" s="1"/>
  <c r="M28" i="47" l="1"/>
  <c r="L28" i="47"/>
  <c r="BF10" i="126" l="1"/>
  <c r="BF11" i="126"/>
  <c r="BJ10" i="126" l="1"/>
  <c r="BL10" i="126" s="1"/>
  <c r="BR10" i="126" s="1"/>
  <c r="BJ11" i="126"/>
  <c r="BL11" i="126" s="1"/>
  <c r="BP10" i="126" l="1"/>
  <c r="BN10" i="126"/>
  <c r="BN11" i="126"/>
  <c r="BR11" i="126"/>
  <c r="BP11" i="126"/>
  <c r="BS10" i="126" l="1"/>
  <c r="BS11" i="126"/>
  <c r="F18" i="40" s="1"/>
  <c r="F63" i="40" s="1"/>
  <c r="F17" i="40"/>
  <c r="G18" i="40" l="1"/>
  <c r="G17" i="40"/>
  <c r="H18" i="40" l="1"/>
  <c r="H63" i="40" s="1"/>
  <c r="G63" i="40"/>
  <c r="H17" i="40"/>
  <c r="H64" i="40" l="1"/>
  <c r="H65" i="40" s="1"/>
</calcChain>
</file>

<file path=xl/comments1.xml><?xml version="1.0" encoding="utf-8"?>
<comments xmlns="http://schemas.openxmlformats.org/spreadsheetml/2006/main">
  <authors>
    <author>tc={A2E62F8E-F838-4DE3-BE35-51C6C35E7D2D}</author>
    <author>tc={94BBE282-7FBD-42C0-850C-0FD9B71702D0}</author>
    <author>tc={67D155E6-3130-456E-B31F-E1ABF2CFC71A}</author>
    <author>tc={4EF4B8F2-D7B0-4E74-BFB6-D733831D2229}</author>
  </authors>
  <commentList>
    <comment ref="AA9" authorId="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Transporte (22 * X)-(salário base x 6%)</t>
        </r>
      </text>
    </comment>
    <comment ref="AB9" authorId="1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Auxílio-Refeição/Alimentação (22 * X)</t>
        </r>
      </text>
    </comment>
    <comment ref="AB16" authorId="2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@Rafael: cláusula 14 da CCT 21 tem um valor 152,49 - 20%. O valor num entra aqui não? Se não, retirar das governantas
Resposta:
    tem que lançar os 20% de desconto se receber os auxílio, porém só recebe o vale quem estiver no grupo I e os encarregados.</t>
        </r>
      </text>
    </comment>
    <comment ref="AE16" authorId="3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@Rafael esses 18,50 vieram de onde? Incluí o mesmo valor para a governanta
Resposta:
    eu peguei num site. uhahuahua. mas tenho que ver isso direitinho.</t>
        </r>
      </text>
    </comment>
  </commentList>
</comments>
</file>

<file path=xl/comments10.xml><?xml version="1.0" encoding="utf-8"?>
<comments xmlns="http://schemas.openxmlformats.org/spreadsheetml/2006/main">
  <authors>
    <author>tc={3D66C43B-9801-4FF0-9131-A87ACBB47555}</author>
    <author>tc={3D66C43B-9801-4FF1-9131-A87ACBB47555}</author>
    <author>tc={3D66C43B-9801-4FF2-9131-A87ACBB47555}</author>
    <author>tc={3D66C43B-9801-4FF3-9131-A87ACBB47555}</author>
    <author>tc={3D66C43B-9801-4FF4-9131-A87ACBB47555}</author>
    <author>tc={3D66C43B-9801-4FF5-9131-A87ACBB47555}</author>
    <author>tc={3D66C43B-9801-4FF6-9131-A87ACBB47555}</author>
    <author>tc={3D66C43B-9801-4FF7-9131-A87ACBB47555}</author>
    <author>tc={3D66C43B-9801-4FF8-9131-A87ACBB47555}</author>
    <author>tc={3D66C43B-9801-4FF9-9131-A87ACBB47555}</author>
    <author>tc={3D66C43B-9801-4FFA-9131-A87ACBB47555}</author>
    <author>tc={3D66C43B-9801-4FFB-9131-A87ACBB47555}</author>
    <author>tc={3D66C43B-9801-4FFC-9131-A87ACBB47555}</author>
    <author>tc={3D66C43B-9801-4FFD-9131-A87ACBB47555}</author>
    <author>tc={3D66C43B-9801-4FFE-9131-A87ACBB47555}</author>
    <author>tc={3D66C43B-9801-4FFF-9131-A87ACBB47555}</author>
    <author>tc={3D66C43B-9801-5000-9131-A87ACBB47555}</author>
    <author>tc={3D66C43B-9801-5001-9131-A87ACBB47555}</author>
    <author>tc={3D66C43B-9801-5002-9131-A87ACBB47555}</author>
    <author>tc={3D66C43B-9801-5003-9131-A87ACBB47555}</author>
  </authors>
  <commentList>
    <comment ref="C8" authorId="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23" authorId="1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36" authorId="2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49" authorId="3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61" authorId="4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74" authorId="5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87" authorId="6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99" authorId="7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111" authorId="8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124" authorId="9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136" authorId="1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148" authorId="11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160" authorId="12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175" authorId="13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187" authorId="14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199" authorId="15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211" authorId="16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223" authorId="17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235" authorId="18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247" authorId="19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</commentList>
</comments>
</file>

<file path=xl/comments11.xml><?xml version="1.0" encoding="utf-8"?>
<comments xmlns="http://schemas.openxmlformats.org/spreadsheetml/2006/main">
  <authors>
    <author>tc={C4CE0FB9-37A1-477E-9321-CE36543CAA4C}</author>
  </authors>
  <commentList>
    <comment ref="F8" authorId="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@Rafael LEMBRE DE ALTERAR AQUI PRA CONSTAR O VALOR RESIDUAL E QUE VALOR PRA 5 ANOS DE CONTRATO NÃO PODE ENTRAR COMO PARÂMETRO PRA LICITAÇÃO
Resposta:
    vou alterar agora.</t>
        </r>
      </text>
    </comment>
  </commentList>
</comments>
</file>

<file path=xl/comments2.xml><?xml version="1.0" encoding="utf-8"?>
<comments xmlns="http://schemas.openxmlformats.org/spreadsheetml/2006/main">
  <authors>
    <author>tc={D8502F09-F7C8-493C-90DB-B77A900461C1}</author>
    <author>tc={576A767D-7222-4FA9-8959-C986CD4376CD}</author>
  </authors>
  <commentList>
    <comment ref="AA9" authorId="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Transporte (22 * X)-(salário base x 6%)</t>
        </r>
      </text>
    </comment>
    <comment ref="AB9" authorId="1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Auxílio-Refeição/Alimentação (22 * X)</t>
        </r>
      </text>
    </comment>
  </commentList>
</comments>
</file>

<file path=xl/comments3.xml><?xml version="1.0" encoding="utf-8"?>
<comments xmlns="http://schemas.openxmlformats.org/spreadsheetml/2006/main">
  <authors>
    <author>tc={684AA1C4-2773-40E5-9071-40A15A60DE1D}</author>
    <author>tc={73072401-26F5-40D7-B85F-AE8BB398A6CA}</author>
    <author>tc={04E69E1F-031D-44F5-8B66-CFA49D54C8A1}</author>
  </authors>
  <commentList>
    <comment ref="AA9" authorId="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Transporte (22 * X)-(salário base x 6%)</t>
        </r>
      </text>
    </comment>
    <comment ref="AB9" authorId="1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Auxílio-Refeição/Alimentação (22 * X)</t>
        </r>
      </text>
    </comment>
    <comment ref="AE17" authorId="2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Vide comentário no Supervisor de Hotelaria</t>
        </r>
      </text>
    </comment>
  </commentList>
</comments>
</file>

<file path=xl/comments4.xml><?xml version="1.0" encoding="utf-8"?>
<comments xmlns="http://schemas.openxmlformats.org/spreadsheetml/2006/main">
  <authors>
    <author>tc={B8A83ECA-5264-4657-A75F-960304C97720}</author>
    <author>tc={E1FF5C74-E26A-4F0F-ADC2-377DEFBCB8A9}</author>
  </authors>
  <commentList>
    <comment ref="AA9" authorId="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Transporte (22 * X)-(salário base x 6%)</t>
        </r>
      </text>
    </comment>
    <comment ref="AB9" authorId="1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Auxílio-Refeição/Alimentação (22 * X)</t>
        </r>
      </text>
    </comment>
  </commentList>
</comments>
</file>

<file path=xl/comments5.xml><?xml version="1.0" encoding="utf-8"?>
<comments xmlns="http://schemas.openxmlformats.org/spreadsheetml/2006/main">
  <authors>
    <author>tc={9AF5F6F5-DD91-46E6-A84D-A540B7C76A01}</author>
    <author>tc={F6982AA9-4015-4723-8ECD-1BE6D11F07C7}</author>
  </authors>
  <commentList>
    <comment ref="AA9" authorId="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Transporte (22 * X)-(salário base x 6%)</t>
        </r>
      </text>
    </comment>
    <comment ref="AB9" authorId="1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Auxílio-Refeição/Alimentação (22 * X)</t>
        </r>
      </text>
    </comment>
  </commentList>
</comments>
</file>

<file path=xl/comments6.xml><?xml version="1.0" encoding="utf-8"?>
<comments xmlns="http://schemas.openxmlformats.org/spreadsheetml/2006/main">
  <authors>
    <author>tc={6B727D71-CCBB-483D-A1DE-FB320F00EA50}</author>
    <author>tc={F8280C31-CBF7-4431-B8C7-08EE2A17A8CD}</author>
  </authors>
  <commentList>
    <comment ref="AA9" authorId="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Transporte (22 * X)-(salário base x 6%)</t>
        </r>
      </text>
    </comment>
    <comment ref="AB9" authorId="1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Auxílio-Refeição/Alimentação (22 * X)</t>
        </r>
      </text>
    </comment>
  </commentList>
</comments>
</file>

<file path=xl/comments7.xml><?xml version="1.0" encoding="utf-8"?>
<comments xmlns="http://schemas.openxmlformats.org/spreadsheetml/2006/main">
  <authors>
    <author>tc={E2852D80-A858-43BC-A737-449A0C1BEDD8}</author>
  </authors>
  <commentList>
    <comment ref="G10" authorId="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Não é caixa ou pacote. Preencher com unidades</t>
        </r>
      </text>
    </comment>
  </commentList>
</comments>
</file>

<file path=xl/comments8.xml><?xml version="1.0" encoding="utf-8"?>
<comments xmlns="http://schemas.openxmlformats.org/spreadsheetml/2006/main">
  <authors>
    <author>tc={E2852D80-A858-43BD-A737-449A0C1BEDD8}</author>
  </authors>
  <commentList>
    <comment ref="G10" authorId="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Não é caixa ou pacote. Preencher com unidades</t>
        </r>
      </text>
    </comment>
  </commentList>
</comments>
</file>

<file path=xl/comments9.xml><?xml version="1.0" encoding="utf-8"?>
<comments xmlns="http://schemas.openxmlformats.org/spreadsheetml/2006/main">
  <authors>
    <author>tc={E2852D80-A858-43BE-A737-449A0C1BEDD8}</author>
  </authors>
  <commentList>
    <comment ref="G10" authorId="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Não é caixa ou pacote. Preencher com unidades</t>
        </r>
      </text>
    </comment>
  </commentList>
</comments>
</file>

<file path=xl/sharedStrings.xml><?xml version="1.0" encoding="utf-8"?>
<sst xmlns="http://schemas.openxmlformats.org/spreadsheetml/2006/main" count="5203" uniqueCount="396">
  <si>
    <t>passo a passo para preenchimento</t>
  </si>
  <si>
    <t>na aba "planilha-proposta" em azul:</t>
  </si>
  <si>
    <t>1° na linha 13, escolhar o tipo de serviço de acordo com o hospital</t>
  </si>
  <si>
    <t>2° preencher o quantitativo de postos por escala, conforme documento sei disponibilizado. Onde não tiver posto previsto, colocar 0</t>
  </si>
  <si>
    <t>3° ocultar todos os postos por escala que o quantitativo for igual a 0</t>
  </si>
  <si>
    <t>4° preencher a colunar "ordem" utilizando com A, B, C, D, E, F… e assim, sucessivamente</t>
  </si>
  <si>
    <t>na aba "Rádios"</t>
  </si>
  <si>
    <t>5° na coluna categoria, preencher os postos que receberão os rádios</t>
  </si>
  <si>
    <t>6° preencher o quantitativo na coluna quantidade de rádios por posto</t>
  </si>
  <si>
    <t>em todas as colunas com o nome "calculo - …"</t>
  </si>
  <si>
    <t>7° ocultar as céluas onde a coluna "qtd. Profissionais" for igual a 0. caso em algum grupo não tenho previsto nenhum cargo, ocultar a aba. (se tiver dúvidas, falar com rafael)</t>
  </si>
  <si>
    <t>na aba "Uniformes"</t>
  </si>
  <si>
    <t>8° ocultar as linhas onde o quantitativo de profissionais no posto for igual a 0</t>
  </si>
  <si>
    <t>na aba "EPIs"</t>
  </si>
  <si>
    <t>9° ocultar as linhas onde o quantitativo de profissionais no posto for igual a 0</t>
  </si>
  <si>
    <t>Qualquer dúvida ligar para a central de atendimento. Ou falar com Rafael</t>
  </si>
  <si>
    <t>PLANILHA DE CUSTOS E FORMAÇÃO DE PREÇOS HUOL</t>
  </si>
  <si>
    <t>PLANILHA DE CUSTOS E FORMAÇÃO DE PREÇOS</t>
  </si>
  <si>
    <t>Salário mínimo -  Lei 14.013 de 2020</t>
  </si>
  <si>
    <t xml:space="preserve">Identificação do(s) Posto(s) de Trabalho 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</si>
  <si>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</si>
  <si>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</si>
  <si>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</si>
  <si>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</si>
  <si>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</si>
  <si>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Módulo 6 - Custos Indiretos, Tributos e Lucro</t>
  </si>
  <si>
    <t>Dados complementares para composição dos custos</t>
  </si>
  <si>
    <t>1.1 - Composição da Remuneração</t>
  </si>
  <si>
    <t>2.1 - 13º (décimo terceiro) Salário, Férias e Adicional de Férias</t>
  </si>
  <si>
    <t>2.2 - Encargos Previdenciários (GPS), Fundo de Garantia por Tempo de Serviço (FGTS) e outras contribuições</t>
  </si>
  <si>
    <t>2.3 - Benefícios Mensais e Diários</t>
  </si>
  <si>
    <t>3.1 - Provisão para Rescisão</t>
  </si>
  <si>
    <t>4.1 - Substituto nas Ausências Legais (exceto férias)</t>
  </si>
  <si>
    <t>4.2 - Substituto na Intrajornada</t>
  </si>
  <si>
    <t>5.1 - Insumos Diversos</t>
  </si>
  <si>
    <t>6.1 - Custos Indiretos e Lucro</t>
  </si>
  <si>
    <t>6.2 - Tributos</t>
  </si>
  <si>
    <t>7.1 - Resumo</t>
  </si>
  <si>
    <t>Seq.</t>
  </si>
  <si>
    <t>posto de trabalho</t>
  </si>
  <si>
    <t>posto / escala</t>
  </si>
  <si>
    <t>cbo</t>
  </si>
  <si>
    <t>qtd. Profissionais</t>
  </si>
  <si>
    <t>salário base da categoria</t>
  </si>
  <si>
    <t>n° da convenção</t>
  </si>
  <si>
    <t>data da convenção</t>
  </si>
  <si>
    <t>% de periculosidade</t>
  </si>
  <si>
    <t>adicional de periculosidade</t>
  </si>
  <si>
    <t>% de insalubridade</t>
  </si>
  <si>
    <t>adicional de insalubridade</t>
  </si>
  <si>
    <t>treinamentos</t>
  </si>
  <si>
    <t>13º (décimo terceiro) Salário</t>
  </si>
  <si>
    <t>férias e adicional de férias</t>
  </si>
  <si>
    <t>Incidência do submódulo 2.2 sobre 13º Salário, férias e Adicional de Férias</t>
  </si>
  <si>
    <t>inss</t>
  </si>
  <si>
    <t>salário educação</t>
  </si>
  <si>
    <t>% Seguro Acidente do Trabalho - SAT (FAP x RAT)</t>
  </si>
  <si>
    <t>seg. acidente do trab. sat (fap x rat)</t>
  </si>
  <si>
    <t>SESC ou SESI</t>
  </si>
  <si>
    <t>senai - senac</t>
  </si>
  <si>
    <t>sebrae</t>
  </si>
  <si>
    <t>incra</t>
  </si>
  <si>
    <t>fgts</t>
  </si>
  <si>
    <t>transporte</t>
  </si>
  <si>
    <t>aux. refeição ou/e alimentação</t>
  </si>
  <si>
    <t>assistência médica e familiar</t>
  </si>
  <si>
    <t>auxílio creche</t>
  </si>
  <si>
    <t>seguro de vida, invalidez e funeral</t>
  </si>
  <si>
    <t>outros (especificar)</t>
  </si>
  <si>
    <t>% aviso prévio indenizado</t>
  </si>
  <si>
    <t>aviso prévio indenizado</t>
  </si>
  <si>
    <t>% fgts sobre o aviso prévio indenizado</t>
  </si>
  <si>
    <t>fgts sobre o aviso prévio indenizado</t>
  </si>
  <si>
    <t>% multa do fgts e contribuição social sobre o aviso prévio indenizado</t>
  </si>
  <si>
    <t>multa do fgts e contribuição social sobre o aviso prévio indenizado</t>
  </si>
  <si>
    <t>% aviso prévio trabalhado</t>
  </si>
  <si>
    <t>aviso prévio trabalhado</t>
  </si>
  <si>
    <t>% incidência de gps, fgts e outras contribuições sobre o aviso prévio trabalhado</t>
  </si>
  <si>
    <t>incidência de gps, fgts e outras contribuições sobre o aviso prévio trabalhado</t>
  </si>
  <si>
    <t>% multa do fgts e contribuição social sobre o aviso prévio trabalhado</t>
  </si>
  <si>
    <t>multa do fgts e contribuição social sobre o aviso prévio trabalhado</t>
  </si>
  <si>
    <t>% substituto na cobertura de ausências legais</t>
  </si>
  <si>
    <t>substituto na cobertura de ausências legais</t>
  </si>
  <si>
    <t>% substituto na cobertura de licença-paternidade</t>
  </si>
  <si>
    <t>substituto na cobertura de licença-paternidade</t>
  </si>
  <si>
    <t>% substituto na cobertura de ausência por acidente de trabalho</t>
  </si>
  <si>
    <t>substituto na cobertura de ausência por acidente de trabalho</t>
  </si>
  <si>
    <t>% substituto na cobertura de afastamento maternidade</t>
  </si>
  <si>
    <t>substituto na cobertura de afastamento maternidade</t>
  </si>
  <si>
    <t>% substituto na cobertura de outras ausências (especificar)</t>
  </si>
  <si>
    <t>substituto na cobertura de outras ausências (especificar)</t>
  </si>
  <si>
    <t>% substituto na cobertura de intervalo para repouso ou alimentação</t>
  </si>
  <si>
    <t>substituto na cobertura de intervalo para repouso ou alimentação</t>
  </si>
  <si>
    <t>uniformes</t>
  </si>
  <si>
    <t>equipamentos de proteção individual (epi's)</t>
  </si>
  <si>
    <t>rádios</t>
  </si>
  <si>
    <t>outros (especificar):</t>
  </si>
  <si>
    <t>% custos indiretos</t>
  </si>
  <si>
    <t>custos indiretos</t>
  </si>
  <si>
    <t>% lucro</t>
  </si>
  <si>
    <t>lucro</t>
  </si>
  <si>
    <t>% tributos federais (especificar)</t>
  </si>
  <si>
    <t>tributos federais (especificar)</t>
  </si>
  <si>
    <t>% tributos estaduais  (especificar)</t>
  </si>
  <si>
    <t>tributos estaduais  (especificar)</t>
  </si>
  <si>
    <t>% tributos municipais  (especificar)</t>
  </si>
  <si>
    <t>tributos municipais  (especificar)</t>
  </si>
  <si>
    <t>total por posta / escala</t>
  </si>
  <si>
    <t>A</t>
  </si>
  <si>
    <t>RN000132/2019</t>
  </si>
  <si>
    <t>B</t>
  </si>
  <si>
    <t>C</t>
  </si>
  <si>
    <t>RN000021/2019</t>
  </si>
  <si>
    <t>D</t>
  </si>
  <si>
    <t>E</t>
  </si>
  <si>
    <t>F</t>
  </si>
  <si>
    <t>G</t>
  </si>
  <si>
    <t>RN000132/2020</t>
  </si>
  <si>
    <t>H</t>
  </si>
  <si>
    <t>RN000132/2021</t>
  </si>
  <si>
    <t>RN000132/2022</t>
  </si>
  <si>
    <t>I</t>
  </si>
  <si>
    <t>RN000132/2023</t>
  </si>
  <si>
    <t>RN000132/2024</t>
  </si>
  <si>
    <t>RN000132/2025</t>
  </si>
  <si>
    <t>J</t>
  </si>
  <si>
    <t>RN000132/2026</t>
  </si>
  <si>
    <t>K</t>
  </si>
  <si>
    <t>RN000240/2019</t>
  </si>
  <si>
    <t>L</t>
  </si>
  <si>
    <t>RN000240/2020</t>
  </si>
  <si>
    <t>M</t>
  </si>
  <si>
    <t>RN000240/2021</t>
  </si>
  <si>
    <t xml:space="preserve">RN000021/2019 </t>
  </si>
  <si>
    <t xml:space="preserve">RN000240/2019 </t>
  </si>
  <si>
    <t xml:space="preserve">RN000211/2019 </t>
  </si>
  <si>
    <t>RN000205/2019</t>
  </si>
  <si>
    <t xml:space="preserve">RN000394/2019 </t>
  </si>
  <si>
    <t>RESULTADO CONSOLIDADO - PROPOSTA</t>
  </si>
  <si>
    <t>Dados da Licitante</t>
  </si>
  <si>
    <t>Razão Social</t>
  </si>
  <si>
    <t>CNPJ</t>
  </si>
  <si>
    <t>Endereço</t>
  </si>
  <si>
    <t>Telefone(s)</t>
  </si>
  <si>
    <t>E-mail</t>
  </si>
  <si>
    <t>Responsável Legal</t>
  </si>
  <si>
    <t>Tipo do Serviço</t>
  </si>
  <si>
    <t>Contratação de empresa para prestação de serviços técnicos e operacionais às atividades administrativas e assistenciais do Huol-Ufrn</t>
  </si>
  <si>
    <t>Contratação de empresa para prestação de serviços técnicos e operacionais às atividades administrativas e assistenciais do Mejc-Ufrn</t>
  </si>
  <si>
    <t xml:space="preserve">Prazo de Execução Contratual: 12 meses, prorrogaveis por até 5 (cinco) anos. </t>
  </si>
  <si>
    <t>Contratação de empresa para prestação de serviços técnicos e operacionais às atividades administrativas e assistenciais do Huab-Ufrn</t>
  </si>
  <si>
    <t>Módulo 1 - Valor Total  da Composição Mão-de-obra</t>
  </si>
  <si>
    <t>Ordem</t>
  </si>
  <si>
    <t>CBO</t>
  </si>
  <si>
    <t>Posto</t>
  </si>
  <si>
    <t>Posto por escala</t>
  </si>
  <si>
    <t>Total de Profissionais (a)</t>
  </si>
  <si>
    <t>Custo Total Profissional (b)</t>
  </si>
  <si>
    <t>Custo Total Mês 
(c = a * b)</t>
  </si>
  <si>
    <t>Custo Total Ano 
d = (c * 12)</t>
  </si>
  <si>
    <t>3131-05</t>
  </si>
  <si>
    <t>Eletrotécnico</t>
  </si>
  <si>
    <t>Eletrotécnico - 12x36n</t>
  </si>
  <si>
    <t>Eletrotécnico - 44h</t>
  </si>
  <si>
    <t>3132-15</t>
  </si>
  <si>
    <t>Oficial de Manutenção de Equipamento Médico Hospitalar</t>
  </si>
  <si>
    <t>Oficial de Manutenção de Equipamento Médico Hospitalar - 12x36d</t>
  </si>
  <si>
    <t>Oficial de Manutenção de Equipamento Médico Hospitalar - 12x36n</t>
  </si>
  <si>
    <t>Oficial de Manutenção de Equipamento Médico Hospitalar - 44h</t>
  </si>
  <si>
    <t>5135-05</t>
  </si>
  <si>
    <t>Auxiliar de Cozinha</t>
  </si>
  <si>
    <t>Auxiliar de Cozinha - 12x36d</t>
  </si>
  <si>
    <t>Auxiliar de Cozinha - 12x36n</t>
  </si>
  <si>
    <t>Auxiliar de Cozinha - 44h</t>
  </si>
  <si>
    <t>3252-10</t>
  </si>
  <si>
    <t>Auxiliar de Nutrição</t>
  </si>
  <si>
    <t>Auxiliar de Nutrição - 12x36d</t>
  </si>
  <si>
    <t>Auxiliar de Nutrição - 12x36n</t>
  </si>
  <si>
    <t>Auxiliar de Nutrição - 44h</t>
  </si>
  <si>
    <t>8485-05</t>
  </si>
  <si>
    <t>Açougueiro</t>
  </si>
  <si>
    <t>Açougueiro - 12x36d</t>
  </si>
  <si>
    <t>Açougueiro - 44h</t>
  </si>
  <si>
    <t>5133-00</t>
  </si>
  <si>
    <t>Camareira</t>
  </si>
  <si>
    <t>Camareira - 12x36d</t>
  </si>
  <si>
    <t>Camareira - 12x36n</t>
  </si>
  <si>
    <t>Camareira - 44h</t>
  </si>
  <si>
    <t>N</t>
  </si>
  <si>
    <t>5134-30</t>
  </si>
  <si>
    <t>Copeiro Hospitalar</t>
  </si>
  <si>
    <t>Copeiro Hospitalar - 12x36d</t>
  </si>
  <si>
    <t>O</t>
  </si>
  <si>
    <t>Copeiro Hospitalar - 12x36n</t>
  </si>
  <si>
    <t>Copeiro Hospitalar - 44h</t>
  </si>
  <si>
    <t>P</t>
  </si>
  <si>
    <t>7632-15</t>
  </si>
  <si>
    <t>Costureiro</t>
  </si>
  <si>
    <t>Costureiro - 44h</t>
  </si>
  <si>
    <t>Q</t>
  </si>
  <si>
    <t>5132-20</t>
  </si>
  <si>
    <t>Cozinheiro Hospitalar</t>
  </si>
  <si>
    <t>Cozinheiro Hospitalar - 12x36d</t>
  </si>
  <si>
    <t>R</t>
  </si>
  <si>
    <t>Cozinheiro Hospitalar - 12x36n</t>
  </si>
  <si>
    <t>Cozinheiro Hospitalar - 44h</t>
  </si>
  <si>
    <t>4141-10</t>
  </si>
  <si>
    <t>Despenseiro/Armazenista</t>
  </si>
  <si>
    <t>Despenseiro/Armazenista - 12x36d</t>
  </si>
  <si>
    <t>Despenseiro/Armazenista - 12x36n</t>
  </si>
  <si>
    <t>Despenseiro/Armazenista - 44h</t>
  </si>
  <si>
    <t>S</t>
  </si>
  <si>
    <t>8414-56</t>
  </si>
  <si>
    <t>Operador de Câmara Fria</t>
  </si>
  <si>
    <t>Operador de Câmara Fria - 12X36d</t>
  </si>
  <si>
    <t>T</t>
  </si>
  <si>
    <t>5131-15</t>
  </si>
  <si>
    <t>Governanta em Hotelaria</t>
  </si>
  <si>
    <t>Governanta em Hotelaria - 12x36d</t>
  </si>
  <si>
    <t>Governanta em Hotelaria - 12x36n</t>
  </si>
  <si>
    <t>U</t>
  </si>
  <si>
    <t>Governanta em Hotelaria - 44h</t>
  </si>
  <si>
    <t>V</t>
  </si>
  <si>
    <t>5163-45</t>
  </si>
  <si>
    <t>Auxiliar de Lavanderia</t>
  </si>
  <si>
    <t>Auxiliar de Lavanderia - 12x36d</t>
  </si>
  <si>
    <t>W</t>
  </si>
  <si>
    <t>Auxiliar de Lavanderia - 12x36n</t>
  </si>
  <si>
    <t>X</t>
  </si>
  <si>
    <t>Auxiliar de Lavanderia - 44h</t>
  </si>
  <si>
    <t>Y</t>
  </si>
  <si>
    <t>2237-05</t>
  </si>
  <si>
    <t>Técnico em Nutrição</t>
  </si>
  <si>
    <t>Técnico em Nutrição - 12x36d</t>
  </si>
  <si>
    <t>Z</t>
  </si>
  <si>
    <t>Técnico em Nutrição - 12x36n</t>
  </si>
  <si>
    <t>AA</t>
  </si>
  <si>
    <t>Técnico em Nutrição - 44h</t>
  </si>
  <si>
    <t>AB</t>
  </si>
  <si>
    <t>5102-05</t>
  </si>
  <si>
    <t>Supervisor de Lavanderia</t>
  </si>
  <si>
    <t>Supervisor de Lavanderia - 44h</t>
  </si>
  <si>
    <t>AC</t>
  </si>
  <si>
    <t>5101-00</t>
  </si>
  <si>
    <t>Supervisor de Hotelaria</t>
  </si>
  <si>
    <t>Supervisor de Hotelaria - 44h</t>
  </si>
  <si>
    <t>AD</t>
  </si>
  <si>
    <t>5151-10</t>
  </si>
  <si>
    <t>Maqueiro</t>
  </si>
  <si>
    <t>Maqueiro - 12x36d</t>
  </si>
  <si>
    <t>AE</t>
  </si>
  <si>
    <t>Maqueiro - 12x36n</t>
  </si>
  <si>
    <t>AF</t>
  </si>
  <si>
    <t>Maqueiro - 44h</t>
  </si>
  <si>
    <t>AG</t>
  </si>
  <si>
    <t>7823-05</t>
  </si>
  <si>
    <t>Motorista</t>
  </si>
  <si>
    <t>Motorista - 44h</t>
  </si>
  <si>
    <t>AH</t>
  </si>
  <si>
    <t>7823-20</t>
  </si>
  <si>
    <t>Condutor de Ambulância</t>
  </si>
  <si>
    <t>Condutor de Ambulância - 12x36/12x48</t>
  </si>
  <si>
    <t>Condutor de Ambulância - 24x96</t>
  </si>
  <si>
    <t>AI</t>
  </si>
  <si>
    <t>5171-10</t>
  </si>
  <si>
    <t>Bombeiro Civil</t>
  </si>
  <si>
    <t>Bombeiro Civil - 12x36d</t>
  </si>
  <si>
    <t>AJ</t>
  </si>
  <si>
    <t>Bombeiro Civil - 12x36n</t>
  </si>
  <si>
    <t>Valor Total Mensal</t>
  </si>
  <si>
    <t xml:space="preserve">Valor Total Anual da Proposta </t>
  </si>
  <si>
    <t>Valor Total da Proposta para 05 (cinco) anos de vigência contratual</t>
  </si>
  <si>
    <t>EQUIPAMENTOS DE PROTEÇÃO INDIVIDUAL (EPIs)</t>
  </si>
  <si>
    <t>Item</t>
  </si>
  <si>
    <t>Categoria(s) Profissinal(is)</t>
  </si>
  <si>
    <t>Descrição</t>
  </si>
  <si>
    <t>Período da entrega (a)</t>
  </si>
  <si>
    <t>Distribuição</t>
  </si>
  <si>
    <t>Qtd.  por profissional (b)</t>
  </si>
  <si>
    <t>Qtd. Fixa (c)</t>
  </si>
  <si>
    <t xml:space="preserve"> Unidade</t>
  </si>
  <si>
    <t>Valor Unidade
(d)</t>
  </si>
  <si>
    <t>Qtd. de profissionais (e)</t>
  </si>
  <si>
    <t>Qtd. profissional / dia (f)</t>
  </si>
  <si>
    <t>Valor Total Mensal (vtm) =
(b * c * d / a )</t>
  </si>
  <si>
    <t>Valor Total Anual
 (vtm * 12)</t>
  </si>
  <si>
    <t>Valor Total 5 anos de vigência (vtm * 60)</t>
  </si>
  <si>
    <t>Máscara cirúrgica descartável</t>
  </si>
  <si>
    <t>mensal</t>
  </si>
  <si>
    <t>descartável</t>
  </si>
  <si>
    <t>unidade</t>
  </si>
  <si>
    <t>Máscara PFF2/N95</t>
  </si>
  <si>
    <t>pessoal</t>
  </si>
  <si>
    <t>Luvas de procedimento descartáveis</t>
  </si>
  <si>
    <t>Touca descartável</t>
  </si>
  <si>
    <t>Protetor facial</t>
  </si>
  <si>
    <t>trimestral</t>
  </si>
  <si>
    <t>Respirador para produtos químicos semifacial</t>
  </si>
  <si>
    <t>anual</t>
  </si>
  <si>
    <t>Capote tecido</t>
  </si>
  <si>
    <t>semestral</t>
  </si>
  <si>
    <t>Subtotal (A + B + C + D + E + F + G)</t>
  </si>
  <si>
    <t>Valor Total Mensal Rateado pela quantidade de profissionais nos Postos de Trabalho</t>
  </si>
  <si>
    <t>Qtd. Fixa</t>
  </si>
  <si>
    <t>Valor Unitário
(c)</t>
  </si>
  <si>
    <t>Qtd. de profissionais</t>
  </si>
  <si>
    <t>Qtd. de profissionais / dia (d)</t>
  </si>
  <si>
    <t>Óculos de segurança</t>
  </si>
  <si>
    <t>Subtotal (A + B + C + D + E + F)</t>
  </si>
  <si>
    <t>Qtd. de profissionais no posto / dia (d)</t>
  </si>
  <si>
    <t>coletivo</t>
  </si>
  <si>
    <t>Avental de proteção térmica</t>
  </si>
  <si>
    <t>Avental incolor em PVC</t>
  </si>
  <si>
    <t>Luvas para manipulação de alimentos - descartáveis</t>
  </si>
  <si>
    <t>Protetor auricular - tipo plug</t>
  </si>
  <si>
    <t>par</t>
  </si>
  <si>
    <t>Luva de proteção térmica</t>
  </si>
  <si>
    <t>Subtotal (A + B + C + D + E + F + G + H + I)</t>
  </si>
  <si>
    <t>Qtd. de profissionais no posto (d)</t>
  </si>
  <si>
    <t>Propé</t>
  </si>
  <si>
    <t>Subtotal (A + B + C + D + E + F + G + H)</t>
  </si>
  <si>
    <t>Subtotal (A + B + C)</t>
  </si>
  <si>
    <t>Cinta ergonômica</t>
  </si>
  <si>
    <t>Luva pigmentada</t>
  </si>
  <si>
    <t>Blusa de proteção térmica / japona</t>
  </si>
  <si>
    <t>Calça de proteção térmica</t>
  </si>
  <si>
    <t>Capuz Térmico</t>
  </si>
  <si>
    <t>Luvas de borracha reutilizáveis de cano longo</t>
  </si>
  <si>
    <t>Subtotal (A + B + C + D)</t>
  </si>
  <si>
    <t>Capa de chuva plástica impermeável</t>
  </si>
  <si>
    <t>Subtotal (A)</t>
  </si>
  <si>
    <t>Cinto de segurança tipo paraquedista com ABS e talabarte duplo em Y com gancho de 55 mm</t>
  </si>
  <si>
    <t>Luvas em vaqueta de couro com elástico de ajuste embutido</t>
  </si>
  <si>
    <t>UNIFORMES</t>
  </si>
  <si>
    <t>Quantidade de profissionais nos Postos de Trabalho</t>
  </si>
  <si>
    <t>Qtd.  por profissional (a)</t>
  </si>
  <si>
    <t>Unidade</t>
  </si>
  <si>
    <t>Periodo substituição</t>
  </si>
  <si>
    <t>Valor Unitário (b)</t>
  </si>
  <si>
    <t>Entrega(s) por ano (c)</t>
  </si>
  <si>
    <t>Custo Total Mês (e) = (a*b*c*d)/12</t>
  </si>
  <si>
    <t>Custo Total Ano 
f = (e*12)</t>
  </si>
  <si>
    <t>Valor Total 5 anos
 g =(e * 60)</t>
  </si>
  <si>
    <t>A </t>
  </si>
  <si>
    <t>Camisa</t>
  </si>
  <si>
    <t>B </t>
  </si>
  <si>
    <t>Calça</t>
  </si>
  <si>
    <t>C </t>
  </si>
  <si>
    <t>Botas de segurança</t>
  </si>
  <si>
    <t>D </t>
  </si>
  <si>
    <t>Meia</t>
  </si>
  <si>
    <t>E </t>
  </si>
  <si>
    <t>F </t>
  </si>
  <si>
    <t>G </t>
  </si>
  <si>
    <t>H </t>
  </si>
  <si>
    <t>I </t>
  </si>
  <si>
    <t>Dolman</t>
  </si>
  <si>
    <t>Sapato de segurança</t>
  </si>
  <si>
    <t>Jaleco</t>
  </si>
  <si>
    <t>Meia soquete</t>
  </si>
  <si>
    <t>Subtotal (A + B + C + D + E)</t>
  </si>
  <si>
    <t>Colete</t>
  </si>
  <si>
    <t>Sapato</t>
  </si>
  <si>
    <t>Presilha</t>
  </si>
  <si>
    <t>Botas de segurança (área contaminada)</t>
  </si>
  <si>
    <t>Bota ou sapatilha de segurança (área limpa)</t>
  </si>
  <si>
    <t>Meia cano alto</t>
  </si>
  <si>
    <t>Conjunto privativo</t>
  </si>
  <si>
    <t>Cinto</t>
  </si>
  <si>
    <t>Macacão</t>
  </si>
  <si>
    <t>Gandola</t>
  </si>
  <si>
    <t>Camiseta</t>
  </si>
  <si>
    <t>Japona</t>
  </si>
  <si>
    <t>Bombacha</t>
  </si>
  <si>
    <t>RÁDIOS</t>
  </si>
  <si>
    <t>Identificação do(s) Equipamemento(s)</t>
  </si>
  <si>
    <t>Equipamento</t>
  </si>
  <si>
    <t>Rádio de Comunicação</t>
  </si>
  <si>
    <t>Total de profissionais</t>
  </si>
  <si>
    <t>Categoria</t>
  </si>
  <si>
    <t>Qtd. rádios por posto (a)</t>
  </si>
  <si>
    <t>Meses de vida útil do equipamento* (c)</t>
  </si>
  <si>
    <t>Valor Total Mensal
(a * b) / c</t>
  </si>
  <si>
    <t>Valor Total Anual 
vtm * 12</t>
  </si>
  <si>
    <t>Valor total</t>
  </si>
  <si>
    <t>* Ano de vida útil</t>
  </si>
  <si>
    <t>https://conteudo.tesouro.gov.br/manuais/index.php?option=com_content&amp;view=article&amp;id=1565:020330-depreciacao-amortizacao-e-exaustao-na-adm-dir-uniao-aut-e-fund&amp;catid=749&amp;Itemid=376</t>
  </si>
  <si>
    <t>período</t>
  </si>
  <si>
    <t>quantidade</t>
  </si>
  <si>
    <t>valor unitário</t>
  </si>
  <si>
    <t>custo mensal</t>
  </si>
  <si>
    <t>Luva de malha de aço</t>
  </si>
  <si>
    <t>sq.</t>
  </si>
  <si>
    <t>descricao</t>
  </si>
  <si>
    <t>Subtotal (A + B)</t>
  </si>
  <si>
    <t>PLANILHA DE CUSTOS E FORMAÇÃO DE PREÇOS MEJC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</si>
</sst>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0.000%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ill="0" applyBorder="0" applyAlignment="0" applyProtection="0"/>
  </cellStyleXfs>
  <cellXfs count="262">
    <xf numFmtId="0" fontId="0" fillId="0" borderId="0" xfId="0"/>
    <xf numFmtId="0" fontId="0" fillId="0" borderId="0" xfId="0" applyFont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4" fontId="4" fillId="0" borderId="0" xfId="0" applyNumberFormat="1" applyFont="1" applyBorder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2" fillId="8" borderId="0" xfId="0" applyFont="1" applyFill="1" applyAlignment="1" applyProtection="1">
      <alignment horizontal="left" vertical="center" wrapText="1"/>
    </xf>
    <xf numFmtId="0" fontId="0" fillId="7" borderId="0" xfId="0" applyFont="1" applyFill="1" applyAlignment="1" applyProtection="1">
      <alignment horizontal="left" vertical="center" wrapText="1"/>
    </xf>
    <xf numFmtId="0" fontId="0" fillId="0" borderId="5" xfId="0" applyFont="1" applyBorder="1" applyAlignment="1" applyProtection="1">
      <alignment vertical="center"/>
    </xf>
    <xf numFmtId="0" fontId="0" fillId="0" borderId="5" xfId="0" applyFont="1" applyFill="1" applyBorder="1" applyAlignment="1" applyProtection="1">
      <alignment vertical="center"/>
    </xf>
    <xf numFmtId="0" fontId="12" fillId="0" borderId="5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/>
    </xf>
    <xf numFmtId="0" fontId="13" fillId="6" borderId="1" xfId="0" applyFont="1" applyFill="1" applyBorder="1" applyAlignment="1" applyProtection="1">
      <alignment horizontal="left" vertical="center" wrapText="1"/>
    </xf>
    <xf numFmtId="0" fontId="13" fillId="6" borderId="4" xfId="0" applyFont="1" applyFill="1" applyBorder="1" applyAlignment="1" applyProtection="1">
      <alignment horizontal="left" vertical="center" wrapText="1"/>
    </xf>
    <xf numFmtId="0" fontId="13" fillId="6" borderId="7" xfId="0" applyFont="1" applyFill="1" applyBorder="1" applyAlignment="1" applyProtection="1">
      <alignment horizontal="left" vertical="center" wrapText="1"/>
    </xf>
    <xf numFmtId="0" fontId="13" fillId="6" borderId="2" xfId="0" applyFont="1" applyFill="1" applyBorder="1" applyAlignment="1" applyProtection="1">
      <alignment horizontal="left" vertical="center" wrapText="1"/>
    </xf>
    <xf numFmtId="0" fontId="11" fillId="2" borderId="2" xfId="0" applyFont="1" applyFill="1" applyBorder="1" applyAlignment="1" applyProtection="1">
      <alignment vertical="center"/>
    </xf>
    <xf numFmtId="0" fontId="13" fillId="6" borderId="6" xfId="0" applyFont="1" applyFill="1" applyBorder="1" applyAlignment="1" applyProtection="1">
      <alignment horizontal="left" vertical="center" wrapText="1"/>
    </xf>
    <xf numFmtId="0" fontId="13" fillId="6" borderId="3" xfId="0" applyFont="1" applyFill="1" applyBorder="1" applyAlignment="1" applyProtection="1">
      <alignment horizontal="left" vertical="center" wrapText="1"/>
    </xf>
    <xf numFmtId="0" fontId="14" fillId="6" borderId="0" xfId="0" applyFont="1" applyFill="1" applyAlignment="1" applyProtection="1">
      <alignment horizontal="left" vertical="center" wrapText="1"/>
    </xf>
    <xf numFmtId="2" fontId="11" fillId="2" borderId="6" xfId="0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4" fontId="11" fillId="2" borderId="2" xfId="0" applyNumberFormat="1" applyFont="1" applyFill="1" applyBorder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4" fontId="11" fillId="2" borderId="1" xfId="0" applyNumberFormat="1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>
      <alignment vertical="center"/>
    </xf>
    <xf numFmtId="2" fontId="11" fillId="2" borderId="2" xfId="0" applyNumberFormat="1" applyFont="1" applyFill="1" applyBorder="1" applyAlignment="1" applyProtection="1">
      <alignment vertical="center"/>
    </xf>
    <xf numFmtId="44" fontId="11" fillId="2" borderId="6" xfId="0" applyNumberFormat="1" applyFont="1" applyFill="1" applyBorder="1" applyAlignment="1" applyProtection="1">
      <alignment vertical="center"/>
    </xf>
    <xf numFmtId="44" fontId="11" fillId="2" borderId="1" xfId="0" applyNumberFormat="1" applyFont="1" applyFill="1" applyBorder="1" applyAlignment="1" applyProtection="1">
      <alignment vertical="center"/>
    </xf>
    <xf numFmtId="2" fontId="11" fillId="2" borderId="7" xfId="0" applyNumberFormat="1" applyFont="1" applyFill="1" applyBorder="1" applyAlignment="1" applyProtection="1">
      <alignment vertical="center"/>
    </xf>
    <xf numFmtId="2" fontId="11" fillId="2" borderId="1" xfId="0" applyNumberFormat="1" applyFont="1" applyFill="1" applyBorder="1" applyAlignment="1" applyProtection="1">
      <alignment vertical="center"/>
    </xf>
    <xf numFmtId="4" fontId="11" fillId="2" borderId="7" xfId="0" applyNumberFormat="1" applyFont="1" applyFill="1" applyBorder="1" applyAlignment="1" applyProtection="1">
      <alignment vertical="center"/>
    </xf>
    <xf numFmtId="2" fontId="11" fillId="2" borderId="4" xfId="0" applyNumberFormat="1" applyFont="1" applyFill="1" applyBorder="1" applyAlignment="1" applyProtection="1">
      <alignment vertical="center"/>
    </xf>
    <xf numFmtId="0" fontId="0" fillId="7" borderId="10" xfId="0" applyFont="1" applyFill="1" applyBorder="1" applyAlignment="1" applyProtection="1">
      <alignment horizontal="left" vertical="center" wrapText="1"/>
    </xf>
    <xf numFmtId="0" fontId="14" fillId="6" borderId="6" xfId="0" applyFont="1" applyFill="1" applyBorder="1" applyAlignment="1" applyProtection="1">
      <alignment horizontal="left" vertical="center" wrapText="1"/>
    </xf>
    <xf numFmtId="44" fontId="12" fillId="0" borderId="6" xfId="0" applyNumberFormat="1" applyFont="1" applyFill="1" applyBorder="1" applyAlignment="1" applyProtection="1">
      <alignment vertical="center"/>
    </xf>
    <xf numFmtId="0" fontId="0" fillId="7" borderId="6" xfId="0" applyFont="1" applyFill="1" applyBorder="1" applyAlignment="1" applyProtection="1">
      <alignment horizontal="left" vertical="center" wrapText="1"/>
    </xf>
    <xf numFmtId="0" fontId="14" fillId="8" borderId="11" xfId="0" applyFont="1" applyFill="1" applyBorder="1" applyAlignment="1" applyProtection="1">
      <alignment horizontal="left" vertical="center" wrapText="1"/>
    </xf>
    <xf numFmtId="0" fontId="15" fillId="8" borderId="11" xfId="0" applyFont="1" applyFill="1" applyBorder="1" applyAlignment="1" applyProtection="1">
      <alignment horizontal="left" vertical="center" wrapText="1"/>
    </xf>
    <xf numFmtId="0" fontId="15" fillId="8" borderId="6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/>
    </xf>
    <xf numFmtId="44" fontId="11" fillId="5" borderId="1" xfId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top"/>
    </xf>
    <xf numFmtId="0" fontId="8" fillId="0" borderId="0" xfId="0" applyNumberFormat="1" applyFont="1" applyBorder="1" applyAlignment="1" applyProtection="1">
      <alignment vertical="center"/>
    </xf>
    <xf numFmtId="44" fontId="3" fillId="2" borderId="0" xfId="0" applyNumberFormat="1" applyFont="1" applyFill="1" applyBorder="1" applyAlignment="1" applyProtection="1">
      <alignment horizontal="left" vertical="center"/>
    </xf>
    <xf numFmtId="44" fontId="3" fillId="2" borderId="0" xfId="0" applyNumberFormat="1" applyFont="1" applyFill="1" applyBorder="1" applyAlignment="1" applyProtection="1">
      <alignment horizontal="right" vertical="center"/>
    </xf>
    <xf numFmtId="44" fontId="3" fillId="2" borderId="0" xfId="0" applyNumberFormat="1" applyFont="1" applyFill="1" applyBorder="1" applyAlignment="1" applyProtection="1">
      <alignment horizontal="center" vertical="center"/>
    </xf>
    <xf numFmtId="44" fontId="7" fillId="2" borderId="0" xfId="0" applyNumberFormat="1" applyFont="1" applyFill="1" applyBorder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/>
    </xf>
    <xf numFmtId="0" fontId="8" fillId="0" borderId="0" xfId="0" applyFont="1" applyBorder="1" applyProtection="1"/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vertical="center"/>
    </xf>
    <xf numFmtId="0" fontId="14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left" vertical="center" wrapText="1"/>
    </xf>
    <xf numFmtId="44" fontId="11" fillId="2" borderId="1" xfId="1" applyFont="1" applyFill="1" applyBorder="1" applyAlignment="1" applyProtection="1">
      <alignment horizontal="left" vertical="center"/>
    </xf>
    <xf numFmtId="44" fontId="11" fillId="5" borderId="1" xfId="1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left" vertical="center"/>
    </xf>
    <xf numFmtId="44" fontId="14" fillId="3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17" fillId="0" borderId="0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justify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left" vertical="center" wrapText="1"/>
    </xf>
    <xf numFmtId="0" fontId="13" fillId="3" borderId="1" xfId="0" applyFont="1" applyFill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vertical="top"/>
    </xf>
    <xf numFmtId="0" fontId="11" fillId="0" borderId="1" xfId="0" applyFont="1" applyFill="1" applyBorder="1" applyAlignment="1" applyProtection="1">
      <alignment horizontal="left" vertical="center" wrapText="1"/>
    </xf>
    <xf numFmtId="44" fontId="11" fillId="0" borderId="1" xfId="0" applyNumberFormat="1" applyFont="1" applyFill="1" applyBorder="1" applyAlignment="1" applyProtection="1">
      <alignment horizontal="left" vertical="center" wrapText="1"/>
    </xf>
    <xf numFmtId="44" fontId="12" fillId="0" borderId="1" xfId="0" applyNumberFormat="1" applyFont="1" applyFill="1" applyBorder="1" applyAlignment="1" applyProtection="1">
      <alignment vertical="center"/>
    </xf>
    <xf numFmtId="44" fontId="11" fillId="0" borderId="1" xfId="1" applyNumberFormat="1" applyFont="1" applyFill="1" applyBorder="1" applyAlignment="1" applyProtection="1">
      <alignment horizontal="center" vertical="center" wrapText="1"/>
    </xf>
    <xf numFmtId="44" fontId="13" fillId="3" borderId="1" xfId="1" applyFont="1" applyFill="1" applyBorder="1" applyAlignment="1" applyProtection="1">
      <alignment horizontal="left" vertical="center" wrapText="1"/>
    </xf>
    <xf numFmtId="0" fontId="13" fillId="3" borderId="2" xfId="0" applyFont="1" applyFill="1" applyBorder="1" applyAlignment="1" applyProtection="1">
      <alignment vertical="center" wrapText="1"/>
    </xf>
    <xf numFmtId="0" fontId="13" fillId="3" borderId="3" xfId="0" applyFont="1" applyFill="1" applyBorder="1" applyAlignment="1" applyProtection="1">
      <alignment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right" vertical="center"/>
    </xf>
    <xf numFmtId="44" fontId="13" fillId="3" borderId="1" xfId="1" applyNumberFormat="1" applyFont="1" applyFill="1" applyBorder="1" applyAlignment="1" applyProtection="1">
      <alignment vertical="center" wrapText="1"/>
    </xf>
    <xf numFmtId="4" fontId="12" fillId="0" borderId="0" xfId="0" applyNumberFormat="1" applyFont="1" applyFill="1" applyAlignment="1" applyProtection="1">
      <alignment vertical="center"/>
    </xf>
    <xf numFmtId="0" fontId="17" fillId="2" borderId="0" xfId="0" applyFont="1" applyFill="1" applyBorder="1" applyAlignment="1" applyProtection="1">
      <alignment vertical="center"/>
    </xf>
    <xf numFmtId="0" fontId="13" fillId="3" borderId="12" xfId="0" applyFont="1" applyFill="1" applyBorder="1" applyAlignment="1" applyProtection="1">
      <alignment vertical="center" wrapText="1"/>
    </xf>
    <xf numFmtId="0" fontId="13" fillId="3" borderId="13" xfId="0" applyFont="1" applyFill="1" applyBorder="1" applyAlignment="1" applyProtection="1">
      <alignment vertical="center" wrapText="1"/>
    </xf>
    <xf numFmtId="0" fontId="13" fillId="3" borderId="13" xfId="0" applyFont="1" applyFill="1" applyBorder="1" applyAlignment="1" applyProtection="1">
      <alignment horizontal="center" vertical="center" wrapText="1"/>
    </xf>
    <xf numFmtId="0" fontId="13" fillId="6" borderId="6" xfId="0" applyFont="1" applyFill="1" applyBorder="1" applyAlignment="1" applyProtection="1">
      <alignment vertical="center" wrapText="1"/>
    </xf>
    <xf numFmtId="0" fontId="13" fillId="6" borderId="1" xfId="0" applyFont="1" applyFill="1" applyBorder="1" applyAlignment="1" applyProtection="1">
      <alignment vertical="center" wrapText="1"/>
    </xf>
    <xf numFmtId="0" fontId="13" fillId="6" borderId="3" xfId="0" applyFont="1" applyFill="1" applyBorder="1" applyAlignment="1" applyProtection="1">
      <alignment vertical="center" wrapText="1"/>
    </xf>
    <xf numFmtId="0" fontId="13" fillId="6" borderId="7" xfId="0" applyFont="1" applyFill="1" applyBorder="1" applyAlignment="1" applyProtection="1">
      <alignment vertical="center" wrapText="1"/>
    </xf>
    <xf numFmtId="0" fontId="13" fillId="6" borderId="4" xfId="0" applyFont="1" applyFill="1" applyBorder="1" applyAlignment="1" applyProtection="1">
      <alignment vertical="center" wrapText="1"/>
    </xf>
    <xf numFmtId="0" fontId="13" fillId="6" borderId="2" xfId="0" applyFont="1" applyFill="1" applyBorder="1" applyAlignment="1" applyProtection="1">
      <alignment vertical="center" wrapText="1"/>
    </xf>
    <xf numFmtId="0" fontId="11" fillId="5" borderId="1" xfId="0" applyFont="1" applyFill="1" applyBorder="1" applyAlignment="1" applyProtection="1">
      <alignment vertical="center"/>
      <protection locked="0"/>
    </xf>
    <xf numFmtId="0" fontId="11" fillId="5" borderId="2" xfId="0" applyFont="1" applyFill="1" applyBorder="1" applyAlignment="1" applyProtection="1">
      <alignment vertical="center"/>
      <protection locked="0"/>
    </xf>
    <xf numFmtId="4" fontId="11" fillId="5" borderId="6" xfId="0" applyNumberFormat="1" applyFont="1" applyFill="1" applyBorder="1" applyAlignment="1" applyProtection="1">
      <alignment vertical="center"/>
      <protection locked="0"/>
    </xf>
    <xf numFmtId="10" fontId="11" fillId="5" borderId="1" xfId="2" applyNumberFormat="1" applyFont="1" applyFill="1" applyBorder="1" applyAlignment="1" applyProtection="1">
      <alignment vertical="center"/>
      <protection locked="0"/>
    </xf>
    <xf numFmtId="4" fontId="11" fillId="5" borderId="7" xfId="2" applyNumberFormat="1" applyFont="1" applyFill="1" applyBorder="1" applyAlignment="1" applyProtection="1">
      <alignment vertical="center"/>
      <protection locked="0"/>
    </xf>
    <xf numFmtId="10" fontId="12" fillId="5" borderId="1" xfId="2" applyNumberFormat="1" applyFont="1" applyFill="1" applyBorder="1" applyAlignment="1" applyProtection="1">
      <alignment vertical="center"/>
      <protection locked="0"/>
    </xf>
    <xf numFmtId="2" fontId="11" fillId="5" borderId="6" xfId="0" applyNumberFormat="1" applyFont="1" applyFill="1" applyBorder="1" applyAlignment="1" applyProtection="1">
      <alignment vertical="center"/>
      <protection locked="0"/>
    </xf>
    <xf numFmtId="2" fontId="12" fillId="5" borderId="1" xfId="0" applyNumberFormat="1" applyFont="1" applyFill="1" applyBorder="1" applyAlignment="1" applyProtection="1">
      <alignment vertical="center"/>
      <protection locked="0"/>
    </xf>
    <xf numFmtId="2" fontId="12" fillId="5" borderId="7" xfId="0" applyNumberFormat="1" applyFont="1" applyFill="1" applyBorder="1" applyAlignment="1" applyProtection="1">
      <alignment vertical="center"/>
      <protection locked="0"/>
    </xf>
    <xf numFmtId="10" fontId="12" fillId="5" borderId="4" xfId="2" applyNumberFormat="1" applyFont="1" applyFill="1" applyBorder="1" applyAlignment="1" applyProtection="1">
      <alignment vertical="center"/>
      <protection locked="0"/>
    </xf>
    <xf numFmtId="10" fontId="12" fillId="5" borderId="6" xfId="2" applyNumberFormat="1" applyFont="1" applyFill="1" applyBorder="1" applyAlignment="1" applyProtection="1">
      <alignment vertical="center"/>
      <protection locked="0"/>
    </xf>
    <xf numFmtId="4" fontId="12" fillId="5" borderId="7" xfId="0" applyNumberFormat="1" applyFont="1" applyFill="1" applyBorder="1" applyAlignment="1" applyProtection="1">
      <alignment vertical="center"/>
      <protection locked="0"/>
    </xf>
    <xf numFmtId="10" fontId="12" fillId="5" borderId="3" xfId="2" applyNumberFormat="1" applyFont="1" applyFill="1" applyBorder="1" applyAlignment="1" applyProtection="1">
      <alignment vertical="center"/>
      <protection locked="0"/>
    </xf>
    <xf numFmtId="10" fontId="12" fillId="5" borderId="2" xfId="2" applyNumberFormat="1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vertical="top"/>
    </xf>
    <xf numFmtId="0" fontId="11" fillId="0" borderId="0" xfId="0" applyFont="1" applyFill="1" applyBorder="1" applyAlignment="1" applyProtection="1">
      <alignment vertical="center"/>
    </xf>
    <xf numFmtId="44" fontId="12" fillId="0" borderId="0" xfId="0" applyNumberFormat="1" applyFont="1" applyFill="1" applyAlignment="1" applyProtection="1">
      <alignment vertical="center"/>
    </xf>
    <xf numFmtId="44" fontId="11" fillId="2" borderId="1" xfId="0" applyNumberFormat="1" applyFont="1" applyFill="1" applyBorder="1" applyAlignment="1" applyProtection="1">
      <alignment horizontal="left" vertical="center" wrapText="1"/>
    </xf>
    <xf numFmtId="44" fontId="12" fillId="2" borderId="1" xfId="0" applyNumberFormat="1" applyFont="1" applyFill="1" applyBorder="1" applyAlignment="1" applyProtection="1">
      <alignment vertical="center"/>
    </xf>
    <xf numFmtId="44" fontId="11" fillId="2" borderId="1" xfId="1" applyNumberFormat="1" applyFont="1" applyFill="1" applyBorder="1" applyAlignment="1" applyProtection="1">
      <alignment horizontal="center" vertical="center" wrapText="1"/>
    </xf>
    <xf numFmtId="2" fontId="11" fillId="2" borderId="1" xfId="0" applyNumberFormat="1" applyFont="1" applyFill="1" applyBorder="1" applyAlignment="1">
      <alignment vertical="center"/>
    </xf>
    <xf numFmtId="0" fontId="18" fillId="2" borderId="1" xfId="0" applyFont="1" applyFill="1" applyBorder="1" applyAlignment="1" applyProtection="1">
      <alignment horizontal="justify" vertical="justify" wrapText="1"/>
    </xf>
    <xf numFmtId="0" fontId="19" fillId="2" borderId="1" xfId="0" applyFont="1" applyFill="1" applyBorder="1" applyAlignment="1" applyProtection="1">
      <alignment horizontal="center" vertical="center" wrapText="1"/>
    </xf>
    <xf numFmtId="44" fontId="12" fillId="5" borderId="1" xfId="1" applyFont="1" applyFill="1" applyBorder="1" applyAlignment="1" applyProtection="1">
      <alignment horizontal="center" vertical="center"/>
      <protection locked="0"/>
    </xf>
    <xf numFmtId="44" fontId="12" fillId="2" borderId="1" xfId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 wrapText="1"/>
    </xf>
    <xf numFmtId="14" fontId="11" fillId="5" borderId="2" xfId="0" applyNumberFormat="1" applyFont="1" applyFill="1" applyBorder="1" applyAlignment="1" applyProtection="1">
      <alignment vertical="center"/>
      <protection locked="0"/>
    </xf>
    <xf numFmtId="165" fontId="12" fillId="5" borderId="4" xfId="2" applyNumberFormat="1" applyFont="1" applyFill="1" applyBorder="1" applyAlignment="1" applyProtection="1">
      <alignment vertical="center"/>
      <protection locked="0"/>
    </xf>
    <xf numFmtId="165" fontId="12" fillId="5" borderId="1" xfId="2" applyNumberFormat="1" applyFont="1" applyFill="1" applyBorder="1" applyAlignment="1" applyProtection="1">
      <alignment vertical="center"/>
      <protection locked="0"/>
    </xf>
    <xf numFmtId="10" fontId="12" fillId="0" borderId="0" xfId="0" applyNumberFormat="1" applyFont="1" applyFill="1" applyAlignment="1" applyProtection="1">
      <alignment vertical="center"/>
    </xf>
    <xf numFmtId="2" fontId="11" fillId="5" borderId="1" xfId="0" applyNumberFormat="1" applyFont="1" applyFill="1" applyBorder="1" applyAlignment="1" applyProtection="1">
      <alignment vertical="center"/>
      <protection locked="0"/>
    </xf>
    <xf numFmtId="43" fontId="11" fillId="5" borderId="1" xfId="0" applyNumberFormat="1" applyFont="1" applyFill="1" applyBorder="1" applyAlignment="1" applyProtection="1">
      <alignment horizontal="right" vertical="center"/>
      <protection locked="0"/>
    </xf>
    <xf numFmtId="44" fontId="0" fillId="0" borderId="0" xfId="0" applyNumberFormat="1" applyFont="1" applyFill="1" applyAlignment="1" applyProtection="1">
      <alignment vertical="center"/>
    </xf>
    <xf numFmtId="0" fontId="16" fillId="3" borderId="3" xfId="0" applyFont="1" applyFill="1" applyBorder="1" applyAlignment="1" applyProtection="1">
      <alignment horizontal="right" vertical="center" wrapText="1"/>
    </xf>
    <xf numFmtId="0" fontId="0" fillId="0" borderId="1" xfId="0" applyBorder="1"/>
    <xf numFmtId="0" fontId="4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14" fillId="4" borderId="1" xfId="0" applyFont="1" applyFill="1" applyBorder="1" applyAlignment="1" applyProtection="1">
      <alignment vertical="center"/>
    </xf>
    <xf numFmtId="0" fontId="12" fillId="0" borderId="1" xfId="0" applyFont="1" applyFill="1" applyBorder="1" applyAlignment="1" applyProtection="1">
      <alignment vertical="center"/>
    </xf>
    <xf numFmtId="0" fontId="12" fillId="0" borderId="3" xfId="0" applyFont="1" applyFill="1" applyBorder="1" applyAlignment="1" applyProtection="1">
      <alignment vertical="center"/>
    </xf>
    <xf numFmtId="0" fontId="12" fillId="0" borderId="4" xfId="0" applyFont="1" applyFill="1" applyBorder="1" applyAlignment="1" applyProtection="1">
      <alignment vertical="center"/>
    </xf>
    <xf numFmtId="0" fontId="16" fillId="3" borderId="3" xfId="0" applyFont="1" applyFill="1" applyBorder="1" applyAlignment="1" applyProtection="1">
      <alignment vertical="center" wrapText="1"/>
    </xf>
    <xf numFmtId="0" fontId="12" fillId="0" borderId="3" xfId="0" applyFont="1" applyFill="1" applyBorder="1" applyAlignment="1" applyProtection="1">
      <alignment vertical="center" wrapText="1"/>
    </xf>
    <xf numFmtId="0" fontId="12" fillId="0" borderId="4" xfId="0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16" fillId="3" borderId="1" xfId="0" applyFont="1" applyFill="1" applyBorder="1" applyAlignment="1" applyProtection="1">
      <alignment vertical="center"/>
    </xf>
    <xf numFmtId="0" fontId="14" fillId="4" borderId="3" xfId="0" applyFont="1" applyFill="1" applyBorder="1" applyAlignment="1" applyProtection="1">
      <alignment vertical="center"/>
    </xf>
    <xf numFmtId="0" fontId="14" fillId="4" borderId="4" xfId="0" applyFont="1" applyFill="1" applyBorder="1" applyAlignment="1" applyProtection="1">
      <alignment vertical="center"/>
    </xf>
    <xf numFmtId="0" fontId="16" fillId="3" borderId="3" xfId="0" applyFont="1" applyFill="1" applyBorder="1" applyAlignment="1" applyProtection="1">
      <alignment horizontal="center" vertical="center" wrapText="1"/>
    </xf>
    <xf numFmtId="44" fontId="14" fillId="3" borderId="3" xfId="0" applyNumberFormat="1" applyFont="1" applyFill="1" applyBorder="1" applyAlignment="1" applyProtection="1">
      <alignment horizontal="center" vertical="center"/>
    </xf>
    <xf numFmtId="44" fontId="14" fillId="3" borderId="3" xfId="1" applyFont="1" applyFill="1" applyBorder="1" applyAlignment="1" applyProtection="1">
      <alignment horizontal="center" vertical="center"/>
    </xf>
    <xf numFmtId="44" fontId="14" fillId="3" borderId="4" xfId="1" applyFont="1" applyFill="1" applyBorder="1" applyAlignment="1" applyProtection="1">
      <alignment horizontal="center" vertical="center"/>
    </xf>
    <xf numFmtId="44" fontId="14" fillId="3" borderId="4" xfId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/>
    <xf numFmtId="44" fontId="0" fillId="0" borderId="1" xfId="1" applyFont="1" applyBorder="1"/>
    <xf numFmtId="44" fontId="3" fillId="0" borderId="0" xfId="0" applyNumberFormat="1" applyFont="1"/>
    <xf numFmtId="0" fontId="4" fillId="0" borderId="0" xfId="0" applyFont="1" applyBorder="1" applyAlignment="1" applyProtection="1">
      <alignment vertical="top"/>
    </xf>
    <xf numFmtId="0" fontId="12" fillId="0" borderId="1" xfId="0" applyFont="1" applyBorder="1" applyAlignment="1" applyProtection="1">
      <alignment horizontal="left" vertical="top"/>
    </xf>
    <xf numFmtId="0" fontId="16" fillId="3" borderId="1" xfId="0" applyFont="1" applyFill="1" applyBorder="1" applyAlignment="1" applyProtection="1">
      <alignment horizontal="left" vertical="top" wrapText="1"/>
    </xf>
    <xf numFmtId="0" fontId="12" fillId="0" borderId="0" xfId="0" applyFont="1" applyAlignment="1" applyProtection="1">
      <alignment horizontal="left" vertical="top"/>
    </xf>
    <xf numFmtId="0" fontId="0" fillId="0" borderId="0" xfId="0" applyFont="1" applyAlignment="1" applyProtection="1">
      <alignment horizontal="left" vertical="top"/>
    </xf>
    <xf numFmtId="0" fontId="6" fillId="0" borderId="0" xfId="0" applyFont="1" applyAlignment="1">
      <alignment vertical="top"/>
    </xf>
    <xf numFmtId="0" fontId="0" fillId="0" borderId="0" xfId="0" applyFont="1" applyBorder="1" applyAlignment="1" applyProtection="1">
      <alignment vertical="top"/>
    </xf>
    <xf numFmtId="0" fontId="0" fillId="0" borderId="0" xfId="0" applyFont="1" applyAlignment="1" applyProtection="1">
      <alignment vertical="top"/>
    </xf>
    <xf numFmtId="0" fontId="10" fillId="0" borderId="0" xfId="0" applyFont="1" applyBorder="1" applyAlignment="1" applyProtection="1">
      <alignment vertical="top"/>
    </xf>
    <xf numFmtId="0" fontId="0" fillId="0" borderId="0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 applyProtection="1">
      <alignment horizontal="left" vertical="top"/>
    </xf>
    <xf numFmtId="0" fontId="14" fillId="3" borderId="1" xfId="0" applyFont="1" applyFill="1" applyBorder="1" applyAlignment="1" applyProtection="1">
      <alignment horizontal="left" vertical="top"/>
    </xf>
    <xf numFmtId="44" fontId="11" fillId="5" borderId="1" xfId="1" applyFont="1" applyFill="1" applyBorder="1" applyAlignment="1" applyProtection="1">
      <alignment horizontal="left" vertical="top"/>
      <protection locked="0"/>
    </xf>
    <xf numFmtId="0" fontId="11" fillId="2" borderId="1" xfId="0" applyFont="1" applyFill="1" applyBorder="1" applyAlignment="1" applyProtection="1">
      <alignment horizontal="left" vertical="top"/>
    </xf>
    <xf numFmtId="44" fontId="11" fillId="0" borderId="1" xfId="1" applyFont="1" applyFill="1" applyBorder="1" applyAlignment="1" applyProtection="1">
      <alignment horizontal="left" vertical="top"/>
    </xf>
    <xf numFmtId="44" fontId="12" fillId="0" borderId="0" xfId="0" applyNumberFormat="1" applyFont="1" applyAlignment="1" applyProtection="1">
      <alignment horizontal="left" vertical="top"/>
    </xf>
    <xf numFmtId="44" fontId="11" fillId="5" borderId="1" xfId="1" applyFont="1" applyFill="1" applyBorder="1" applyAlignment="1" applyProtection="1">
      <alignment horizontal="left" vertical="top"/>
    </xf>
    <xf numFmtId="44" fontId="14" fillId="3" borderId="1" xfId="0" applyNumberFormat="1" applyFont="1" applyFill="1" applyBorder="1" applyAlignment="1" applyProtection="1">
      <alignment horizontal="left" vertical="top"/>
    </xf>
    <xf numFmtId="44" fontId="14" fillId="3" borderId="1" xfId="1" applyFont="1" applyFill="1" applyBorder="1" applyAlignment="1" applyProtection="1">
      <alignment horizontal="left" vertical="top"/>
    </xf>
    <xf numFmtId="0" fontId="14" fillId="4" borderId="1" xfId="0" applyFont="1" applyFill="1" applyBorder="1" applyAlignment="1" applyProtection="1">
      <alignment horizontal="left" vertical="top"/>
    </xf>
    <xf numFmtId="44" fontId="12" fillId="5" borderId="7" xfId="1" applyFont="1" applyFill="1" applyBorder="1" applyAlignment="1" applyProtection="1">
      <alignment vertical="center"/>
      <protection locked="0"/>
    </xf>
    <xf numFmtId="44" fontId="11" fillId="5" borderId="7" xfId="1" applyFont="1" applyFill="1" applyBorder="1" applyAlignment="1" applyProtection="1">
      <alignment vertical="center"/>
      <protection locked="0"/>
    </xf>
    <xf numFmtId="44" fontId="13" fillId="5" borderId="7" xfId="1" applyFont="1" applyFill="1" applyBorder="1" applyAlignment="1" applyProtection="1">
      <alignment vertical="center" wrapText="1"/>
    </xf>
    <xf numFmtId="44" fontId="11" fillId="2" borderId="1" xfId="1" applyFont="1" applyFill="1" applyBorder="1" applyAlignment="1" applyProtection="1">
      <alignment vertical="center"/>
    </xf>
    <xf numFmtId="0" fontId="14" fillId="4" borderId="2" xfId="0" applyFont="1" applyFill="1" applyBorder="1" applyAlignment="1" applyProtection="1">
      <alignment vertical="top"/>
    </xf>
    <xf numFmtId="0" fontId="14" fillId="4" borderId="3" xfId="0" applyFont="1" applyFill="1" applyBorder="1" applyAlignment="1" applyProtection="1">
      <alignment vertical="top"/>
    </xf>
    <xf numFmtId="0" fontId="14" fillId="4" borderId="4" xfId="0" applyFont="1" applyFill="1" applyBorder="1" applyAlignment="1" applyProtection="1">
      <alignment vertical="top"/>
    </xf>
    <xf numFmtId="0" fontId="12" fillId="0" borderId="2" xfId="0" applyFont="1" applyBorder="1" applyAlignment="1" applyProtection="1">
      <alignment horizontal="left" vertical="top"/>
    </xf>
    <xf numFmtId="0" fontId="12" fillId="0" borderId="3" xfId="0" applyFont="1" applyFill="1" applyBorder="1" applyAlignment="1" applyProtection="1">
      <alignment vertical="top"/>
    </xf>
    <xf numFmtId="0" fontId="12" fillId="0" borderId="4" xfId="0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14" fillId="0" borderId="0" xfId="0" applyFont="1" applyAlignment="1" applyProtection="1">
      <alignment horizontal="center" vertical="top"/>
    </xf>
    <xf numFmtId="0" fontId="16" fillId="3" borderId="1" xfId="0" applyFont="1" applyFill="1" applyBorder="1" applyAlignment="1" applyProtection="1">
      <alignment horizontal="left" vertical="top"/>
    </xf>
    <xf numFmtId="0" fontId="16" fillId="3" borderId="1" xfId="0" applyFont="1" applyFill="1" applyBorder="1" applyAlignment="1" applyProtection="1">
      <alignment vertical="top"/>
    </xf>
    <xf numFmtId="0" fontId="14" fillId="0" borderId="3" xfId="0" applyFont="1" applyFill="1" applyBorder="1" applyAlignment="1" applyProtection="1">
      <alignment vertical="top"/>
    </xf>
    <xf numFmtId="0" fontId="14" fillId="0" borderId="4" xfId="0" applyFont="1" applyFill="1" applyBorder="1" applyAlignment="1" applyProtection="1">
      <alignment vertical="top"/>
    </xf>
    <xf numFmtId="0" fontId="14" fillId="0" borderId="2" xfId="0" applyFont="1" applyFill="1" applyBorder="1" applyAlignment="1" applyProtection="1">
      <alignment vertical="top"/>
    </xf>
    <xf numFmtId="0" fontId="12" fillId="0" borderId="2" xfId="0" applyFont="1" applyFill="1" applyBorder="1" applyAlignment="1" applyProtection="1">
      <alignment vertical="top"/>
    </xf>
    <xf numFmtId="4" fontId="10" fillId="0" borderId="0" xfId="0" applyNumberFormat="1" applyFont="1" applyBorder="1" applyAlignment="1" applyProtection="1">
      <alignment horizontal="left" vertical="center"/>
    </xf>
    <xf numFmtId="0" fontId="14" fillId="4" borderId="1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44" fontId="20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44" fontId="8" fillId="0" borderId="0" xfId="0" applyNumberFormat="1" applyFont="1" applyAlignment="1" applyProtection="1">
      <alignment vertical="center"/>
    </xf>
    <xf numFmtId="0" fontId="6" fillId="2" borderId="0" xfId="0" applyFont="1" applyFill="1" applyAlignment="1" applyProtection="1">
      <alignment vertical="center" wrapText="1"/>
    </xf>
    <xf numFmtId="0" fontId="4" fillId="2" borderId="0" xfId="0" applyFont="1" applyFill="1" applyAlignment="1" applyProtection="1">
      <alignment vertical="center" wrapText="1"/>
    </xf>
    <xf numFmtId="0" fontId="10" fillId="2" borderId="0" xfId="0" applyFont="1" applyFill="1" applyAlignment="1" applyProtection="1">
      <alignment vertical="center" wrapText="1"/>
    </xf>
    <xf numFmtId="0" fontId="12" fillId="2" borderId="0" xfId="0" applyFont="1" applyFill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vertical="center" wrapText="1"/>
    </xf>
    <xf numFmtId="0" fontId="12" fillId="2" borderId="3" xfId="0" applyFont="1" applyFill="1" applyBorder="1" applyAlignment="1" applyProtection="1">
      <alignment vertical="center" wrapText="1"/>
    </xf>
    <xf numFmtId="0" fontId="12" fillId="2" borderId="1" xfId="0" applyFont="1" applyFill="1" applyBorder="1" applyAlignment="1" applyProtection="1">
      <alignment vertical="center"/>
    </xf>
    <xf numFmtId="0" fontId="12" fillId="2" borderId="2" xfId="0" applyFont="1" applyFill="1" applyBorder="1" applyAlignment="1" applyProtection="1">
      <alignment vertical="center"/>
    </xf>
    <xf numFmtId="0" fontId="12" fillId="2" borderId="3" xfId="0" applyFont="1" applyFill="1" applyBorder="1" applyAlignment="1" applyProtection="1">
      <alignment vertical="center"/>
    </xf>
    <xf numFmtId="0" fontId="16" fillId="2" borderId="1" xfId="0" applyFont="1" applyFill="1" applyBorder="1" applyAlignment="1" applyProtection="1">
      <alignment horizontal="left" vertical="center" wrapText="1"/>
    </xf>
    <xf numFmtId="44" fontId="11" fillId="2" borderId="1" xfId="1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Alignment="1" applyProtection="1">
      <alignment vertical="center"/>
    </xf>
    <xf numFmtId="0" fontId="11" fillId="2" borderId="1" xfId="1" applyNumberFormat="1" applyFont="1" applyFill="1" applyBorder="1" applyAlignment="1" applyProtection="1">
      <alignment horizontal="left" vertical="center"/>
      <protection locked="0"/>
    </xf>
    <xf numFmtId="0" fontId="11" fillId="2" borderId="1" xfId="1" applyNumberFormat="1" applyFont="1" applyFill="1" applyBorder="1" applyAlignment="1" applyProtection="1">
      <alignment horizontal="left"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vertical="center"/>
    </xf>
    <xf numFmtId="0" fontId="3" fillId="2" borderId="1" xfId="0" applyFont="1" applyFill="1" applyBorder="1"/>
    <xf numFmtId="0" fontId="0" fillId="2" borderId="0" xfId="0" applyFill="1"/>
    <xf numFmtId="0" fontId="0" fillId="2" borderId="1" xfId="0" applyFill="1" applyBorder="1"/>
    <xf numFmtId="44" fontId="0" fillId="2" borderId="1" xfId="1" applyFont="1" applyFill="1" applyBorder="1"/>
    <xf numFmtId="44" fontId="0" fillId="2" borderId="0" xfId="1" applyFont="1" applyFill="1"/>
    <xf numFmtId="44" fontId="3" fillId="2" borderId="0" xfId="0" applyNumberFormat="1" applyFont="1" applyFill="1"/>
    <xf numFmtId="0" fontId="14" fillId="4" borderId="1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vertical="center"/>
    </xf>
    <xf numFmtId="0" fontId="16" fillId="2" borderId="3" xfId="0" applyFont="1" applyFill="1" applyBorder="1" applyAlignment="1" applyProtection="1">
      <alignment vertical="center" wrapText="1"/>
    </xf>
    <xf numFmtId="0" fontId="14" fillId="4" borderId="1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44" fontId="0" fillId="5" borderId="1" xfId="1" applyFont="1" applyFill="1" applyBorder="1" applyProtection="1">
      <protection locked="0"/>
    </xf>
    <xf numFmtId="0" fontId="5" fillId="7" borderId="3" xfId="0" applyFont="1" applyFill="1" applyBorder="1" applyAlignment="1" applyProtection="1">
      <alignment horizontal="left" vertical="center" wrapText="1"/>
    </xf>
    <xf numFmtId="0" fontId="5" fillId="7" borderId="2" xfId="0" applyFont="1" applyFill="1" applyBorder="1" applyAlignment="1" applyProtection="1">
      <alignment horizontal="left" vertical="center" wrapText="1"/>
    </xf>
    <xf numFmtId="0" fontId="5" fillId="7" borderId="9" xfId="0" applyFont="1" applyFill="1" applyBorder="1" applyAlignment="1" applyProtection="1">
      <alignment horizontal="left" vertical="center" wrapText="1"/>
    </xf>
    <xf numFmtId="0" fontId="13" fillId="8" borderId="8" xfId="0" applyFont="1" applyFill="1" applyBorder="1" applyAlignment="1" applyProtection="1">
      <alignment horizontal="center" vertical="center" wrapText="1"/>
    </xf>
    <xf numFmtId="0" fontId="13" fillId="8" borderId="3" xfId="0" applyFont="1" applyFill="1" applyBorder="1" applyAlignment="1" applyProtection="1">
      <alignment horizontal="center" vertical="center" wrapText="1"/>
    </xf>
    <xf numFmtId="0" fontId="13" fillId="8" borderId="8" xfId="0" applyFont="1" applyFill="1" applyBorder="1" applyAlignment="1" applyProtection="1">
      <alignment horizontal="left" vertical="center" wrapText="1"/>
    </xf>
    <xf numFmtId="0" fontId="13" fillId="8" borderId="3" xfId="0" applyFont="1" applyFill="1" applyBorder="1" applyAlignment="1" applyProtection="1">
      <alignment horizontal="left" vertical="center" wrapText="1"/>
    </xf>
    <xf numFmtId="0" fontId="13" fillId="8" borderId="9" xfId="0" applyFont="1" applyFill="1" applyBorder="1" applyAlignment="1" applyProtection="1">
      <alignment horizontal="left" vertical="center" wrapText="1"/>
    </xf>
    <xf numFmtId="0" fontId="5" fillId="7" borderId="8" xfId="0" applyFont="1" applyFill="1" applyBorder="1" applyAlignment="1" applyProtection="1">
      <alignment horizontal="left" vertical="center" wrapText="1"/>
    </xf>
    <xf numFmtId="4" fontId="10" fillId="0" borderId="0" xfId="0" applyNumberFormat="1" applyFont="1" applyBorder="1" applyAlignment="1" applyProtection="1">
      <alignment horizontal="left" vertical="center"/>
    </xf>
    <xf numFmtId="0" fontId="13" fillId="8" borderId="2" xfId="0" applyFont="1" applyFill="1" applyBorder="1" applyAlignment="1" applyProtection="1">
      <alignment horizontal="left" vertical="center" wrapText="1"/>
    </xf>
    <xf numFmtId="0" fontId="13" fillId="4" borderId="1" xfId="0" applyFont="1" applyFill="1" applyBorder="1" applyAlignment="1" applyProtection="1">
      <alignment horizontal="left" vertical="center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left" vertical="justify" wrapText="1"/>
    </xf>
    <xf numFmtId="0" fontId="13" fillId="3" borderId="1" xfId="0" applyFont="1" applyFill="1" applyBorder="1" applyAlignment="1" applyProtection="1">
      <alignment horizontal="center" vertical="center" wrapText="1"/>
    </xf>
    <xf numFmtId="44" fontId="14" fillId="3" borderId="2" xfId="0" applyNumberFormat="1" applyFont="1" applyFill="1" applyBorder="1" applyAlignment="1" applyProtection="1">
      <alignment horizontal="right" vertical="center"/>
    </xf>
    <xf numFmtId="44" fontId="14" fillId="3" borderId="3" xfId="0" applyNumberFormat="1" applyFont="1" applyFill="1" applyBorder="1" applyAlignment="1" applyProtection="1">
      <alignment horizontal="right" vertical="center"/>
    </xf>
    <xf numFmtId="44" fontId="14" fillId="3" borderId="4" xfId="0" applyNumberFormat="1" applyFont="1" applyFill="1" applyBorder="1" applyAlignment="1" applyProtection="1">
      <alignment horizontal="right" vertical="center"/>
    </xf>
    <xf numFmtId="0" fontId="12" fillId="2" borderId="1" xfId="0" applyNumberFormat="1" applyFont="1" applyFill="1" applyBorder="1" applyAlignment="1" applyProtection="1">
      <alignment horizontal="left" vertical="center" wrapText="1"/>
    </xf>
    <xf numFmtId="0" fontId="16" fillId="3" borderId="1" xfId="0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</xf>
    <xf numFmtId="0" fontId="14" fillId="4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left" vertical="center" wrapText="1"/>
    </xf>
  </cellXfs>
  <cellStyles count="4">
    <cellStyle name="Moeda" xfId="1" builtinId="4"/>
    <cellStyle name="Normal" xfId="0" builtinId="0"/>
    <cellStyle name="Porcentagem" xfId="2" builtinId="5"/>
    <cellStyle name="Vírgula 2" xfId="3"/>
  </cellStyles>
  <dxfs count="0"/>
  <tableStyles count="0" defaultTableStyle="TableStyleMedium2" defaultPivotStyle="PivotStyleLight16"/>
  <colors>
    <mruColors>
      <color rgb="FF009900"/>
      <color rgb="FFC2844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amorim/OneDrive%20-%20EBSERH/unidade_planejamento/projetos/licita&#231;&#227;o%20epc%20-%20servite/pesquisa%20preco/orcamento/pesquisa%20interna/pesquisa%20interna%20mej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o-a-passo"/>
      <sheetName val="calculo - hotelaria"/>
      <sheetName val="calculo - nutricao"/>
      <sheetName val="calculo - lavanderia"/>
      <sheetName val="calculo - eng.clinica"/>
      <sheetName val="calculo - serv.geral"/>
      <sheetName val="calculo - sost"/>
      <sheetName val="planilha - proposta"/>
      <sheetName val="EPIs"/>
      <sheetName val="Uniformes "/>
      <sheetName val="Radios"/>
      <sheetName val="ResumoEPI"/>
      <sheetName val="ResumoFardam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C17" t="str">
            <v>Eletrotécnico</v>
          </cell>
          <cell r="D17" t="str">
            <v>Eletrotécnico - 12x36n</v>
          </cell>
          <cell r="E17">
            <v>0</v>
          </cell>
        </row>
        <row r="18">
          <cell r="D18" t="str">
            <v>Eletrotécnico - 44h</v>
          </cell>
          <cell r="E18">
            <v>1</v>
          </cell>
        </row>
        <row r="19">
          <cell r="C19" t="str">
            <v>Oficial de Manutenção de Equipamento Médico Hospitalar</v>
          </cell>
          <cell r="D19" t="str">
            <v>Oficial de Manutenção de Equipamento Médico Hospitalar - 12x36d</v>
          </cell>
          <cell r="E19">
            <v>0</v>
          </cell>
        </row>
        <row r="20">
          <cell r="D20" t="str">
            <v>Oficial de Manutenção de Equipamento Médico Hospitalar - 12x36n</v>
          </cell>
          <cell r="E20">
            <v>0</v>
          </cell>
        </row>
        <row r="21">
          <cell r="D21" t="str">
            <v>Oficial de Manutenção de Equipamento Médico Hospitalar - 44h</v>
          </cell>
          <cell r="E21">
            <v>1</v>
          </cell>
        </row>
        <row r="22">
          <cell r="C22" t="str">
            <v>Auxiliar de Cozinha</v>
          </cell>
          <cell r="D22" t="str">
            <v>Auxiliar de Cozinha - 12x36d</v>
          </cell>
          <cell r="E22">
            <v>8</v>
          </cell>
        </row>
        <row r="23">
          <cell r="D23" t="str">
            <v>Auxiliar de Cozinha - 12x36n</v>
          </cell>
          <cell r="E23">
            <v>0</v>
          </cell>
        </row>
        <row r="24">
          <cell r="D24" t="str">
            <v>Auxiliar de Cozinha - 44h</v>
          </cell>
          <cell r="E24">
            <v>0</v>
          </cell>
        </row>
        <row r="25">
          <cell r="C25" t="str">
            <v>Auxiliar de Nutrição</v>
          </cell>
          <cell r="D25" t="str">
            <v>Auxiliar de Nutrição - 12x36d</v>
          </cell>
          <cell r="E25">
            <v>4</v>
          </cell>
        </row>
        <row r="26">
          <cell r="D26" t="str">
            <v>Auxiliar de Nutrição - 12x36n</v>
          </cell>
          <cell r="E26">
            <v>4</v>
          </cell>
        </row>
        <row r="27">
          <cell r="D27" t="str">
            <v>Auxiliar de Nutrição - 44h</v>
          </cell>
          <cell r="E27">
            <v>5</v>
          </cell>
        </row>
        <row r="28">
          <cell r="C28" t="str">
            <v>Açougueiro</v>
          </cell>
          <cell r="D28" t="str">
            <v>Açougueiro - 12x36d</v>
          </cell>
          <cell r="E28">
            <v>0</v>
          </cell>
        </row>
        <row r="29">
          <cell r="D29" t="str">
            <v>Açougueiro - 44h</v>
          </cell>
          <cell r="E29">
            <v>0</v>
          </cell>
        </row>
        <row r="30">
          <cell r="C30" t="str">
            <v>Camareira</v>
          </cell>
          <cell r="D30" t="str">
            <v>Camareira - 12x36d</v>
          </cell>
          <cell r="E30">
            <v>0</v>
          </cell>
        </row>
        <row r="31">
          <cell r="D31" t="str">
            <v>Camareira - 12x36n</v>
          </cell>
          <cell r="E31">
            <v>0</v>
          </cell>
        </row>
        <row r="32">
          <cell r="D32" t="str">
            <v>Camareira - 44h</v>
          </cell>
          <cell r="E32">
            <v>0</v>
          </cell>
        </row>
        <row r="33">
          <cell r="C33" t="str">
            <v>Copeiro Hospitalar</v>
          </cell>
          <cell r="D33" t="str">
            <v>Copeiro Hospitalar - 12x36d</v>
          </cell>
          <cell r="E33">
            <v>14</v>
          </cell>
        </row>
        <row r="34">
          <cell r="D34" t="str">
            <v>Copeiro Hospitalar - 12x36n</v>
          </cell>
          <cell r="E34">
            <v>4</v>
          </cell>
        </row>
        <row r="35">
          <cell r="D35" t="str">
            <v>Copeiro Hospitalar - 44h</v>
          </cell>
          <cell r="E35">
            <v>1</v>
          </cell>
        </row>
        <row r="36">
          <cell r="C36" t="str">
            <v>Costureiro</v>
          </cell>
          <cell r="D36" t="str">
            <v>Costureiro - 44h</v>
          </cell>
          <cell r="E36">
            <v>0</v>
          </cell>
        </row>
        <row r="37">
          <cell r="C37" t="str">
            <v>Cozinheiro Hospitalar</v>
          </cell>
          <cell r="D37" t="str">
            <v>Cozinheiro Hospitalar - 12x36d</v>
          </cell>
          <cell r="E37">
            <v>8</v>
          </cell>
        </row>
        <row r="38">
          <cell r="D38" t="str">
            <v>Cozinheiro Hospitalar - 12x36n</v>
          </cell>
          <cell r="E38">
            <v>2</v>
          </cell>
        </row>
        <row r="39">
          <cell r="D39" t="str">
            <v>Cozinheiro Hospitalar - 44h</v>
          </cell>
          <cell r="E39">
            <v>1</v>
          </cell>
        </row>
        <row r="40">
          <cell r="C40" t="str">
            <v>Despenseiro/Armazenista</v>
          </cell>
          <cell r="D40" t="str">
            <v>Despenseiro/Armazenista - 12x36d</v>
          </cell>
          <cell r="E40">
            <v>2</v>
          </cell>
        </row>
        <row r="41">
          <cell r="D41" t="str">
            <v>Despenseiro/Armazenista - 12x36n</v>
          </cell>
          <cell r="E41">
            <v>2</v>
          </cell>
        </row>
        <row r="42">
          <cell r="D42" t="str">
            <v>Despenseiro/Armazenista - 44h</v>
          </cell>
          <cell r="E42">
            <v>5</v>
          </cell>
        </row>
        <row r="43">
          <cell r="C43" t="str">
            <v>Operador de Câmara Fria</v>
          </cell>
          <cell r="D43" t="str">
            <v>Operador de Câmara Fria - 12X36d</v>
          </cell>
          <cell r="E43">
            <v>0</v>
          </cell>
        </row>
        <row r="44">
          <cell r="C44" t="str">
            <v>Governanta em Hotelaria</v>
          </cell>
          <cell r="D44" t="str">
            <v>Governanta em Hotelaria - 12x36d</v>
          </cell>
          <cell r="E44">
            <v>2</v>
          </cell>
        </row>
        <row r="45">
          <cell r="D45" t="str">
            <v>Governanta em Hotelaria - 12x36n</v>
          </cell>
          <cell r="E45">
            <v>2</v>
          </cell>
        </row>
        <row r="46">
          <cell r="D46" t="str">
            <v>Governanta em Hotelaria - 44h</v>
          </cell>
          <cell r="E46">
            <v>1</v>
          </cell>
        </row>
        <row r="47">
          <cell r="C47" t="str">
            <v>Auxiliar de Lavanderia</v>
          </cell>
          <cell r="D47" t="str">
            <v>Auxiliar de Lavanderia - 12x36d</v>
          </cell>
          <cell r="E47">
            <v>0</v>
          </cell>
        </row>
        <row r="48">
          <cell r="D48" t="str">
            <v>Auxiliar de Lavanderia - 12x36n</v>
          </cell>
          <cell r="E48">
            <v>0</v>
          </cell>
        </row>
        <row r="49">
          <cell r="D49" t="str">
            <v>Auxiliar de Lavanderia - 44h</v>
          </cell>
          <cell r="E49">
            <v>0</v>
          </cell>
        </row>
        <row r="50">
          <cell r="C50" t="str">
            <v>Técnico em Nutrição</v>
          </cell>
          <cell r="D50" t="str">
            <v>Técnico em Nutrição - 12x36d</v>
          </cell>
          <cell r="E50">
            <v>6</v>
          </cell>
        </row>
        <row r="51">
          <cell r="D51" t="str">
            <v>Técnico em Nutrição - 12x36n</v>
          </cell>
          <cell r="E51">
            <v>2</v>
          </cell>
        </row>
        <row r="52">
          <cell r="D52" t="str">
            <v>Técnico em Nutrição - 44h</v>
          </cell>
          <cell r="E52">
            <v>0</v>
          </cell>
        </row>
        <row r="53">
          <cell r="C53" t="str">
            <v>Supervisor de Lavanderia</v>
          </cell>
          <cell r="D53" t="str">
            <v>Supervisor de Lavanderia - 44h</v>
          </cell>
          <cell r="E53">
            <v>0</v>
          </cell>
        </row>
        <row r="54">
          <cell r="C54" t="str">
            <v>Supervisor de Hotelaria</v>
          </cell>
          <cell r="D54" t="str">
            <v>Supervisor de Hotelaria - 44h</v>
          </cell>
          <cell r="E54">
            <v>0</v>
          </cell>
        </row>
        <row r="55">
          <cell r="C55" t="str">
            <v>Maqueiro</v>
          </cell>
          <cell r="D55" t="str">
            <v>Maqueiro - 12x36d</v>
          </cell>
          <cell r="E55">
            <v>6</v>
          </cell>
        </row>
        <row r="56">
          <cell r="D56" t="str">
            <v>Maqueiro - 12x36n</v>
          </cell>
          <cell r="E56">
            <v>6</v>
          </cell>
        </row>
        <row r="57">
          <cell r="D57" t="str">
            <v>Maqueiro - 44h</v>
          </cell>
          <cell r="E57">
            <v>2</v>
          </cell>
        </row>
        <row r="58">
          <cell r="C58" t="str">
            <v>Motorista</v>
          </cell>
          <cell r="D58" t="str">
            <v>Motorista - 44h</v>
          </cell>
          <cell r="E58">
            <v>2</v>
          </cell>
        </row>
        <row r="59">
          <cell r="C59" t="str">
            <v>Condutor de Ambulância</v>
          </cell>
          <cell r="D59" t="str">
            <v>Condutor de Ambulância - 12x36/12x48</v>
          </cell>
          <cell r="E59">
            <v>8</v>
          </cell>
        </row>
        <row r="60">
          <cell r="D60" t="str">
            <v>Condutor de Ambulância - 24x96</v>
          </cell>
          <cell r="E60">
            <v>0</v>
          </cell>
        </row>
        <row r="61">
          <cell r="C61" t="str">
            <v>Bombeiro Civil</v>
          </cell>
          <cell r="D61" t="str">
            <v>Bombeiro Civil - 12x36d</v>
          </cell>
          <cell r="E61">
            <v>4</v>
          </cell>
        </row>
        <row r="62">
          <cell r="D62" t="str">
            <v>Bombeiro Civil - 12x36n</v>
          </cell>
          <cell r="E62">
            <v>4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afael Wagner Alves De Amorim" id="{3B4FA822-D6A7-40B1-A85F-4BB3A5B6F0F6}" userId="Rafael.Amorim@ebserh.gov.br" providerId="PeoplePicker"/>
  <person displayName="Rafael Wagner Alves De Amorim" id="{5BD7D23D-F90D-4734-A299-E8DCA9FFA8A1}" userId="Rafael Wagner Alves De Amorim" providerId="None"/>
  <person displayName="Rafael Wagner Alves De Amorim" id="{3B8CF0FC-03A2-4347-817D-CF919D24950C}" userId="S::rafael.amorim@ebserh.gov.br::e9409f18-1423-4804-8d61-d58d2f294d21" providerId="AD"/>
  <person displayName="Fernando Luiz Palhano Xavier Cabral" id="{397228F3-E008-4066-8FE6-696A0C50AA7E}" userId="S::fernando.cabral@ebserh.gov.br::5d341ff2-d925-49c9-a9df-ec935652c83a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A9" dT="2020-07-22T20:21:02.45" personId="{5BD7D23D-F90D-4734-A299-E8DCA9FFA8A1}" id="{A2E62F8E-F838-4DE3-BE35-51C6C35E7D2D}">
    <text>Transporte (22 * X)-(salário base x 6%)</text>
  </threadedComment>
  <threadedComment ref="AB9" dT="2020-07-22T20:21:11.01" personId="{5BD7D23D-F90D-4734-A299-E8DCA9FFA8A1}" id="{94BBE282-7FBD-42C0-850C-0FD9B71702D0}">
    <text>Auxílio-Refeição/Alimentação (22 * X)</text>
  </threadedComment>
  <threadedComment ref="AB16" dT="2020-08-06T01:29:42.89" personId="{397228F3-E008-4066-8FE6-696A0C50AA7E}" id="{67D155E6-3130-456E-B31F-E1ABF2CFC71A}">
    <text>@Rafael: cláusula 14 da CCT 21 tem um valor 152,49 - 20%. O valor num entra aqui não? Se não, retirar das governantas</text>
    <mentions>
      <mention mentionpersonId="{3B4FA822-D6A7-40B1-A85F-4BB3A5B6F0F6}" mentionId="{F7D8400B-8744-41A5-BD85-93A965DFF16F}" startIndex="0" length="7"/>
    </mentions>
  </threadedComment>
  <threadedComment ref="AB16" dT="2020-08-06T12:05:55.34" personId="{3B8CF0FC-03A2-4347-817D-CF919D24950C}" id="{E0FBCD2A-B75A-4102-BDA9-489CBC5DDDEB}" parentId="{67D155E6-3130-456E-B31F-E1ABF2CFC71A}">
    <text>tem que lançar os 20% de desconto se receber os auxílio, porém só recebe o vale quem estiver no grupo I e os encarregados.</text>
  </threadedComment>
  <threadedComment ref="AE16" dT="2020-08-06T01:30:51.13" personId="{397228F3-E008-4066-8FE6-696A0C50AA7E}" id="{4EF4B8F2-D7B0-4E74-BFB6-D733831D2229}">
    <text>@Rafael esses 18,50 vieram de onde? Incluí o mesmo valor para a governanta</text>
    <mentions>
      <mention mentionpersonId="{3B4FA822-D6A7-40B1-A85F-4BB3A5B6F0F6}" mentionId="{EA87A165-180D-4203-9A2C-A87B3B791F3A}" startIndex="0" length="7"/>
    </mentions>
  </threadedComment>
  <threadedComment ref="AE16" dT="2020-08-06T12:22:43.37" personId="{3B8CF0FC-03A2-4347-817D-CF919D24950C}" id="{3B4A95A6-333A-4D14-936B-949AE277B17C}" parentId="{4EF4B8F2-D7B0-4E74-BFB6-D733831D2229}">
    <text>eu peguei num site. uhahuahua. mas tenho que ver isso direitinho.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C8" dT="2020-07-23T12:39:45.53" personId="{5BD7D23D-F90D-4734-A299-E8DCA9FFA8A1}" id="{3D66C43B-9801-4FF0-9131-A87ACBB47555}">
    <text>Informar apenas UNIDADE por funcionários. Não é caixa ou pacote.</text>
  </threadedComment>
  <threadedComment ref="C23" dT="2020-07-23T12:39:45.53" personId="{5BD7D23D-F90D-4734-A299-E8DCA9FFA8A1}" id="{3D66C43B-9801-4FF1-9131-A87ACBB47555}">
    <text>Informar apenas UNIDADE por funcionários. Não é caixa ou pacote.</text>
  </threadedComment>
  <threadedComment ref="C36" dT="2020-07-23T12:39:45.53" personId="{5BD7D23D-F90D-4734-A299-E8DCA9FFA8A1}" id="{3D66C43B-9801-4FF2-9131-A87ACBB47555}">
    <text>Informar apenas UNIDADE por funcionários. Não é caixa ou pacote.</text>
  </threadedComment>
  <threadedComment ref="C49" dT="2020-07-23T12:39:45.53" personId="{5BD7D23D-F90D-4734-A299-E8DCA9FFA8A1}" id="{3D66C43B-9801-4FF3-9131-A87ACBB47555}">
    <text>Informar apenas UNIDADE por funcionários. Não é caixa ou pacote.</text>
  </threadedComment>
  <threadedComment ref="C61" dT="2020-07-23T12:39:45.53" personId="{5BD7D23D-F90D-4734-A299-E8DCA9FFA8A1}" id="{3D66C43B-9801-4FF4-9131-A87ACBB47555}">
    <text>Informar apenas UNIDADE por funcionários. Não é caixa ou pacote.</text>
  </threadedComment>
  <threadedComment ref="C74" dT="2020-07-23T12:39:45.53" personId="{5BD7D23D-F90D-4734-A299-E8DCA9FFA8A1}" id="{3D66C43B-9801-4FF5-9131-A87ACBB47555}">
    <text>Informar apenas UNIDADE por funcionários. Não é caixa ou pacote.</text>
  </threadedComment>
  <threadedComment ref="C87" dT="2020-07-23T12:39:45.53" personId="{5BD7D23D-F90D-4734-A299-E8DCA9FFA8A1}" id="{3D66C43B-9801-4FF6-9131-A87ACBB47555}">
    <text>Informar apenas UNIDADE por funcionários. Não é caixa ou pacote.</text>
  </threadedComment>
  <threadedComment ref="C99" dT="2020-07-23T12:39:45.53" personId="{5BD7D23D-F90D-4734-A299-E8DCA9FFA8A1}" id="{3D66C43B-9801-4FF7-9131-A87ACBB47555}">
    <text>Informar apenas UNIDADE por funcionários. Não é caixa ou pacote.</text>
  </threadedComment>
  <threadedComment ref="C111" dT="2020-07-23T12:39:45.53" personId="{5BD7D23D-F90D-4734-A299-E8DCA9FFA8A1}" id="{3D66C43B-9801-4FF8-9131-A87ACBB47555}">
    <text>Informar apenas UNIDADE por funcionários. Não é caixa ou pacote.</text>
  </threadedComment>
  <threadedComment ref="C124" dT="2020-07-23T12:39:45.53" personId="{5BD7D23D-F90D-4734-A299-E8DCA9FFA8A1}" id="{3D66C43B-9801-4FF9-9131-A87ACBB47555}">
    <text>Informar apenas UNIDADE por funcionários. Não é caixa ou pacote.</text>
  </threadedComment>
  <threadedComment ref="C136" dT="2020-07-23T12:39:45.53" personId="{5BD7D23D-F90D-4734-A299-E8DCA9FFA8A1}" id="{3D66C43B-9801-4FFA-9131-A87ACBB47555}">
    <text>Informar apenas UNIDADE por funcionários. Não é caixa ou pacote.</text>
  </threadedComment>
  <threadedComment ref="C148" dT="2020-07-23T12:39:45.53" personId="{5BD7D23D-F90D-4734-A299-E8DCA9FFA8A1}" id="{3D66C43B-9801-4FFB-9131-A87ACBB47555}">
    <text>Informar apenas UNIDADE por funcionários. Não é caixa ou pacote.</text>
  </threadedComment>
  <threadedComment ref="C160" dT="2020-07-23T12:39:45.53" personId="{5BD7D23D-F90D-4734-A299-E8DCA9FFA8A1}" id="{3D66C43B-9801-4FFC-9131-A87ACBB47555}">
    <text>Informar apenas UNIDADE por funcionários. Não é caixa ou pacote.</text>
  </threadedComment>
  <threadedComment ref="C175" dT="2020-07-23T12:39:45.53" personId="{5BD7D23D-F90D-4734-A299-E8DCA9FFA8A1}" id="{3D66C43B-9801-4FFD-9131-A87ACBB47555}">
    <text>Informar apenas UNIDADE por funcionários. Não é caixa ou pacote.</text>
  </threadedComment>
  <threadedComment ref="C187" dT="2020-07-23T12:39:45.53" personId="{5BD7D23D-F90D-4734-A299-E8DCA9FFA8A1}" id="{3D66C43B-9801-4FFE-9131-A87ACBB47555}">
    <text>Informar apenas UNIDADE por funcionários. Não é caixa ou pacote.</text>
  </threadedComment>
  <threadedComment ref="C199" dT="2020-07-23T12:39:45.53" personId="{5BD7D23D-F90D-4734-A299-E8DCA9FFA8A1}" id="{3D66C43B-9801-4FFF-9131-A87ACBB47555}">
    <text>Informar apenas UNIDADE por funcionários. Não é caixa ou pacote.</text>
  </threadedComment>
  <threadedComment ref="C211" dT="2020-07-23T12:39:45.53" personId="{5BD7D23D-F90D-4734-A299-E8DCA9FFA8A1}" id="{3D66C43B-9801-5000-9131-A87ACBB47555}">
    <text>Informar apenas UNIDADE por funcionários. Não é caixa ou pacote.</text>
  </threadedComment>
  <threadedComment ref="C223" dT="2020-07-23T12:39:45.53" personId="{5BD7D23D-F90D-4734-A299-E8DCA9FFA8A1}" id="{3D66C43B-9801-5001-9131-A87ACBB47555}">
    <text>Informar apenas UNIDADE por funcionários. Não é caixa ou pacote.</text>
  </threadedComment>
  <threadedComment ref="C235" dT="2020-07-23T12:39:45.53" personId="{5BD7D23D-F90D-4734-A299-E8DCA9FFA8A1}" id="{3D66C43B-9801-5002-9131-A87ACBB47555}">
    <text>Informar apenas UNIDADE por funcionários. Não é caixa ou pacote.</text>
  </threadedComment>
  <threadedComment ref="C247" dT="2020-07-23T12:39:45.53" personId="{5BD7D23D-F90D-4734-A299-E8DCA9FFA8A1}" id="{3D66C43B-9801-5003-9131-A87ACBB47555}">
    <text>Informar apenas UNIDADE por funcionários. Não é caixa ou pacote.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F8" dT="2020-08-06T02:09:40.94" personId="{397228F3-E008-4066-8FE6-696A0C50AA7E}" id="{C4CE0FB9-37A1-477E-9321-CE36543CAA4C}">
    <text>@Rafael LEMBRE DE ALTERAR AQUI PRA CONSTAR O VALOR RESIDUAL E QUE VALOR PRA 5 ANOS DE CONTRATO NÃO PODE ENTRAR COMO PARÂMETRO PRA LICITAÇÃO</text>
    <mentions>
      <mention mentionpersonId="{3B4FA822-D6A7-40B1-A85F-4BB3A5B6F0F6}" mentionId="{6625B76A-BB6C-409A-BD8D-5241E82F9747}" startIndex="0" length="7"/>
    </mentions>
  </threadedComment>
  <threadedComment ref="F8" dT="2020-08-06T12:24:41.36" personId="{3B8CF0FC-03A2-4347-817D-CF919D24950C}" id="{AB650156-73B9-457E-BC03-4D1DA06E77BD}" parentId="{C4CE0FB9-37A1-477E-9321-CE36543CAA4C}">
    <text>vou alterar agora.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A9" dT="2020-07-22T20:21:02.45" personId="{5BD7D23D-F90D-4734-A299-E8DCA9FFA8A1}" id="{D8502F09-F7C8-493C-90DB-B77A900461C1}">
    <text>Transporte (22 * X)-(salário base x 6%)</text>
  </threadedComment>
  <threadedComment ref="AB9" dT="2020-07-22T20:21:11.01" personId="{5BD7D23D-F90D-4734-A299-E8DCA9FFA8A1}" id="{576A767D-7222-4FA9-8959-C986CD4376CD}">
    <text>Auxílio-Refeição/Alimentação (22 * X)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A9" dT="2020-07-22T20:21:02.45" personId="{5BD7D23D-F90D-4734-A299-E8DCA9FFA8A1}" id="{684AA1C4-2773-40E5-9071-40A15A60DE1D}">
    <text>Transporte (22 * X)-(salário base x 6%)</text>
  </threadedComment>
  <threadedComment ref="AB9" dT="2020-07-22T20:21:11.01" personId="{5BD7D23D-F90D-4734-A299-E8DCA9FFA8A1}" id="{73072401-26F5-40D7-B85F-AE8BB398A6CA}">
    <text>Auxílio-Refeição/Alimentação (22 * X)</text>
  </threadedComment>
  <threadedComment ref="AE17" dT="2020-08-06T01:43:44.72" personId="{397228F3-E008-4066-8FE6-696A0C50AA7E}" id="{04E69E1F-031D-44F5-8B66-CFA49D54C8A1}">
    <text>Vide comentário no Supervisor de Hotelaria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A9" dT="2020-07-22T20:21:02.45" personId="{5BD7D23D-F90D-4734-A299-E8DCA9FFA8A1}" id="{B8A83ECA-5264-4657-A75F-960304C97720}">
    <text>Transporte (22 * X)-(salário base x 6%)</text>
  </threadedComment>
  <threadedComment ref="AB9" dT="2020-07-22T20:21:11.01" personId="{5BD7D23D-F90D-4734-A299-E8DCA9FFA8A1}" id="{E1FF5C74-E26A-4F0F-ADC2-377DEFBCB8A9}">
    <text>Auxílio-Refeição/Alimentação (22 * X)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AA9" dT="2020-07-22T20:21:02.45" personId="{5BD7D23D-F90D-4734-A299-E8DCA9FFA8A1}" id="{9AF5F6F5-DD91-46E6-A84D-A540B7C76A01}">
    <text>Transporte (22 * X)-(salário base x 6%)</text>
  </threadedComment>
  <threadedComment ref="AB9" dT="2020-07-22T20:21:11.01" personId="{5BD7D23D-F90D-4734-A299-E8DCA9FFA8A1}" id="{F6982AA9-4015-4723-8ECD-1BE6D11F07C7}">
    <text>Auxílio-Refeição/Alimentação (22 * X)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A9" dT="2020-07-22T20:21:02.45" personId="{5BD7D23D-F90D-4734-A299-E8DCA9FFA8A1}" id="{6B727D71-CCBB-483D-A1DE-FB320F00EA50}">
    <text>Transporte (22 * X)-(salário base x 6%)</text>
  </threadedComment>
  <threadedComment ref="AB9" dT="2020-07-22T20:21:11.01" personId="{5BD7D23D-F90D-4734-A299-E8DCA9FFA8A1}" id="{F8280C31-CBF7-4431-B8C7-08EE2A17A8CD}">
    <text>Auxílio-Refeição/Alimentação (22 * X)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G10" dT="2020-07-22T21:13:43.07" personId="{5BD7D23D-F90D-4734-A299-E8DCA9FFA8A1}" id="{E2852D80-A858-43BC-A737-449A0C1BEDD8}">
    <text>Não é caixa ou pacote. Preencher com unidades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G10" dT="2020-07-22T21:13:43.07" personId="{5BD7D23D-F90D-4734-A299-E8DCA9FFA8A1}" id="{E2852D80-A858-43BD-A737-449A0C1BEDD8}">
    <text>Não é caixa ou pacote. Preencher com unidades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G10" dT="2020-07-22T21:13:43.07" personId="{5BD7D23D-F90D-4734-A299-E8DCA9FFA8A1}" id="{E2852D80-A858-43BE-A737-449A0C1BEDD8}">
    <text>Não é caixa ou pacote. Preencher com unidades</text>
  </threadedComment>
</ThreadedComment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9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conteudo.tesouro.gov.br/manuais/index.php?option=com_content&amp;view=article&amp;id=1565:020330-depreciacao-amortizacao-e-exaustao-na-adm-dir-uniao-aut-e-fund&amp;catid=749&amp;Itemid=376" TargetMode="External"/><Relationship Id="rId5" Type="http://schemas.microsoft.com/office/2017/10/relationships/threadedComment" Target="../threadedComments/threadedComment11.xml"/><Relationship Id="rId4" Type="http://schemas.openxmlformats.org/officeDocument/2006/relationships/comments" Target="../comments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21"/>
  <sheetViews>
    <sheetView workbookViewId="0">
      <selection activeCell="M25" sqref="M25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2" spans="1:1" x14ac:dyDescent="0.25">
      <c r="A12" t="s">
        <v>9</v>
      </c>
    </row>
    <row r="13" spans="1:1" x14ac:dyDescent="0.25">
      <c r="A13" t="s">
        <v>10</v>
      </c>
    </row>
    <row r="15" spans="1:1" x14ac:dyDescent="0.25">
      <c r="A15" t="s">
        <v>11</v>
      </c>
    </row>
    <row r="16" spans="1:1" x14ac:dyDescent="0.25">
      <c r="A16" t="s">
        <v>12</v>
      </c>
    </row>
    <row r="18" spans="1:1" x14ac:dyDescent="0.25">
      <c r="A18" t="s">
        <v>13</v>
      </c>
    </row>
    <row r="19" spans="1:1" x14ac:dyDescent="0.25">
      <c r="A19" t="s">
        <v>14</v>
      </c>
    </row>
    <row r="21" spans="1:1" x14ac:dyDescent="0.25">
      <c r="A21" t="s">
        <v>15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9900"/>
    <pageSetUpPr fitToPage="1"/>
  </sheetPr>
  <dimension ref="A1:N506"/>
  <sheetViews>
    <sheetView showGridLines="0" zoomScale="85" zoomScaleNormal="85" workbookViewId="0">
      <selection activeCell="H37" sqref="H37"/>
    </sheetView>
  </sheetViews>
  <sheetFormatPr defaultColWidth="15" defaultRowHeight="20.25" customHeight="1" x14ac:dyDescent="0.25"/>
  <cols>
    <col min="1" max="1" width="5.85546875" style="1" customWidth="1"/>
    <col min="2" max="2" width="61.7109375" style="1" customWidth="1"/>
    <col min="3" max="7" width="15.42578125" style="220" customWidth="1"/>
    <col min="8" max="9" width="15.42578125" style="1" customWidth="1"/>
    <col min="10" max="10" width="15" style="1" customWidth="1"/>
    <col min="11" max="13" width="19.28515625" style="1" customWidth="1"/>
    <col min="14" max="14" width="1.5703125" style="1" customWidth="1"/>
    <col min="15" max="16384" width="15" style="1"/>
  </cols>
  <sheetData>
    <row r="1" spans="1:14" ht="20.25" customHeight="1" x14ac:dyDescent="0.25">
      <c r="A1" s="236" t="s">
        <v>16</v>
      </c>
      <c r="B1" s="3"/>
      <c r="C1" s="209"/>
      <c r="D1" s="209"/>
      <c r="E1" s="209"/>
      <c r="F1" s="209"/>
      <c r="G1" s="209"/>
      <c r="H1" s="3"/>
      <c r="I1" s="3"/>
      <c r="J1" s="3"/>
      <c r="K1" s="3"/>
      <c r="L1" s="3"/>
      <c r="M1" s="3"/>
      <c r="N1" s="7"/>
    </row>
    <row r="2" spans="1:14" ht="20.25" customHeight="1" x14ac:dyDescent="0.25">
      <c r="A2" s="4" t="s">
        <v>17</v>
      </c>
      <c r="B2" s="141"/>
      <c r="C2" s="210"/>
      <c r="D2" s="210"/>
      <c r="E2" s="210"/>
      <c r="F2" s="210"/>
      <c r="G2" s="210"/>
      <c r="H2" s="141"/>
      <c r="I2" s="141"/>
      <c r="J2" s="141"/>
      <c r="K2" s="141"/>
      <c r="L2" s="141"/>
      <c r="M2" s="141"/>
      <c r="N2" s="7"/>
    </row>
    <row r="3" spans="1:14" ht="20.25" customHeight="1" x14ac:dyDescent="0.25">
      <c r="A3" s="150" t="s">
        <v>272</v>
      </c>
      <c r="B3" s="142"/>
      <c r="C3" s="211"/>
      <c r="D3" s="211"/>
      <c r="E3" s="211"/>
      <c r="F3" s="211"/>
      <c r="G3" s="211"/>
      <c r="H3" s="142"/>
      <c r="I3" s="142"/>
      <c r="J3" s="142"/>
      <c r="K3" s="142"/>
      <c r="L3" s="142"/>
      <c r="M3" s="142"/>
      <c r="N3" s="7"/>
    </row>
    <row r="4" spans="1:14" s="61" customFormat="1" ht="20.25" customHeight="1" x14ac:dyDescent="0.25">
      <c r="A4" s="151"/>
      <c r="B4" s="60"/>
      <c r="C4" s="212"/>
      <c r="D4" s="212"/>
      <c r="E4" s="212"/>
      <c r="F4" s="212"/>
      <c r="G4" s="212"/>
      <c r="H4" s="60"/>
      <c r="I4" s="60"/>
      <c r="J4" s="60"/>
      <c r="K4" s="60"/>
      <c r="L4" s="60"/>
      <c r="M4" s="60"/>
      <c r="N4" s="45"/>
    </row>
    <row r="5" spans="1:14" s="61" customFormat="1" ht="20.25" customHeight="1" x14ac:dyDescent="0.25">
      <c r="A5" s="235" t="s">
        <v>273</v>
      </c>
      <c r="B5" s="143" t="s">
        <v>19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4"/>
    </row>
    <row r="6" spans="1:14" s="61" customFormat="1" ht="20.25" customHeight="1" x14ac:dyDescent="0.25">
      <c r="A6" s="62">
        <v>1</v>
      </c>
      <c r="B6" s="63" t="s">
        <v>274</v>
      </c>
      <c r="C6" s="213" t="str">
        <f>'planilha - proposta'!C17</f>
        <v>Eletrotécnico</v>
      </c>
      <c r="D6" s="214"/>
      <c r="E6" s="214"/>
      <c r="F6" s="214"/>
      <c r="G6" s="214"/>
      <c r="H6" s="148"/>
      <c r="I6" s="148"/>
      <c r="J6" s="148"/>
      <c r="K6" s="148"/>
      <c r="L6" s="148"/>
      <c r="M6" s="149"/>
    </row>
    <row r="7" spans="1:14" s="61" customFormat="1" ht="20.25" hidden="1" customHeight="1" x14ac:dyDescent="0.25">
      <c r="A7" s="62"/>
      <c r="B7" s="63"/>
      <c r="C7" s="215">
        <v>0</v>
      </c>
      <c r="D7" s="215"/>
      <c r="E7" s="215"/>
      <c r="F7" s="215"/>
      <c r="G7" s="215"/>
      <c r="H7" s="144"/>
      <c r="I7" s="144"/>
      <c r="J7" s="144"/>
      <c r="K7" s="144"/>
      <c r="L7" s="144"/>
      <c r="M7" s="144"/>
    </row>
    <row r="8" spans="1:14" s="61" customFormat="1" ht="20.25" hidden="1" customHeight="1" x14ac:dyDescent="0.25">
      <c r="A8" s="62">
        <v>2</v>
      </c>
      <c r="B8" s="63" t="str">
        <f>'planilha - proposta'!D17</f>
        <v>Eletrotécnico - 12x36n</v>
      </c>
      <c r="C8" s="216">
        <f>VLOOKUP(B8,'planilha - proposta'!$D$17:$E$62,2,FALSE)</f>
        <v>0</v>
      </c>
      <c r="D8" s="217"/>
      <c r="E8" s="217"/>
      <c r="F8" s="217"/>
      <c r="G8" s="217"/>
      <c r="H8" s="145"/>
      <c r="I8" s="145"/>
      <c r="J8" s="145"/>
      <c r="K8" s="145"/>
      <c r="L8" s="145"/>
      <c r="M8" s="146"/>
    </row>
    <row r="9" spans="1:14" s="61" customFormat="1" ht="20.25" customHeight="1" x14ac:dyDescent="0.25">
      <c r="A9" s="62">
        <v>3</v>
      </c>
      <c r="B9" s="63" t="str">
        <f>'planilha - proposta'!D18</f>
        <v>Eletrotécnico - 44h</v>
      </c>
      <c r="C9" s="216">
        <f>VLOOKUP(B9,'planilha - proposta'!$D$17:$E$62,2,FALSE)</f>
        <v>1</v>
      </c>
      <c r="D9" s="217"/>
      <c r="E9" s="217"/>
      <c r="F9" s="217"/>
      <c r="G9" s="217"/>
      <c r="H9" s="145"/>
      <c r="I9" s="145"/>
      <c r="J9" s="145"/>
      <c r="K9" s="145"/>
      <c r="L9" s="145"/>
      <c r="M9" s="146"/>
    </row>
    <row r="10" spans="1:14" s="61" customFormat="1" ht="52.5" customHeight="1" x14ac:dyDescent="0.25">
      <c r="A10" s="64" t="s">
        <v>273</v>
      </c>
      <c r="B10" s="65" t="s">
        <v>275</v>
      </c>
      <c r="C10" s="218" t="s">
        <v>276</v>
      </c>
      <c r="D10" s="218" t="s">
        <v>277</v>
      </c>
      <c r="E10" s="218" t="s">
        <v>278</v>
      </c>
      <c r="F10" s="218" t="s">
        <v>279</v>
      </c>
      <c r="G10" s="223" t="s">
        <v>280</v>
      </c>
      <c r="H10" s="65" t="s">
        <v>281</v>
      </c>
      <c r="I10" s="66" t="s">
        <v>282</v>
      </c>
      <c r="J10" s="66" t="s">
        <v>283</v>
      </c>
      <c r="K10" s="65" t="s">
        <v>284</v>
      </c>
      <c r="L10" s="65" t="s">
        <v>285</v>
      </c>
      <c r="M10" s="66" t="s">
        <v>286</v>
      </c>
    </row>
    <row r="11" spans="1:14" s="61" customFormat="1" ht="20.25" customHeight="1" x14ac:dyDescent="0.25">
      <c r="A11" s="67" t="s">
        <v>108</v>
      </c>
      <c r="B11" s="68" t="s">
        <v>287</v>
      </c>
      <c r="C11" s="69" t="s">
        <v>288</v>
      </c>
      <c r="D11" s="69" t="s">
        <v>289</v>
      </c>
      <c r="E11" s="222">
        <f>3*26</f>
        <v>78</v>
      </c>
      <c r="F11" s="222">
        <v>0</v>
      </c>
      <c r="G11" s="68" t="s">
        <v>290</v>
      </c>
      <c r="H11" s="70">
        <f>VLOOKUP(B11,custoEPI!$B$6:$E$29,4,FALSE)</f>
        <v>0</v>
      </c>
      <c r="I11" s="71">
        <f>SUM($C$7:$M$9)</f>
        <v>1</v>
      </c>
      <c r="J11" s="71">
        <f t="shared" ref="J11:J27" si="0">IF(B11="","sem descrição",IF($C$7&gt;=$C$8,IF($C$9&gt;0,$C$7/2+$C$9,$C$7/2),IF($C$9&gt;0,$C$8/5+$C$9,$C$9)))</f>
        <v>1</v>
      </c>
      <c r="K11" s="69">
        <f>IF(C11="mensal",IF(F11&gt;0,F11*H11,IF(D11="descartável",((SUM(C7:C8)/2)+C9)*E11*H11,IF(D11="pessoal",E11*H11*I11,E11*H11*J11))),0)+IF(C11="trimestral",IF(F11&gt;0,F11*H11/3,IF(D11="descartável",(((SUM(C7:C8)/2)+C9)*E11*H11)/3,IF(D11="pessoal",(E11*H11*I11)/3,(E11*H11*J11)/3))),0)+IF(C11="semestral",IF(F11&gt;0,F11*H11/6,IF(D11="descartável",(((SUM(C7:C8)/2)+C9)*E11*H11)/6,IF(D11="pessoal",(E11*H11*I11)/6,(E11*H11*J11)/6))),0)+IF(C11="anual",IF(F11&gt;0,F11*H11/12,IF(D11="descartável",(((SUM(C7:C8)/2)+C9)*E11*H11)/12,IF(D11="pessoal",(E11*H11*I11)/12,(E11*H11*J11)/12))),0)</f>
        <v>0</v>
      </c>
      <c r="L11" s="69">
        <f>IFERROR(K11*12, 0)</f>
        <v>0</v>
      </c>
      <c r="M11" s="69">
        <f>IFERROR(K11*60,0)</f>
        <v>0</v>
      </c>
    </row>
    <row r="12" spans="1:14" s="61" customFormat="1" ht="20.25" customHeight="1" x14ac:dyDescent="0.25">
      <c r="A12" s="67" t="s">
        <v>110</v>
      </c>
      <c r="B12" s="68" t="s">
        <v>291</v>
      </c>
      <c r="C12" s="69" t="s">
        <v>288</v>
      </c>
      <c r="D12" s="69" t="s">
        <v>292</v>
      </c>
      <c r="E12" s="222">
        <v>2</v>
      </c>
      <c r="F12" s="222">
        <v>0</v>
      </c>
      <c r="G12" s="68" t="s">
        <v>290</v>
      </c>
      <c r="H12" s="70">
        <f>VLOOKUP(B12,custoEPI!$B$6:$E$29,4,FALSE)</f>
        <v>0</v>
      </c>
      <c r="I12" s="71">
        <f t="shared" ref="I12:I20" si="1">SUM($C$7:$M$9)</f>
        <v>1</v>
      </c>
      <c r="J12" s="71">
        <f t="shared" si="0"/>
        <v>1</v>
      </c>
      <c r="K12" s="69">
        <f t="shared" ref="K12:K20" si="2">IF(C12="mensal",IF(F12&gt;0,F12*H12,IF(D12="descartável",((SUM($C$7:$C$8)/2)+$C$9)*E12*H12,IF(D12="pessoal",E12*H12*I12,E12*H12*J12))),0)+IF(C12="trimestral",IF(F12&gt;0,F12*H12/3,IF(D12="descartável",(((SUM($C$7:$C$8)/2)+$C$9)*E12*H12)/3,IF(D12="pessoal",(E12*H12*I12)/3,(E12*H12*J12)/3))),0)+IF(C12="semestral",IF(F12&gt;0,F12*H12/6,IF(D12="descartável",(((SUM($C$7:$C$8)/2)+$C$9)*E12*H12)/6,IF(D12="pessoal",(E12*H12*I12)/6,(E12*H12*J12)/6))),0)+IF(C12="anual",IF(F12&gt;0,F12*H12/12,IF(D12="descartável",(((SUM($C$7:$C$8)/2)+$C$9)*E12*H12)/12,IF(D12="pessoal",(E12*H12*I12)/12,(E12*H12*J12)/12))),0)</f>
        <v>0</v>
      </c>
      <c r="L12" s="69">
        <f t="shared" ref="L12:L27" si="3">IFERROR(K12*12, 0)</f>
        <v>0</v>
      </c>
      <c r="M12" s="69">
        <f t="shared" ref="M12:M27" si="4">IFERROR(K12*60,0)</f>
        <v>0</v>
      </c>
    </row>
    <row r="13" spans="1:14" s="61" customFormat="1" ht="20.25" customHeight="1" x14ac:dyDescent="0.25">
      <c r="A13" s="67" t="s">
        <v>111</v>
      </c>
      <c r="B13" s="68" t="s">
        <v>293</v>
      </c>
      <c r="C13" s="69" t="s">
        <v>288</v>
      </c>
      <c r="D13" s="69" t="s">
        <v>289</v>
      </c>
      <c r="E13" s="222">
        <v>26</v>
      </c>
      <c r="F13" s="222">
        <v>0</v>
      </c>
      <c r="G13" s="68" t="s">
        <v>290</v>
      </c>
      <c r="H13" s="70">
        <f>VLOOKUP(B13,custoEPI!$B$6:$E$29,4,FALSE)</f>
        <v>0</v>
      </c>
      <c r="I13" s="71">
        <f t="shared" si="1"/>
        <v>1</v>
      </c>
      <c r="J13" s="71">
        <f t="shared" si="0"/>
        <v>1</v>
      </c>
      <c r="K13" s="69">
        <f t="shared" si="2"/>
        <v>0</v>
      </c>
      <c r="L13" s="69">
        <f t="shared" si="3"/>
        <v>0</v>
      </c>
      <c r="M13" s="69">
        <f t="shared" si="4"/>
        <v>0</v>
      </c>
    </row>
    <row r="14" spans="1:14" s="61" customFormat="1" ht="20.25" hidden="1" customHeight="1" x14ac:dyDescent="0.25">
      <c r="A14" s="67"/>
      <c r="B14" s="68"/>
      <c r="C14" s="69"/>
      <c r="D14" s="69"/>
      <c r="E14" s="222"/>
      <c r="F14" s="222"/>
      <c r="G14" s="68"/>
      <c r="H14" s="70" t="e">
        <f>VLOOKUP(B14,custoEPI!$B$6:$E$29,4,FALSE)</f>
        <v>#N/A</v>
      </c>
      <c r="I14" s="71">
        <f t="shared" si="1"/>
        <v>1</v>
      </c>
      <c r="J14" s="71" t="str">
        <f t="shared" si="0"/>
        <v>sem descrição</v>
      </c>
      <c r="K14" s="69">
        <f t="shared" si="2"/>
        <v>0</v>
      </c>
      <c r="L14" s="69">
        <f t="shared" si="3"/>
        <v>0</v>
      </c>
      <c r="M14" s="69">
        <f t="shared" si="4"/>
        <v>0</v>
      </c>
    </row>
    <row r="15" spans="1:14" s="61" customFormat="1" ht="20.25" customHeight="1" x14ac:dyDescent="0.25">
      <c r="A15" s="67" t="s">
        <v>113</v>
      </c>
      <c r="B15" s="68" t="s">
        <v>294</v>
      </c>
      <c r="C15" s="69" t="s">
        <v>288</v>
      </c>
      <c r="D15" s="69" t="s">
        <v>289</v>
      </c>
      <c r="E15" s="222">
        <f>100/4</f>
        <v>25</v>
      </c>
      <c r="F15" s="222">
        <v>0</v>
      </c>
      <c r="G15" s="68" t="s">
        <v>290</v>
      </c>
      <c r="H15" s="70">
        <f>VLOOKUP(B15,custoEPI!$B$6:$E$29,4,FALSE)</f>
        <v>0</v>
      </c>
      <c r="I15" s="71">
        <f t="shared" si="1"/>
        <v>1</v>
      </c>
      <c r="J15" s="71">
        <f t="shared" si="0"/>
        <v>1</v>
      </c>
      <c r="K15" s="69">
        <f t="shared" si="2"/>
        <v>0</v>
      </c>
      <c r="L15" s="69">
        <f t="shared" si="3"/>
        <v>0</v>
      </c>
      <c r="M15" s="69">
        <f t="shared" si="4"/>
        <v>0</v>
      </c>
    </row>
    <row r="16" spans="1:14" s="61" customFormat="1" ht="20.25" customHeight="1" x14ac:dyDescent="0.25">
      <c r="A16" s="67" t="s">
        <v>114</v>
      </c>
      <c r="B16" s="68" t="s">
        <v>295</v>
      </c>
      <c r="C16" s="69" t="s">
        <v>296</v>
      </c>
      <c r="D16" s="69" t="s">
        <v>292</v>
      </c>
      <c r="E16" s="222">
        <v>1</v>
      </c>
      <c r="F16" s="222">
        <v>0</v>
      </c>
      <c r="G16" s="68" t="s">
        <v>290</v>
      </c>
      <c r="H16" s="70">
        <f>VLOOKUP(B16,custoEPI!$B$6:$E$29,4,FALSE)</f>
        <v>0</v>
      </c>
      <c r="I16" s="71">
        <f t="shared" si="1"/>
        <v>1</v>
      </c>
      <c r="J16" s="71">
        <f t="shared" si="0"/>
        <v>1</v>
      </c>
      <c r="K16" s="69">
        <f t="shared" si="2"/>
        <v>0</v>
      </c>
      <c r="L16" s="69">
        <f t="shared" si="3"/>
        <v>0</v>
      </c>
      <c r="M16" s="69">
        <f t="shared" si="4"/>
        <v>0</v>
      </c>
    </row>
    <row r="17" spans="1:13" s="61" customFormat="1" ht="20.25" hidden="1" customHeight="1" x14ac:dyDescent="0.25">
      <c r="A17" s="67" t="s">
        <v>116</v>
      </c>
      <c r="B17" s="68"/>
      <c r="C17" s="69"/>
      <c r="D17" s="69"/>
      <c r="E17" s="222"/>
      <c r="F17" s="222"/>
      <c r="G17" s="68"/>
      <c r="H17" s="70" t="e">
        <f>VLOOKUP(B17,custoEPI!$B$6:$E$29,4,FALSE)</f>
        <v>#N/A</v>
      </c>
      <c r="I17" s="71">
        <f t="shared" si="1"/>
        <v>1</v>
      </c>
      <c r="J17" s="71" t="str">
        <f t="shared" si="0"/>
        <v>sem descrição</v>
      </c>
      <c r="K17" s="69">
        <f t="shared" si="2"/>
        <v>0</v>
      </c>
      <c r="L17" s="69">
        <f t="shared" si="3"/>
        <v>0</v>
      </c>
      <c r="M17" s="69">
        <f t="shared" si="4"/>
        <v>0</v>
      </c>
    </row>
    <row r="18" spans="1:13" s="61" customFormat="1" ht="20.25" hidden="1" customHeight="1" x14ac:dyDescent="0.25">
      <c r="A18" s="67"/>
      <c r="B18" s="68"/>
      <c r="C18" s="69"/>
      <c r="D18" s="69"/>
      <c r="E18" s="222"/>
      <c r="F18" s="222"/>
      <c r="G18" s="68"/>
      <c r="H18" s="70" t="e">
        <f>VLOOKUP(B18,custoEPI!$B$6:$E$29,4,FALSE)</f>
        <v>#N/A</v>
      </c>
      <c r="I18" s="71">
        <f t="shared" si="1"/>
        <v>1</v>
      </c>
      <c r="J18" s="71" t="str">
        <f t="shared" si="0"/>
        <v>sem descrição</v>
      </c>
      <c r="K18" s="69">
        <f t="shared" si="2"/>
        <v>0</v>
      </c>
      <c r="L18" s="69">
        <f t="shared" si="3"/>
        <v>0</v>
      </c>
      <c r="M18" s="69">
        <f t="shared" si="4"/>
        <v>0</v>
      </c>
    </row>
    <row r="19" spans="1:13" s="61" customFormat="1" ht="20.25" customHeight="1" x14ac:dyDescent="0.25">
      <c r="A19" s="67" t="s">
        <v>115</v>
      </c>
      <c r="B19" s="68" t="s">
        <v>297</v>
      </c>
      <c r="C19" s="69" t="s">
        <v>298</v>
      </c>
      <c r="D19" s="69" t="s">
        <v>292</v>
      </c>
      <c r="E19" s="222">
        <v>1</v>
      </c>
      <c r="F19" s="222">
        <v>0</v>
      </c>
      <c r="G19" s="68" t="s">
        <v>290</v>
      </c>
      <c r="H19" s="70">
        <f>VLOOKUP(B19,custoEPI!$B$6:$E$29,4,FALSE)</f>
        <v>0</v>
      </c>
      <c r="I19" s="71">
        <f t="shared" si="1"/>
        <v>1</v>
      </c>
      <c r="J19" s="71">
        <f t="shared" si="0"/>
        <v>1</v>
      </c>
      <c r="K19" s="69">
        <f t="shared" si="2"/>
        <v>0</v>
      </c>
      <c r="L19" s="69">
        <f t="shared" si="3"/>
        <v>0</v>
      </c>
      <c r="M19" s="69">
        <f t="shared" si="4"/>
        <v>0</v>
      </c>
    </row>
    <row r="20" spans="1:13" s="61" customFormat="1" ht="20.25" customHeight="1" x14ac:dyDescent="0.25">
      <c r="A20" s="67" t="s">
        <v>116</v>
      </c>
      <c r="B20" s="68" t="s">
        <v>299</v>
      </c>
      <c r="C20" s="69" t="s">
        <v>300</v>
      </c>
      <c r="D20" s="69" t="s">
        <v>292</v>
      </c>
      <c r="E20" s="222">
        <v>2</v>
      </c>
      <c r="F20" s="222">
        <v>0</v>
      </c>
      <c r="G20" s="68" t="s">
        <v>290</v>
      </c>
      <c r="H20" s="70">
        <f>VLOOKUP(B20,custoEPI!$B$6:$E$29,4,FALSE)</f>
        <v>0</v>
      </c>
      <c r="I20" s="71">
        <f t="shared" si="1"/>
        <v>1</v>
      </c>
      <c r="J20" s="71">
        <f t="shared" si="0"/>
        <v>1</v>
      </c>
      <c r="K20" s="69">
        <f t="shared" si="2"/>
        <v>0</v>
      </c>
      <c r="L20" s="69">
        <f t="shared" si="3"/>
        <v>0</v>
      </c>
      <c r="M20" s="69">
        <f t="shared" ref="M20:M26" si="5">IFERROR(K20*60,0)</f>
        <v>0</v>
      </c>
    </row>
    <row r="21" spans="1:13" s="61" customFormat="1" ht="20.25" hidden="1" customHeight="1" x14ac:dyDescent="0.25">
      <c r="A21" s="67"/>
      <c r="B21" s="68"/>
      <c r="C21" s="69"/>
      <c r="D21" s="69"/>
      <c r="E21" s="222"/>
      <c r="F21" s="222"/>
      <c r="G21" s="68"/>
      <c r="H21" s="70"/>
      <c r="I21" s="70"/>
      <c r="J21" s="71" t="str">
        <f t="shared" si="0"/>
        <v>sem descrição</v>
      </c>
      <c r="K21" s="69" t="str">
        <f t="shared" ref="K21:K26" si="6">IF(C21="mensal",J21*H21*E21,IF(C21="trimestral",(J21*H21*E21)/3,IF(C21="semestral",(J21*H21*E21)/6,IF(C21="anual",(J21*H21*E21/12),"informar entrega"))))</f>
        <v>informar entrega</v>
      </c>
      <c r="L21" s="69">
        <f t="shared" si="3"/>
        <v>0</v>
      </c>
      <c r="M21" s="69">
        <f t="shared" si="5"/>
        <v>0</v>
      </c>
    </row>
    <row r="22" spans="1:13" s="61" customFormat="1" ht="20.25" hidden="1" customHeight="1" x14ac:dyDescent="0.25">
      <c r="A22" s="67" t="s">
        <v>129</v>
      </c>
      <c r="B22" s="68"/>
      <c r="C22" s="69"/>
      <c r="D22" s="69"/>
      <c r="E22" s="222"/>
      <c r="F22" s="222"/>
      <c r="G22" s="68"/>
      <c r="H22" s="70"/>
      <c r="I22" s="70"/>
      <c r="J22" s="71" t="str">
        <f t="shared" si="0"/>
        <v>sem descrição</v>
      </c>
      <c r="K22" s="69" t="str">
        <f t="shared" si="6"/>
        <v>informar entrega</v>
      </c>
      <c r="L22" s="69">
        <f t="shared" si="3"/>
        <v>0</v>
      </c>
      <c r="M22" s="69">
        <f t="shared" si="5"/>
        <v>0</v>
      </c>
    </row>
    <row r="23" spans="1:13" s="61" customFormat="1" ht="20.25" hidden="1" customHeight="1" x14ac:dyDescent="0.25">
      <c r="A23" s="67" t="s">
        <v>131</v>
      </c>
      <c r="B23" s="68"/>
      <c r="C23" s="69"/>
      <c r="D23" s="69"/>
      <c r="E23" s="222"/>
      <c r="F23" s="222"/>
      <c r="G23" s="68"/>
      <c r="H23" s="70"/>
      <c r="I23" s="70"/>
      <c r="J23" s="71" t="str">
        <f t="shared" si="0"/>
        <v>sem descrição</v>
      </c>
      <c r="K23" s="69" t="str">
        <f t="shared" si="6"/>
        <v>informar entrega</v>
      </c>
      <c r="L23" s="69">
        <f t="shared" si="3"/>
        <v>0</v>
      </c>
      <c r="M23" s="69">
        <f t="shared" si="5"/>
        <v>0</v>
      </c>
    </row>
    <row r="24" spans="1:13" s="61" customFormat="1" ht="20.25" hidden="1" customHeight="1" x14ac:dyDescent="0.25">
      <c r="A24" s="67" t="s">
        <v>188</v>
      </c>
      <c r="B24" s="68"/>
      <c r="C24" s="69"/>
      <c r="D24" s="69"/>
      <c r="E24" s="222"/>
      <c r="F24" s="222"/>
      <c r="G24" s="68"/>
      <c r="H24" s="70"/>
      <c r="I24" s="70"/>
      <c r="J24" s="71" t="str">
        <f t="shared" si="0"/>
        <v>sem descrição</v>
      </c>
      <c r="K24" s="69" t="str">
        <f t="shared" si="6"/>
        <v>informar entrega</v>
      </c>
      <c r="L24" s="69">
        <f t="shared" si="3"/>
        <v>0</v>
      </c>
      <c r="M24" s="69">
        <f t="shared" si="5"/>
        <v>0</v>
      </c>
    </row>
    <row r="25" spans="1:13" s="61" customFormat="1" ht="20.25" hidden="1" customHeight="1" x14ac:dyDescent="0.25">
      <c r="A25" s="67" t="s">
        <v>192</v>
      </c>
      <c r="B25" s="68"/>
      <c r="C25" s="69"/>
      <c r="D25" s="69"/>
      <c r="E25" s="222"/>
      <c r="F25" s="222"/>
      <c r="G25" s="68"/>
      <c r="H25" s="70"/>
      <c r="I25" s="70"/>
      <c r="J25" s="71" t="str">
        <f t="shared" si="0"/>
        <v>sem descrição</v>
      </c>
      <c r="K25" s="69" t="str">
        <f t="shared" si="6"/>
        <v>informar entrega</v>
      </c>
      <c r="L25" s="69">
        <f t="shared" si="3"/>
        <v>0</v>
      </c>
      <c r="M25" s="69">
        <f t="shared" si="5"/>
        <v>0</v>
      </c>
    </row>
    <row r="26" spans="1:13" s="61" customFormat="1" ht="20.25" hidden="1" customHeight="1" x14ac:dyDescent="0.25">
      <c r="A26" s="67" t="s">
        <v>195</v>
      </c>
      <c r="B26" s="68"/>
      <c r="C26" s="69"/>
      <c r="D26" s="69"/>
      <c r="E26" s="222"/>
      <c r="F26" s="222"/>
      <c r="G26" s="68"/>
      <c r="H26" s="70"/>
      <c r="I26" s="70"/>
      <c r="J26" s="71" t="str">
        <f t="shared" si="0"/>
        <v>sem descrição</v>
      </c>
      <c r="K26" s="69" t="str">
        <f t="shared" si="6"/>
        <v>informar entrega</v>
      </c>
      <c r="L26" s="69">
        <f t="shared" si="3"/>
        <v>0</v>
      </c>
      <c r="M26" s="69">
        <f t="shared" si="5"/>
        <v>0</v>
      </c>
    </row>
    <row r="27" spans="1:13" s="61" customFormat="1" ht="20.25" hidden="1" customHeight="1" x14ac:dyDescent="0.25">
      <c r="A27" s="67" t="s">
        <v>199</v>
      </c>
      <c r="B27" s="68"/>
      <c r="C27" s="69"/>
      <c r="D27" s="69"/>
      <c r="E27" s="222"/>
      <c r="F27" s="222"/>
      <c r="G27" s="68"/>
      <c r="H27" s="70"/>
      <c r="I27" s="70"/>
      <c r="J27" s="71" t="str">
        <f t="shared" si="0"/>
        <v>sem descrição</v>
      </c>
      <c r="K27" s="69" t="str">
        <f>IF(C27="mensal",J27*H27*E27,IF(C27="trimestral",(J27*H27*E27)/3,IF(C27="semestral",(J27*H27*E27)/6,IF(C27="anual",(J27*H27*E27/12),"informar período"))))</f>
        <v>informar período</v>
      </c>
      <c r="L27" s="69">
        <f t="shared" si="3"/>
        <v>0</v>
      </c>
      <c r="M27" s="69">
        <f t="shared" si="4"/>
        <v>0</v>
      </c>
    </row>
    <row r="28" spans="1:13" s="61" customFormat="1" ht="20.25" customHeight="1" x14ac:dyDescent="0.25">
      <c r="A28" s="152" t="s">
        <v>301</v>
      </c>
      <c r="B28" s="147"/>
      <c r="C28" s="147"/>
      <c r="D28" s="147"/>
      <c r="E28" s="147"/>
      <c r="F28" s="147"/>
      <c r="G28" s="147"/>
      <c r="H28" s="147"/>
      <c r="I28" s="139"/>
      <c r="J28" s="155"/>
      <c r="K28" s="156">
        <f>SUM(K11:K27)</f>
        <v>0</v>
      </c>
      <c r="L28" s="157">
        <f>K28*12</f>
        <v>0</v>
      </c>
      <c r="M28" s="158">
        <f>K28*60</f>
        <v>0</v>
      </c>
    </row>
    <row r="29" spans="1:13" s="61" customFormat="1" ht="20.25" customHeight="1" x14ac:dyDescent="0.25">
      <c r="A29" s="152" t="s">
        <v>302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59">
        <f>K28/SUM(C7:M9)</f>
        <v>0</v>
      </c>
    </row>
    <row r="30" spans="1:13" s="61" customFormat="1" ht="20.25" customHeight="1" x14ac:dyDescent="0.25">
      <c r="A30" s="235" t="s">
        <v>273</v>
      </c>
      <c r="B30" s="143" t="s">
        <v>19</v>
      </c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4"/>
    </row>
    <row r="31" spans="1:13" s="61" customFormat="1" ht="20.25" customHeight="1" x14ac:dyDescent="0.25">
      <c r="A31" s="62">
        <v>1</v>
      </c>
      <c r="B31" s="63" t="s">
        <v>274</v>
      </c>
      <c r="C31" s="216" t="str">
        <f>'planilha - proposta'!C19</f>
        <v>Oficial de Manutenção de Equipamento Médico Hospitalar</v>
      </c>
      <c r="D31" s="217"/>
      <c r="E31" s="217"/>
      <c r="F31" s="217"/>
      <c r="G31" s="217"/>
      <c r="H31" s="145"/>
      <c r="I31" s="145"/>
      <c r="J31" s="145"/>
      <c r="K31" s="145"/>
      <c r="L31" s="145"/>
      <c r="M31" s="146"/>
    </row>
    <row r="32" spans="1:13" s="61" customFormat="1" ht="20.25" customHeight="1" x14ac:dyDescent="0.25">
      <c r="A32" s="62">
        <v>2</v>
      </c>
      <c r="B32" s="63" t="str">
        <f>'planilha - proposta'!D19</f>
        <v>Oficial de Manutenção de Equipamento Médico Hospitalar - 12x36d</v>
      </c>
      <c r="C32" s="216">
        <f>VLOOKUP(B32,'planilha - proposta'!$D$17:$E$62,2,FALSE)</f>
        <v>2</v>
      </c>
      <c r="D32" s="217"/>
      <c r="E32" s="217"/>
      <c r="F32" s="217"/>
      <c r="G32" s="217"/>
      <c r="H32" s="145"/>
      <c r="I32" s="145"/>
      <c r="J32" s="145"/>
      <c r="K32" s="145"/>
      <c r="L32" s="145"/>
      <c r="M32" s="146"/>
    </row>
    <row r="33" spans="1:13" s="61" customFormat="1" ht="20.25" customHeight="1" x14ac:dyDescent="0.25">
      <c r="A33" s="62">
        <v>3</v>
      </c>
      <c r="B33" s="63" t="str">
        <f>'planilha - proposta'!D20</f>
        <v>Oficial de Manutenção de Equipamento Médico Hospitalar - 12x36n</v>
      </c>
      <c r="C33" s="216">
        <f>VLOOKUP(B33,'planilha - proposta'!$D$17:$E$62,2,FALSE)</f>
        <v>2</v>
      </c>
      <c r="D33" s="217"/>
      <c r="E33" s="217"/>
      <c r="F33" s="217"/>
      <c r="G33" s="217"/>
      <c r="H33" s="145"/>
      <c r="I33" s="145"/>
      <c r="J33" s="145"/>
      <c r="K33" s="145"/>
      <c r="L33" s="145"/>
      <c r="M33" s="146"/>
    </row>
    <row r="34" spans="1:13" s="61" customFormat="1" ht="20.25" customHeight="1" x14ac:dyDescent="0.25">
      <c r="A34" s="62">
        <v>4</v>
      </c>
      <c r="B34" s="63" t="str">
        <f>'planilha - proposta'!D21</f>
        <v>Oficial de Manutenção de Equipamento Médico Hospitalar - 44h</v>
      </c>
      <c r="C34" s="216">
        <f>VLOOKUP(B34,'planilha - proposta'!$D$17:$E$62,2,FALSE)</f>
        <v>2</v>
      </c>
      <c r="D34" s="217"/>
      <c r="E34" s="217"/>
      <c r="F34" s="217"/>
      <c r="G34" s="217"/>
      <c r="H34" s="145"/>
      <c r="I34" s="145"/>
      <c r="J34" s="145"/>
      <c r="K34" s="145"/>
      <c r="L34" s="145"/>
      <c r="M34" s="146"/>
    </row>
    <row r="35" spans="1:13" s="61" customFormat="1" ht="52.5" customHeight="1" x14ac:dyDescent="0.25">
      <c r="A35" s="64" t="s">
        <v>273</v>
      </c>
      <c r="B35" s="65" t="s">
        <v>275</v>
      </c>
      <c r="C35" s="218" t="s">
        <v>276</v>
      </c>
      <c r="D35" s="218" t="s">
        <v>277</v>
      </c>
      <c r="E35" s="218" t="s">
        <v>278</v>
      </c>
      <c r="F35" s="218" t="s">
        <v>303</v>
      </c>
      <c r="G35" s="223" t="s">
        <v>280</v>
      </c>
      <c r="H35" s="65" t="s">
        <v>304</v>
      </c>
      <c r="I35" s="66" t="s">
        <v>305</v>
      </c>
      <c r="J35" s="66" t="s">
        <v>306</v>
      </c>
      <c r="K35" s="65" t="s">
        <v>284</v>
      </c>
      <c r="L35" s="65" t="s">
        <v>285</v>
      </c>
      <c r="M35" s="66" t="s">
        <v>286</v>
      </c>
    </row>
    <row r="36" spans="1:13" s="61" customFormat="1" ht="20.25" customHeight="1" x14ac:dyDescent="0.25">
      <c r="A36" s="67" t="s">
        <v>108</v>
      </c>
      <c r="B36" s="68" t="s">
        <v>287</v>
      </c>
      <c r="C36" s="69" t="s">
        <v>288</v>
      </c>
      <c r="D36" s="69" t="s">
        <v>289</v>
      </c>
      <c r="E36" s="222">
        <f>30*3</f>
        <v>90</v>
      </c>
      <c r="F36" s="222">
        <v>0</v>
      </c>
      <c r="G36" s="68" t="s">
        <v>290</v>
      </c>
      <c r="H36" s="70">
        <f>VLOOKUP(B36,custoEPI!$B$6:$E$29,4,FALSE)</f>
        <v>0</v>
      </c>
      <c r="I36" s="71">
        <f t="shared" ref="I36:I43" si="7">SUM($C$32:$M$34)</f>
        <v>6</v>
      </c>
      <c r="J36" s="71">
        <f t="shared" ref="J36:J52" si="8">IF(B36="","sem descrição",IF($C$32&gt;=$C$33,IF($C$34&gt;0,$C$32/2+$C$34,$C$32/2),IF($C$34&gt;0,$C$33/5+$C$34,$C$34)))</f>
        <v>3</v>
      </c>
      <c r="K36" s="69">
        <f>IF(C36="mensal",IF(F36&gt;0,F36*H36,IF(D36="descartável",((SUM($C$32:$C$33)/2)+$C$34)*E36*H36,IF(D36="pessoal",E36*H36*I36,E36*H36*J36))),0)+IF(C36="trimestral",IF(F36&gt;0,F36*H36/3,IF(D36="descartável",(((SUM($C$32:$C$33)/2)+$C$34)*E36*H36)/3,IF(D36="pessoal",(E36*H36*I36)/3,(E36*H36*J36)/3))),0)+IF(C36="semestral",IF(F36&gt;0,F36*H36/6,IF(D36="descartável",(((SUM($C$32:$C$33)/2)+$C$34)*E36*H36)/6,IF(D36="pessoal",(E36*H36*I36)/6,(E36*H36*J36)/6))),0)+IF(C36="anual",IF(F36&gt;0,F36*H36/12,IF(D36="descartável",(((SUM($C$32:$C$33)/2)+$C$34)*E36*H36)/12,IF(D36="pessoal",(E36*H36*I36)/12,(E36*H36*J36)/12))),0)</f>
        <v>0</v>
      </c>
      <c r="L36" s="69">
        <f>IFERROR(K36*12, 0)</f>
        <v>0</v>
      </c>
      <c r="M36" s="69">
        <f>IFERROR(K36*60,0)</f>
        <v>0</v>
      </c>
    </row>
    <row r="37" spans="1:13" s="61" customFormat="1" ht="20.25" customHeight="1" x14ac:dyDescent="0.25">
      <c r="A37" s="67" t="s">
        <v>110</v>
      </c>
      <c r="B37" s="68" t="s">
        <v>291</v>
      </c>
      <c r="C37" s="69" t="s">
        <v>288</v>
      </c>
      <c r="D37" s="69" t="s">
        <v>292</v>
      </c>
      <c r="E37" s="222">
        <v>2</v>
      </c>
      <c r="F37" s="222">
        <v>0</v>
      </c>
      <c r="G37" s="68" t="s">
        <v>290</v>
      </c>
      <c r="H37" s="70">
        <f>VLOOKUP(B37,custoEPI!$B$6:$E$29,4,FALSE)</f>
        <v>0</v>
      </c>
      <c r="I37" s="71">
        <f t="shared" si="7"/>
        <v>6</v>
      </c>
      <c r="J37" s="71">
        <f t="shared" si="8"/>
        <v>3</v>
      </c>
      <c r="K37" s="69">
        <f t="shared" ref="K37:K43" si="9">IF(C37="mensal",IF(F37&gt;0,F37*H37,IF(D37="descartável",((SUM($C$32:$C$33)/2)+$C$34)*E37*H37,IF(D37="pessoal",E37*H37*I37,E37*H37*J37))),0)+IF(C37="trimestral",IF(F37&gt;0,F37*H37/3,IF(D37="descartável",(((SUM($C$32:$C$33)/2)+$C$34)*E37*H37)/3,IF(D37="pessoal",(E37*H37*I37)/3,(E37*H37*J37)/3))),0)+IF(C37="semestral",IF(F37&gt;0,F37*H37/6,IF(D37="descartável",(((SUM($C$32:$C$33)/2)+$C$34)*E37*H37)/6,IF(D37="pessoal",(E37*H37*I37)/6,(E37*H37*J37)/6))),0)+IF(C37="anual",IF(F37&gt;0,F37*H37/12,IF(D37="descartável",(((SUM($C$32:$C$33)/2)+$C$34)*E37*H37)/12,IF(D37="pessoal",(E37*H37*I37)/12,(E37*H37*J37)/12))),0)</f>
        <v>0</v>
      </c>
      <c r="L37" s="69">
        <f t="shared" ref="L37:L52" si="10">IFERROR(K37*12, 0)</f>
        <v>0</v>
      </c>
      <c r="M37" s="69">
        <f t="shared" ref="M37:M52" si="11">IFERROR(K37*60,0)</f>
        <v>0</v>
      </c>
    </row>
    <row r="38" spans="1:13" s="61" customFormat="1" ht="20.25" customHeight="1" x14ac:dyDescent="0.25">
      <c r="A38" s="67" t="s">
        <v>111</v>
      </c>
      <c r="B38" s="68" t="s">
        <v>293</v>
      </c>
      <c r="C38" s="69" t="s">
        <v>288</v>
      </c>
      <c r="D38" s="69" t="s">
        <v>289</v>
      </c>
      <c r="E38" s="222">
        <v>26</v>
      </c>
      <c r="F38" s="222">
        <v>0</v>
      </c>
      <c r="G38" s="68" t="s">
        <v>290</v>
      </c>
      <c r="H38" s="70">
        <f>VLOOKUP(B38,custoEPI!$B$6:$E$29,4,FALSE)</f>
        <v>0</v>
      </c>
      <c r="I38" s="71">
        <f t="shared" si="7"/>
        <v>6</v>
      </c>
      <c r="J38" s="71">
        <f t="shared" si="8"/>
        <v>3</v>
      </c>
      <c r="K38" s="69">
        <f t="shared" si="9"/>
        <v>0</v>
      </c>
      <c r="L38" s="69">
        <f t="shared" si="10"/>
        <v>0</v>
      </c>
      <c r="M38" s="69">
        <f t="shared" si="11"/>
        <v>0</v>
      </c>
    </row>
    <row r="39" spans="1:13" s="61" customFormat="1" ht="20.25" hidden="1" customHeight="1" x14ac:dyDescent="0.25">
      <c r="A39" s="67"/>
      <c r="B39" s="68"/>
      <c r="C39" s="69"/>
      <c r="D39" s="69"/>
      <c r="E39" s="222"/>
      <c r="F39" s="222"/>
      <c r="G39" s="68"/>
      <c r="H39" s="70" t="e">
        <f>VLOOKUP(B39,custoEPI!$B$6:$E$29,4,FALSE)</f>
        <v>#N/A</v>
      </c>
      <c r="I39" s="71">
        <f t="shared" si="7"/>
        <v>6</v>
      </c>
      <c r="J39" s="71" t="str">
        <f t="shared" si="8"/>
        <v>sem descrição</v>
      </c>
      <c r="K39" s="69">
        <f t="shared" si="9"/>
        <v>0</v>
      </c>
      <c r="L39" s="69">
        <f t="shared" si="10"/>
        <v>0</v>
      </c>
      <c r="M39" s="69">
        <f t="shared" si="11"/>
        <v>0</v>
      </c>
    </row>
    <row r="40" spans="1:13" s="61" customFormat="1" ht="20.25" customHeight="1" x14ac:dyDescent="0.25">
      <c r="A40" s="67" t="s">
        <v>113</v>
      </c>
      <c r="B40" s="68" t="s">
        <v>294</v>
      </c>
      <c r="C40" s="69" t="s">
        <v>288</v>
      </c>
      <c r="D40" s="69" t="s">
        <v>289</v>
      </c>
      <c r="E40" s="222">
        <v>25</v>
      </c>
      <c r="F40" s="222">
        <v>0</v>
      </c>
      <c r="G40" s="68" t="s">
        <v>290</v>
      </c>
      <c r="H40" s="70">
        <f>VLOOKUP(B40,custoEPI!$B$6:$E$29,4,FALSE)</f>
        <v>0</v>
      </c>
      <c r="I40" s="71">
        <f t="shared" si="7"/>
        <v>6</v>
      </c>
      <c r="J40" s="71">
        <f t="shared" si="8"/>
        <v>3</v>
      </c>
      <c r="K40" s="69">
        <f t="shared" si="9"/>
        <v>0</v>
      </c>
      <c r="L40" s="69">
        <f t="shared" si="10"/>
        <v>0</v>
      </c>
      <c r="M40" s="69">
        <f t="shared" si="11"/>
        <v>0</v>
      </c>
    </row>
    <row r="41" spans="1:13" s="61" customFormat="1" ht="20.25" customHeight="1" x14ac:dyDescent="0.25">
      <c r="A41" s="67" t="s">
        <v>114</v>
      </c>
      <c r="B41" s="68" t="s">
        <v>307</v>
      </c>
      <c r="C41" s="69" t="s">
        <v>300</v>
      </c>
      <c r="D41" s="69" t="s">
        <v>292</v>
      </c>
      <c r="E41" s="222">
        <v>1</v>
      </c>
      <c r="F41" s="222">
        <v>0</v>
      </c>
      <c r="G41" s="68" t="s">
        <v>290</v>
      </c>
      <c r="H41" s="70">
        <f>VLOOKUP(B41,custoEPI!$B$6:$E$29,4,FALSE)</f>
        <v>0</v>
      </c>
      <c r="I41" s="71">
        <f t="shared" si="7"/>
        <v>6</v>
      </c>
      <c r="J41" s="71">
        <f t="shared" si="8"/>
        <v>3</v>
      </c>
      <c r="K41" s="69">
        <f t="shared" si="9"/>
        <v>0</v>
      </c>
      <c r="L41" s="69">
        <f t="shared" si="10"/>
        <v>0</v>
      </c>
      <c r="M41" s="69">
        <f t="shared" si="11"/>
        <v>0</v>
      </c>
    </row>
    <row r="42" spans="1:13" s="61" customFormat="1" ht="20.25" customHeight="1" x14ac:dyDescent="0.25">
      <c r="A42" s="67" t="s">
        <v>115</v>
      </c>
      <c r="B42" s="68" t="s">
        <v>295</v>
      </c>
      <c r="C42" s="69" t="s">
        <v>296</v>
      </c>
      <c r="D42" s="69" t="s">
        <v>292</v>
      </c>
      <c r="E42" s="222">
        <v>1</v>
      </c>
      <c r="F42" s="222">
        <v>0</v>
      </c>
      <c r="G42" s="68" t="s">
        <v>290</v>
      </c>
      <c r="H42" s="70">
        <f>VLOOKUP(B42,custoEPI!$B$6:$E$29,4,FALSE)</f>
        <v>0</v>
      </c>
      <c r="I42" s="71">
        <f t="shared" si="7"/>
        <v>6</v>
      </c>
      <c r="J42" s="71">
        <f t="shared" si="8"/>
        <v>3</v>
      </c>
      <c r="K42" s="69">
        <f t="shared" si="9"/>
        <v>0</v>
      </c>
      <c r="L42" s="69">
        <f t="shared" si="10"/>
        <v>0</v>
      </c>
      <c r="M42" s="69">
        <f t="shared" si="11"/>
        <v>0</v>
      </c>
    </row>
    <row r="43" spans="1:13" s="61" customFormat="1" ht="20.25" customHeight="1" x14ac:dyDescent="0.25">
      <c r="A43" s="67" t="s">
        <v>116</v>
      </c>
      <c r="B43" s="68" t="s">
        <v>299</v>
      </c>
      <c r="C43" s="69" t="s">
        <v>300</v>
      </c>
      <c r="D43" s="69" t="s">
        <v>292</v>
      </c>
      <c r="E43" s="222">
        <v>2</v>
      </c>
      <c r="F43" s="222">
        <v>0</v>
      </c>
      <c r="G43" s="68" t="s">
        <v>290</v>
      </c>
      <c r="H43" s="70">
        <f>VLOOKUP(B43,custoEPI!$B$6:$E$29,4,FALSE)</f>
        <v>0</v>
      </c>
      <c r="I43" s="71">
        <f t="shared" si="7"/>
        <v>6</v>
      </c>
      <c r="J43" s="71">
        <f t="shared" si="8"/>
        <v>3</v>
      </c>
      <c r="K43" s="69">
        <f t="shared" si="9"/>
        <v>0</v>
      </c>
      <c r="L43" s="69">
        <f t="shared" si="10"/>
        <v>0</v>
      </c>
      <c r="M43" s="69">
        <f t="shared" si="11"/>
        <v>0</v>
      </c>
    </row>
    <row r="44" spans="1:13" s="61" customFormat="1" ht="20.25" hidden="1" customHeight="1" x14ac:dyDescent="0.25">
      <c r="A44" s="67"/>
      <c r="B44" s="68"/>
      <c r="C44" s="69"/>
      <c r="D44" s="69"/>
      <c r="E44" s="222"/>
      <c r="F44" s="222"/>
      <c r="G44" s="68"/>
      <c r="H44" s="70" t="e">
        <f>VLOOKUP(B44,custoEPI!$B$6:$E$29,4,FALSE)</f>
        <v>#N/A</v>
      </c>
      <c r="I44" s="71"/>
      <c r="J44" s="71" t="str">
        <f t="shared" si="8"/>
        <v>sem descrição</v>
      </c>
      <c r="K44" s="69" t="str">
        <f t="shared" ref="K44:K51" si="12">IF(C44="mensal",J44*H44*E44,IF(C44="trimestral",(J44*H44*E44)/3,IF(C44="semestral",(J44*H44*E44)/6,IF(C44="anual",(J44*H44*E44/12),"informar entrega"))))</f>
        <v>informar entrega</v>
      </c>
      <c r="L44" s="69">
        <f t="shared" si="10"/>
        <v>0</v>
      </c>
      <c r="M44" s="69">
        <f t="shared" si="11"/>
        <v>0</v>
      </c>
    </row>
    <row r="45" spans="1:13" s="61" customFormat="1" ht="20.25" hidden="1" customHeight="1" x14ac:dyDescent="0.25">
      <c r="A45" s="67" t="s">
        <v>125</v>
      </c>
      <c r="B45" s="68"/>
      <c r="C45" s="69"/>
      <c r="D45" s="69"/>
      <c r="E45" s="222"/>
      <c r="F45" s="222"/>
      <c r="G45" s="68"/>
      <c r="H45" s="70" t="e">
        <f>VLOOKUP(B45,custoEPI!$B$6:$E$29,4,FALSE)</f>
        <v>#N/A</v>
      </c>
      <c r="I45" s="70"/>
      <c r="J45" s="71" t="str">
        <f t="shared" si="8"/>
        <v>sem descrição</v>
      </c>
      <c r="K45" s="69" t="str">
        <f t="shared" si="12"/>
        <v>informar entrega</v>
      </c>
      <c r="L45" s="69">
        <f t="shared" si="10"/>
        <v>0</v>
      </c>
      <c r="M45" s="69">
        <f t="shared" si="11"/>
        <v>0</v>
      </c>
    </row>
    <row r="46" spans="1:13" s="61" customFormat="1" ht="20.25" hidden="1" customHeight="1" x14ac:dyDescent="0.25">
      <c r="A46" s="67" t="s">
        <v>127</v>
      </c>
      <c r="B46" s="68"/>
      <c r="C46" s="69"/>
      <c r="D46" s="69"/>
      <c r="E46" s="222"/>
      <c r="F46" s="222"/>
      <c r="G46" s="68"/>
      <c r="H46" s="70"/>
      <c r="I46" s="70"/>
      <c r="J46" s="71" t="str">
        <f t="shared" si="8"/>
        <v>sem descrição</v>
      </c>
      <c r="K46" s="69" t="str">
        <f t="shared" si="12"/>
        <v>informar entrega</v>
      </c>
      <c r="L46" s="69">
        <f t="shared" si="10"/>
        <v>0</v>
      </c>
      <c r="M46" s="69">
        <f t="shared" si="11"/>
        <v>0</v>
      </c>
    </row>
    <row r="47" spans="1:13" s="61" customFormat="1" ht="20.25" hidden="1" customHeight="1" x14ac:dyDescent="0.25">
      <c r="A47" s="67" t="s">
        <v>129</v>
      </c>
      <c r="B47" s="68"/>
      <c r="C47" s="69"/>
      <c r="D47" s="69"/>
      <c r="E47" s="222"/>
      <c r="F47" s="222"/>
      <c r="G47" s="68"/>
      <c r="H47" s="70"/>
      <c r="I47" s="70"/>
      <c r="J47" s="71" t="str">
        <f t="shared" si="8"/>
        <v>sem descrição</v>
      </c>
      <c r="K47" s="69" t="str">
        <f t="shared" si="12"/>
        <v>informar entrega</v>
      </c>
      <c r="L47" s="69">
        <f t="shared" si="10"/>
        <v>0</v>
      </c>
      <c r="M47" s="69">
        <f t="shared" si="11"/>
        <v>0</v>
      </c>
    </row>
    <row r="48" spans="1:13" s="61" customFormat="1" ht="20.25" hidden="1" customHeight="1" x14ac:dyDescent="0.25">
      <c r="A48" s="67" t="s">
        <v>131</v>
      </c>
      <c r="B48" s="68"/>
      <c r="C48" s="69"/>
      <c r="D48" s="69"/>
      <c r="E48" s="222"/>
      <c r="F48" s="222"/>
      <c r="G48" s="68"/>
      <c r="H48" s="70"/>
      <c r="I48" s="70"/>
      <c r="J48" s="71" t="str">
        <f t="shared" si="8"/>
        <v>sem descrição</v>
      </c>
      <c r="K48" s="69" t="str">
        <f t="shared" si="12"/>
        <v>informar entrega</v>
      </c>
      <c r="L48" s="69">
        <f t="shared" si="10"/>
        <v>0</v>
      </c>
      <c r="M48" s="69">
        <f t="shared" si="11"/>
        <v>0</v>
      </c>
    </row>
    <row r="49" spans="1:13" s="61" customFormat="1" ht="20.25" hidden="1" customHeight="1" x14ac:dyDescent="0.25">
      <c r="A49" s="67" t="s">
        <v>188</v>
      </c>
      <c r="B49" s="68"/>
      <c r="C49" s="69"/>
      <c r="D49" s="69"/>
      <c r="E49" s="222"/>
      <c r="F49" s="222"/>
      <c r="G49" s="68"/>
      <c r="H49" s="70"/>
      <c r="I49" s="70"/>
      <c r="J49" s="71" t="str">
        <f t="shared" si="8"/>
        <v>sem descrição</v>
      </c>
      <c r="K49" s="69" t="str">
        <f t="shared" si="12"/>
        <v>informar entrega</v>
      </c>
      <c r="L49" s="69">
        <f t="shared" si="10"/>
        <v>0</v>
      </c>
      <c r="M49" s="69">
        <f t="shared" si="11"/>
        <v>0</v>
      </c>
    </row>
    <row r="50" spans="1:13" s="61" customFormat="1" ht="20.25" hidden="1" customHeight="1" x14ac:dyDescent="0.25">
      <c r="A50" s="67" t="s">
        <v>192</v>
      </c>
      <c r="B50" s="68"/>
      <c r="C50" s="69"/>
      <c r="D50" s="69"/>
      <c r="E50" s="222"/>
      <c r="F50" s="222"/>
      <c r="G50" s="68"/>
      <c r="H50" s="70"/>
      <c r="I50" s="70"/>
      <c r="J50" s="71" t="str">
        <f t="shared" si="8"/>
        <v>sem descrição</v>
      </c>
      <c r="K50" s="69" t="str">
        <f t="shared" si="12"/>
        <v>informar entrega</v>
      </c>
      <c r="L50" s="69">
        <f t="shared" si="10"/>
        <v>0</v>
      </c>
      <c r="M50" s="69">
        <f t="shared" si="11"/>
        <v>0</v>
      </c>
    </row>
    <row r="51" spans="1:13" s="61" customFormat="1" ht="20.25" hidden="1" customHeight="1" x14ac:dyDescent="0.25">
      <c r="A51" s="67" t="s">
        <v>195</v>
      </c>
      <c r="B51" s="68"/>
      <c r="C51" s="69"/>
      <c r="D51" s="69"/>
      <c r="E51" s="222"/>
      <c r="F51" s="222"/>
      <c r="G51" s="68"/>
      <c r="H51" s="70"/>
      <c r="I51" s="70"/>
      <c r="J51" s="71" t="str">
        <f t="shared" si="8"/>
        <v>sem descrição</v>
      </c>
      <c r="K51" s="69" t="str">
        <f t="shared" si="12"/>
        <v>informar entrega</v>
      </c>
      <c r="L51" s="69">
        <f t="shared" si="10"/>
        <v>0</v>
      </c>
      <c r="M51" s="69">
        <f t="shared" si="11"/>
        <v>0</v>
      </c>
    </row>
    <row r="52" spans="1:13" s="61" customFormat="1" ht="20.25" hidden="1" customHeight="1" x14ac:dyDescent="0.25">
      <c r="A52" s="67" t="s">
        <v>199</v>
      </c>
      <c r="B52" s="68"/>
      <c r="C52" s="69"/>
      <c r="D52" s="69"/>
      <c r="E52" s="222"/>
      <c r="F52" s="222"/>
      <c r="G52" s="68"/>
      <c r="H52" s="70"/>
      <c r="I52" s="70"/>
      <c r="J52" s="71" t="str">
        <f t="shared" si="8"/>
        <v>sem descrição</v>
      </c>
      <c r="K52" s="69" t="str">
        <f>IF(C52="mensal",J52*H52*E52,IF(C52="trimestral",(J52*H52*E52)/3,IF(C52="semestral",(J52*H52*E52)/6,IF(C52="anual",(J52*H52*E52/12),"informar período"))))</f>
        <v>informar período</v>
      </c>
      <c r="L52" s="69">
        <f t="shared" si="10"/>
        <v>0</v>
      </c>
      <c r="M52" s="69">
        <f t="shared" si="11"/>
        <v>0</v>
      </c>
    </row>
    <row r="53" spans="1:13" s="61" customFormat="1" ht="20.25" customHeight="1" x14ac:dyDescent="0.25">
      <c r="A53" s="152" t="s">
        <v>301</v>
      </c>
      <c r="B53" s="147"/>
      <c r="C53" s="147"/>
      <c r="D53" s="147"/>
      <c r="E53" s="147"/>
      <c r="F53" s="147"/>
      <c r="G53" s="147"/>
      <c r="H53" s="147"/>
      <c r="I53" s="139"/>
      <c r="J53" s="155"/>
      <c r="K53" s="156">
        <f>SUM(K36:K52)</f>
        <v>0</v>
      </c>
      <c r="L53" s="157">
        <f>K53*12</f>
        <v>0</v>
      </c>
      <c r="M53" s="158">
        <f>K53*60</f>
        <v>0</v>
      </c>
    </row>
    <row r="54" spans="1:13" s="61" customFormat="1" ht="20.25" customHeight="1" x14ac:dyDescent="0.25">
      <c r="A54" s="152" t="s">
        <v>302</v>
      </c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59">
        <f>K53/SUM(C32:M34)</f>
        <v>0</v>
      </c>
    </row>
    <row r="55" spans="1:13" s="61" customFormat="1" ht="20.25" customHeight="1" x14ac:dyDescent="0.25">
      <c r="A55" s="235" t="s">
        <v>273</v>
      </c>
      <c r="B55" s="143" t="s">
        <v>19</v>
      </c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4"/>
    </row>
    <row r="56" spans="1:13" s="61" customFormat="1" ht="20.25" customHeight="1" x14ac:dyDescent="0.25">
      <c r="A56" s="62">
        <v>1</v>
      </c>
      <c r="B56" s="63" t="s">
        <v>274</v>
      </c>
      <c r="C56" s="216" t="str">
        <f>'planilha - proposta'!C22</f>
        <v>Auxiliar de Cozinha</v>
      </c>
      <c r="D56" s="217"/>
      <c r="E56" s="217"/>
      <c r="F56" s="217"/>
      <c r="G56" s="217"/>
      <c r="H56" s="145"/>
      <c r="I56" s="145"/>
      <c r="J56" s="145"/>
      <c r="K56" s="145"/>
      <c r="L56" s="145"/>
      <c r="M56" s="146"/>
    </row>
    <row r="57" spans="1:13" s="61" customFormat="1" ht="20.25" customHeight="1" x14ac:dyDescent="0.25">
      <c r="A57" s="62">
        <v>2</v>
      </c>
      <c r="B57" s="63" t="str">
        <f>'planilha - proposta'!D22</f>
        <v>Auxiliar de Cozinha - 12x36d</v>
      </c>
      <c r="C57" s="216">
        <f>VLOOKUP(B57,'planilha - proposta'!$D$17:$E$62,2,FALSE)</f>
        <v>10</v>
      </c>
      <c r="D57" s="217"/>
      <c r="E57" s="217"/>
      <c r="F57" s="217"/>
      <c r="G57" s="217"/>
      <c r="H57" s="145"/>
      <c r="I57" s="145"/>
      <c r="J57" s="145"/>
      <c r="K57" s="145"/>
      <c r="L57" s="145"/>
      <c r="M57" s="146"/>
    </row>
    <row r="58" spans="1:13" s="61" customFormat="1" ht="20.25" customHeight="1" x14ac:dyDescent="0.25">
      <c r="A58" s="62">
        <v>3</v>
      </c>
      <c r="B58" s="63" t="str">
        <f>'planilha - proposta'!D23</f>
        <v>Auxiliar de Cozinha - 12x36n</v>
      </c>
      <c r="C58" s="216">
        <f>VLOOKUP(B58,'planilha - proposta'!$D$17:$E$62,2,FALSE)</f>
        <v>2</v>
      </c>
      <c r="D58" s="217"/>
      <c r="E58" s="217"/>
      <c r="F58" s="217"/>
      <c r="G58" s="217"/>
      <c r="H58" s="145"/>
      <c r="I58" s="145"/>
      <c r="J58" s="145"/>
      <c r="K58" s="145"/>
      <c r="L58" s="145"/>
      <c r="M58" s="146"/>
    </row>
    <row r="59" spans="1:13" s="61" customFormat="1" ht="20.25" customHeight="1" x14ac:dyDescent="0.25">
      <c r="A59" s="62">
        <v>4</v>
      </c>
      <c r="B59" s="63" t="str">
        <f>'planilha - proposta'!D24</f>
        <v>Auxiliar de Cozinha - 44h</v>
      </c>
      <c r="C59" s="216">
        <f>VLOOKUP(B59,'planilha - proposta'!$D$17:$E$62,2,FALSE)</f>
        <v>2</v>
      </c>
      <c r="D59" s="217"/>
      <c r="E59" s="217"/>
      <c r="F59" s="217"/>
      <c r="G59" s="217"/>
      <c r="H59" s="145"/>
      <c r="I59" s="145"/>
      <c r="J59" s="145"/>
      <c r="K59" s="145"/>
      <c r="L59" s="145"/>
      <c r="M59" s="146"/>
    </row>
    <row r="60" spans="1:13" s="61" customFormat="1" ht="52.5" customHeight="1" x14ac:dyDescent="0.25">
      <c r="A60" s="64" t="s">
        <v>273</v>
      </c>
      <c r="B60" s="65" t="s">
        <v>275</v>
      </c>
      <c r="C60" s="218" t="s">
        <v>276</v>
      </c>
      <c r="D60" s="218" t="s">
        <v>277</v>
      </c>
      <c r="E60" s="218" t="s">
        <v>278</v>
      </c>
      <c r="F60" s="218" t="s">
        <v>303</v>
      </c>
      <c r="G60" s="223" t="s">
        <v>280</v>
      </c>
      <c r="H60" s="65" t="s">
        <v>304</v>
      </c>
      <c r="I60" s="66" t="s">
        <v>305</v>
      </c>
      <c r="J60" s="66" t="s">
        <v>309</v>
      </c>
      <c r="K60" s="65" t="s">
        <v>284</v>
      </c>
      <c r="L60" s="65" t="s">
        <v>285</v>
      </c>
      <c r="M60" s="66" t="s">
        <v>286</v>
      </c>
    </row>
    <row r="61" spans="1:13" s="61" customFormat="1" ht="20.25" customHeight="1" x14ac:dyDescent="0.25">
      <c r="A61" s="67" t="s">
        <v>108</v>
      </c>
      <c r="B61" s="68" t="s">
        <v>391</v>
      </c>
      <c r="C61" s="69" t="s">
        <v>298</v>
      </c>
      <c r="D61" s="69" t="s">
        <v>310</v>
      </c>
      <c r="E61" s="222">
        <v>0</v>
      </c>
      <c r="F61" s="222">
        <v>2</v>
      </c>
      <c r="G61" s="68" t="s">
        <v>290</v>
      </c>
      <c r="H61" s="70">
        <f>VLOOKUP(B61,custoEPI!$B$6:$E$29,4,FALSE)</f>
        <v>0</v>
      </c>
      <c r="I61" s="71">
        <f t="shared" ref="I61:I69" si="13">SUM($C$57:$M$59)</f>
        <v>14</v>
      </c>
      <c r="J61" s="71">
        <f t="shared" ref="J61:J77" si="14">IF(B61="","sem descrição",IF($C$57&gt;=$C$58,IF($C$59&gt;0,$C$57/2+$C$59,$C$57/2),IF($C$59&gt;0,$C$58/5+$C$59,$C$59)))</f>
        <v>7</v>
      </c>
      <c r="K61" s="69">
        <f>IF(C61="mensal",IF(F61&gt;0,F61*H61,IF(D61="descartável",((SUM($C$57:$C$58)/2)+$C$59)*E61*H61,IF(D61="pessoal",E61*H61*I61,E61*H61*J61))),0)+IF(C61="trimestral",IF(F61&gt;0,F61*H61/3,IF(D61="descartável",(((SUM($C$57:$C$58)/2)+$C$59)*E61*H61)/3,IF(D61="pessoal",(E61*H61*I61)/3,(E61*H61*J61)/3))),0)+IF(C61="semestral",IF(F61&gt;0,F61*H61/6,IF(D61="descartável",(((SUM($C$57:$C$58)/2)+$C$59)*E61*H61)/6,IF(D61="pessoal",(E61*H61*I61)/6,(E61*H61*J61)/6))),0)+IF(C61="anual",IF(F61&gt;0,F61*H61/12,IF(D61="descartável",(((SUM($C$57:$C$58)/2)+$C$59)*E61*H61)/12,IF(D61="pessoal",(E61*H61*I61)/12,(E61*H61*J61)/12))),0)</f>
        <v>0</v>
      </c>
      <c r="L61" s="69">
        <f>IFERROR(K61*12, 0)</f>
        <v>0</v>
      </c>
      <c r="M61" s="69">
        <f>IFERROR(K61*60,0)</f>
        <v>0</v>
      </c>
    </row>
    <row r="62" spans="1:13" s="61" customFormat="1" ht="20.25" customHeight="1" x14ac:dyDescent="0.25">
      <c r="A62" s="67" t="s">
        <v>110</v>
      </c>
      <c r="B62" s="68" t="s">
        <v>311</v>
      </c>
      <c r="C62" s="69" t="s">
        <v>298</v>
      </c>
      <c r="D62" s="69" t="s">
        <v>292</v>
      </c>
      <c r="E62" s="222">
        <v>1</v>
      </c>
      <c r="F62" s="222">
        <v>0</v>
      </c>
      <c r="G62" s="68" t="s">
        <v>290</v>
      </c>
      <c r="H62" s="70">
        <f>VLOOKUP(B62,custoEPI!$B$6:$E$29,4,FALSE)</f>
        <v>0</v>
      </c>
      <c r="I62" s="71">
        <f t="shared" si="13"/>
        <v>14</v>
      </c>
      <c r="J62" s="71">
        <f t="shared" si="14"/>
        <v>7</v>
      </c>
      <c r="K62" s="69">
        <f t="shared" ref="K62:K68" si="15">IF(C62="mensal",IF(F62&gt;0,F62*H62,IF(D62="descartável",((SUM($C$57:$C$58)/2)+$C$59)*E62*H62,IF(D62="pessoal",E62*H62*I62,E62*H62*J62))),0)+IF(C62="trimestral",IF(F62&gt;0,F62*H62/3,IF(D62="descartável",(((SUM($C$57:$C$58)/2)+$C$59)*E62*H62)/3,IF(D62="pessoal",(E62*H62*I62)/3,(E62*H62*J62)/3))),0)+IF(C62="semestral",IF(F62&gt;0,F62*H62/6,IF(D62="descartável",(((SUM($C$57:$C$58)/2)+$C$59)*E62*H62)/6,IF(D62="pessoal",(E62*H62*I62)/6,(E62*H62*J62)/6))),0)+IF(C62="anual",IF(F62&gt;0,F62*H62/12,IF(D62="descartável",(((SUM($C$57:$C$58)/2)+$C$59)*E62*H62)/12,IF(D62="pessoal",(E62*H62*I62)/12,(E62*H62*J62)/12))),0)</f>
        <v>0</v>
      </c>
      <c r="L62" s="69">
        <f t="shared" ref="L62:L77" si="16">IFERROR(K62*12, 0)</f>
        <v>0</v>
      </c>
      <c r="M62" s="69">
        <f t="shared" ref="M62:M77" si="17">IFERROR(K62*60,0)</f>
        <v>0</v>
      </c>
    </row>
    <row r="63" spans="1:13" s="61" customFormat="1" ht="20.25" customHeight="1" x14ac:dyDescent="0.25">
      <c r="A63" s="67" t="s">
        <v>111</v>
      </c>
      <c r="B63" s="68" t="s">
        <v>312</v>
      </c>
      <c r="C63" s="69" t="s">
        <v>300</v>
      </c>
      <c r="D63" s="69" t="s">
        <v>292</v>
      </c>
      <c r="E63" s="222">
        <v>1</v>
      </c>
      <c r="F63" s="222">
        <v>0</v>
      </c>
      <c r="G63" s="68" t="s">
        <v>290</v>
      </c>
      <c r="H63" s="70">
        <f>VLOOKUP(B63,custoEPI!$B$6:$E$29,4,FALSE)</f>
        <v>0</v>
      </c>
      <c r="I63" s="71">
        <f t="shared" si="13"/>
        <v>14</v>
      </c>
      <c r="J63" s="71">
        <f t="shared" si="14"/>
        <v>7</v>
      </c>
      <c r="K63" s="69">
        <f t="shared" si="15"/>
        <v>0</v>
      </c>
      <c r="L63" s="69">
        <f t="shared" si="16"/>
        <v>0</v>
      </c>
      <c r="M63" s="69">
        <f t="shared" si="17"/>
        <v>0</v>
      </c>
    </row>
    <row r="64" spans="1:13" s="61" customFormat="1" ht="20.25" customHeight="1" x14ac:dyDescent="0.25">
      <c r="A64" s="67" t="s">
        <v>113</v>
      </c>
      <c r="B64" s="68" t="s">
        <v>287</v>
      </c>
      <c r="C64" s="69" t="s">
        <v>288</v>
      </c>
      <c r="D64" s="69" t="s">
        <v>289</v>
      </c>
      <c r="E64" s="222">
        <v>90</v>
      </c>
      <c r="F64" s="222">
        <v>0</v>
      </c>
      <c r="G64" s="68" t="s">
        <v>290</v>
      </c>
      <c r="H64" s="70">
        <f>VLOOKUP(B64,custoEPI!$B$6:$E$29,4,FALSE)</f>
        <v>0</v>
      </c>
      <c r="I64" s="71">
        <f t="shared" si="13"/>
        <v>14</v>
      </c>
      <c r="J64" s="71">
        <f t="shared" si="14"/>
        <v>7</v>
      </c>
      <c r="K64" s="69">
        <f t="shared" si="15"/>
        <v>0</v>
      </c>
      <c r="L64" s="69">
        <f t="shared" si="16"/>
        <v>0</v>
      </c>
      <c r="M64" s="69">
        <f t="shared" si="17"/>
        <v>0</v>
      </c>
    </row>
    <row r="65" spans="1:13" s="61" customFormat="1" ht="20.25" customHeight="1" x14ac:dyDescent="0.25">
      <c r="A65" s="67" t="s">
        <v>114</v>
      </c>
      <c r="B65" s="68" t="s">
        <v>294</v>
      </c>
      <c r="C65" s="69" t="s">
        <v>288</v>
      </c>
      <c r="D65" s="69" t="s">
        <v>289</v>
      </c>
      <c r="E65" s="222">
        <f>3*30</f>
        <v>90</v>
      </c>
      <c r="F65" s="222">
        <v>0</v>
      </c>
      <c r="G65" s="68" t="s">
        <v>290</v>
      </c>
      <c r="H65" s="70">
        <f>VLOOKUP(B65,custoEPI!$B$6:$E$29,4,FALSE)</f>
        <v>0</v>
      </c>
      <c r="I65" s="71">
        <f t="shared" si="13"/>
        <v>14</v>
      </c>
      <c r="J65" s="71">
        <f t="shared" si="14"/>
        <v>7</v>
      </c>
      <c r="K65" s="69">
        <f t="shared" si="15"/>
        <v>0</v>
      </c>
      <c r="L65" s="69">
        <f t="shared" si="16"/>
        <v>0</v>
      </c>
      <c r="M65" s="69">
        <f t="shared" si="17"/>
        <v>0</v>
      </c>
    </row>
    <row r="66" spans="1:13" s="61" customFormat="1" ht="20.25" customHeight="1" x14ac:dyDescent="0.25">
      <c r="A66" s="67" t="s">
        <v>115</v>
      </c>
      <c r="B66" s="68" t="s">
        <v>313</v>
      </c>
      <c r="C66" s="69" t="s">
        <v>288</v>
      </c>
      <c r="D66" s="69" t="s">
        <v>289</v>
      </c>
      <c r="E66" s="222">
        <v>48</v>
      </c>
      <c r="F66" s="222">
        <v>0</v>
      </c>
      <c r="G66" s="68" t="s">
        <v>290</v>
      </c>
      <c r="H66" s="70">
        <f>VLOOKUP(B66,custoEPI!$B$6:$E$29,4,FALSE)</f>
        <v>0</v>
      </c>
      <c r="I66" s="71">
        <f t="shared" si="13"/>
        <v>14</v>
      </c>
      <c r="J66" s="71">
        <f t="shared" si="14"/>
        <v>7</v>
      </c>
      <c r="K66" s="69">
        <f t="shared" si="15"/>
        <v>0</v>
      </c>
      <c r="L66" s="69">
        <f t="shared" si="16"/>
        <v>0</v>
      </c>
      <c r="M66" s="69">
        <f t="shared" si="17"/>
        <v>0</v>
      </c>
    </row>
    <row r="67" spans="1:13" s="61" customFormat="1" ht="20.25" customHeight="1" x14ac:dyDescent="0.25">
      <c r="A67" s="67" t="s">
        <v>116</v>
      </c>
      <c r="B67" s="68" t="s">
        <v>314</v>
      </c>
      <c r="C67" s="69" t="s">
        <v>288</v>
      </c>
      <c r="D67" s="69" t="s">
        <v>292</v>
      </c>
      <c r="E67" s="222">
        <v>1</v>
      </c>
      <c r="F67" s="222">
        <v>0</v>
      </c>
      <c r="G67" s="68" t="s">
        <v>315</v>
      </c>
      <c r="H67" s="70">
        <f>VLOOKUP(B67,custoEPI!$B$6:$E$29,4,FALSE)</f>
        <v>0</v>
      </c>
      <c r="I67" s="71">
        <f t="shared" si="13"/>
        <v>14</v>
      </c>
      <c r="J67" s="71">
        <f t="shared" si="14"/>
        <v>7</v>
      </c>
      <c r="K67" s="69">
        <f t="shared" si="15"/>
        <v>0</v>
      </c>
      <c r="L67" s="69">
        <f t="shared" si="16"/>
        <v>0</v>
      </c>
      <c r="M67" s="69">
        <f t="shared" si="17"/>
        <v>0</v>
      </c>
    </row>
    <row r="68" spans="1:13" s="61" customFormat="1" ht="20.25" customHeight="1" x14ac:dyDescent="0.25">
      <c r="A68" s="67" t="s">
        <v>118</v>
      </c>
      <c r="B68" s="68" t="s">
        <v>316</v>
      </c>
      <c r="C68" s="69" t="s">
        <v>300</v>
      </c>
      <c r="D68" s="69" t="s">
        <v>310</v>
      </c>
      <c r="E68" s="222">
        <v>1</v>
      </c>
      <c r="F68" s="222">
        <v>0</v>
      </c>
      <c r="G68" s="68" t="s">
        <v>315</v>
      </c>
      <c r="H68" s="70">
        <f>VLOOKUP(B68,custoEPI!$B$6:$E$29,4,FALSE)</f>
        <v>0</v>
      </c>
      <c r="I68" s="71">
        <f t="shared" si="13"/>
        <v>14</v>
      </c>
      <c r="J68" s="71">
        <f t="shared" si="14"/>
        <v>7</v>
      </c>
      <c r="K68" s="69">
        <f t="shared" si="15"/>
        <v>0</v>
      </c>
      <c r="L68" s="69">
        <f t="shared" si="16"/>
        <v>0</v>
      </c>
      <c r="M68" s="69">
        <f t="shared" si="17"/>
        <v>0</v>
      </c>
    </row>
    <row r="69" spans="1:13" s="61" customFormat="1" ht="20.25" hidden="1" customHeight="1" x14ac:dyDescent="0.25">
      <c r="A69" s="67"/>
      <c r="B69" s="68"/>
      <c r="C69" s="69"/>
      <c r="D69" s="69"/>
      <c r="E69" s="222"/>
      <c r="F69" s="222"/>
      <c r="G69" s="68"/>
      <c r="H69" s="70" t="e">
        <f>VLOOKUP(B69,custoEPI!$B$6:$E$29,4,FALSE)</f>
        <v>#N/A</v>
      </c>
      <c r="I69" s="71">
        <f t="shared" si="13"/>
        <v>14</v>
      </c>
      <c r="J69" s="71" t="str">
        <f t="shared" si="14"/>
        <v>sem descrição</v>
      </c>
      <c r="K69" s="69" t="str">
        <f t="shared" ref="K69:K76" si="18">IF(C69="mensal",J69*H69*E69,IF(C69="trimestral",(J69*H69*E69)/3,IF(C69="semestral",(J69*H69*E69)/6,IF(C69="anual",(J69*H69*E69/12),"informar entrega"))))</f>
        <v>informar entrega</v>
      </c>
      <c r="L69" s="69">
        <f t="shared" si="16"/>
        <v>0</v>
      </c>
      <c r="M69" s="69">
        <f t="shared" si="17"/>
        <v>0</v>
      </c>
    </row>
    <row r="70" spans="1:13" s="61" customFormat="1" ht="20.25" hidden="1" customHeight="1" x14ac:dyDescent="0.25">
      <c r="A70" s="67" t="s">
        <v>125</v>
      </c>
      <c r="B70" s="68"/>
      <c r="C70" s="69"/>
      <c r="D70" s="69"/>
      <c r="E70" s="222"/>
      <c r="F70" s="222"/>
      <c r="G70" s="68"/>
      <c r="H70" s="70" t="e">
        <f>VLOOKUP(B70,custoEPI!$B$6:$E$29,4,FALSE)</f>
        <v>#N/A</v>
      </c>
      <c r="I70" s="70"/>
      <c r="J70" s="71" t="str">
        <f t="shared" si="14"/>
        <v>sem descrição</v>
      </c>
      <c r="K70" s="69" t="str">
        <f t="shared" si="18"/>
        <v>informar entrega</v>
      </c>
      <c r="L70" s="69">
        <f t="shared" si="16"/>
        <v>0</v>
      </c>
      <c r="M70" s="69">
        <f t="shared" si="17"/>
        <v>0</v>
      </c>
    </row>
    <row r="71" spans="1:13" s="61" customFormat="1" ht="20.25" hidden="1" customHeight="1" x14ac:dyDescent="0.25">
      <c r="A71" s="67" t="s">
        <v>127</v>
      </c>
      <c r="B71" s="68"/>
      <c r="C71" s="69"/>
      <c r="D71" s="69"/>
      <c r="E71" s="222"/>
      <c r="F71" s="222"/>
      <c r="G71" s="68"/>
      <c r="H71" s="70"/>
      <c r="I71" s="70"/>
      <c r="J71" s="71" t="str">
        <f t="shared" si="14"/>
        <v>sem descrição</v>
      </c>
      <c r="K71" s="69" t="str">
        <f t="shared" si="18"/>
        <v>informar entrega</v>
      </c>
      <c r="L71" s="69">
        <f t="shared" si="16"/>
        <v>0</v>
      </c>
      <c r="M71" s="69">
        <f t="shared" si="17"/>
        <v>0</v>
      </c>
    </row>
    <row r="72" spans="1:13" s="61" customFormat="1" ht="20.25" hidden="1" customHeight="1" x14ac:dyDescent="0.25">
      <c r="A72" s="67" t="s">
        <v>129</v>
      </c>
      <c r="B72" s="68"/>
      <c r="C72" s="69"/>
      <c r="D72" s="69"/>
      <c r="E72" s="222"/>
      <c r="F72" s="222"/>
      <c r="G72" s="68"/>
      <c r="H72" s="70"/>
      <c r="I72" s="70"/>
      <c r="J72" s="71" t="str">
        <f t="shared" si="14"/>
        <v>sem descrição</v>
      </c>
      <c r="K72" s="69" t="str">
        <f t="shared" si="18"/>
        <v>informar entrega</v>
      </c>
      <c r="L72" s="69">
        <f t="shared" si="16"/>
        <v>0</v>
      </c>
      <c r="M72" s="69">
        <f t="shared" si="17"/>
        <v>0</v>
      </c>
    </row>
    <row r="73" spans="1:13" s="61" customFormat="1" ht="20.25" hidden="1" customHeight="1" x14ac:dyDescent="0.25">
      <c r="A73" s="67" t="s">
        <v>131</v>
      </c>
      <c r="B73" s="68"/>
      <c r="C73" s="69"/>
      <c r="D73" s="69"/>
      <c r="E73" s="222"/>
      <c r="F73" s="222"/>
      <c r="G73" s="68"/>
      <c r="H73" s="70"/>
      <c r="I73" s="70"/>
      <c r="J73" s="71" t="str">
        <f t="shared" si="14"/>
        <v>sem descrição</v>
      </c>
      <c r="K73" s="69" t="str">
        <f t="shared" si="18"/>
        <v>informar entrega</v>
      </c>
      <c r="L73" s="69">
        <f t="shared" si="16"/>
        <v>0</v>
      </c>
      <c r="M73" s="69">
        <f t="shared" si="17"/>
        <v>0</v>
      </c>
    </row>
    <row r="74" spans="1:13" s="61" customFormat="1" ht="20.25" hidden="1" customHeight="1" x14ac:dyDescent="0.25">
      <c r="A74" s="67" t="s">
        <v>188</v>
      </c>
      <c r="B74" s="68"/>
      <c r="C74" s="69"/>
      <c r="D74" s="69"/>
      <c r="E74" s="222"/>
      <c r="F74" s="222"/>
      <c r="G74" s="68"/>
      <c r="H74" s="70"/>
      <c r="I74" s="70"/>
      <c r="J74" s="71" t="str">
        <f t="shared" si="14"/>
        <v>sem descrição</v>
      </c>
      <c r="K74" s="69" t="str">
        <f t="shared" si="18"/>
        <v>informar entrega</v>
      </c>
      <c r="L74" s="69">
        <f t="shared" si="16"/>
        <v>0</v>
      </c>
      <c r="M74" s="69">
        <f t="shared" si="17"/>
        <v>0</v>
      </c>
    </row>
    <row r="75" spans="1:13" s="61" customFormat="1" ht="20.25" hidden="1" customHeight="1" x14ac:dyDescent="0.25">
      <c r="A75" s="67" t="s">
        <v>192</v>
      </c>
      <c r="B75" s="68"/>
      <c r="C75" s="69"/>
      <c r="D75" s="69"/>
      <c r="E75" s="222"/>
      <c r="F75" s="222"/>
      <c r="G75" s="68"/>
      <c r="H75" s="70"/>
      <c r="I75" s="70"/>
      <c r="J75" s="71" t="str">
        <f t="shared" si="14"/>
        <v>sem descrição</v>
      </c>
      <c r="K75" s="69" t="str">
        <f t="shared" si="18"/>
        <v>informar entrega</v>
      </c>
      <c r="L75" s="69">
        <f t="shared" si="16"/>
        <v>0</v>
      </c>
      <c r="M75" s="69">
        <f t="shared" si="17"/>
        <v>0</v>
      </c>
    </row>
    <row r="76" spans="1:13" s="61" customFormat="1" ht="20.25" hidden="1" customHeight="1" x14ac:dyDescent="0.25">
      <c r="A76" s="67" t="s">
        <v>195</v>
      </c>
      <c r="B76" s="68"/>
      <c r="C76" s="69"/>
      <c r="D76" s="69"/>
      <c r="E76" s="222"/>
      <c r="F76" s="222"/>
      <c r="G76" s="68"/>
      <c r="H76" s="70"/>
      <c r="I76" s="70"/>
      <c r="J76" s="71" t="str">
        <f t="shared" si="14"/>
        <v>sem descrição</v>
      </c>
      <c r="K76" s="69" t="str">
        <f t="shared" si="18"/>
        <v>informar entrega</v>
      </c>
      <c r="L76" s="69">
        <f t="shared" si="16"/>
        <v>0</v>
      </c>
      <c r="M76" s="69">
        <f t="shared" si="17"/>
        <v>0</v>
      </c>
    </row>
    <row r="77" spans="1:13" s="61" customFormat="1" ht="20.25" hidden="1" customHeight="1" x14ac:dyDescent="0.25">
      <c r="A77" s="67" t="s">
        <v>199</v>
      </c>
      <c r="B77" s="68"/>
      <c r="C77" s="69"/>
      <c r="D77" s="69"/>
      <c r="E77" s="222"/>
      <c r="F77" s="222"/>
      <c r="G77" s="68"/>
      <c r="H77" s="70"/>
      <c r="I77" s="70"/>
      <c r="J77" s="71" t="str">
        <f t="shared" si="14"/>
        <v>sem descrição</v>
      </c>
      <c r="K77" s="69" t="str">
        <f>IF(C77="mensal",J77*H77*E77,IF(C77="trimestral",(J77*H77*E77)/3,IF(C77="semestral",(J77*H77*E77)/6,IF(C77="anual",(J77*H77*E77/12),"informar período"))))</f>
        <v>informar período</v>
      </c>
      <c r="L77" s="69">
        <f t="shared" si="16"/>
        <v>0</v>
      </c>
      <c r="M77" s="69">
        <f t="shared" si="17"/>
        <v>0</v>
      </c>
    </row>
    <row r="78" spans="1:13" s="61" customFormat="1" ht="20.25" customHeight="1" x14ac:dyDescent="0.25">
      <c r="A78" s="152" t="s">
        <v>320</v>
      </c>
      <c r="B78" s="147"/>
      <c r="C78" s="147"/>
      <c r="D78" s="147"/>
      <c r="E78" s="147"/>
      <c r="F78" s="147"/>
      <c r="G78" s="147"/>
      <c r="H78" s="147"/>
      <c r="I78" s="139"/>
      <c r="J78" s="155"/>
      <c r="K78" s="156">
        <f>SUM(K61:K77)</f>
        <v>0</v>
      </c>
      <c r="L78" s="157">
        <f>K78*12</f>
        <v>0</v>
      </c>
      <c r="M78" s="158">
        <f>K78*60</f>
        <v>0</v>
      </c>
    </row>
    <row r="79" spans="1:13" s="61" customFormat="1" ht="20.25" customHeight="1" x14ac:dyDescent="0.25">
      <c r="A79" s="152" t="s">
        <v>302</v>
      </c>
      <c r="B79" s="147"/>
      <c r="C79" s="147"/>
      <c r="D79" s="147"/>
      <c r="E79" s="147"/>
      <c r="F79" s="147"/>
      <c r="G79" s="147"/>
      <c r="H79" s="147"/>
      <c r="I79" s="139"/>
      <c r="J79" s="155"/>
      <c r="K79" s="156"/>
      <c r="L79" s="157"/>
      <c r="M79" s="158">
        <f>K78/SUM(C57:M59)</f>
        <v>0</v>
      </c>
    </row>
    <row r="80" spans="1:13" s="61" customFormat="1" ht="20.25" customHeight="1" x14ac:dyDescent="0.25">
      <c r="A80" s="235" t="s">
        <v>273</v>
      </c>
      <c r="B80" s="143" t="s">
        <v>19</v>
      </c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4"/>
    </row>
    <row r="81" spans="1:13" s="61" customFormat="1" ht="20.25" customHeight="1" x14ac:dyDescent="0.25">
      <c r="A81" s="62">
        <v>1</v>
      </c>
      <c r="B81" s="63" t="s">
        <v>274</v>
      </c>
      <c r="C81" s="216" t="str">
        <f>'planilha - proposta'!C25</f>
        <v>Auxiliar de Nutrição</v>
      </c>
      <c r="D81" s="217"/>
      <c r="E81" s="217"/>
      <c r="F81" s="217"/>
      <c r="G81" s="217"/>
      <c r="H81" s="145"/>
      <c r="I81" s="145"/>
      <c r="J81" s="145"/>
      <c r="K81" s="145"/>
      <c r="L81" s="145"/>
      <c r="M81" s="146"/>
    </row>
    <row r="82" spans="1:13" s="61" customFormat="1" ht="20.25" customHeight="1" x14ac:dyDescent="0.25">
      <c r="A82" s="62">
        <v>2</v>
      </c>
      <c r="B82" s="63" t="str">
        <f>'planilha - proposta'!D25</f>
        <v>Auxiliar de Nutrição - 12x36d</v>
      </c>
      <c r="C82" s="216">
        <f>VLOOKUP(B82,'planilha - proposta'!$D$17:$E$62,2,FALSE)</f>
        <v>6</v>
      </c>
      <c r="D82" s="217"/>
      <c r="E82" s="217"/>
      <c r="F82" s="217"/>
      <c r="G82" s="217"/>
      <c r="H82" s="145"/>
      <c r="I82" s="145"/>
      <c r="J82" s="145"/>
      <c r="K82" s="145"/>
      <c r="L82" s="145"/>
      <c r="M82" s="146"/>
    </row>
    <row r="83" spans="1:13" s="61" customFormat="1" ht="20.25" customHeight="1" x14ac:dyDescent="0.25">
      <c r="A83" s="62">
        <v>3</v>
      </c>
      <c r="B83" s="63" t="str">
        <f>'planilha - proposta'!D26</f>
        <v>Auxiliar de Nutrição - 12x36n</v>
      </c>
      <c r="C83" s="216">
        <f>VLOOKUP(B83,'planilha - proposta'!$D$17:$E$62,2,FALSE)</f>
        <v>2</v>
      </c>
      <c r="D83" s="217"/>
      <c r="E83" s="217"/>
      <c r="F83" s="217"/>
      <c r="G83" s="217"/>
      <c r="H83" s="145"/>
      <c r="I83" s="145"/>
      <c r="J83" s="145"/>
      <c r="K83" s="145"/>
      <c r="L83" s="145"/>
      <c r="M83" s="146"/>
    </row>
    <row r="84" spans="1:13" s="61" customFormat="1" ht="20.25" hidden="1" customHeight="1" x14ac:dyDescent="0.25">
      <c r="A84" s="62">
        <v>4</v>
      </c>
      <c r="B84" s="63" t="str">
        <f>'planilha - proposta'!D27</f>
        <v>Auxiliar de Nutrição - 44h</v>
      </c>
      <c r="C84" s="216">
        <f>VLOOKUP(B84,'planilha - proposta'!$D$17:$E$62,2,FALSE)</f>
        <v>0</v>
      </c>
      <c r="D84" s="217"/>
      <c r="E84" s="217"/>
      <c r="F84" s="217"/>
      <c r="G84" s="217"/>
      <c r="H84" s="145"/>
      <c r="I84" s="145"/>
      <c r="J84" s="145"/>
      <c r="K84" s="145"/>
      <c r="L84" s="145"/>
      <c r="M84" s="146"/>
    </row>
    <row r="85" spans="1:13" s="61" customFormat="1" ht="52.5" customHeight="1" x14ac:dyDescent="0.25">
      <c r="A85" s="64" t="s">
        <v>273</v>
      </c>
      <c r="B85" s="65" t="s">
        <v>275</v>
      </c>
      <c r="C85" s="218" t="s">
        <v>276</v>
      </c>
      <c r="D85" s="218" t="s">
        <v>277</v>
      </c>
      <c r="E85" s="218" t="s">
        <v>278</v>
      </c>
      <c r="F85" s="218" t="s">
        <v>303</v>
      </c>
      <c r="G85" s="223" t="s">
        <v>280</v>
      </c>
      <c r="H85" s="65" t="s">
        <v>304</v>
      </c>
      <c r="I85" s="66" t="s">
        <v>305</v>
      </c>
      <c r="J85" s="66" t="s">
        <v>318</v>
      </c>
      <c r="K85" s="65" t="s">
        <v>284</v>
      </c>
      <c r="L85" s="65" t="s">
        <v>285</v>
      </c>
      <c r="M85" s="66" t="s">
        <v>286</v>
      </c>
    </row>
    <row r="86" spans="1:13" s="61" customFormat="1" ht="20.25" hidden="1" customHeight="1" x14ac:dyDescent="0.25">
      <c r="A86" s="67"/>
      <c r="B86" s="68"/>
      <c r="C86" s="69"/>
      <c r="D86" s="69"/>
      <c r="E86" s="222"/>
      <c r="F86" s="222"/>
      <c r="G86" s="68"/>
      <c r="H86" s="70"/>
      <c r="I86" s="71">
        <f t="shared" ref="I86:I92" si="19">SUM($C$82:$M$84)</f>
        <v>8</v>
      </c>
      <c r="J86" s="71" t="str">
        <f t="shared" ref="J86:J101" si="20">IF(B86="","sem descrição",IF($C$82&gt;=$C$83,IF($C$84&gt;0,$C$82/2+$C$84,$C$82/2),IF($C$84&gt;0,$C$83/5+$C$84,$C$84)))</f>
        <v>sem descrição</v>
      </c>
      <c r="K86" s="69">
        <f>IF(C86="mensal",IF(F86&gt;0,F86*H86,IF(D86="descartável",((SUM($C$82:$C$83)/2)+$C$84)*E86*H86,IF(D86="pessoal",E86*H86*I86,E86*H86*J86))),0)+IF(C86="trimestral",IF(F86&gt;0,F86*H86/3,IF(D86="descartável",(((SUM($C$82:$C$83)/2)+$C$84)*E86*H86)/3,IF(D86="pessoal",(E86*H86*I86)/3,(E86*H86*J86)/3))),0)+IF(C86="semestral",IF(F86&gt;0,F86*H86/6,IF(D86="descartável",(((SUM($C$82:$C$83)/2)+$C$84)*E86*H86)/6,IF(D86="pessoal",(E86*H86*I86)/6,(E86*H86*J86)/6))),0)+IF(C86="anual",IF(F86&gt;0,F86*H86/12,IF(D86="descartável",(((SUM($C$82:$C$83)/2)+$C$84)*E86*H86)/12,IF(D86="pessoal",(E86*H86*I86)/12,(E86*H86*J86)/12))),0)</f>
        <v>0</v>
      </c>
      <c r="L86" s="69">
        <f>IFERROR(K86*12, 0)</f>
        <v>0</v>
      </c>
      <c r="M86" s="69">
        <f>IFERROR(K86*60,0)</f>
        <v>0</v>
      </c>
    </row>
    <row r="87" spans="1:13" s="61" customFormat="1" ht="20.25" customHeight="1" x14ac:dyDescent="0.25">
      <c r="A87" s="67" t="s">
        <v>108</v>
      </c>
      <c r="B87" s="68" t="s">
        <v>294</v>
      </c>
      <c r="C87" s="69" t="s">
        <v>288</v>
      </c>
      <c r="D87" s="69" t="s">
        <v>289</v>
      </c>
      <c r="E87" s="222">
        <v>90</v>
      </c>
      <c r="F87" s="222">
        <v>0</v>
      </c>
      <c r="G87" s="68" t="s">
        <v>290</v>
      </c>
      <c r="H87" s="70">
        <f>VLOOKUP(B87,custoEPI!$B$6:$E$29,4,FALSE)</f>
        <v>0</v>
      </c>
      <c r="I87" s="71">
        <f t="shared" si="19"/>
        <v>8</v>
      </c>
      <c r="J87" s="71">
        <f t="shared" si="20"/>
        <v>3</v>
      </c>
      <c r="K87" s="69">
        <f t="shared" ref="K87:K92" si="21">IF(C87="mensal",IF(F87&gt;0,F87*H87,IF(D87="descartável",((SUM($C$82:$C$83)/2)+$C$84)*E87*H87,IF(D87="pessoal",E87*H87*I87,E87*H87*J87))),0)+IF(C87="trimestral",IF(F87&gt;0,F87*H87/3,IF(D87="descartável",(((SUM($C$82:$C$83)/2)+$C$84)*E87*H87)/3,IF(D87="pessoal",(E87*H87*I87)/3,(E87*H87*J87)/3))),0)+IF(C87="semestral",IF(F87&gt;0,F87*H87/6,IF(D87="descartável",(((SUM($C$82:$C$83)/2)+$C$84)*E87*H87)/6,IF(D87="pessoal",(E87*H87*I87)/6,(E87*H87*J87)/6))),0)+IF(C87="anual",IF(F87&gt;0,F87*H87/12,IF(D87="descartável",(((SUM($C$82:$C$83)/2)+$C$84)*E87*H87)/12,IF(D87="pessoal",(E87*H87*I87)/12,(E87*H87*J87)/12))),0)</f>
        <v>0</v>
      </c>
      <c r="L87" s="69">
        <f t="shared" ref="L87:L102" si="22">IFERROR(K87*12, 0)</f>
        <v>0</v>
      </c>
      <c r="M87" s="69">
        <f t="shared" ref="M87:M102" si="23">IFERROR(K87*60,0)</f>
        <v>0</v>
      </c>
    </row>
    <row r="88" spans="1:13" s="61" customFormat="1" ht="20.25" customHeight="1" x14ac:dyDescent="0.25">
      <c r="A88" s="67" t="s">
        <v>110</v>
      </c>
      <c r="B88" s="68" t="s">
        <v>287</v>
      </c>
      <c r="C88" s="69" t="s">
        <v>288</v>
      </c>
      <c r="D88" s="69" t="s">
        <v>289</v>
      </c>
      <c r="E88" s="222">
        <f>3*30</f>
        <v>90</v>
      </c>
      <c r="F88" s="222">
        <v>0</v>
      </c>
      <c r="G88" s="68" t="s">
        <v>290</v>
      </c>
      <c r="H88" s="70">
        <f>VLOOKUP(B88,custoEPI!$B$6:$E$29,4,FALSE)</f>
        <v>0</v>
      </c>
      <c r="I88" s="71">
        <f t="shared" si="19"/>
        <v>8</v>
      </c>
      <c r="J88" s="71">
        <f t="shared" si="20"/>
        <v>3</v>
      </c>
      <c r="K88" s="69">
        <f t="shared" si="21"/>
        <v>0</v>
      </c>
      <c r="L88" s="69">
        <f t="shared" si="22"/>
        <v>0</v>
      </c>
      <c r="M88" s="69">
        <f t="shared" si="23"/>
        <v>0</v>
      </c>
    </row>
    <row r="89" spans="1:13" s="61" customFormat="1" ht="20.25" customHeight="1" x14ac:dyDescent="0.25">
      <c r="A89" s="67" t="s">
        <v>111</v>
      </c>
      <c r="B89" s="68" t="s">
        <v>313</v>
      </c>
      <c r="C89" s="69" t="s">
        <v>288</v>
      </c>
      <c r="D89" s="69" t="s">
        <v>289</v>
      </c>
      <c r="E89" s="222">
        <v>48</v>
      </c>
      <c r="F89" s="222">
        <v>0</v>
      </c>
      <c r="G89" s="68" t="s">
        <v>290</v>
      </c>
      <c r="H89" s="70">
        <f>VLOOKUP(B89,custoEPI!$B$6:$E$29,4,FALSE)</f>
        <v>0</v>
      </c>
      <c r="I89" s="71">
        <f t="shared" si="19"/>
        <v>8</v>
      </c>
      <c r="J89" s="71">
        <f t="shared" si="20"/>
        <v>3</v>
      </c>
      <c r="K89" s="69">
        <f t="shared" si="21"/>
        <v>0</v>
      </c>
      <c r="L89" s="69">
        <f t="shared" si="22"/>
        <v>0</v>
      </c>
      <c r="M89" s="69">
        <f t="shared" si="23"/>
        <v>0</v>
      </c>
    </row>
    <row r="90" spans="1:13" s="61" customFormat="1" ht="20.25" customHeight="1" x14ac:dyDescent="0.25">
      <c r="A90" s="67" t="s">
        <v>113</v>
      </c>
      <c r="B90" s="68" t="s">
        <v>319</v>
      </c>
      <c r="C90" s="69" t="s">
        <v>288</v>
      </c>
      <c r="D90" s="69" t="s">
        <v>289</v>
      </c>
      <c r="E90" s="222">
        <f>(100*12)/8</f>
        <v>150</v>
      </c>
      <c r="F90" s="222">
        <v>0</v>
      </c>
      <c r="G90" s="68" t="s">
        <v>290</v>
      </c>
      <c r="H90" s="70">
        <f>VLOOKUP(B90,custoEPI!$B$6:$E$29,4,FALSE)</f>
        <v>0</v>
      </c>
      <c r="I90" s="71">
        <f t="shared" si="19"/>
        <v>8</v>
      </c>
      <c r="J90" s="71">
        <f t="shared" si="20"/>
        <v>3</v>
      </c>
      <c r="K90" s="69">
        <f t="shared" si="21"/>
        <v>0</v>
      </c>
      <c r="L90" s="69">
        <f t="shared" si="22"/>
        <v>0</v>
      </c>
      <c r="M90" s="69">
        <f t="shared" si="23"/>
        <v>0</v>
      </c>
    </row>
    <row r="91" spans="1:13" s="61" customFormat="1" ht="20.25" customHeight="1" x14ac:dyDescent="0.25">
      <c r="A91" s="67" t="s">
        <v>114</v>
      </c>
      <c r="B91" s="68" t="s">
        <v>299</v>
      </c>
      <c r="C91" s="69" t="s">
        <v>300</v>
      </c>
      <c r="D91" s="69" t="s">
        <v>292</v>
      </c>
      <c r="E91" s="222">
        <v>2</v>
      </c>
      <c r="F91" s="222">
        <v>0</v>
      </c>
      <c r="G91" s="68" t="s">
        <v>290</v>
      </c>
      <c r="H91" s="70">
        <f>VLOOKUP(B91,custoEPI!$B$6:$E$29,4,FALSE)</f>
        <v>0</v>
      </c>
      <c r="I91" s="71">
        <f t="shared" si="19"/>
        <v>8</v>
      </c>
      <c r="J91" s="71">
        <f t="shared" si="20"/>
        <v>3</v>
      </c>
      <c r="K91" s="69">
        <f t="shared" si="21"/>
        <v>0</v>
      </c>
      <c r="L91" s="69">
        <f t="shared" si="22"/>
        <v>0</v>
      </c>
      <c r="M91" s="69">
        <f t="shared" si="23"/>
        <v>0</v>
      </c>
    </row>
    <row r="92" spans="1:13" s="61" customFormat="1" ht="20.25" customHeight="1" x14ac:dyDescent="0.25">
      <c r="A92" s="67" t="s">
        <v>115</v>
      </c>
      <c r="B92" s="68" t="s">
        <v>295</v>
      </c>
      <c r="C92" s="69" t="s">
        <v>296</v>
      </c>
      <c r="D92" s="69" t="s">
        <v>292</v>
      </c>
      <c r="E92" s="222">
        <v>1</v>
      </c>
      <c r="F92" s="222">
        <v>0</v>
      </c>
      <c r="G92" s="68" t="s">
        <v>290</v>
      </c>
      <c r="H92" s="70">
        <f>VLOOKUP(B92,custoEPI!$B$6:$E$29,4,FALSE)</f>
        <v>0</v>
      </c>
      <c r="I92" s="71">
        <f t="shared" si="19"/>
        <v>8</v>
      </c>
      <c r="J92" s="71">
        <f t="shared" si="20"/>
        <v>3</v>
      </c>
      <c r="K92" s="69">
        <f t="shared" si="21"/>
        <v>0</v>
      </c>
      <c r="L92" s="69">
        <f t="shared" si="22"/>
        <v>0</v>
      </c>
      <c r="M92" s="69">
        <f t="shared" si="23"/>
        <v>0</v>
      </c>
    </row>
    <row r="93" spans="1:13" s="61" customFormat="1" ht="20.25" hidden="1" customHeight="1" x14ac:dyDescent="0.25">
      <c r="A93" s="67" t="s">
        <v>118</v>
      </c>
      <c r="B93" s="68"/>
      <c r="C93" s="69"/>
      <c r="D93" s="69"/>
      <c r="E93" s="222"/>
      <c r="F93" s="222"/>
      <c r="G93" s="68"/>
      <c r="H93" s="70" t="e">
        <f>VLOOKUP(B93,custoEPI!$B$6:$E$29,4,FALSE)</f>
        <v>#N/A</v>
      </c>
      <c r="I93" s="71"/>
      <c r="J93" s="71" t="str">
        <f t="shared" si="20"/>
        <v>sem descrição</v>
      </c>
      <c r="K93" s="69" t="str">
        <f t="shared" ref="K93:K101" si="24">IF(C93="mensal",J93*H93*E93,IF(C93="trimestral",(J93*H93*E93)/3,IF(C93="semestral",(J93*H93*E93)/6,IF(C93="anual",(J93*H93*E93/12),"informar entrega"))))</f>
        <v>informar entrega</v>
      </c>
      <c r="L93" s="69">
        <f t="shared" si="22"/>
        <v>0</v>
      </c>
      <c r="M93" s="69">
        <f t="shared" si="23"/>
        <v>0</v>
      </c>
    </row>
    <row r="94" spans="1:13" s="61" customFormat="1" ht="20.25" hidden="1" customHeight="1" x14ac:dyDescent="0.25">
      <c r="A94" s="67" t="s">
        <v>121</v>
      </c>
      <c r="B94" s="68"/>
      <c r="C94" s="69"/>
      <c r="D94" s="69"/>
      <c r="E94" s="222"/>
      <c r="F94" s="222"/>
      <c r="G94" s="68"/>
      <c r="H94" s="70" t="e">
        <f>VLOOKUP(B94,custoEPI!$B$6:$E$29,4,FALSE)</f>
        <v>#N/A</v>
      </c>
      <c r="I94" s="71"/>
      <c r="J94" s="71" t="str">
        <f t="shared" si="20"/>
        <v>sem descrição</v>
      </c>
      <c r="K94" s="69" t="str">
        <f t="shared" si="24"/>
        <v>informar entrega</v>
      </c>
      <c r="L94" s="69">
        <f t="shared" si="22"/>
        <v>0</v>
      </c>
      <c r="M94" s="69">
        <f t="shared" si="23"/>
        <v>0</v>
      </c>
    </row>
    <row r="95" spans="1:13" s="61" customFormat="1" ht="20.25" hidden="1" customHeight="1" x14ac:dyDescent="0.25">
      <c r="A95" s="67" t="s">
        <v>125</v>
      </c>
      <c r="B95" s="68"/>
      <c r="C95" s="69"/>
      <c r="D95" s="69"/>
      <c r="E95" s="222"/>
      <c r="F95" s="222"/>
      <c r="G95" s="68"/>
      <c r="H95" s="70"/>
      <c r="I95" s="71"/>
      <c r="J95" s="71" t="str">
        <f t="shared" si="20"/>
        <v>sem descrição</v>
      </c>
      <c r="K95" s="69" t="str">
        <f t="shared" si="24"/>
        <v>informar entrega</v>
      </c>
      <c r="L95" s="69">
        <f t="shared" si="22"/>
        <v>0</v>
      </c>
      <c r="M95" s="69">
        <f t="shared" si="23"/>
        <v>0</v>
      </c>
    </row>
    <row r="96" spans="1:13" s="61" customFormat="1" ht="20.25" hidden="1" customHeight="1" x14ac:dyDescent="0.25">
      <c r="A96" s="67" t="s">
        <v>127</v>
      </c>
      <c r="B96" s="68"/>
      <c r="C96" s="69"/>
      <c r="D96" s="69"/>
      <c r="E96" s="222"/>
      <c r="F96" s="222"/>
      <c r="G96" s="68"/>
      <c r="H96" s="70"/>
      <c r="I96" s="70"/>
      <c r="J96" s="71" t="str">
        <f t="shared" si="20"/>
        <v>sem descrição</v>
      </c>
      <c r="K96" s="69" t="str">
        <f t="shared" si="24"/>
        <v>informar entrega</v>
      </c>
      <c r="L96" s="69">
        <f t="shared" si="22"/>
        <v>0</v>
      </c>
      <c r="M96" s="69">
        <f t="shared" si="23"/>
        <v>0</v>
      </c>
    </row>
    <row r="97" spans="1:13" s="61" customFormat="1" ht="20.25" hidden="1" customHeight="1" x14ac:dyDescent="0.25">
      <c r="A97" s="67" t="s">
        <v>129</v>
      </c>
      <c r="B97" s="68"/>
      <c r="C97" s="69"/>
      <c r="D97" s="69"/>
      <c r="E97" s="222"/>
      <c r="F97" s="222"/>
      <c r="G97" s="68"/>
      <c r="H97" s="70"/>
      <c r="I97" s="70"/>
      <c r="J97" s="71" t="str">
        <f t="shared" si="20"/>
        <v>sem descrição</v>
      </c>
      <c r="K97" s="69" t="str">
        <f t="shared" si="24"/>
        <v>informar entrega</v>
      </c>
      <c r="L97" s="69">
        <f t="shared" si="22"/>
        <v>0</v>
      </c>
      <c r="M97" s="69">
        <f t="shared" si="23"/>
        <v>0</v>
      </c>
    </row>
    <row r="98" spans="1:13" s="61" customFormat="1" ht="20.25" hidden="1" customHeight="1" x14ac:dyDescent="0.25">
      <c r="A98" s="67" t="s">
        <v>131</v>
      </c>
      <c r="B98" s="68"/>
      <c r="C98" s="69"/>
      <c r="D98" s="69"/>
      <c r="E98" s="222"/>
      <c r="F98" s="222"/>
      <c r="G98" s="68"/>
      <c r="H98" s="70"/>
      <c r="I98" s="70"/>
      <c r="J98" s="71" t="str">
        <f t="shared" si="20"/>
        <v>sem descrição</v>
      </c>
      <c r="K98" s="69" t="str">
        <f t="shared" si="24"/>
        <v>informar entrega</v>
      </c>
      <c r="L98" s="69">
        <f t="shared" si="22"/>
        <v>0</v>
      </c>
      <c r="M98" s="69">
        <f t="shared" si="23"/>
        <v>0</v>
      </c>
    </row>
    <row r="99" spans="1:13" s="61" customFormat="1" ht="20.25" hidden="1" customHeight="1" x14ac:dyDescent="0.25">
      <c r="A99" s="67" t="s">
        <v>188</v>
      </c>
      <c r="B99" s="68"/>
      <c r="C99" s="69"/>
      <c r="D99" s="69"/>
      <c r="E99" s="222"/>
      <c r="F99" s="222"/>
      <c r="G99" s="68"/>
      <c r="H99" s="70"/>
      <c r="I99" s="70"/>
      <c r="J99" s="71" t="str">
        <f t="shared" si="20"/>
        <v>sem descrição</v>
      </c>
      <c r="K99" s="69" t="str">
        <f t="shared" si="24"/>
        <v>informar entrega</v>
      </c>
      <c r="L99" s="69">
        <f t="shared" si="22"/>
        <v>0</v>
      </c>
      <c r="M99" s="69">
        <f t="shared" si="23"/>
        <v>0</v>
      </c>
    </row>
    <row r="100" spans="1:13" s="61" customFormat="1" ht="20.25" hidden="1" customHeight="1" x14ac:dyDescent="0.25">
      <c r="A100" s="67" t="s">
        <v>192</v>
      </c>
      <c r="B100" s="68"/>
      <c r="C100" s="69"/>
      <c r="D100" s="69"/>
      <c r="E100" s="222"/>
      <c r="F100" s="222"/>
      <c r="G100" s="68"/>
      <c r="H100" s="70"/>
      <c r="I100" s="70"/>
      <c r="J100" s="71" t="str">
        <f t="shared" si="20"/>
        <v>sem descrição</v>
      </c>
      <c r="K100" s="69" t="str">
        <f t="shared" si="24"/>
        <v>informar entrega</v>
      </c>
      <c r="L100" s="69">
        <f t="shared" si="22"/>
        <v>0</v>
      </c>
      <c r="M100" s="69">
        <f t="shared" si="23"/>
        <v>0</v>
      </c>
    </row>
    <row r="101" spans="1:13" s="61" customFormat="1" ht="20.25" hidden="1" customHeight="1" x14ac:dyDescent="0.25">
      <c r="A101" s="67" t="s">
        <v>195</v>
      </c>
      <c r="B101" s="68"/>
      <c r="C101" s="69"/>
      <c r="D101" s="69"/>
      <c r="E101" s="222"/>
      <c r="F101" s="222"/>
      <c r="G101" s="68"/>
      <c r="H101" s="70"/>
      <c r="I101" s="70"/>
      <c r="J101" s="71" t="str">
        <f t="shared" si="20"/>
        <v>sem descrição</v>
      </c>
      <c r="K101" s="69" t="str">
        <f t="shared" si="24"/>
        <v>informar entrega</v>
      </c>
      <c r="L101" s="69">
        <f t="shared" si="22"/>
        <v>0</v>
      </c>
      <c r="M101" s="69">
        <f t="shared" si="23"/>
        <v>0</v>
      </c>
    </row>
    <row r="102" spans="1:13" s="61" customFormat="1" ht="20.25" hidden="1" customHeight="1" x14ac:dyDescent="0.25">
      <c r="A102" s="67" t="s">
        <v>199</v>
      </c>
      <c r="B102" s="68"/>
      <c r="C102" s="69"/>
      <c r="D102" s="69"/>
      <c r="E102" s="222"/>
      <c r="F102" s="222"/>
      <c r="G102" s="68"/>
      <c r="H102" s="70"/>
      <c r="I102" s="70"/>
      <c r="J102" s="71" t="str">
        <f>IF(B102="","sem descrição",$C$84)</f>
        <v>sem descrição</v>
      </c>
      <c r="K102" s="69" t="str">
        <f>IF(C102="mensal",J102*H102*E102,IF(C102="trimestral",(J102*H102*E102)/3,IF(C102="semestral",(J102*H102*E102)/6,IF(C102="anual",(J102*H102*E102/12),"informar período"))))</f>
        <v>informar período</v>
      </c>
      <c r="L102" s="69">
        <f t="shared" si="22"/>
        <v>0</v>
      </c>
      <c r="M102" s="69">
        <f t="shared" si="23"/>
        <v>0</v>
      </c>
    </row>
    <row r="103" spans="1:13" s="61" customFormat="1" ht="20.25" customHeight="1" x14ac:dyDescent="0.25">
      <c r="A103" s="152" t="s">
        <v>308</v>
      </c>
      <c r="B103" s="147"/>
      <c r="C103" s="147"/>
      <c r="D103" s="147"/>
      <c r="E103" s="147"/>
      <c r="F103" s="147"/>
      <c r="G103" s="147"/>
      <c r="H103" s="147"/>
      <c r="I103" s="139"/>
      <c r="J103" s="155"/>
      <c r="K103" s="156">
        <f>SUM(K86:K102)</f>
        <v>0</v>
      </c>
      <c r="L103" s="157">
        <f>K103*12</f>
        <v>0</v>
      </c>
      <c r="M103" s="158">
        <f>K103*60</f>
        <v>0</v>
      </c>
    </row>
    <row r="104" spans="1:13" s="61" customFormat="1" ht="20.25" customHeight="1" x14ac:dyDescent="0.25">
      <c r="A104" s="152" t="s">
        <v>302</v>
      </c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59">
        <f>K103/SUM(C82:M84)</f>
        <v>0</v>
      </c>
    </row>
    <row r="105" spans="1:13" s="61" customFormat="1" ht="20.25" customHeight="1" x14ac:dyDescent="0.25">
      <c r="A105" s="235" t="s">
        <v>273</v>
      </c>
      <c r="B105" s="143" t="s">
        <v>19</v>
      </c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4"/>
    </row>
    <row r="106" spans="1:13" s="61" customFormat="1" ht="20.25" customHeight="1" x14ac:dyDescent="0.25">
      <c r="A106" s="62">
        <v>1</v>
      </c>
      <c r="B106" s="63" t="s">
        <v>274</v>
      </c>
      <c r="C106" s="216" t="str">
        <f>'planilha - proposta'!C28</f>
        <v>Açougueiro</v>
      </c>
      <c r="D106" s="217"/>
      <c r="E106" s="217"/>
      <c r="F106" s="217"/>
      <c r="G106" s="217"/>
      <c r="H106" s="145"/>
      <c r="I106" s="145"/>
      <c r="J106" s="145"/>
      <c r="K106" s="145"/>
      <c r="L106" s="145"/>
      <c r="M106" s="146"/>
    </row>
    <row r="107" spans="1:13" s="61" customFormat="1" ht="20.25" hidden="1" customHeight="1" x14ac:dyDescent="0.25">
      <c r="A107" s="62">
        <v>2</v>
      </c>
      <c r="B107" s="63" t="str">
        <f>'planilha - proposta'!D28</f>
        <v>Açougueiro - 12x36d</v>
      </c>
      <c r="C107" s="216">
        <f>VLOOKUP(B107,'planilha - proposta'!$D$17:$E$62,2,FALSE)</f>
        <v>0</v>
      </c>
      <c r="D107" s="217"/>
      <c r="E107" s="217"/>
      <c r="F107" s="217"/>
      <c r="G107" s="217"/>
      <c r="H107" s="145"/>
      <c r="I107" s="145"/>
      <c r="J107" s="145"/>
      <c r="K107" s="145"/>
      <c r="L107" s="145"/>
      <c r="M107" s="146"/>
    </row>
    <row r="108" spans="1:13" s="61" customFormat="1" ht="20.25" hidden="1" customHeight="1" x14ac:dyDescent="0.25">
      <c r="A108" s="62"/>
      <c r="B108" s="63"/>
      <c r="C108" s="216">
        <v>0</v>
      </c>
      <c r="D108" s="217"/>
      <c r="E108" s="217"/>
      <c r="F108" s="217"/>
      <c r="G108" s="217"/>
      <c r="H108" s="145"/>
      <c r="I108" s="145"/>
      <c r="J108" s="145"/>
      <c r="K108" s="145"/>
      <c r="L108" s="145"/>
      <c r="M108" s="146"/>
    </row>
    <row r="109" spans="1:13" s="61" customFormat="1" ht="20.25" customHeight="1" x14ac:dyDescent="0.25">
      <c r="A109" s="62">
        <v>3</v>
      </c>
      <c r="B109" s="63" t="str">
        <f>'planilha - proposta'!D29</f>
        <v>Açougueiro - 44h</v>
      </c>
      <c r="C109" s="216">
        <f>VLOOKUP(B109,'planilha - proposta'!$D$17:$E$62,2,FALSE)</f>
        <v>1</v>
      </c>
      <c r="D109" s="217"/>
      <c r="E109" s="217"/>
      <c r="F109" s="217"/>
      <c r="G109" s="217"/>
      <c r="H109" s="145"/>
      <c r="I109" s="145"/>
      <c r="J109" s="145"/>
      <c r="K109" s="145"/>
      <c r="L109" s="145"/>
      <c r="M109" s="146"/>
    </row>
    <row r="110" spans="1:13" s="61" customFormat="1" ht="52.5" customHeight="1" x14ac:dyDescent="0.25">
      <c r="A110" s="64" t="s">
        <v>273</v>
      </c>
      <c r="B110" s="65" t="s">
        <v>275</v>
      </c>
      <c r="C110" s="218" t="s">
        <v>276</v>
      </c>
      <c r="D110" s="218" t="s">
        <v>277</v>
      </c>
      <c r="E110" s="218" t="s">
        <v>278</v>
      </c>
      <c r="F110" s="218" t="s">
        <v>303</v>
      </c>
      <c r="G110" s="223" t="s">
        <v>280</v>
      </c>
      <c r="H110" s="65" t="s">
        <v>304</v>
      </c>
      <c r="I110" s="66" t="s">
        <v>305</v>
      </c>
      <c r="J110" s="66" t="s">
        <v>318</v>
      </c>
      <c r="K110" s="65" t="s">
        <v>284</v>
      </c>
      <c r="L110" s="65" t="s">
        <v>285</v>
      </c>
      <c r="M110" s="66" t="s">
        <v>286</v>
      </c>
    </row>
    <row r="111" spans="1:13" s="61" customFormat="1" ht="20.25" customHeight="1" x14ac:dyDescent="0.25">
      <c r="A111" s="67" t="s">
        <v>108</v>
      </c>
      <c r="B111" s="68" t="s">
        <v>391</v>
      </c>
      <c r="C111" s="69" t="s">
        <v>298</v>
      </c>
      <c r="D111" s="69" t="s">
        <v>310</v>
      </c>
      <c r="E111" s="222">
        <v>0</v>
      </c>
      <c r="F111" s="222">
        <v>2</v>
      </c>
      <c r="G111" s="68" t="s">
        <v>290</v>
      </c>
      <c r="H111" s="70">
        <f>VLOOKUP(B111,custoEPI!$B$6:$E$29,4,FALSE)</f>
        <v>0</v>
      </c>
      <c r="I111" s="71">
        <f t="shared" ref="I111:I118" si="25">SUM($C$107:$M$109)</f>
        <v>1</v>
      </c>
      <c r="J111" s="71">
        <f t="shared" ref="J111:J127" si="26">IF(B111="","sem descrição",IF($C$107&gt;=$C$108,IF($C$109&gt;0,$C$107/2+$C$109,$C$107/2),IF($C$109&gt;0,$C$108/5+$C$109,$C$109)))</f>
        <v>1</v>
      </c>
      <c r="K111" s="69">
        <f>IF(C111="mensal",IF(F111&gt;0,F111*H111,IF(D111="descartável",((SUM($C$107:$C$108)/2)+$C$109)*E111*H111,IF(D111="pessoal",E111*H111*I111,E111*H111*J111))),0)+IF(C111="trimestral",IF(F111&gt;0,F111*H111/3,IF(D111="descartável",(((SUM($C$107:$C$108)/2)+$C$109)*E111*H111)/3,IF(D111="pessoal",(E111*H111*I111)/3,(E111*H111*J111)/3))),0)+IF(C111="semestral",IF(F111&gt;0,F111*H111/6,IF(D111="descartável",(((SUM($C$107:$C$108)/2)+$C$109)*E111*H111)/6,IF(D111="pessoal",(E111*H111*I111)/6,(E111*H111*J111)/6))),0)+IF(C111="anual",IF(F111&gt;0,F111*H111/12,IF(D111="descartável",(((SUM($C$107:$C$108)/2)+$C$109)*E111*H111)/12,IF(D111="pessoal",(E111*H111*I111)/12,(E111*H111*J111)/12))),0)</f>
        <v>0</v>
      </c>
      <c r="L111" s="69">
        <f>IFERROR(K111*12, 0)</f>
        <v>0</v>
      </c>
      <c r="M111" s="69">
        <f>IFERROR(K111*60,0)</f>
        <v>0</v>
      </c>
    </row>
    <row r="112" spans="1:13" s="61" customFormat="1" ht="20.25" customHeight="1" x14ac:dyDescent="0.25">
      <c r="A112" s="67" t="s">
        <v>110</v>
      </c>
      <c r="B112" s="68" t="s">
        <v>312</v>
      </c>
      <c r="C112" s="69" t="s">
        <v>300</v>
      </c>
      <c r="D112" s="69" t="s">
        <v>292</v>
      </c>
      <c r="E112" s="222">
        <v>1</v>
      </c>
      <c r="F112" s="222">
        <v>0</v>
      </c>
      <c r="G112" s="68" t="s">
        <v>290</v>
      </c>
      <c r="H112" s="70">
        <f>VLOOKUP(B112,custoEPI!$B$6:$E$29,4,FALSE)</f>
        <v>0</v>
      </c>
      <c r="I112" s="71">
        <f t="shared" si="25"/>
        <v>1</v>
      </c>
      <c r="J112" s="71">
        <f t="shared" si="26"/>
        <v>1</v>
      </c>
      <c r="K112" s="69">
        <f t="shared" ref="K112:K118" si="27">IF(C112="mensal",IF(F112&gt;0,F112*H112,IF(D112="descartável",((SUM($C$107:$C$108)/2)+$C$109)*E112*H112,IF(D112="pessoal",E112*H112*I112,E112*H112*J112))),0)+IF(C112="trimestral",IF(F112&gt;0,F112*H112/3,IF(D112="descartável",(((SUM($C$107:$C$108)/2)+$C$109)*E112*H112)/3,IF(D112="pessoal",(E112*H112*I112)/3,(E112*H112*J112)/3))),0)+IF(C112="semestral",IF(F112&gt;0,F112*H112/6,IF(D112="descartável",(((SUM($C$107:$C$108)/2)+$C$109)*E112*H112)/6,IF(D112="pessoal",(E112*H112*I112)/6,(E112*H112*J112)/6))),0)+IF(C112="anual",IF(F112&gt;0,F112*H112/12,IF(D112="descartável",(((SUM($C$107:$C$108)/2)+$C$109)*E112*H112)/12,IF(D112="pessoal",(E112*H112*I112)/12,(E112*H112*J112)/12))),0)</f>
        <v>0</v>
      </c>
      <c r="L112" s="69">
        <f t="shared" ref="L112:L127" si="28">IFERROR(K112*12, 0)</f>
        <v>0</v>
      </c>
      <c r="M112" s="69">
        <f t="shared" ref="M112:M127" si="29">IFERROR(K112*60,0)</f>
        <v>0</v>
      </c>
    </row>
    <row r="113" spans="1:13" s="61" customFormat="1" ht="20.25" customHeight="1" x14ac:dyDescent="0.25">
      <c r="A113" s="67" t="s">
        <v>111</v>
      </c>
      <c r="B113" s="68" t="s">
        <v>294</v>
      </c>
      <c r="C113" s="69" t="s">
        <v>288</v>
      </c>
      <c r="D113" s="69" t="s">
        <v>289</v>
      </c>
      <c r="E113" s="222">
        <f>3*26</f>
        <v>78</v>
      </c>
      <c r="F113" s="222">
        <v>0</v>
      </c>
      <c r="G113" s="68" t="s">
        <v>290</v>
      </c>
      <c r="H113" s="70">
        <f>VLOOKUP(B113,custoEPI!$B$6:$E$29,4,FALSE)</f>
        <v>0</v>
      </c>
      <c r="I113" s="71">
        <f t="shared" si="25"/>
        <v>1</v>
      </c>
      <c r="J113" s="71">
        <f t="shared" si="26"/>
        <v>1</v>
      </c>
      <c r="K113" s="69">
        <f t="shared" si="27"/>
        <v>0</v>
      </c>
      <c r="L113" s="69">
        <f t="shared" si="28"/>
        <v>0</v>
      </c>
      <c r="M113" s="69">
        <f t="shared" si="29"/>
        <v>0</v>
      </c>
    </row>
    <row r="114" spans="1:13" s="61" customFormat="1" ht="20.25" customHeight="1" x14ac:dyDescent="0.25">
      <c r="A114" s="67" t="s">
        <v>113</v>
      </c>
      <c r="B114" s="68" t="s">
        <v>287</v>
      </c>
      <c r="C114" s="69" t="s">
        <v>288</v>
      </c>
      <c r="D114" s="69" t="s">
        <v>289</v>
      </c>
      <c r="E114" s="222">
        <f>3*26</f>
        <v>78</v>
      </c>
      <c r="F114" s="222">
        <v>0</v>
      </c>
      <c r="G114" s="68" t="s">
        <v>290</v>
      </c>
      <c r="H114" s="70">
        <f>VLOOKUP(B114,custoEPI!$B$6:$E$29,4,FALSE)</f>
        <v>0</v>
      </c>
      <c r="I114" s="71">
        <f t="shared" si="25"/>
        <v>1</v>
      </c>
      <c r="J114" s="71">
        <f t="shared" si="26"/>
        <v>1</v>
      </c>
      <c r="K114" s="69">
        <f t="shared" si="27"/>
        <v>0</v>
      </c>
      <c r="L114" s="69">
        <f t="shared" si="28"/>
        <v>0</v>
      </c>
      <c r="M114" s="69">
        <f t="shared" si="29"/>
        <v>0</v>
      </c>
    </row>
    <row r="115" spans="1:13" s="61" customFormat="1" ht="20.25" customHeight="1" x14ac:dyDescent="0.25">
      <c r="A115" s="67" t="s">
        <v>114</v>
      </c>
      <c r="B115" s="68" t="s">
        <v>313</v>
      </c>
      <c r="C115" s="69" t="s">
        <v>288</v>
      </c>
      <c r="D115" s="69" t="s">
        <v>289</v>
      </c>
      <c r="E115" s="222">
        <v>48</v>
      </c>
      <c r="F115" s="222">
        <v>0</v>
      </c>
      <c r="G115" s="68" t="s">
        <v>290</v>
      </c>
      <c r="H115" s="70">
        <f>VLOOKUP(B115,custoEPI!$B$6:$E$29,4,FALSE)</f>
        <v>0</v>
      </c>
      <c r="I115" s="71">
        <f t="shared" si="25"/>
        <v>1</v>
      </c>
      <c r="J115" s="71">
        <f t="shared" si="26"/>
        <v>1</v>
      </c>
      <c r="K115" s="69">
        <f t="shared" si="27"/>
        <v>0</v>
      </c>
      <c r="L115" s="69">
        <f t="shared" si="28"/>
        <v>0</v>
      </c>
      <c r="M115" s="69">
        <f t="shared" si="29"/>
        <v>0</v>
      </c>
    </row>
    <row r="116" spans="1:13" s="61" customFormat="1" ht="20.25" hidden="1" customHeight="1" x14ac:dyDescent="0.25">
      <c r="A116" s="67"/>
      <c r="B116" s="68"/>
      <c r="C116" s="69"/>
      <c r="D116" s="69"/>
      <c r="E116" s="222"/>
      <c r="F116" s="222"/>
      <c r="G116" s="68"/>
      <c r="H116" s="70" t="e">
        <f>VLOOKUP(B116,custoEPI!$B$6:$E$29,4,FALSE)</f>
        <v>#N/A</v>
      </c>
      <c r="I116" s="71">
        <f t="shared" si="25"/>
        <v>1</v>
      </c>
      <c r="J116" s="71" t="str">
        <f t="shared" si="26"/>
        <v>sem descrição</v>
      </c>
      <c r="K116" s="69">
        <f t="shared" si="27"/>
        <v>0</v>
      </c>
      <c r="L116" s="69">
        <f t="shared" si="28"/>
        <v>0</v>
      </c>
      <c r="M116" s="69">
        <f t="shared" si="29"/>
        <v>0</v>
      </c>
    </row>
    <row r="117" spans="1:13" s="61" customFormat="1" ht="20.25" hidden="1" customHeight="1" x14ac:dyDescent="0.25">
      <c r="A117" s="67"/>
      <c r="B117" s="68"/>
      <c r="C117" s="69"/>
      <c r="D117" s="69"/>
      <c r="E117" s="222"/>
      <c r="F117" s="222"/>
      <c r="G117" s="68"/>
      <c r="H117" s="70" t="e">
        <f>VLOOKUP(B117,custoEPI!$B$6:$E$29,4,FALSE)</f>
        <v>#N/A</v>
      </c>
      <c r="I117" s="71">
        <f t="shared" si="25"/>
        <v>1</v>
      </c>
      <c r="J117" s="71" t="str">
        <f t="shared" si="26"/>
        <v>sem descrição</v>
      </c>
      <c r="K117" s="69">
        <f t="shared" si="27"/>
        <v>0</v>
      </c>
      <c r="L117" s="69">
        <f t="shared" si="28"/>
        <v>0</v>
      </c>
      <c r="M117" s="69">
        <f t="shared" si="29"/>
        <v>0</v>
      </c>
    </row>
    <row r="118" spans="1:13" s="61" customFormat="1" ht="20.25" customHeight="1" x14ac:dyDescent="0.25">
      <c r="A118" s="67" t="s">
        <v>115</v>
      </c>
      <c r="B118" s="68" t="s">
        <v>307</v>
      </c>
      <c r="C118" s="69" t="s">
        <v>300</v>
      </c>
      <c r="D118" s="69" t="s">
        <v>292</v>
      </c>
      <c r="E118" s="222">
        <v>1</v>
      </c>
      <c r="F118" s="222">
        <v>0</v>
      </c>
      <c r="G118" s="68" t="s">
        <v>290</v>
      </c>
      <c r="H118" s="70">
        <f>VLOOKUP(B118,custoEPI!$B$6:$E$29,4,FALSE)</f>
        <v>0</v>
      </c>
      <c r="I118" s="71">
        <f t="shared" si="25"/>
        <v>1</v>
      </c>
      <c r="J118" s="71">
        <f t="shared" si="26"/>
        <v>1</v>
      </c>
      <c r="K118" s="69">
        <f t="shared" si="27"/>
        <v>0</v>
      </c>
      <c r="L118" s="69">
        <f t="shared" si="28"/>
        <v>0</v>
      </c>
      <c r="M118" s="69">
        <f t="shared" si="29"/>
        <v>0</v>
      </c>
    </row>
    <row r="119" spans="1:13" s="61" customFormat="1" ht="20.25" hidden="1" customHeight="1" x14ac:dyDescent="0.25">
      <c r="A119" s="67" t="s">
        <v>121</v>
      </c>
      <c r="B119" s="68"/>
      <c r="C119" s="69"/>
      <c r="D119" s="69"/>
      <c r="E119" s="222"/>
      <c r="F119" s="222"/>
      <c r="G119" s="68"/>
      <c r="H119" s="70"/>
      <c r="I119" s="71"/>
      <c r="J119" s="71" t="str">
        <f t="shared" si="26"/>
        <v>sem descrição</v>
      </c>
      <c r="K119" s="69" t="str">
        <f t="shared" ref="K119:K126" si="30">IF(C119="mensal",J119*H119*E119,IF(C119="trimestral",(J119*H119*E119)/3,IF(C119="semestral",(J119*H119*E119)/6,IF(C119="anual",(J119*H119*E119/12),"informar entrega"))))</f>
        <v>informar entrega</v>
      </c>
      <c r="L119" s="69">
        <f t="shared" si="28"/>
        <v>0</v>
      </c>
      <c r="M119" s="69">
        <f t="shared" si="29"/>
        <v>0</v>
      </c>
    </row>
    <row r="120" spans="1:13" s="61" customFormat="1" ht="20.25" hidden="1" customHeight="1" x14ac:dyDescent="0.25">
      <c r="A120" s="67" t="s">
        <v>125</v>
      </c>
      <c r="B120" s="68"/>
      <c r="C120" s="69"/>
      <c r="D120" s="69"/>
      <c r="E120" s="222"/>
      <c r="F120" s="222"/>
      <c r="G120" s="68"/>
      <c r="H120" s="70"/>
      <c r="I120" s="71"/>
      <c r="J120" s="71" t="str">
        <f t="shared" si="26"/>
        <v>sem descrição</v>
      </c>
      <c r="K120" s="69" t="str">
        <f t="shared" si="30"/>
        <v>informar entrega</v>
      </c>
      <c r="L120" s="69">
        <f t="shared" si="28"/>
        <v>0</v>
      </c>
      <c r="M120" s="69">
        <f t="shared" si="29"/>
        <v>0</v>
      </c>
    </row>
    <row r="121" spans="1:13" s="61" customFormat="1" ht="20.25" hidden="1" customHeight="1" x14ac:dyDescent="0.25">
      <c r="A121" s="67" t="s">
        <v>127</v>
      </c>
      <c r="B121" s="68"/>
      <c r="C121" s="69"/>
      <c r="D121" s="69"/>
      <c r="E121" s="222"/>
      <c r="F121" s="222"/>
      <c r="G121" s="68"/>
      <c r="H121" s="70"/>
      <c r="I121" s="70"/>
      <c r="J121" s="71" t="str">
        <f t="shared" si="26"/>
        <v>sem descrição</v>
      </c>
      <c r="K121" s="69" t="str">
        <f t="shared" si="30"/>
        <v>informar entrega</v>
      </c>
      <c r="L121" s="69">
        <f t="shared" si="28"/>
        <v>0</v>
      </c>
      <c r="M121" s="69">
        <f t="shared" si="29"/>
        <v>0</v>
      </c>
    </row>
    <row r="122" spans="1:13" s="61" customFormat="1" ht="20.25" hidden="1" customHeight="1" x14ac:dyDescent="0.25">
      <c r="A122" s="67" t="s">
        <v>129</v>
      </c>
      <c r="B122" s="68"/>
      <c r="C122" s="69"/>
      <c r="D122" s="69"/>
      <c r="E122" s="222"/>
      <c r="F122" s="222"/>
      <c r="G122" s="68"/>
      <c r="H122" s="70"/>
      <c r="I122" s="70"/>
      <c r="J122" s="71" t="str">
        <f t="shared" si="26"/>
        <v>sem descrição</v>
      </c>
      <c r="K122" s="69" t="str">
        <f t="shared" si="30"/>
        <v>informar entrega</v>
      </c>
      <c r="L122" s="69">
        <f t="shared" si="28"/>
        <v>0</v>
      </c>
      <c r="M122" s="69">
        <f t="shared" si="29"/>
        <v>0</v>
      </c>
    </row>
    <row r="123" spans="1:13" s="61" customFormat="1" ht="20.25" hidden="1" customHeight="1" x14ac:dyDescent="0.25">
      <c r="A123" s="67" t="s">
        <v>131</v>
      </c>
      <c r="B123" s="68"/>
      <c r="C123" s="69"/>
      <c r="D123" s="69"/>
      <c r="E123" s="222"/>
      <c r="F123" s="222"/>
      <c r="G123" s="68"/>
      <c r="H123" s="70"/>
      <c r="I123" s="70"/>
      <c r="J123" s="71" t="str">
        <f t="shared" si="26"/>
        <v>sem descrição</v>
      </c>
      <c r="K123" s="69" t="str">
        <f t="shared" si="30"/>
        <v>informar entrega</v>
      </c>
      <c r="L123" s="69">
        <f t="shared" si="28"/>
        <v>0</v>
      </c>
      <c r="M123" s="69">
        <f t="shared" si="29"/>
        <v>0</v>
      </c>
    </row>
    <row r="124" spans="1:13" s="61" customFormat="1" ht="20.25" hidden="1" customHeight="1" x14ac:dyDescent="0.25">
      <c r="A124" s="67" t="s">
        <v>188</v>
      </c>
      <c r="B124" s="68"/>
      <c r="C124" s="69"/>
      <c r="D124" s="69"/>
      <c r="E124" s="222"/>
      <c r="F124" s="222"/>
      <c r="G124" s="68"/>
      <c r="H124" s="70"/>
      <c r="I124" s="70"/>
      <c r="J124" s="71" t="str">
        <f t="shared" si="26"/>
        <v>sem descrição</v>
      </c>
      <c r="K124" s="69" t="str">
        <f t="shared" si="30"/>
        <v>informar entrega</v>
      </c>
      <c r="L124" s="69">
        <f t="shared" si="28"/>
        <v>0</v>
      </c>
      <c r="M124" s="69">
        <f t="shared" si="29"/>
        <v>0</v>
      </c>
    </row>
    <row r="125" spans="1:13" s="61" customFormat="1" ht="20.25" hidden="1" customHeight="1" x14ac:dyDescent="0.25">
      <c r="A125" s="67" t="s">
        <v>192</v>
      </c>
      <c r="B125" s="68"/>
      <c r="C125" s="69"/>
      <c r="D125" s="69"/>
      <c r="E125" s="222"/>
      <c r="F125" s="222"/>
      <c r="G125" s="68"/>
      <c r="H125" s="70"/>
      <c r="I125" s="70"/>
      <c r="J125" s="71" t="str">
        <f t="shared" si="26"/>
        <v>sem descrição</v>
      </c>
      <c r="K125" s="69" t="str">
        <f t="shared" si="30"/>
        <v>informar entrega</v>
      </c>
      <c r="L125" s="69">
        <f t="shared" si="28"/>
        <v>0</v>
      </c>
      <c r="M125" s="69">
        <f t="shared" si="29"/>
        <v>0</v>
      </c>
    </row>
    <row r="126" spans="1:13" s="61" customFormat="1" ht="20.25" hidden="1" customHeight="1" x14ac:dyDescent="0.25">
      <c r="A126" s="67" t="s">
        <v>195</v>
      </c>
      <c r="B126" s="68"/>
      <c r="C126" s="69"/>
      <c r="D126" s="69"/>
      <c r="E126" s="222"/>
      <c r="F126" s="222"/>
      <c r="G126" s="68"/>
      <c r="H126" s="70"/>
      <c r="I126" s="70"/>
      <c r="J126" s="71" t="str">
        <f t="shared" si="26"/>
        <v>sem descrição</v>
      </c>
      <c r="K126" s="69" t="str">
        <f t="shared" si="30"/>
        <v>informar entrega</v>
      </c>
      <c r="L126" s="69">
        <f t="shared" si="28"/>
        <v>0</v>
      </c>
      <c r="M126" s="69">
        <f t="shared" si="29"/>
        <v>0</v>
      </c>
    </row>
    <row r="127" spans="1:13" s="61" customFormat="1" ht="20.25" hidden="1" customHeight="1" x14ac:dyDescent="0.25">
      <c r="A127" s="67" t="s">
        <v>199</v>
      </c>
      <c r="B127" s="68"/>
      <c r="C127" s="69"/>
      <c r="D127" s="69"/>
      <c r="E127" s="222"/>
      <c r="F127" s="222"/>
      <c r="G127" s="68"/>
      <c r="H127" s="70"/>
      <c r="I127" s="70"/>
      <c r="J127" s="71" t="str">
        <f t="shared" si="26"/>
        <v>sem descrição</v>
      </c>
      <c r="K127" s="69" t="str">
        <f>IF(C127="mensal",J127*H127*E127,IF(C127="trimestral",(J127*H127*E127)/3,IF(C127="semestral",(J127*H127*E127)/6,IF(C127="anual",(J127*H127*E127/12),"informar período"))))</f>
        <v>informar período</v>
      </c>
      <c r="L127" s="69">
        <f t="shared" si="28"/>
        <v>0</v>
      </c>
      <c r="M127" s="69">
        <f t="shared" si="29"/>
        <v>0</v>
      </c>
    </row>
    <row r="128" spans="1:13" s="61" customFormat="1" ht="20.25" customHeight="1" x14ac:dyDescent="0.25">
      <c r="A128" s="152" t="s">
        <v>308</v>
      </c>
      <c r="B128" s="147"/>
      <c r="C128" s="147"/>
      <c r="D128" s="147"/>
      <c r="E128" s="147"/>
      <c r="F128" s="147"/>
      <c r="G128" s="147"/>
      <c r="H128" s="147"/>
      <c r="I128" s="139"/>
      <c r="J128" s="155"/>
      <c r="K128" s="156">
        <f>SUM(K111:K127)</f>
        <v>0</v>
      </c>
      <c r="L128" s="157">
        <f>K128*12</f>
        <v>0</v>
      </c>
      <c r="M128" s="158">
        <f>K128*60</f>
        <v>0</v>
      </c>
    </row>
    <row r="129" spans="1:13" s="61" customFormat="1" ht="20.25" customHeight="1" x14ac:dyDescent="0.25">
      <c r="A129" s="152" t="s">
        <v>302</v>
      </c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59">
        <f>K128/SUM(C107:M109)</f>
        <v>0</v>
      </c>
    </row>
    <row r="130" spans="1:13" s="61" customFormat="1" ht="20.25" customHeight="1" x14ac:dyDescent="0.25">
      <c r="A130" s="235" t="s">
        <v>273</v>
      </c>
      <c r="B130" s="143" t="s">
        <v>19</v>
      </c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4"/>
    </row>
    <row r="131" spans="1:13" s="61" customFormat="1" ht="20.25" customHeight="1" x14ac:dyDescent="0.25">
      <c r="A131" s="62">
        <v>1</v>
      </c>
      <c r="B131" s="63" t="s">
        <v>274</v>
      </c>
      <c r="C131" s="216" t="str">
        <f>'planilha - proposta'!C30</f>
        <v>Camareira</v>
      </c>
      <c r="D131" s="217"/>
      <c r="E131" s="217"/>
      <c r="F131" s="217"/>
      <c r="G131" s="217"/>
      <c r="H131" s="145"/>
      <c r="I131" s="145"/>
      <c r="J131" s="145"/>
      <c r="K131" s="145"/>
      <c r="L131" s="145"/>
      <c r="M131" s="146"/>
    </row>
    <row r="132" spans="1:13" s="61" customFormat="1" ht="20.25" customHeight="1" x14ac:dyDescent="0.25">
      <c r="A132" s="62">
        <v>2</v>
      </c>
      <c r="B132" s="63" t="str">
        <f>'planilha - proposta'!D30</f>
        <v>Camareira - 12x36d</v>
      </c>
      <c r="C132" s="216">
        <f>VLOOKUP(B132,'planilha - proposta'!$D$17:$E$62,2,FALSE)</f>
        <v>10</v>
      </c>
      <c r="D132" s="217"/>
      <c r="E132" s="217"/>
      <c r="F132" s="217"/>
      <c r="G132" s="217"/>
      <c r="H132" s="145"/>
      <c r="I132" s="145"/>
      <c r="J132" s="145"/>
      <c r="K132" s="145"/>
      <c r="L132" s="145"/>
      <c r="M132" s="146"/>
    </row>
    <row r="133" spans="1:13" s="61" customFormat="1" ht="20.25" customHeight="1" x14ac:dyDescent="0.25">
      <c r="A133" s="62">
        <v>3</v>
      </c>
      <c r="B133" s="63" t="str">
        <f>'planilha - proposta'!D31</f>
        <v>Camareira - 12x36n</v>
      </c>
      <c r="C133" s="216">
        <f>VLOOKUP(B133,'planilha - proposta'!$D$17:$E$62,2,FALSE)</f>
        <v>4</v>
      </c>
      <c r="D133" s="217"/>
      <c r="E133" s="217"/>
      <c r="F133" s="217"/>
      <c r="G133" s="217"/>
      <c r="H133" s="145"/>
      <c r="I133" s="145"/>
      <c r="J133" s="145"/>
      <c r="K133" s="145"/>
      <c r="L133" s="145"/>
      <c r="M133" s="146"/>
    </row>
    <row r="134" spans="1:13" s="61" customFormat="1" ht="20.25" customHeight="1" x14ac:dyDescent="0.25">
      <c r="A134" s="62">
        <v>4</v>
      </c>
      <c r="B134" s="63" t="str">
        <f>'planilha - proposta'!D32</f>
        <v>Camareira - 44h</v>
      </c>
      <c r="C134" s="216">
        <f>VLOOKUP(B134,'planilha - proposta'!$D$17:$E$62,2,FALSE)</f>
        <v>1</v>
      </c>
      <c r="D134" s="217"/>
      <c r="E134" s="217"/>
      <c r="F134" s="217"/>
      <c r="G134" s="217"/>
      <c r="H134" s="145"/>
      <c r="I134" s="145"/>
      <c r="J134" s="145"/>
      <c r="K134" s="145"/>
      <c r="L134" s="145"/>
      <c r="M134" s="146"/>
    </row>
    <row r="135" spans="1:13" s="61" customFormat="1" ht="52.5" customHeight="1" x14ac:dyDescent="0.25">
      <c r="A135" s="64" t="s">
        <v>273</v>
      </c>
      <c r="B135" s="65" t="s">
        <v>275</v>
      </c>
      <c r="C135" s="218" t="s">
        <v>276</v>
      </c>
      <c r="D135" s="218" t="s">
        <v>277</v>
      </c>
      <c r="E135" s="218" t="s">
        <v>278</v>
      </c>
      <c r="F135" s="218" t="s">
        <v>303</v>
      </c>
      <c r="G135" s="223" t="s">
        <v>280</v>
      </c>
      <c r="H135" s="65" t="s">
        <v>304</v>
      </c>
      <c r="I135" s="66" t="s">
        <v>305</v>
      </c>
      <c r="J135" s="66" t="s">
        <v>318</v>
      </c>
      <c r="K135" s="65" t="s">
        <v>284</v>
      </c>
      <c r="L135" s="65" t="s">
        <v>285</v>
      </c>
      <c r="M135" s="66" t="s">
        <v>286</v>
      </c>
    </row>
    <row r="136" spans="1:13" s="61" customFormat="1" ht="20.25" customHeight="1" x14ac:dyDescent="0.25">
      <c r="A136" s="67" t="s">
        <v>108</v>
      </c>
      <c r="B136" s="68" t="s">
        <v>293</v>
      </c>
      <c r="C136" s="69" t="s">
        <v>288</v>
      </c>
      <c r="D136" s="69" t="s">
        <v>289</v>
      </c>
      <c r="E136" s="222">
        <v>180</v>
      </c>
      <c r="F136" s="222">
        <v>0</v>
      </c>
      <c r="G136" s="68" t="s">
        <v>290</v>
      </c>
      <c r="H136" s="70">
        <f>VLOOKUP(B136,custoEPI!$B$6:$E$29,4,FALSE)</f>
        <v>0</v>
      </c>
      <c r="I136" s="71">
        <f t="shared" ref="I136:I142" si="31">SUM($C$132:$M$134)</f>
        <v>15</v>
      </c>
      <c r="J136" s="71">
        <f t="shared" ref="J136:J152" si="32">IF(B136="","sem descrição",IF($C$132&gt;=$C$133,IF($C$134&gt;0,$C$132/2+$C$134,$C$132/2),IF($C$134&gt;0,$C$133/5+$C$134,$C$134)))</f>
        <v>6</v>
      </c>
      <c r="K136" s="69">
        <f>IF(C136="mensal",IF(F136&gt;0,F136*H136,IF(D136="descartável",((SUM($C$132:$C$133)/2)+$C$134)*E136*H136,IF(D136="pessoal",E136*H136*I136,E136*H136*J136))),0)+IF(C136="trimestral",IF(F136&gt;0,F136*H136/3,IF(D136="descartável",(((SUM($C$132:$C$133)/2)+$C$134)*E136*H136)/3,IF(D136="pessoal",(E136*H136*I136)/3,(E136*H136*J136)/3))),0)+IF(C136="semestral",IF(F136&gt;0,F136*H136/6,IF(D136="descartável",(((SUM($C$132:$C$133)/2)+$C$134)*E136*H136)/6,IF(D136="pessoal",(E136*H136*I136)/6,(E136*H136*J136)/6))),0)+IF(C136="anual",IF(F136&gt;0,F136*H136/12,IF(D136="descartável",(((SUM($C$132:$C$133)/2)+$C$134)*E136*H136)/12,IF(D136="pessoal",(E136*H136*I136)/12,(E136*H136*J136)/12))),0)</f>
        <v>0</v>
      </c>
      <c r="L136" s="69">
        <f>IFERROR(K136*12, 0)</f>
        <v>0</v>
      </c>
      <c r="M136" s="69">
        <f>IFERROR(K136*60,0)</f>
        <v>0</v>
      </c>
    </row>
    <row r="137" spans="1:13" s="61" customFormat="1" ht="20.25" customHeight="1" x14ac:dyDescent="0.25">
      <c r="A137" s="67" t="s">
        <v>110</v>
      </c>
      <c r="B137" s="68" t="s">
        <v>287</v>
      </c>
      <c r="C137" s="69" t="s">
        <v>288</v>
      </c>
      <c r="D137" s="69" t="s">
        <v>289</v>
      </c>
      <c r="E137" s="222">
        <f>3*30</f>
        <v>90</v>
      </c>
      <c r="F137" s="222">
        <v>0</v>
      </c>
      <c r="G137" s="68" t="s">
        <v>290</v>
      </c>
      <c r="H137" s="70">
        <f>VLOOKUP(B137,custoEPI!$B$6:$E$29,4,FALSE)</f>
        <v>0</v>
      </c>
      <c r="I137" s="71">
        <f t="shared" si="31"/>
        <v>15</v>
      </c>
      <c r="J137" s="71">
        <f t="shared" si="32"/>
        <v>6</v>
      </c>
      <c r="K137" s="69">
        <f t="shared" ref="K137:K140" si="33">IF(C137="mensal",IF(F137&gt;0,F137*H137,IF(D137="descartável",((SUM($C$132:$C$133)/2)+$C$134)*E137*H137,IF(D137="pessoal",E137*H137*I137,E137*H137*J137))),0)+IF(C137="trimestral",IF(F137&gt;0,F137*H137/3,IF(D137="descartável",(((SUM($C$132:$C$133)/2)+$C$134)*E137*H137)/3,IF(D137="pessoal",(E137*H137*I137)/3,(E137*H137*J137)/3))),0)+IF(C137="semestral",IF(F137&gt;0,F137*H137/6,IF(D137="descartável",(((SUM($C$132:$C$133)/2)+$C$134)*E137*H137)/6,IF(D137="pessoal",(E137*H137*I137)/6,(E137*H137*J137)/6))),0)+IF(C137="anual",IF(F137&gt;0,F137*H137/12,IF(D137="descartável",(((SUM($C$132:$C$133)/2)+$C$134)*E137*H137)/12,IF(D137="pessoal",(E137*H137*I137)/12,(E137*H137*J137)/12))),0)</f>
        <v>0</v>
      </c>
      <c r="L137" s="69">
        <f t="shared" ref="L137:L152" si="34">IFERROR(K137*12, 0)</f>
        <v>0</v>
      </c>
      <c r="M137" s="69">
        <f t="shared" ref="M137:M152" si="35">IFERROR(K137*60,0)</f>
        <v>0</v>
      </c>
    </row>
    <row r="138" spans="1:13" s="61" customFormat="1" ht="20.25" customHeight="1" x14ac:dyDescent="0.25">
      <c r="A138" s="67" t="s">
        <v>111</v>
      </c>
      <c r="B138" s="68" t="s">
        <v>294</v>
      </c>
      <c r="C138" s="69" t="s">
        <v>288</v>
      </c>
      <c r="D138" s="69" t="s">
        <v>289</v>
      </c>
      <c r="E138" s="222">
        <v>27</v>
      </c>
      <c r="F138" s="222">
        <v>0</v>
      </c>
      <c r="G138" s="68" t="s">
        <v>290</v>
      </c>
      <c r="H138" s="70">
        <f>VLOOKUP(B138,custoEPI!$B$6:$E$29,4,FALSE)</f>
        <v>0</v>
      </c>
      <c r="I138" s="71">
        <f t="shared" si="31"/>
        <v>15</v>
      </c>
      <c r="J138" s="71">
        <f t="shared" si="32"/>
        <v>6</v>
      </c>
      <c r="K138" s="69">
        <f t="shared" si="33"/>
        <v>0</v>
      </c>
      <c r="L138" s="69">
        <f t="shared" si="34"/>
        <v>0</v>
      </c>
      <c r="M138" s="69">
        <f t="shared" si="35"/>
        <v>0</v>
      </c>
    </row>
    <row r="139" spans="1:13" s="61" customFormat="1" ht="20.25" hidden="1" customHeight="1" x14ac:dyDescent="0.25">
      <c r="A139" s="67"/>
      <c r="B139" s="68"/>
      <c r="C139" s="69"/>
      <c r="D139" s="69"/>
      <c r="E139" s="222"/>
      <c r="F139" s="222"/>
      <c r="G139" s="68"/>
      <c r="H139" s="70" t="e">
        <f>VLOOKUP(B139,custoEPI!$B$6:$E$29,4,FALSE)</f>
        <v>#N/A</v>
      </c>
      <c r="I139" s="71">
        <f t="shared" si="31"/>
        <v>15</v>
      </c>
      <c r="J139" s="71" t="str">
        <f t="shared" si="32"/>
        <v>sem descrição</v>
      </c>
      <c r="K139" s="69">
        <f t="shared" si="33"/>
        <v>0</v>
      </c>
      <c r="L139" s="69">
        <f t="shared" si="34"/>
        <v>0</v>
      </c>
      <c r="M139" s="69">
        <f t="shared" si="35"/>
        <v>0</v>
      </c>
    </row>
    <row r="140" spans="1:13" s="61" customFormat="1" ht="20.25" customHeight="1" x14ac:dyDescent="0.25">
      <c r="A140" s="67" t="s">
        <v>113</v>
      </c>
      <c r="B140" s="68" t="s">
        <v>307</v>
      </c>
      <c r="C140" s="69" t="s">
        <v>300</v>
      </c>
      <c r="D140" s="69" t="s">
        <v>292</v>
      </c>
      <c r="E140" s="222">
        <v>1</v>
      </c>
      <c r="F140" s="222">
        <v>0</v>
      </c>
      <c r="G140" s="68" t="s">
        <v>290</v>
      </c>
      <c r="H140" s="70">
        <f>VLOOKUP(B140,custoEPI!$B$6:$E$29,4,FALSE)</f>
        <v>0</v>
      </c>
      <c r="I140" s="71">
        <f t="shared" si="31"/>
        <v>15</v>
      </c>
      <c r="J140" s="71">
        <f t="shared" si="32"/>
        <v>6</v>
      </c>
      <c r="K140" s="69">
        <f t="shared" si="33"/>
        <v>0</v>
      </c>
      <c r="L140" s="69">
        <f t="shared" si="34"/>
        <v>0</v>
      </c>
      <c r="M140" s="69">
        <f t="shared" si="35"/>
        <v>0</v>
      </c>
    </row>
    <row r="141" spans="1:13" s="61" customFormat="1" ht="20.25" hidden="1" customHeight="1" x14ac:dyDescent="0.25">
      <c r="A141" s="67"/>
      <c r="B141" s="68"/>
      <c r="C141" s="69"/>
      <c r="D141" s="69"/>
      <c r="E141" s="222"/>
      <c r="F141" s="222"/>
      <c r="G141" s="68"/>
      <c r="H141" s="70" t="e">
        <f>VLOOKUP(B141,custoEPI!$B$6:$E$29,4,FALSE)</f>
        <v>#N/A</v>
      </c>
      <c r="I141" s="71">
        <f t="shared" si="31"/>
        <v>15</v>
      </c>
      <c r="J141" s="71" t="str">
        <f t="shared" si="32"/>
        <v>sem descrição</v>
      </c>
      <c r="K141" s="69" t="str">
        <f t="shared" ref="K141:K151" si="36">IF(C141="mensal",J141*H141*E141,IF(C141="trimestral",(J141*H141*E141)/3,IF(C141="semestral",(J141*H141*E141)/6,IF(C141="anual",(J141*H141*E141/12),"informar entrega"))))</f>
        <v>informar entrega</v>
      </c>
      <c r="L141" s="69">
        <f t="shared" si="34"/>
        <v>0</v>
      </c>
      <c r="M141" s="69">
        <f t="shared" si="35"/>
        <v>0</v>
      </c>
    </row>
    <row r="142" spans="1:13" s="61" customFormat="1" ht="20.25" hidden="1" customHeight="1" x14ac:dyDescent="0.25">
      <c r="A142" s="67"/>
      <c r="B142" s="68"/>
      <c r="C142" s="69"/>
      <c r="D142" s="69"/>
      <c r="E142" s="222"/>
      <c r="F142" s="222"/>
      <c r="G142" s="68"/>
      <c r="H142" s="70" t="e">
        <f>VLOOKUP(B142,custoEPI!$B$6:$E$29,4,FALSE)</f>
        <v>#N/A</v>
      </c>
      <c r="I142" s="71">
        <f t="shared" si="31"/>
        <v>15</v>
      </c>
      <c r="J142" s="71" t="str">
        <f t="shared" si="32"/>
        <v>sem descrição</v>
      </c>
      <c r="K142" s="69" t="str">
        <f t="shared" si="36"/>
        <v>informar entrega</v>
      </c>
      <c r="L142" s="69">
        <f t="shared" si="34"/>
        <v>0</v>
      </c>
      <c r="M142" s="69">
        <f t="shared" si="35"/>
        <v>0</v>
      </c>
    </row>
    <row r="143" spans="1:13" s="61" customFormat="1" ht="20.25" hidden="1" customHeight="1" x14ac:dyDescent="0.25">
      <c r="A143" s="67"/>
      <c r="B143" s="68"/>
      <c r="C143" s="69"/>
      <c r="D143" s="69"/>
      <c r="E143" s="222"/>
      <c r="F143" s="222"/>
      <c r="G143" s="68" t="s">
        <v>290</v>
      </c>
      <c r="H143" s="70" t="e">
        <f>VLOOKUP(B143,custoEPI!$B$6:$E$29,4,FALSE)</f>
        <v>#N/A</v>
      </c>
      <c r="I143" s="71"/>
      <c r="J143" s="71" t="str">
        <f t="shared" si="32"/>
        <v>sem descrição</v>
      </c>
      <c r="K143" s="69" t="str">
        <f t="shared" si="36"/>
        <v>informar entrega</v>
      </c>
      <c r="L143" s="69">
        <f t="shared" si="34"/>
        <v>0</v>
      </c>
      <c r="M143" s="69">
        <f t="shared" si="35"/>
        <v>0</v>
      </c>
    </row>
    <row r="144" spans="1:13" s="61" customFormat="1" ht="20.25" hidden="1" customHeight="1" x14ac:dyDescent="0.25">
      <c r="A144" s="67" t="s">
        <v>121</v>
      </c>
      <c r="B144" s="68"/>
      <c r="C144" s="69"/>
      <c r="D144" s="69"/>
      <c r="E144" s="222"/>
      <c r="F144" s="222"/>
      <c r="G144" s="68"/>
      <c r="H144" s="70"/>
      <c r="I144" s="71"/>
      <c r="J144" s="71" t="str">
        <f t="shared" si="32"/>
        <v>sem descrição</v>
      </c>
      <c r="K144" s="69" t="str">
        <f t="shared" si="36"/>
        <v>informar entrega</v>
      </c>
      <c r="L144" s="69">
        <f t="shared" si="34"/>
        <v>0</v>
      </c>
      <c r="M144" s="69">
        <f t="shared" si="35"/>
        <v>0</v>
      </c>
    </row>
    <row r="145" spans="1:13" s="61" customFormat="1" ht="20.25" hidden="1" customHeight="1" x14ac:dyDescent="0.25">
      <c r="A145" s="67" t="s">
        <v>125</v>
      </c>
      <c r="B145" s="68"/>
      <c r="C145" s="69"/>
      <c r="D145" s="69"/>
      <c r="E145" s="222"/>
      <c r="F145" s="222"/>
      <c r="G145" s="68"/>
      <c r="H145" s="70"/>
      <c r="I145" s="71"/>
      <c r="J145" s="71" t="str">
        <f t="shared" si="32"/>
        <v>sem descrição</v>
      </c>
      <c r="K145" s="69" t="str">
        <f t="shared" si="36"/>
        <v>informar entrega</v>
      </c>
      <c r="L145" s="69">
        <f t="shared" si="34"/>
        <v>0</v>
      </c>
      <c r="M145" s="69">
        <f t="shared" si="35"/>
        <v>0</v>
      </c>
    </row>
    <row r="146" spans="1:13" s="61" customFormat="1" ht="20.25" hidden="1" customHeight="1" x14ac:dyDescent="0.25">
      <c r="A146" s="67" t="s">
        <v>127</v>
      </c>
      <c r="B146" s="68"/>
      <c r="C146" s="69"/>
      <c r="D146" s="69"/>
      <c r="E146" s="222"/>
      <c r="F146" s="222"/>
      <c r="G146" s="68"/>
      <c r="H146" s="70"/>
      <c r="I146" s="70"/>
      <c r="J146" s="71" t="str">
        <f t="shared" si="32"/>
        <v>sem descrição</v>
      </c>
      <c r="K146" s="69" t="str">
        <f t="shared" si="36"/>
        <v>informar entrega</v>
      </c>
      <c r="L146" s="69">
        <f t="shared" si="34"/>
        <v>0</v>
      </c>
      <c r="M146" s="69">
        <f t="shared" si="35"/>
        <v>0</v>
      </c>
    </row>
    <row r="147" spans="1:13" s="61" customFormat="1" ht="20.25" hidden="1" customHeight="1" x14ac:dyDescent="0.25">
      <c r="A147" s="67" t="s">
        <v>129</v>
      </c>
      <c r="B147" s="68"/>
      <c r="C147" s="69"/>
      <c r="D147" s="69"/>
      <c r="E147" s="222"/>
      <c r="F147" s="222"/>
      <c r="G147" s="68"/>
      <c r="H147" s="70"/>
      <c r="I147" s="70"/>
      <c r="J147" s="71" t="str">
        <f t="shared" si="32"/>
        <v>sem descrição</v>
      </c>
      <c r="K147" s="69" t="str">
        <f t="shared" si="36"/>
        <v>informar entrega</v>
      </c>
      <c r="L147" s="69">
        <f t="shared" si="34"/>
        <v>0</v>
      </c>
      <c r="M147" s="69">
        <f t="shared" si="35"/>
        <v>0</v>
      </c>
    </row>
    <row r="148" spans="1:13" s="61" customFormat="1" ht="20.25" hidden="1" customHeight="1" x14ac:dyDescent="0.25">
      <c r="A148" s="67" t="s">
        <v>131</v>
      </c>
      <c r="B148" s="68"/>
      <c r="C148" s="69"/>
      <c r="D148" s="69"/>
      <c r="E148" s="222"/>
      <c r="F148" s="222"/>
      <c r="G148" s="68"/>
      <c r="H148" s="70"/>
      <c r="I148" s="70"/>
      <c r="J148" s="71" t="str">
        <f t="shared" si="32"/>
        <v>sem descrição</v>
      </c>
      <c r="K148" s="69" t="str">
        <f t="shared" si="36"/>
        <v>informar entrega</v>
      </c>
      <c r="L148" s="69">
        <f t="shared" si="34"/>
        <v>0</v>
      </c>
      <c r="M148" s="69">
        <f t="shared" si="35"/>
        <v>0</v>
      </c>
    </row>
    <row r="149" spans="1:13" s="61" customFormat="1" ht="20.25" hidden="1" customHeight="1" x14ac:dyDescent="0.25">
      <c r="A149" s="67" t="s">
        <v>188</v>
      </c>
      <c r="B149" s="68"/>
      <c r="C149" s="69"/>
      <c r="D149" s="69"/>
      <c r="E149" s="222"/>
      <c r="F149" s="222"/>
      <c r="G149" s="68"/>
      <c r="H149" s="70"/>
      <c r="I149" s="70"/>
      <c r="J149" s="71" t="str">
        <f t="shared" si="32"/>
        <v>sem descrição</v>
      </c>
      <c r="K149" s="69" t="str">
        <f t="shared" si="36"/>
        <v>informar entrega</v>
      </c>
      <c r="L149" s="69">
        <f t="shared" si="34"/>
        <v>0</v>
      </c>
      <c r="M149" s="69">
        <f t="shared" si="35"/>
        <v>0</v>
      </c>
    </row>
    <row r="150" spans="1:13" s="61" customFormat="1" ht="20.25" hidden="1" customHeight="1" x14ac:dyDescent="0.25">
      <c r="A150" s="67" t="s">
        <v>192</v>
      </c>
      <c r="B150" s="68"/>
      <c r="C150" s="69"/>
      <c r="D150" s="69"/>
      <c r="E150" s="222"/>
      <c r="F150" s="222"/>
      <c r="G150" s="68"/>
      <c r="H150" s="70"/>
      <c r="I150" s="70"/>
      <c r="J150" s="71" t="str">
        <f t="shared" si="32"/>
        <v>sem descrição</v>
      </c>
      <c r="K150" s="69" t="str">
        <f t="shared" si="36"/>
        <v>informar entrega</v>
      </c>
      <c r="L150" s="69">
        <f t="shared" si="34"/>
        <v>0</v>
      </c>
      <c r="M150" s="69">
        <f t="shared" si="35"/>
        <v>0</v>
      </c>
    </row>
    <row r="151" spans="1:13" s="61" customFormat="1" ht="20.25" hidden="1" customHeight="1" x14ac:dyDescent="0.25">
      <c r="A151" s="67" t="s">
        <v>195</v>
      </c>
      <c r="B151" s="68"/>
      <c r="C151" s="69"/>
      <c r="D151" s="69"/>
      <c r="E151" s="222"/>
      <c r="F151" s="222"/>
      <c r="G151" s="68"/>
      <c r="H151" s="70"/>
      <c r="I151" s="70"/>
      <c r="J151" s="71" t="str">
        <f t="shared" si="32"/>
        <v>sem descrição</v>
      </c>
      <c r="K151" s="69" t="str">
        <f t="shared" si="36"/>
        <v>informar entrega</v>
      </c>
      <c r="L151" s="69">
        <f t="shared" si="34"/>
        <v>0</v>
      </c>
      <c r="M151" s="69">
        <f t="shared" si="35"/>
        <v>0</v>
      </c>
    </row>
    <row r="152" spans="1:13" s="61" customFormat="1" ht="20.25" hidden="1" customHeight="1" x14ac:dyDescent="0.25">
      <c r="A152" s="67" t="s">
        <v>199</v>
      </c>
      <c r="B152" s="68"/>
      <c r="C152" s="69"/>
      <c r="D152" s="69"/>
      <c r="E152" s="222"/>
      <c r="F152" s="222"/>
      <c r="G152" s="68"/>
      <c r="H152" s="70"/>
      <c r="I152" s="70"/>
      <c r="J152" s="71" t="str">
        <f t="shared" si="32"/>
        <v>sem descrição</v>
      </c>
      <c r="K152" s="69" t="str">
        <f>IF(C152="mensal",J152*H152*E152,IF(C152="trimestral",(J152*H152*E152)/3,IF(C152="semestral",(J152*H152*E152)/6,IF(C152="anual",(J152*H152*E152/12),"informar período"))))</f>
        <v>informar período</v>
      </c>
      <c r="L152" s="69">
        <f t="shared" si="34"/>
        <v>0</v>
      </c>
      <c r="M152" s="69">
        <f t="shared" si="35"/>
        <v>0</v>
      </c>
    </row>
    <row r="153" spans="1:13" s="61" customFormat="1" ht="20.25" customHeight="1" x14ac:dyDescent="0.25">
      <c r="A153" s="152" t="s">
        <v>328</v>
      </c>
      <c r="B153" s="147"/>
      <c r="C153" s="147"/>
      <c r="D153" s="147"/>
      <c r="E153" s="147"/>
      <c r="F153" s="147"/>
      <c r="G153" s="147"/>
      <c r="H153" s="147"/>
      <c r="I153" s="139"/>
      <c r="J153" s="155"/>
      <c r="K153" s="156">
        <f>SUM(K136:K152)</f>
        <v>0</v>
      </c>
      <c r="L153" s="157">
        <f>K153*12</f>
        <v>0</v>
      </c>
      <c r="M153" s="158">
        <f>K153*60</f>
        <v>0</v>
      </c>
    </row>
    <row r="154" spans="1:13" s="61" customFormat="1" ht="20.25" customHeight="1" x14ac:dyDescent="0.25">
      <c r="A154" s="152" t="s">
        <v>302</v>
      </c>
      <c r="B154" s="147"/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  <c r="M154" s="159">
        <f>K153/SUM(C132:M134)</f>
        <v>0</v>
      </c>
    </row>
    <row r="155" spans="1:13" s="61" customFormat="1" ht="20.25" customHeight="1" x14ac:dyDescent="0.25">
      <c r="A155" s="235" t="s">
        <v>273</v>
      </c>
      <c r="B155" s="143" t="s">
        <v>19</v>
      </c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  <c r="M155" s="154"/>
    </row>
    <row r="156" spans="1:13" s="61" customFormat="1" ht="20.25" customHeight="1" x14ac:dyDescent="0.25">
      <c r="A156" s="62">
        <v>1</v>
      </c>
      <c r="B156" s="63" t="s">
        <v>274</v>
      </c>
      <c r="C156" s="216" t="str">
        <f>'planilha - proposta'!C33</f>
        <v>Copeiro Hospitalar</v>
      </c>
      <c r="D156" s="217"/>
      <c r="E156" s="217"/>
      <c r="F156" s="217"/>
      <c r="G156" s="217"/>
      <c r="H156" s="145"/>
      <c r="I156" s="145"/>
      <c r="J156" s="145"/>
      <c r="K156" s="145"/>
      <c r="L156" s="145"/>
      <c r="M156" s="146"/>
    </row>
    <row r="157" spans="1:13" s="61" customFormat="1" ht="20.25" customHeight="1" x14ac:dyDescent="0.25">
      <c r="A157" s="62">
        <v>2</v>
      </c>
      <c r="B157" s="63" t="str">
        <f>'planilha - proposta'!D33</f>
        <v>Copeiro Hospitalar - 12x36d</v>
      </c>
      <c r="C157" s="216">
        <f>VLOOKUP(B157,'planilha - proposta'!$D$17:$E$62,2,FALSE)</f>
        <v>22</v>
      </c>
      <c r="D157" s="217"/>
      <c r="E157" s="217"/>
      <c r="F157" s="217"/>
      <c r="G157" s="217"/>
      <c r="H157" s="145"/>
      <c r="I157" s="145"/>
      <c r="J157" s="145"/>
      <c r="K157" s="145"/>
      <c r="L157" s="145"/>
      <c r="M157" s="146"/>
    </row>
    <row r="158" spans="1:13" s="61" customFormat="1" ht="20.25" customHeight="1" x14ac:dyDescent="0.25">
      <c r="A158" s="62">
        <v>3</v>
      </c>
      <c r="B158" s="63" t="str">
        <f>'planilha - proposta'!D34</f>
        <v>Copeiro Hospitalar - 12x36n</v>
      </c>
      <c r="C158" s="216">
        <f>VLOOKUP(B158,'planilha - proposta'!$D$17:$E$62,2,FALSE)</f>
        <v>8</v>
      </c>
      <c r="D158" s="217"/>
      <c r="E158" s="217"/>
      <c r="F158" s="217"/>
      <c r="G158" s="217"/>
      <c r="H158" s="145"/>
      <c r="I158" s="145"/>
      <c r="J158" s="145"/>
      <c r="K158" s="145"/>
      <c r="L158" s="145"/>
      <c r="M158" s="146"/>
    </row>
    <row r="159" spans="1:13" s="61" customFormat="1" ht="20.25" hidden="1" customHeight="1" x14ac:dyDescent="0.25">
      <c r="A159" s="62">
        <v>4</v>
      </c>
      <c r="B159" s="63" t="str">
        <f>'planilha - proposta'!D35</f>
        <v>Copeiro Hospitalar - 44h</v>
      </c>
      <c r="C159" s="216">
        <f>VLOOKUP(B159,'planilha - proposta'!$D$17:$E$62,2,FALSE)</f>
        <v>0</v>
      </c>
      <c r="D159" s="217"/>
      <c r="E159" s="217"/>
      <c r="F159" s="217"/>
      <c r="G159" s="217"/>
      <c r="H159" s="145"/>
      <c r="I159" s="145"/>
      <c r="J159" s="145"/>
      <c r="K159" s="145"/>
      <c r="L159" s="145"/>
      <c r="M159" s="146"/>
    </row>
    <row r="160" spans="1:13" s="61" customFormat="1" ht="52.5" customHeight="1" x14ac:dyDescent="0.25">
      <c r="A160" s="64" t="s">
        <v>273</v>
      </c>
      <c r="B160" s="65" t="s">
        <v>275</v>
      </c>
      <c r="C160" s="218" t="s">
        <v>276</v>
      </c>
      <c r="D160" s="218" t="s">
        <v>277</v>
      </c>
      <c r="E160" s="218" t="s">
        <v>278</v>
      </c>
      <c r="F160" s="218" t="s">
        <v>303</v>
      </c>
      <c r="G160" s="223" t="s">
        <v>280</v>
      </c>
      <c r="H160" s="65" t="s">
        <v>304</v>
      </c>
      <c r="I160" s="66" t="s">
        <v>305</v>
      </c>
      <c r="J160" s="66" t="s">
        <v>318</v>
      </c>
      <c r="K160" s="65" t="s">
        <v>284</v>
      </c>
      <c r="L160" s="65" t="s">
        <v>285</v>
      </c>
      <c r="M160" s="66" t="s">
        <v>286</v>
      </c>
    </row>
    <row r="161" spans="1:13" s="61" customFormat="1" ht="20.25" customHeight="1" x14ac:dyDescent="0.25">
      <c r="A161" s="67" t="s">
        <v>108</v>
      </c>
      <c r="B161" s="68" t="s">
        <v>312</v>
      </c>
      <c r="C161" s="69" t="s">
        <v>300</v>
      </c>
      <c r="D161" s="69" t="s">
        <v>292</v>
      </c>
      <c r="E161" s="222">
        <v>1</v>
      </c>
      <c r="F161" s="222">
        <v>0</v>
      </c>
      <c r="G161" s="68" t="s">
        <v>290</v>
      </c>
      <c r="H161" s="70">
        <f>VLOOKUP(B161,custoEPI!$B$6:$E$29,4,FALSE)</f>
        <v>0</v>
      </c>
      <c r="I161" s="71">
        <f t="shared" ref="I161:I166" si="37">SUM($C$157:$M$159)</f>
        <v>30</v>
      </c>
      <c r="J161" s="71">
        <f t="shared" ref="J161:J177" si="38">IF(B161="","sem descrição",IF($C$157&gt;=$C$158,IF($C$159&gt;0,$C$157/2+$C$159,$C$157/2),IF($C$159&gt;0,$C$158/5+$C$159,$C$159)))</f>
        <v>11</v>
      </c>
      <c r="K161" s="69">
        <f>IF(C161="mensal",IF(F161&gt;0,F161*H161,IF(D161="descartável",((SUM($C$157:$C$158)/2)+$C$159)*E161*H161,IF(D161="pessoal",E161*H161*I161,E161*H161*J161))),0)+IF(C161="trimestral",IF(F161&gt;0,F161*H161/3,IF(D161="descartável",(((SUM($C$157:$C$158)/2)+$C$159)*E161*H161)/3,IF(D161="pessoal",(E161*H161*I161)/3,(E161*H161*J161)/3))),0)+IF(C161="semestral",IF(F161&gt;0,F161*H161/6,IF(D161="descartável",(((SUM($C$157:$C$158)/2)+$C$159)*E161*H161)/6,IF(D161="pessoal",(E161*H161*I161)/6,(E161*H161*J161)/6))),0)+IF(C161="anual",IF(F161&gt;0,F161*H161/12,IF(D161="descartável",(((SUM($C$157:$C$158)/2)+$C$159)*E161*H161)/12,IF(D161="pessoal",(E161*H161*I161)/12,(E161*H161*J161)/12))),0)</f>
        <v>0</v>
      </c>
      <c r="L161" s="69">
        <f>IFERROR(K161*12, 0)</f>
        <v>0</v>
      </c>
      <c r="M161" s="69">
        <f>IFERROR(K161*60,0)</f>
        <v>0</v>
      </c>
    </row>
    <row r="162" spans="1:13" s="61" customFormat="1" ht="20.25" customHeight="1" x14ac:dyDescent="0.25">
      <c r="A162" s="67" t="s">
        <v>110</v>
      </c>
      <c r="B162" s="68" t="s">
        <v>287</v>
      </c>
      <c r="C162" s="69" t="s">
        <v>288</v>
      </c>
      <c r="D162" s="69" t="s">
        <v>289</v>
      </c>
      <c r="E162" s="222">
        <v>90</v>
      </c>
      <c r="F162" s="222">
        <v>0</v>
      </c>
      <c r="G162" s="68" t="s">
        <v>290</v>
      </c>
      <c r="H162" s="70">
        <f>VLOOKUP(B162,custoEPI!$B$6:$E$29,4,FALSE)</f>
        <v>0</v>
      </c>
      <c r="I162" s="71">
        <f t="shared" si="37"/>
        <v>30</v>
      </c>
      <c r="J162" s="71">
        <f t="shared" si="38"/>
        <v>11</v>
      </c>
      <c r="K162" s="69">
        <f t="shared" ref="K162:K167" si="39">IF(C162="mensal",IF(F162&gt;0,F162*H162,IF(D162="descartável",((SUM($C$157:$C$158)/2)+$C$159)*E162*H162,IF(D162="pessoal",E162*H162*I162,E162*H162*J162))),0)+IF(C162="trimestral",IF(F162&gt;0,F162*H162/3,IF(D162="descartável",(((SUM($C$157:$C$158)/2)+$C$159)*E162*H162)/3,IF(D162="pessoal",(E162*H162*I162)/3,(E162*H162*J162)/3))),0)+IF(C162="semestral",IF(F162&gt;0,F162*H162/6,IF(D162="descartável",(((SUM($C$157:$C$158)/2)+$C$159)*E162*H162)/6,IF(D162="pessoal",(E162*H162*I162)/6,(E162*H162*J162)/6))),0)+IF(C162="anual",IF(F162&gt;0,F162*H162/12,IF(D162="descartável",(((SUM($C$157:$C$158)/2)+$C$159)*E162*H162)/12,IF(D162="pessoal",(E162*H162*I162)/12,(E162*H162*J162)/12))),0)</f>
        <v>0</v>
      </c>
      <c r="L162" s="69">
        <f t="shared" ref="L162:L177" si="40">IFERROR(K162*12, 0)</f>
        <v>0</v>
      </c>
      <c r="M162" s="69">
        <f t="shared" ref="M162:M177" si="41">IFERROR(K162*60,0)</f>
        <v>0</v>
      </c>
    </row>
    <row r="163" spans="1:13" s="61" customFormat="1" ht="20.25" customHeight="1" x14ac:dyDescent="0.25">
      <c r="A163" s="67" t="s">
        <v>111</v>
      </c>
      <c r="B163" s="68" t="s">
        <v>294</v>
      </c>
      <c r="C163" s="69" t="s">
        <v>288</v>
      </c>
      <c r="D163" s="69" t="s">
        <v>289</v>
      </c>
      <c r="E163" s="222">
        <f>3*30</f>
        <v>90</v>
      </c>
      <c r="F163" s="222">
        <v>0</v>
      </c>
      <c r="G163" s="68" t="s">
        <v>290</v>
      </c>
      <c r="H163" s="70">
        <f>VLOOKUP(B163,custoEPI!$B$6:$E$29,4,FALSE)</f>
        <v>0</v>
      </c>
      <c r="I163" s="71">
        <f t="shared" si="37"/>
        <v>30</v>
      </c>
      <c r="J163" s="71">
        <f t="shared" si="38"/>
        <v>11</v>
      </c>
      <c r="K163" s="69">
        <f t="shared" si="39"/>
        <v>0</v>
      </c>
      <c r="L163" s="69">
        <f t="shared" si="40"/>
        <v>0</v>
      </c>
      <c r="M163" s="69">
        <f t="shared" si="41"/>
        <v>0</v>
      </c>
    </row>
    <row r="164" spans="1:13" s="61" customFormat="1" ht="20.25" customHeight="1" x14ac:dyDescent="0.25">
      <c r="A164" s="67" t="s">
        <v>113</v>
      </c>
      <c r="B164" s="68" t="s">
        <v>313</v>
      </c>
      <c r="C164" s="69" t="s">
        <v>288</v>
      </c>
      <c r="D164" s="69" t="s">
        <v>289</v>
      </c>
      <c r="E164" s="222">
        <v>48</v>
      </c>
      <c r="F164" s="222">
        <v>0</v>
      </c>
      <c r="G164" s="68" t="s">
        <v>290</v>
      </c>
      <c r="H164" s="70">
        <f>VLOOKUP(B164,custoEPI!$B$6:$E$29,4,FALSE)</f>
        <v>0</v>
      </c>
      <c r="I164" s="71">
        <f t="shared" si="37"/>
        <v>30</v>
      </c>
      <c r="J164" s="71">
        <f t="shared" si="38"/>
        <v>11</v>
      </c>
      <c r="K164" s="69">
        <f t="shared" si="39"/>
        <v>0</v>
      </c>
      <c r="L164" s="69">
        <f t="shared" si="40"/>
        <v>0</v>
      </c>
      <c r="M164" s="69">
        <f t="shared" si="41"/>
        <v>0</v>
      </c>
    </row>
    <row r="165" spans="1:13" s="61" customFormat="1" ht="20.25" customHeight="1" x14ac:dyDescent="0.25">
      <c r="A165" s="67" t="s">
        <v>114</v>
      </c>
      <c r="B165" s="68" t="s">
        <v>314</v>
      </c>
      <c r="C165" s="69" t="s">
        <v>300</v>
      </c>
      <c r="D165" s="69" t="s">
        <v>292</v>
      </c>
      <c r="E165" s="222">
        <v>1</v>
      </c>
      <c r="F165" s="222">
        <v>0</v>
      </c>
      <c r="G165" s="68" t="s">
        <v>315</v>
      </c>
      <c r="H165" s="70">
        <f>VLOOKUP(B165,custoEPI!$B$6:$E$29,4,FALSE)</f>
        <v>0</v>
      </c>
      <c r="I165" s="71">
        <f t="shared" si="37"/>
        <v>30</v>
      </c>
      <c r="J165" s="71">
        <f t="shared" si="38"/>
        <v>11</v>
      </c>
      <c r="K165" s="69">
        <f t="shared" si="39"/>
        <v>0</v>
      </c>
      <c r="L165" s="69">
        <f t="shared" si="40"/>
        <v>0</v>
      </c>
      <c r="M165" s="69">
        <f t="shared" si="41"/>
        <v>0</v>
      </c>
    </row>
    <row r="166" spans="1:13" s="61" customFormat="1" ht="20.25" customHeight="1" x14ac:dyDescent="0.25">
      <c r="A166" s="67" t="s">
        <v>115</v>
      </c>
      <c r="B166" s="68" t="s">
        <v>307</v>
      </c>
      <c r="C166" s="69" t="s">
        <v>300</v>
      </c>
      <c r="D166" s="69" t="s">
        <v>292</v>
      </c>
      <c r="E166" s="222">
        <v>1</v>
      </c>
      <c r="F166" s="222">
        <v>0</v>
      </c>
      <c r="G166" s="68" t="s">
        <v>290</v>
      </c>
      <c r="H166" s="70">
        <f>VLOOKUP(B166,custoEPI!$B$6:$E$29,4,FALSE)</f>
        <v>0</v>
      </c>
      <c r="I166" s="71">
        <f t="shared" si="37"/>
        <v>30</v>
      </c>
      <c r="J166" s="71">
        <f t="shared" si="38"/>
        <v>11</v>
      </c>
      <c r="K166" s="69">
        <f t="shared" si="39"/>
        <v>0</v>
      </c>
      <c r="L166" s="69">
        <f t="shared" si="40"/>
        <v>0</v>
      </c>
      <c r="M166" s="69">
        <f t="shared" si="41"/>
        <v>0</v>
      </c>
    </row>
    <row r="167" spans="1:13" s="61" customFormat="1" ht="20.25" customHeight="1" x14ac:dyDescent="0.25">
      <c r="A167" s="67" t="s">
        <v>116</v>
      </c>
      <c r="B167" s="68" t="s">
        <v>291</v>
      </c>
      <c r="C167" s="69" t="s">
        <v>288</v>
      </c>
      <c r="D167" s="69" t="s">
        <v>292</v>
      </c>
      <c r="E167" s="222">
        <v>2</v>
      </c>
      <c r="F167" s="222">
        <v>0</v>
      </c>
      <c r="G167" s="68" t="s">
        <v>290</v>
      </c>
      <c r="H167" s="70">
        <f>VLOOKUP(B167,custoEPI!$B$6:$E$29,4,FALSE)</f>
        <v>0</v>
      </c>
      <c r="I167" s="71">
        <f t="shared" ref="I167:I177" si="42">SUM($C$157:$M$159)</f>
        <v>30</v>
      </c>
      <c r="J167" s="71">
        <f t="shared" si="38"/>
        <v>11</v>
      </c>
      <c r="K167" s="69">
        <f t="shared" si="39"/>
        <v>0</v>
      </c>
      <c r="L167" s="69">
        <f t="shared" si="40"/>
        <v>0</v>
      </c>
      <c r="M167" s="69">
        <f t="shared" si="41"/>
        <v>0</v>
      </c>
    </row>
    <row r="168" spans="1:13" s="61" customFormat="1" ht="20.25" hidden="1" customHeight="1" x14ac:dyDescent="0.25">
      <c r="A168" s="67" t="s">
        <v>118</v>
      </c>
      <c r="B168" s="68"/>
      <c r="C168" s="69"/>
      <c r="D168" s="69"/>
      <c r="E168" s="222"/>
      <c r="F168" s="222"/>
      <c r="G168" s="68"/>
      <c r="H168" s="70" t="e">
        <f>VLOOKUP(B168,custoEPI!$B$6:$E$29,4,FALSE)</f>
        <v>#N/A</v>
      </c>
      <c r="I168" s="71">
        <f t="shared" si="42"/>
        <v>30</v>
      </c>
      <c r="J168" s="71" t="str">
        <f t="shared" si="38"/>
        <v>sem descrição</v>
      </c>
      <c r="K168" s="69" t="str">
        <f t="shared" ref="K168:K176" si="43">IF(C168="mensal",J168*H168*E168,IF(C168="trimestral",(J168*H168*E168)/3,IF(C168="semestral",(J168*H168*E168)/6,IF(C168="anual",(J168*H168*E168/12),"informar entrega"))))</f>
        <v>informar entrega</v>
      </c>
      <c r="L168" s="69">
        <f t="shared" si="40"/>
        <v>0</v>
      </c>
      <c r="M168" s="69">
        <f t="shared" si="41"/>
        <v>0</v>
      </c>
    </row>
    <row r="169" spans="1:13" s="61" customFormat="1" ht="20.25" hidden="1" customHeight="1" x14ac:dyDescent="0.25">
      <c r="A169" s="67" t="s">
        <v>121</v>
      </c>
      <c r="B169" s="68"/>
      <c r="C169" s="69"/>
      <c r="D169" s="69"/>
      <c r="E169" s="222"/>
      <c r="F169" s="222"/>
      <c r="G169" s="68"/>
      <c r="H169" s="70"/>
      <c r="I169" s="71">
        <f t="shared" si="42"/>
        <v>30</v>
      </c>
      <c r="J169" s="71" t="str">
        <f t="shared" si="38"/>
        <v>sem descrição</v>
      </c>
      <c r="K169" s="69" t="str">
        <f t="shared" si="43"/>
        <v>informar entrega</v>
      </c>
      <c r="L169" s="69">
        <f t="shared" si="40"/>
        <v>0</v>
      </c>
      <c r="M169" s="69">
        <f t="shared" si="41"/>
        <v>0</v>
      </c>
    </row>
    <row r="170" spans="1:13" s="61" customFormat="1" ht="20.25" hidden="1" customHeight="1" x14ac:dyDescent="0.25">
      <c r="A170" s="67" t="s">
        <v>125</v>
      </c>
      <c r="B170" s="68"/>
      <c r="C170" s="69"/>
      <c r="D170" s="69"/>
      <c r="E170" s="222"/>
      <c r="F170" s="222"/>
      <c r="G170" s="68"/>
      <c r="H170" s="70"/>
      <c r="I170" s="71">
        <f t="shared" si="42"/>
        <v>30</v>
      </c>
      <c r="J170" s="71" t="str">
        <f t="shared" si="38"/>
        <v>sem descrição</v>
      </c>
      <c r="K170" s="69" t="str">
        <f t="shared" si="43"/>
        <v>informar entrega</v>
      </c>
      <c r="L170" s="69">
        <f t="shared" si="40"/>
        <v>0</v>
      </c>
      <c r="M170" s="69">
        <f t="shared" si="41"/>
        <v>0</v>
      </c>
    </row>
    <row r="171" spans="1:13" s="61" customFormat="1" ht="20.25" hidden="1" customHeight="1" x14ac:dyDescent="0.25">
      <c r="A171" s="67" t="s">
        <v>127</v>
      </c>
      <c r="B171" s="68"/>
      <c r="C171" s="69"/>
      <c r="D171" s="69"/>
      <c r="E171" s="222"/>
      <c r="F171" s="222"/>
      <c r="G171" s="68"/>
      <c r="H171" s="70"/>
      <c r="I171" s="71">
        <f t="shared" si="42"/>
        <v>30</v>
      </c>
      <c r="J171" s="71" t="str">
        <f t="shared" si="38"/>
        <v>sem descrição</v>
      </c>
      <c r="K171" s="69" t="str">
        <f t="shared" si="43"/>
        <v>informar entrega</v>
      </c>
      <c r="L171" s="69">
        <f t="shared" si="40"/>
        <v>0</v>
      </c>
      <c r="M171" s="69">
        <f t="shared" si="41"/>
        <v>0</v>
      </c>
    </row>
    <row r="172" spans="1:13" s="61" customFormat="1" ht="20.25" hidden="1" customHeight="1" x14ac:dyDescent="0.25">
      <c r="A172" s="67" t="s">
        <v>129</v>
      </c>
      <c r="B172" s="68"/>
      <c r="C172" s="69"/>
      <c r="D172" s="69"/>
      <c r="E172" s="222"/>
      <c r="F172" s="222"/>
      <c r="G172" s="68"/>
      <c r="H172" s="70"/>
      <c r="I172" s="71">
        <f t="shared" si="42"/>
        <v>30</v>
      </c>
      <c r="J172" s="71" t="str">
        <f t="shared" si="38"/>
        <v>sem descrição</v>
      </c>
      <c r="K172" s="69" t="str">
        <f t="shared" si="43"/>
        <v>informar entrega</v>
      </c>
      <c r="L172" s="69">
        <f t="shared" si="40"/>
        <v>0</v>
      </c>
      <c r="M172" s="69">
        <f t="shared" si="41"/>
        <v>0</v>
      </c>
    </row>
    <row r="173" spans="1:13" s="61" customFormat="1" ht="20.25" hidden="1" customHeight="1" x14ac:dyDescent="0.25">
      <c r="A173" s="67" t="s">
        <v>131</v>
      </c>
      <c r="B173" s="68"/>
      <c r="C173" s="69"/>
      <c r="D173" s="69"/>
      <c r="E173" s="222"/>
      <c r="F173" s="222"/>
      <c r="G173" s="68"/>
      <c r="H173" s="70"/>
      <c r="I173" s="71">
        <f t="shared" si="42"/>
        <v>30</v>
      </c>
      <c r="J173" s="71" t="str">
        <f t="shared" si="38"/>
        <v>sem descrição</v>
      </c>
      <c r="K173" s="69" t="str">
        <f t="shared" si="43"/>
        <v>informar entrega</v>
      </c>
      <c r="L173" s="69">
        <f t="shared" si="40"/>
        <v>0</v>
      </c>
      <c r="M173" s="69">
        <f t="shared" si="41"/>
        <v>0</v>
      </c>
    </row>
    <row r="174" spans="1:13" s="61" customFormat="1" ht="20.25" hidden="1" customHeight="1" x14ac:dyDescent="0.25">
      <c r="A174" s="67" t="s">
        <v>188</v>
      </c>
      <c r="B174" s="68"/>
      <c r="C174" s="69"/>
      <c r="D174" s="69"/>
      <c r="E174" s="222"/>
      <c r="F174" s="222"/>
      <c r="G174" s="68"/>
      <c r="H174" s="70"/>
      <c r="I174" s="71">
        <f t="shared" si="42"/>
        <v>30</v>
      </c>
      <c r="J174" s="71" t="str">
        <f t="shared" si="38"/>
        <v>sem descrição</v>
      </c>
      <c r="K174" s="69" t="str">
        <f t="shared" si="43"/>
        <v>informar entrega</v>
      </c>
      <c r="L174" s="69">
        <f t="shared" si="40"/>
        <v>0</v>
      </c>
      <c r="M174" s="69">
        <f t="shared" si="41"/>
        <v>0</v>
      </c>
    </row>
    <row r="175" spans="1:13" s="61" customFormat="1" ht="20.25" hidden="1" customHeight="1" x14ac:dyDescent="0.25">
      <c r="A175" s="67" t="s">
        <v>192</v>
      </c>
      <c r="B175" s="68"/>
      <c r="C175" s="69"/>
      <c r="D175" s="69"/>
      <c r="E175" s="222"/>
      <c r="F175" s="222"/>
      <c r="G175" s="68"/>
      <c r="H175" s="70"/>
      <c r="I175" s="71">
        <f t="shared" si="42"/>
        <v>30</v>
      </c>
      <c r="J175" s="71" t="str">
        <f t="shared" si="38"/>
        <v>sem descrição</v>
      </c>
      <c r="K175" s="69" t="str">
        <f t="shared" si="43"/>
        <v>informar entrega</v>
      </c>
      <c r="L175" s="69">
        <f t="shared" si="40"/>
        <v>0</v>
      </c>
      <c r="M175" s="69">
        <f t="shared" si="41"/>
        <v>0</v>
      </c>
    </row>
    <row r="176" spans="1:13" s="61" customFormat="1" ht="20.25" hidden="1" customHeight="1" x14ac:dyDescent="0.25">
      <c r="A176" s="67" t="s">
        <v>195</v>
      </c>
      <c r="B176" s="68"/>
      <c r="C176" s="69"/>
      <c r="D176" s="69"/>
      <c r="E176" s="222"/>
      <c r="F176" s="222"/>
      <c r="G176" s="68"/>
      <c r="H176" s="70"/>
      <c r="I176" s="71">
        <f t="shared" si="42"/>
        <v>30</v>
      </c>
      <c r="J176" s="71" t="str">
        <f t="shared" si="38"/>
        <v>sem descrição</v>
      </c>
      <c r="K176" s="69" t="str">
        <f t="shared" si="43"/>
        <v>informar entrega</v>
      </c>
      <c r="L176" s="69">
        <f t="shared" si="40"/>
        <v>0</v>
      </c>
      <c r="M176" s="69">
        <f t="shared" si="41"/>
        <v>0</v>
      </c>
    </row>
    <row r="177" spans="1:13" s="61" customFormat="1" ht="20.25" hidden="1" customHeight="1" x14ac:dyDescent="0.25">
      <c r="A177" s="67" t="s">
        <v>199</v>
      </c>
      <c r="B177" s="68"/>
      <c r="C177" s="69"/>
      <c r="D177" s="69"/>
      <c r="E177" s="222"/>
      <c r="F177" s="222"/>
      <c r="G177" s="68"/>
      <c r="H177" s="70"/>
      <c r="I177" s="71">
        <f t="shared" si="42"/>
        <v>30</v>
      </c>
      <c r="J177" s="71" t="str">
        <f t="shared" si="38"/>
        <v>sem descrição</v>
      </c>
      <c r="K177" s="69" t="str">
        <f>IF(C177="mensal",J177*H177*E177,IF(C177="trimestral",(J177*H177*E177)/3,IF(C177="semestral",(J177*H177*E177)/6,IF(C177="anual",(J177*H177*E177/12),"informar período"))))</f>
        <v>informar período</v>
      </c>
      <c r="L177" s="69">
        <f t="shared" si="40"/>
        <v>0</v>
      </c>
      <c r="M177" s="69">
        <f t="shared" si="41"/>
        <v>0</v>
      </c>
    </row>
    <row r="178" spans="1:13" s="61" customFormat="1" ht="20.25" customHeight="1" x14ac:dyDescent="0.25">
      <c r="A178" s="152" t="s">
        <v>301</v>
      </c>
      <c r="B178" s="147"/>
      <c r="C178" s="147"/>
      <c r="D178" s="147"/>
      <c r="E178" s="147"/>
      <c r="F178" s="147"/>
      <c r="G178" s="147"/>
      <c r="H178" s="147"/>
      <c r="I178" s="139"/>
      <c r="J178" s="155"/>
      <c r="K178" s="156">
        <f>SUM(K161:K177)</f>
        <v>0</v>
      </c>
      <c r="L178" s="157">
        <f>K178*12</f>
        <v>0</v>
      </c>
      <c r="M178" s="158">
        <f>K178*60</f>
        <v>0</v>
      </c>
    </row>
    <row r="179" spans="1:13" s="61" customFormat="1" ht="20.25" customHeight="1" x14ac:dyDescent="0.25">
      <c r="A179" s="152" t="s">
        <v>302</v>
      </c>
      <c r="B179" s="147"/>
      <c r="C179" s="147"/>
      <c r="D179" s="147"/>
      <c r="E179" s="147"/>
      <c r="F179" s="147"/>
      <c r="G179" s="147"/>
      <c r="H179" s="147"/>
      <c r="I179" s="147"/>
      <c r="J179" s="147"/>
      <c r="K179" s="147"/>
      <c r="L179" s="147"/>
      <c r="M179" s="159">
        <f>K178/SUM(C157:M159)</f>
        <v>0</v>
      </c>
    </row>
    <row r="180" spans="1:13" s="61" customFormat="1" ht="20.25" customHeight="1" x14ac:dyDescent="0.25">
      <c r="A180" s="235" t="s">
        <v>273</v>
      </c>
      <c r="B180" s="143" t="s">
        <v>19</v>
      </c>
      <c r="C180" s="153"/>
      <c r="D180" s="153"/>
      <c r="E180" s="153"/>
      <c r="F180" s="153"/>
      <c r="G180" s="153"/>
      <c r="H180" s="153"/>
      <c r="I180" s="153"/>
      <c r="J180" s="153"/>
      <c r="K180" s="153"/>
      <c r="L180" s="153"/>
      <c r="M180" s="154"/>
    </row>
    <row r="181" spans="1:13" s="61" customFormat="1" ht="20.25" customHeight="1" x14ac:dyDescent="0.25">
      <c r="A181" s="62">
        <v>1</v>
      </c>
      <c r="B181" s="63" t="s">
        <v>274</v>
      </c>
      <c r="C181" s="216" t="str">
        <f>'planilha - proposta'!C36</f>
        <v>Costureiro</v>
      </c>
      <c r="D181" s="217"/>
      <c r="E181" s="217"/>
      <c r="F181" s="217"/>
      <c r="G181" s="217"/>
      <c r="H181" s="145"/>
      <c r="I181" s="145"/>
      <c r="J181" s="145"/>
      <c r="K181" s="145"/>
      <c r="L181" s="145"/>
      <c r="M181" s="146"/>
    </row>
    <row r="182" spans="1:13" s="61" customFormat="1" ht="20.25" hidden="1" customHeight="1" x14ac:dyDescent="0.25">
      <c r="A182" s="62"/>
      <c r="B182" s="63"/>
      <c r="C182" s="216">
        <v>0</v>
      </c>
      <c r="D182" s="217"/>
      <c r="E182" s="217"/>
      <c r="F182" s="217"/>
      <c r="G182" s="217"/>
      <c r="H182" s="145"/>
      <c r="I182" s="145"/>
      <c r="J182" s="145"/>
      <c r="K182" s="145"/>
      <c r="L182" s="145"/>
      <c r="M182" s="146"/>
    </row>
    <row r="183" spans="1:13" s="61" customFormat="1" ht="20.25" hidden="1" customHeight="1" x14ac:dyDescent="0.25">
      <c r="A183" s="62"/>
      <c r="B183" s="63"/>
      <c r="C183" s="213">
        <v>0</v>
      </c>
      <c r="D183" s="214"/>
      <c r="E183" s="214"/>
      <c r="F183" s="214"/>
      <c r="G183" s="214"/>
      <c r="H183" s="148"/>
      <c r="I183" s="148"/>
      <c r="J183" s="148"/>
      <c r="K183" s="148"/>
      <c r="L183" s="148"/>
      <c r="M183" s="149"/>
    </row>
    <row r="184" spans="1:13" s="61" customFormat="1" ht="20.25" customHeight="1" x14ac:dyDescent="0.25">
      <c r="A184" s="62">
        <v>2</v>
      </c>
      <c r="B184" s="63" t="str">
        <f>'planilha - proposta'!D36</f>
        <v>Costureiro - 44h</v>
      </c>
      <c r="C184" s="216">
        <f>VLOOKUP(B184,'planilha - proposta'!$D$17:$E$62,2,FALSE)</f>
        <v>2</v>
      </c>
      <c r="D184" s="217"/>
      <c r="E184" s="217"/>
      <c r="F184" s="217"/>
      <c r="G184" s="217"/>
      <c r="H184" s="145"/>
      <c r="I184" s="145"/>
      <c r="J184" s="145"/>
      <c r="K184" s="145"/>
      <c r="L184" s="145"/>
      <c r="M184" s="146"/>
    </row>
    <row r="185" spans="1:13" s="61" customFormat="1" ht="52.5" customHeight="1" x14ac:dyDescent="0.25">
      <c r="A185" s="64" t="s">
        <v>273</v>
      </c>
      <c r="B185" s="65" t="s">
        <v>275</v>
      </c>
      <c r="C185" s="218" t="s">
        <v>276</v>
      </c>
      <c r="D185" s="218" t="s">
        <v>277</v>
      </c>
      <c r="E185" s="218" t="s">
        <v>278</v>
      </c>
      <c r="F185" s="218" t="s">
        <v>303</v>
      </c>
      <c r="G185" s="223" t="s">
        <v>280</v>
      </c>
      <c r="H185" s="65" t="s">
        <v>304</v>
      </c>
      <c r="I185" s="66" t="s">
        <v>305</v>
      </c>
      <c r="J185" s="66" t="s">
        <v>318</v>
      </c>
      <c r="K185" s="65" t="s">
        <v>284</v>
      </c>
      <c r="L185" s="65" t="s">
        <v>285</v>
      </c>
      <c r="M185" s="66" t="s">
        <v>286</v>
      </c>
    </row>
    <row r="186" spans="1:13" s="61" customFormat="1" ht="20.25" customHeight="1" x14ac:dyDescent="0.25">
      <c r="A186" s="67" t="s">
        <v>108</v>
      </c>
      <c r="B186" s="68" t="s">
        <v>287</v>
      </c>
      <c r="C186" s="69" t="s">
        <v>288</v>
      </c>
      <c r="D186" s="69" t="s">
        <v>289</v>
      </c>
      <c r="E186" s="222">
        <f>3*26</f>
        <v>78</v>
      </c>
      <c r="F186" s="222">
        <v>0</v>
      </c>
      <c r="G186" s="68" t="s">
        <v>290</v>
      </c>
      <c r="H186" s="70">
        <f>VLOOKUP(B186,custoEPI!$B$6:$E$29,4,FALSE)</f>
        <v>0</v>
      </c>
      <c r="I186" s="71">
        <f>SUM($C$182:$M$184)</f>
        <v>2</v>
      </c>
      <c r="J186" s="71">
        <f t="shared" ref="J186:J202" si="44">IF(B186="","sem descrição",IF($C$182&gt;=$C$183,IF($C$184&gt;0,$C$182/2+$C$184,$C$182/2),IF($C$184&gt;0,$C$183/5+$C$184,$C$184)))</f>
        <v>2</v>
      </c>
      <c r="K186" s="69">
        <f>IF(C186="mensal",IF(F186&gt;0,F186*H186,IF(D186="descartável",((SUM($C$182:$C$183)/2)+$C$184)*E186*H186,IF(D186="pessoal",E186*H186*I186,E186*H186*J186))),0)+IF(C186="trimestral",IF(F186&gt;0,F186*H186/3,IF(D186="descartável",(((SUM($C$182:$C$183)/2)+$C$184)*E186*H186)/3,IF(D186="pessoal",(E186*H186*I186)/3,(E186*H186*J186)/3))),0)+IF(C186="semestral",IF(F186&gt;0,F186*H186/6,IF(D186="descartável",(((SUM($C$182:$C$183)/2)+$C$184)*E186*H186)/6,IF(D186="pessoal",(E186*H186*I186)/6,(E186*H186*J186)/6))),0)+IF(C186="anual",IF(F186&gt;0,F186*H186/12,IF(D186="descartável",(((SUM($C$182:$C$183)/2)+$C$159)*E186*H186)/12,IF(D186="pessoal",(E186*H186*I186)/12,(E186*H186*J186)/12))),0)</f>
        <v>0</v>
      </c>
      <c r="L186" s="69">
        <f>IFERROR(K186*12, 0)</f>
        <v>0</v>
      </c>
      <c r="M186" s="69">
        <f>IFERROR(K186*60,0)</f>
        <v>0</v>
      </c>
    </row>
    <row r="187" spans="1:13" s="61" customFormat="1" ht="20.25" hidden="1" customHeight="1" x14ac:dyDescent="0.25">
      <c r="A187" s="67"/>
      <c r="B187" s="68"/>
      <c r="C187" s="69"/>
      <c r="D187" s="69"/>
      <c r="E187" s="222"/>
      <c r="F187" s="222"/>
      <c r="G187" s="68"/>
      <c r="H187" s="70" t="e">
        <f>VLOOKUP(B187,custoEPI!$B$6:$E$29,4,FALSE)</f>
        <v>#N/A</v>
      </c>
      <c r="I187" s="71">
        <f>SUM($C$182:$M$184)</f>
        <v>2</v>
      </c>
      <c r="J187" s="71" t="str">
        <f t="shared" si="44"/>
        <v>sem descrição</v>
      </c>
      <c r="K187" s="69" t="str">
        <f t="shared" ref="K187:K201" si="45">IF(C187="mensal",J187*H187*E187,IF(C187="trimestral",(J187*H187*E187)/3,IF(C187="semestral",(J187*H187*E187)/6,IF(C187="anual",(J187*H187*E187/12),"informar entrega"))))</f>
        <v>informar entrega</v>
      </c>
      <c r="L187" s="69">
        <f t="shared" ref="L187:L202" si="46">IFERROR(K187*12, 0)</f>
        <v>0</v>
      </c>
      <c r="M187" s="69">
        <f t="shared" ref="M187:M202" si="47">IFERROR(K187*60,0)</f>
        <v>0</v>
      </c>
    </row>
    <row r="188" spans="1:13" s="61" customFormat="1" ht="20.25" hidden="1" customHeight="1" x14ac:dyDescent="0.25">
      <c r="A188" s="67"/>
      <c r="B188" s="68"/>
      <c r="C188" s="69"/>
      <c r="D188" s="69"/>
      <c r="E188" s="222"/>
      <c r="F188" s="222"/>
      <c r="G188" s="68"/>
      <c r="H188" s="70" t="e">
        <f>VLOOKUP(B188,custoEPI!$B$6:$E$29,4,FALSE)</f>
        <v>#N/A</v>
      </c>
      <c r="I188" s="71">
        <f>SUM($C$182:$M$184)</f>
        <v>2</v>
      </c>
      <c r="J188" s="71" t="str">
        <f t="shared" si="44"/>
        <v>sem descrição</v>
      </c>
      <c r="K188" s="69" t="str">
        <f t="shared" si="45"/>
        <v>informar entrega</v>
      </c>
      <c r="L188" s="69">
        <f t="shared" si="46"/>
        <v>0</v>
      </c>
      <c r="M188" s="69">
        <f t="shared" si="47"/>
        <v>0</v>
      </c>
    </row>
    <row r="189" spans="1:13" s="61" customFormat="1" ht="20.25" hidden="1" customHeight="1" x14ac:dyDescent="0.25">
      <c r="A189" s="67" t="s">
        <v>113</v>
      </c>
      <c r="B189" s="68"/>
      <c r="C189" s="69"/>
      <c r="D189" s="69"/>
      <c r="E189" s="222"/>
      <c r="F189" s="222"/>
      <c r="G189" s="68" t="s">
        <v>290</v>
      </c>
      <c r="H189" s="70" t="e">
        <f>VLOOKUP(B189,custoEPI!$B$6:$E$29,4,FALSE)</f>
        <v>#N/A</v>
      </c>
      <c r="I189" s="71"/>
      <c r="J189" s="71" t="str">
        <f t="shared" si="44"/>
        <v>sem descrição</v>
      </c>
      <c r="K189" s="69" t="str">
        <f t="shared" si="45"/>
        <v>informar entrega</v>
      </c>
      <c r="L189" s="69">
        <f t="shared" si="46"/>
        <v>0</v>
      </c>
      <c r="M189" s="69">
        <f t="shared" si="47"/>
        <v>0</v>
      </c>
    </row>
    <row r="190" spans="1:13" s="61" customFormat="1" ht="20.25" hidden="1" customHeight="1" x14ac:dyDescent="0.25">
      <c r="A190" s="67" t="s">
        <v>114</v>
      </c>
      <c r="B190" s="68"/>
      <c r="C190" s="69"/>
      <c r="D190" s="69"/>
      <c r="E190" s="222"/>
      <c r="F190" s="222"/>
      <c r="G190" s="68" t="s">
        <v>290</v>
      </c>
      <c r="H190" s="70" t="e">
        <f>VLOOKUP(B190,custoEPI!$B$6:$E$29,4,FALSE)</f>
        <v>#N/A</v>
      </c>
      <c r="I190" s="71"/>
      <c r="J190" s="71" t="str">
        <f t="shared" si="44"/>
        <v>sem descrição</v>
      </c>
      <c r="K190" s="69" t="str">
        <f t="shared" si="45"/>
        <v>informar entrega</v>
      </c>
      <c r="L190" s="69">
        <f t="shared" si="46"/>
        <v>0</v>
      </c>
      <c r="M190" s="69">
        <f t="shared" si="47"/>
        <v>0</v>
      </c>
    </row>
    <row r="191" spans="1:13" s="61" customFormat="1" ht="20.25" hidden="1" customHeight="1" x14ac:dyDescent="0.25">
      <c r="A191" s="67" t="s">
        <v>115</v>
      </c>
      <c r="B191" s="68"/>
      <c r="C191" s="69"/>
      <c r="D191" s="69"/>
      <c r="E191" s="222"/>
      <c r="F191" s="222"/>
      <c r="G191" s="68" t="s">
        <v>290</v>
      </c>
      <c r="H191" s="70" t="e">
        <f>VLOOKUP(B191,custoEPI!$B$6:$E$29,4,FALSE)</f>
        <v>#N/A</v>
      </c>
      <c r="I191" s="71"/>
      <c r="J191" s="71" t="str">
        <f t="shared" si="44"/>
        <v>sem descrição</v>
      </c>
      <c r="K191" s="69" t="str">
        <f t="shared" si="45"/>
        <v>informar entrega</v>
      </c>
      <c r="L191" s="69">
        <f t="shared" si="46"/>
        <v>0</v>
      </c>
      <c r="M191" s="69">
        <f t="shared" si="47"/>
        <v>0</v>
      </c>
    </row>
    <row r="192" spans="1:13" s="61" customFormat="1" ht="20.25" hidden="1" customHeight="1" x14ac:dyDescent="0.25">
      <c r="A192" s="67" t="s">
        <v>116</v>
      </c>
      <c r="B192" s="68"/>
      <c r="C192" s="69"/>
      <c r="D192" s="69"/>
      <c r="E192" s="222"/>
      <c r="F192" s="222"/>
      <c r="G192" s="68" t="s">
        <v>290</v>
      </c>
      <c r="H192" s="70" t="e">
        <f>VLOOKUP(B192,custoEPI!$B$6:$E$29,4,FALSE)</f>
        <v>#N/A</v>
      </c>
      <c r="I192" s="71"/>
      <c r="J192" s="71" t="str">
        <f t="shared" si="44"/>
        <v>sem descrição</v>
      </c>
      <c r="K192" s="69" t="str">
        <f t="shared" si="45"/>
        <v>informar entrega</v>
      </c>
      <c r="L192" s="69">
        <f t="shared" si="46"/>
        <v>0</v>
      </c>
      <c r="M192" s="69">
        <f t="shared" si="47"/>
        <v>0</v>
      </c>
    </row>
    <row r="193" spans="1:13" s="61" customFormat="1" ht="20.25" hidden="1" customHeight="1" x14ac:dyDescent="0.25">
      <c r="A193" s="67" t="s">
        <v>118</v>
      </c>
      <c r="B193" s="68"/>
      <c r="C193" s="69"/>
      <c r="D193" s="69"/>
      <c r="E193" s="222"/>
      <c r="F193" s="222"/>
      <c r="G193" s="68" t="s">
        <v>290</v>
      </c>
      <c r="H193" s="70" t="e">
        <f>VLOOKUP(B193,custoEPI!$B$6:$E$29,4,FALSE)</f>
        <v>#N/A</v>
      </c>
      <c r="I193" s="71"/>
      <c r="J193" s="71" t="str">
        <f t="shared" si="44"/>
        <v>sem descrição</v>
      </c>
      <c r="K193" s="69" t="str">
        <f t="shared" si="45"/>
        <v>informar entrega</v>
      </c>
      <c r="L193" s="69">
        <f t="shared" si="46"/>
        <v>0</v>
      </c>
      <c r="M193" s="69">
        <f t="shared" si="47"/>
        <v>0</v>
      </c>
    </row>
    <row r="194" spans="1:13" s="61" customFormat="1" ht="20.25" hidden="1" customHeight="1" x14ac:dyDescent="0.25">
      <c r="A194" s="67" t="s">
        <v>121</v>
      </c>
      <c r="B194" s="68"/>
      <c r="C194" s="69"/>
      <c r="D194" s="69"/>
      <c r="E194" s="222"/>
      <c r="F194" s="222"/>
      <c r="G194" s="68"/>
      <c r="H194" s="70"/>
      <c r="I194" s="71"/>
      <c r="J194" s="71" t="str">
        <f t="shared" si="44"/>
        <v>sem descrição</v>
      </c>
      <c r="K194" s="69" t="str">
        <f t="shared" si="45"/>
        <v>informar entrega</v>
      </c>
      <c r="L194" s="69">
        <f t="shared" si="46"/>
        <v>0</v>
      </c>
      <c r="M194" s="69">
        <f t="shared" si="47"/>
        <v>0</v>
      </c>
    </row>
    <row r="195" spans="1:13" s="61" customFormat="1" ht="20.25" hidden="1" customHeight="1" x14ac:dyDescent="0.25">
      <c r="A195" s="67" t="s">
        <v>125</v>
      </c>
      <c r="B195" s="68"/>
      <c r="C195" s="69"/>
      <c r="D195" s="69"/>
      <c r="E195" s="222"/>
      <c r="F195" s="222"/>
      <c r="G195" s="68"/>
      <c r="H195" s="70"/>
      <c r="I195" s="71"/>
      <c r="J195" s="71" t="str">
        <f t="shared" si="44"/>
        <v>sem descrição</v>
      </c>
      <c r="K195" s="69" t="str">
        <f t="shared" si="45"/>
        <v>informar entrega</v>
      </c>
      <c r="L195" s="69">
        <f t="shared" si="46"/>
        <v>0</v>
      </c>
      <c r="M195" s="69">
        <f t="shared" si="47"/>
        <v>0</v>
      </c>
    </row>
    <row r="196" spans="1:13" s="61" customFormat="1" ht="20.25" hidden="1" customHeight="1" x14ac:dyDescent="0.25">
      <c r="A196" s="67" t="s">
        <v>127</v>
      </c>
      <c r="B196" s="68"/>
      <c r="C196" s="69"/>
      <c r="D196" s="69"/>
      <c r="E196" s="222"/>
      <c r="F196" s="222"/>
      <c r="G196" s="68"/>
      <c r="H196" s="70"/>
      <c r="I196" s="70"/>
      <c r="J196" s="71" t="str">
        <f t="shared" si="44"/>
        <v>sem descrição</v>
      </c>
      <c r="K196" s="69" t="str">
        <f t="shared" si="45"/>
        <v>informar entrega</v>
      </c>
      <c r="L196" s="69">
        <f t="shared" si="46"/>
        <v>0</v>
      </c>
      <c r="M196" s="69">
        <f t="shared" si="47"/>
        <v>0</v>
      </c>
    </row>
    <row r="197" spans="1:13" s="61" customFormat="1" ht="20.25" hidden="1" customHeight="1" x14ac:dyDescent="0.25">
      <c r="A197" s="67" t="s">
        <v>129</v>
      </c>
      <c r="B197" s="68"/>
      <c r="C197" s="69"/>
      <c r="D197" s="69"/>
      <c r="E197" s="222"/>
      <c r="F197" s="222"/>
      <c r="G197" s="68"/>
      <c r="H197" s="70"/>
      <c r="I197" s="70"/>
      <c r="J197" s="71" t="str">
        <f t="shared" si="44"/>
        <v>sem descrição</v>
      </c>
      <c r="K197" s="69" t="str">
        <f t="shared" si="45"/>
        <v>informar entrega</v>
      </c>
      <c r="L197" s="69">
        <f t="shared" si="46"/>
        <v>0</v>
      </c>
      <c r="M197" s="69">
        <f t="shared" si="47"/>
        <v>0</v>
      </c>
    </row>
    <row r="198" spans="1:13" s="61" customFormat="1" ht="20.25" hidden="1" customHeight="1" x14ac:dyDescent="0.25">
      <c r="A198" s="67" t="s">
        <v>131</v>
      </c>
      <c r="B198" s="68"/>
      <c r="C198" s="69"/>
      <c r="D198" s="69"/>
      <c r="E198" s="222"/>
      <c r="F198" s="222"/>
      <c r="G198" s="68"/>
      <c r="H198" s="70"/>
      <c r="I198" s="70"/>
      <c r="J198" s="71" t="str">
        <f t="shared" si="44"/>
        <v>sem descrição</v>
      </c>
      <c r="K198" s="69" t="str">
        <f t="shared" si="45"/>
        <v>informar entrega</v>
      </c>
      <c r="L198" s="69">
        <f t="shared" si="46"/>
        <v>0</v>
      </c>
      <c r="M198" s="69">
        <f t="shared" si="47"/>
        <v>0</v>
      </c>
    </row>
    <row r="199" spans="1:13" s="61" customFormat="1" ht="20.25" hidden="1" customHeight="1" x14ac:dyDescent="0.25">
      <c r="A199" s="67" t="s">
        <v>188</v>
      </c>
      <c r="B199" s="68"/>
      <c r="C199" s="69"/>
      <c r="D199" s="69"/>
      <c r="E199" s="222"/>
      <c r="F199" s="222"/>
      <c r="G199" s="68"/>
      <c r="H199" s="70"/>
      <c r="I199" s="70"/>
      <c r="J199" s="71" t="str">
        <f t="shared" si="44"/>
        <v>sem descrição</v>
      </c>
      <c r="K199" s="69" t="str">
        <f t="shared" si="45"/>
        <v>informar entrega</v>
      </c>
      <c r="L199" s="69">
        <f t="shared" si="46"/>
        <v>0</v>
      </c>
      <c r="M199" s="69">
        <f t="shared" si="47"/>
        <v>0</v>
      </c>
    </row>
    <row r="200" spans="1:13" s="61" customFormat="1" ht="20.25" hidden="1" customHeight="1" x14ac:dyDescent="0.25">
      <c r="A200" s="67" t="s">
        <v>192</v>
      </c>
      <c r="B200" s="68"/>
      <c r="C200" s="69"/>
      <c r="D200" s="69"/>
      <c r="E200" s="222"/>
      <c r="F200" s="222"/>
      <c r="G200" s="68"/>
      <c r="H200" s="70"/>
      <c r="I200" s="70"/>
      <c r="J200" s="71" t="str">
        <f t="shared" si="44"/>
        <v>sem descrição</v>
      </c>
      <c r="K200" s="69" t="str">
        <f t="shared" si="45"/>
        <v>informar entrega</v>
      </c>
      <c r="L200" s="69">
        <f t="shared" si="46"/>
        <v>0</v>
      </c>
      <c r="M200" s="69">
        <f t="shared" si="47"/>
        <v>0</v>
      </c>
    </row>
    <row r="201" spans="1:13" s="61" customFormat="1" ht="20.25" hidden="1" customHeight="1" x14ac:dyDescent="0.25">
      <c r="A201" s="67" t="s">
        <v>195</v>
      </c>
      <c r="B201" s="68"/>
      <c r="C201" s="69"/>
      <c r="D201" s="69"/>
      <c r="E201" s="222"/>
      <c r="F201" s="222"/>
      <c r="G201" s="68"/>
      <c r="H201" s="70"/>
      <c r="I201" s="70"/>
      <c r="J201" s="71" t="str">
        <f t="shared" si="44"/>
        <v>sem descrição</v>
      </c>
      <c r="K201" s="69" t="str">
        <f t="shared" si="45"/>
        <v>informar entrega</v>
      </c>
      <c r="L201" s="69">
        <f t="shared" si="46"/>
        <v>0</v>
      </c>
      <c r="M201" s="69">
        <f t="shared" si="47"/>
        <v>0</v>
      </c>
    </row>
    <row r="202" spans="1:13" s="61" customFormat="1" ht="20.25" hidden="1" customHeight="1" x14ac:dyDescent="0.25">
      <c r="A202" s="67" t="s">
        <v>199</v>
      </c>
      <c r="B202" s="68"/>
      <c r="C202" s="69"/>
      <c r="D202" s="69"/>
      <c r="E202" s="222"/>
      <c r="F202" s="222"/>
      <c r="G202" s="68"/>
      <c r="H202" s="70"/>
      <c r="I202" s="70"/>
      <c r="J202" s="71" t="str">
        <f t="shared" si="44"/>
        <v>sem descrição</v>
      </c>
      <c r="K202" s="69" t="str">
        <f>IF(C202="mensal",J202*H202*E202,IF(C202="trimestral",(J202*H202*E202)/3,IF(C202="semestral",(J202*H202*E202)/6,IF(C202="anual",(J202*H202*E202/12),"informar período"))))</f>
        <v>informar período</v>
      </c>
      <c r="L202" s="69">
        <f t="shared" si="46"/>
        <v>0</v>
      </c>
      <c r="M202" s="69">
        <f t="shared" si="47"/>
        <v>0</v>
      </c>
    </row>
    <row r="203" spans="1:13" s="61" customFormat="1" ht="20.25" customHeight="1" x14ac:dyDescent="0.25">
      <c r="A203" s="152" t="s">
        <v>330</v>
      </c>
      <c r="B203" s="147"/>
      <c r="C203" s="147"/>
      <c r="D203" s="147"/>
      <c r="E203" s="147"/>
      <c r="F203" s="147"/>
      <c r="G203" s="147"/>
      <c r="H203" s="147"/>
      <c r="I203" s="139"/>
      <c r="J203" s="155"/>
      <c r="K203" s="156">
        <f>SUM(K186:K202)</f>
        <v>0</v>
      </c>
      <c r="L203" s="157">
        <f>K203*12</f>
        <v>0</v>
      </c>
      <c r="M203" s="158">
        <f>K203*60</f>
        <v>0</v>
      </c>
    </row>
    <row r="204" spans="1:13" s="61" customFormat="1" ht="20.25" customHeight="1" x14ac:dyDescent="0.25">
      <c r="A204" s="152" t="s">
        <v>302</v>
      </c>
      <c r="B204" s="147"/>
      <c r="C204" s="147"/>
      <c r="D204" s="147"/>
      <c r="E204" s="147"/>
      <c r="F204" s="147"/>
      <c r="G204" s="147"/>
      <c r="H204" s="147"/>
      <c r="I204" s="147"/>
      <c r="J204" s="147"/>
      <c r="K204" s="147"/>
      <c r="L204" s="147"/>
      <c r="M204" s="159">
        <f>K203/SUM(C182:M184)</f>
        <v>0</v>
      </c>
    </row>
    <row r="205" spans="1:13" s="61" customFormat="1" ht="20.25" customHeight="1" x14ac:dyDescent="0.25">
      <c r="A205" s="235" t="s">
        <v>273</v>
      </c>
      <c r="B205" s="143" t="s">
        <v>19</v>
      </c>
      <c r="C205" s="153"/>
      <c r="D205" s="153"/>
      <c r="E205" s="153"/>
      <c r="F205" s="153"/>
      <c r="G205" s="153"/>
      <c r="H205" s="153"/>
      <c r="I205" s="153"/>
      <c r="J205" s="153"/>
      <c r="K205" s="153"/>
      <c r="L205" s="153"/>
      <c r="M205" s="154"/>
    </row>
    <row r="206" spans="1:13" s="61" customFormat="1" ht="20.25" customHeight="1" x14ac:dyDescent="0.25">
      <c r="A206" s="62">
        <v>1</v>
      </c>
      <c r="B206" s="63" t="s">
        <v>274</v>
      </c>
      <c r="C206" s="216" t="str">
        <f>'planilha - proposta'!C37</f>
        <v>Cozinheiro Hospitalar</v>
      </c>
      <c r="D206" s="217"/>
      <c r="E206" s="217"/>
      <c r="F206" s="217"/>
      <c r="G206" s="217"/>
      <c r="H206" s="145"/>
      <c r="I206" s="145"/>
      <c r="J206" s="145"/>
      <c r="K206" s="145"/>
      <c r="L206" s="145"/>
      <c r="M206" s="146"/>
    </row>
    <row r="207" spans="1:13" s="61" customFormat="1" ht="20.25" customHeight="1" x14ac:dyDescent="0.25">
      <c r="A207" s="62">
        <v>2</v>
      </c>
      <c r="B207" s="63" t="str">
        <f>'planilha - proposta'!D37</f>
        <v>Cozinheiro Hospitalar - 12x36d</v>
      </c>
      <c r="C207" s="216">
        <f>VLOOKUP(B207,'planilha - proposta'!$D$17:$E$62,2,FALSE)</f>
        <v>12</v>
      </c>
      <c r="D207" s="217"/>
      <c r="E207" s="217"/>
      <c r="F207" s="217"/>
      <c r="G207" s="217"/>
      <c r="H207" s="145"/>
      <c r="I207" s="145"/>
      <c r="J207" s="145"/>
      <c r="K207" s="145"/>
      <c r="L207" s="145"/>
      <c r="M207" s="146"/>
    </row>
    <row r="208" spans="1:13" s="61" customFormat="1" ht="20.25" customHeight="1" x14ac:dyDescent="0.25">
      <c r="A208" s="62">
        <v>3</v>
      </c>
      <c r="B208" s="63" t="str">
        <f>'planilha - proposta'!D38</f>
        <v>Cozinheiro Hospitalar - 12x36n</v>
      </c>
      <c r="C208" s="216">
        <f>VLOOKUP(B208,'planilha - proposta'!$D$17:$E$62,2,FALSE)</f>
        <v>2</v>
      </c>
      <c r="D208" s="217"/>
      <c r="E208" s="217"/>
      <c r="F208" s="217"/>
      <c r="G208" s="217"/>
      <c r="H208" s="145"/>
      <c r="I208" s="145"/>
      <c r="J208" s="145"/>
      <c r="K208" s="145"/>
      <c r="L208" s="145"/>
      <c r="M208" s="146"/>
    </row>
    <row r="209" spans="1:13" s="61" customFormat="1" ht="20.25" hidden="1" customHeight="1" x14ac:dyDescent="0.25">
      <c r="A209" s="62">
        <v>4</v>
      </c>
      <c r="B209" s="63" t="str">
        <f>'planilha - proposta'!D39</f>
        <v>Cozinheiro Hospitalar - 44h</v>
      </c>
      <c r="C209" s="216">
        <f>VLOOKUP(B209,'planilha - proposta'!$D$17:$E$62,2,FALSE)</f>
        <v>0</v>
      </c>
      <c r="D209" s="217"/>
      <c r="E209" s="217"/>
      <c r="F209" s="217"/>
      <c r="G209" s="217"/>
      <c r="H209" s="145"/>
      <c r="I209" s="145"/>
      <c r="J209" s="145"/>
      <c r="K209" s="145"/>
      <c r="L209" s="145"/>
      <c r="M209" s="146"/>
    </row>
    <row r="210" spans="1:13" s="61" customFormat="1" ht="52.5" customHeight="1" x14ac:dyDescent="0.25">
      <c r="A210" s="64" t="s">
        <v>273</v>
      </c>
      <c r="B210" s="65" t="s">
        <v>275</v>
      </c>
      <c r="C210" s="218" t="s">
        <v>276</v>
      </c>
      <c r="D210" s="218" t="s">
        <v>277</v>
      </c>
      <c r="E210" s="218" t="s">
        <v>278</v>
      </c>
      <c r="F210" s="218" t="s">
        <v>303</v>
      </c>
      <c r="G210" s="223" t="s">
        <v>280</v>
      </c>
      <c r="H210" s="65" t="s">
        <v>304</v>
      </c>
      <c r="I210" s="66" t="s">
        <v>305</v>
      </c>
      <c r="J210" s="66" t="s">
        <v>318</v>
      </c>
      <c r="K210" s="65" t="s">
        <v>284</v>
      </c>
      <c r="L210" s="65" t="s">
        <v>285</v>
      </c>
      <c r="M210" s="66" t="s">
        <v>286</v>
      </c>
    </row>
    <row r="211" spans="1:13" s="61" customFormat="1" ht="20.25" customHeight="1" x14ac:dyDescent="0.25">
      <c r="A211" s="67" t="s">
        <v>108</v>
      </c>
      <c r="B211" s="68" t="s">
        <v>311</v>
      </c>
      <c r="C211" s="69" t="s">
        <v>298</v>
      </c>
      <c r="D211" s="69" t="s">
        <v>292</v>
      </c>
      <c r="E211" s="222">
        <v>1</v>
      </c>
      <c r="F211" s="222">
        <v>0</v>
      </c>
      <c r="G211" s="68" t="s">
        <v>290</v>
      </c>
      <c r="H211" s="70">
        <f>VLOOKUP(B211,custoEPI!$B$6:$E$29,4,FALSE)</f>
        <v>0</v>
      </c>
      <c r="I211" s="71">
        <f t="shared" ref="I211:I219" si="48">SUM($C$207:$M$209)</f>
        <v>14</v>
      </c>
      <c r="J211" s="71">
        <f t="shared" ref="J211:J227" si="49">IF(B211="","sem descrição",IF($C$207&gt;=$C$208,IF($C$209&gt;0,$C$207/2+$C$209,$C$207/2),IF($C$209&gt;0,$C$208/5+$C$209,$C$209)))</f>
        <v>6</v>
      </c>
      <c r="K211" s="69">
        <f>IF(C211="mensal",IF(F211&gt;0,F211*H211,IF(D211="descartável",((SUM($C$207:$C$208)/2)+$C$209)*E211*H211,IF(D211="pessoal",E211*H211*I211,E211*H211*J211))),0)+IF(C211="trimestral",IF(F211&gt;0,F211*H211/3,IF(D211="descartável",(((SUM($C$207:$C$208)/2)+$C$209)*E211*H211)/3,IF(D211="pessoal",(E211*H211*I211)/3,(E211*H211*J211)/3))),0)+IF(C211="semestral",IF(F211&gt;0,F211*H211/6,IF(D211="descartável",(((SUM($C$207:$C$208)/2)+$C$209)*E211*H211)/6,IF(D211="pessoal",(E211*H211*I211)/6,(E211*H211*J211)/6))),0)+IF(C211="anual",IF(F211&gt;0,F211*H211/12,IF(D211="descartável",(((SUM($C$207:$C$208)/2)+$C$209)*E211*H211)/12,IF(D211="pessoal",(E211*H211*I211)/12,(E211*H211*J211)/12))),0)</f>
        <v>0</v>
      </c>
      <c r="L211" s="69">
        <f>IFERROR(K211*12, 0)</f>
        <v>0</v>
      </c>
      <c r="M211" s="69">
        <f>IFERROR(K211*60,0)</f>
        <v>0</v>
      </c>
    </row>
    <row r="212" spans="1:13" s="61" customFormat="1" ht="20.25" customHeight="1" x14ac:dyDescent="0.25">
      <c r="A212" s="67" t="s">
        <v>110</v>
      </c>
      <c r="B212" s="68" t="s">
        <v>312</v>
      </c>
      <c r="C212" s="69" t="s">
        <v>300</v>
      </c>
      <c r="D212" s="69" t="s">
        <v>292</v>
      </c>
      <c r="E212" s="222">
        <v>1</v>
      </c>
      <c r="F212" s="222">
        <v>0</v>
      </c>
      <c r="G212" s="68" t="s">
        <v>290</v>
      </c>
      <c r="H212" s="70">
        <f>VLOOKUP(B212,custoEPI!$B$6:$E$29,4,FALSE)</f>
        <v>0</v>
      </c>
      <c r="I212" s="71">
        <f t="shared" si="48"/>
        <v>14</v>
      </c>
      <c r="J212" s="71">
        <f t="shared" si="49"/>
        <v>6</v>
      </c>
      <c r="K212" s="69">
        <f t="shared" ref="K212:K219" si="50">IF(C212="mensal",IF(F212&gt;0,F212*H212,IF(D212="descartável",((SUM($C$207:$C$208)/2)+$C$209)*E212*H212,IF(D212="pessoal",E212*H212*I212,E212*H212*J212))),0)+IF(C212="trimestral",IF(F212&gt;0,F212*H212/3,IF(D212="descartável",(((SUM($C$207:$C$208)/2)+$C$209)*E212*H212)/3,IF(D212="pessoal",(E212*H212*I212)/3,(E212*H212*J212)/3))),0)+IF(C212="semestral",IF(F212&gt;0,F212*H212/6,IF(D212="descartável",(((SUM($C$207:$C$208)/2)+$C$209)*E212*H212)/6,IF(D212="pessoal",(E212*H212*I212)/6,(E212*H212*J212)/6))),0)+IF(C212="anual",IF(F212&gt;0,F212*H212/12,IF(D212="descartável",(((SUM($C$207:$C$208)/2)+$C$209)*E212*H212)/12,IF(D212="pessoal",(E212*H212*I212)/12,(E212*H212*J212)/12))),0)</f>
        <v>0</v>
      </c>
      <c r="L212" s="69">
        <f t="shared" ref="L212:L227" si="51">IFERROR(K212*12, 0)</f>
        <v>0</v>
      </c>
      <c r="M212" s="69">
        <f t="shared" ref="M212:M227" si="52">IFERROR(K212*60,0)</f>
        <v>0</v>
      </c>
    </row>
    <row r="213" spans="1:13" s="61" customFormat="1" ht="20.25" customHeight="1" x14ac:dyDescent="0.25">
      <c r="A213" s="67" t="s">
        <v>111</v>
      </c>
      <c r="B213" s="68" t="s">
        <v>316</v>
      </c>
      <c r="C213" s="69" t="s">
        <v>298</v>
      </c>
      <c r="D213" s="69" t="s">
        <v>310</v>
      </c>
      <c r="E213" s="222">
        <v>1</v>
      </c>
      <c r="F213" s="222">
        <v>0</v>
      </c>
      <c r="G213" s="68" t="s">
        <v>315</v>
      </c>
      <c r="H213" s="70">
        <f>VLOOKUP(B213,custoEPI!$B$6:$E$29,4,FALSE)</f>
        <v>0</v>
      </c>
      <c r="I213" s="71">
        <f t="shared" si="48"/>
        <v>14</v>
      </c>
      <c r="J213" s="71">
        <f t="shared" si="49"/>
        <v>6</v>
      </c>
      <c r="K213" s="69">
        <f t="shared" si="50"/>
        <v>0</v>
      </c>
      <c r="L213" s="69">
        <f t="shared" si="51"/>
        <v>0</v>
      </c>
      <c r="M213" s="69">
        <f t="shared" si="52"/>
        <v>0</v>
      </c>
    </row>
    <row r="214" spans="1:13" s="61" customFormat="1" ht="20.25" hidden="1" customHeight="1" x14ac:dyDescent="0.25">
      <c r="A214" s="67"/>
      <c r="B214" s="68"/>
      <c r="C214" s="69"/>
      <c r="D214" s="69"/>
      <c r="E214" s="222"/>
      <c r="F214" s="222"/>
      <c r="G214" s="68"/>
      <c r="H214" s="70" t="e">
        <f>VLOOKUP(B214,custoEPI!$B$6:$E$29,4,FALSE)</f>
        <v>#N/A</v>
      </c>
      <c r="I214" s="71">
        <f t="shared" si="48"/>
        <v>14</v>
      </c>
      <c r="J214" s="71" t="str">
        <f t="shared" si="49"/>
        <v>sem descrição</v>
      </c>
      <c r="K214" s="69">
        <f t="shared" si="50"/>
        <v>0</v>
      </c>
      <c r="L214" s="69">
        <f t="shared" si="51"/>
        <v>0</v>
      </c>
      <c r="M214" s="69">
        <f t="shared" si="52"/>
        <v>0</v>
      </c>
    </row>
    <row r="215" spans="1:13" s="61" customFormat="1" ht="20.25" customHeight="1" x14ac:dyDescent="0.25">
      <c r="A215" s="67" t="s">
        <v>113</v>
      </c>
      <c r="B215" s="68" t="s">
        <v>287</v>
      </c>
      <c r="C215" s="69" t="s">
        <v>288</v>
      </c>
      <c r="D215" s="69" t="s">
        <v>289</v>
      </c>
      <c r="E215" s="222">
        <v>90</v>
      </c>
      <c r="F215" s="222">
        <v>0</v>
      </c>
      <c r="G215" s="68" t="s">
        <v>290</v>
      </c>
      <c r="H215" s="70">
        <f>VLOOKUP(B215,custoEPI!$B$6:$E$29,4,FALSE)</f>
        <v>0</v>
      </c>
      <c r="I215" s="71">
        <f t="shared" si="48"/>
        <v>14</v>
      </c>
      <c r="J215" s="71">
        <f t="shared" si="49"/>
        <v>6</v>
      </c>
      <c r="K215" s="69">
        <f t="shared" si="50"/>
        <v>0</v>
      </c>
      <c r="L215" s="69">
        <f t="shared" si="51"/>
        <v>0</v>
      </c>
      <c r="M215" s="69">
        <f t="shared" si="52"/>
        <v>0</v>
      </c>
    </row>
    <row r="216" spans="1:13" s="61" customFormat="1" ht="20.25" hidden="1" customHeight="1" x14ac:dyDescent="0.25">
      <c r="A216" s="67"/>
      <c r="B216" s="68"/>
      <c r="C216" s="69"/>
      <c r="D216" s="69"/>
      <c r="E216" s="222"/>
      <c r="F216" s="222"/>
      <c r="G216" s="68"/>
      <c r="H216" s="70" t="e">
        <f>VLOOKUP(B216,custoEPI!$B$6:$E$29,4,FALSE)</f>
        <v>#N/A</v>
      </c>
      <c r="I216" s="71">
        <f t="shared" si="48"/>
        <v>14</v>
      </c>
      <c r="J216" s="71" t="str">
        <f t="shared" si="49"/>
        <v>sem descrição</v>
      </c>
      <c r="K216" s="69">
        <f t="shared" si="50"/>
        <v>0</v>
      </c>
      <c r="L216" s="69">
        <f t="shared" si="51"/>
        <v>0</v>
      </c>
      <c r="M216" s="69">
        <f t="shared" si="52"/>
        <v>0</v>
      </c>
    </row>
    <row r="217" spans="1:13" s="61" customFormat="1" ht="20.25" customHeight="1" x14ac:dyDescent="0.25">
      <c r="A217" s="67" t="s">
        <v>114</v>
      </c>
      <c r="B217" s="68" t="s">
        <v>314</v>
      </c>
      <c r="C217" s="69" t="s">
        <v>288</v>
      </c>
      <c r="D217" s="69" t="s">
        <v>292</v>
      </c>
      <c r="E217" s="222">
        <v>1</v>
      </c>
      <c r="F217" s="222">
        <v>0</v>
      </c>
      <c r="G217" s="68" t="s">
        <v>315</v>
      </c>
      <c r="H217" s="70">
        <f>VLOOKUP(B217,custoEPI!$B$6:$E$29,4,FALSE)</f>
        <v>0</v>
      </c>
      <c r="I217" s="71">
        <f t="shared" si="48"/>
        <v>14</v>
      </c>
      <c r="J217" s="71">
        <f t="shared" si="49"/>
        <v>6</v>
      </c>
      <c r="K217" s="69">
        <f t="shared" si="50"/>
        <v>0</v>
      </c>
      <c r="L217" s="69">
        <f t="shared" si="51"/>
        <v>0</v>
      </c>
      <c r="M217" s="69">
        <f t="shared" si="52"/>
        <v>0</v>
      </c>
    </row>
    <row r="218" spans="1:13" s="61" customFormat="1" ht="20.25" customHeight="1" x14ac:dyDescent="0.25">
      <c r="A218" s="67" t="s">
        <v>115</v>
      </c>
      <c r="B218" s="68" t="s">
        <v>313</v>
      </c>
      <c r="C218" s="69" t="s">
        <v>288</v>
      </c>
      <c r="D218" s="69" t="s">
        <v>289</v>
      </c>
      <c r="E218" s="222">
        <v>48</v>
      </c>
      <c r="F218" s="222">
        <v>0</v>
      </c>
      <c r="G218" s="68" t="s">
        <v>290</v>
      </c>
      <c r="H218" s="70">
        <f>VLOOKUP(B218,custoEPI!$B$6:$E$29,4,FALSE)</f>
        <v>0</v>
      </c>
      <c r="I218" s="71">
        <f t="shared" si="48"/>
        <v>14</v>
      </c>
      <c r="J218" s="71">
        <f t="shared" si="49"/>
        <v>6</v>
      </c>
      <c r="K218" s="69">
        <f t="shared" si="50"/>
        <v>0</v>
      </c>
      <c r="L218" s="69">
        <f t="shared" si="51"/>
        <v>0</v>
      </c>
      <c r="M218" s="69">
        <f t="shared" si="52"/>
        <v>0</v>
      </c>
    </row>
    <row r="219" spans="1:13" s="61" customFormat="1" ht="20.25" customHeight="1" x14ac:dyDescent="0.25">
      <c r="A219" s="67" t="s">
        <v>116</v>
      </c>
      <c r="B219" s="68" t="s">
        <v>307</v>
      </c>
      <c r="C219" s="69" t="s">
        <v>300</v>
      </c>
      <c r="D219" s="69" t="s">
        <v>292</v>
      </c>
      <c r="E219" s="222">
        <v>1</v>
      </c>
      <c r="F219" s="222">
        <v>0</v>
      </c>
      <c r="G219" s="68" t="s">
        <v>290</v>
      </c>
      <c r="H219" s="70">
        <f>VLOOKUP(B219,custoEPI!$B$6:$E$29,4,FALSE)</f>
        <v>0</v>
      </c>
      <c r="I219" s="71">
        <f t="shared" si="48"/>
        <v>14</v>
      </c>
      <c r="J219" s="71">
        <f t="shared" si="49"/>
        <v>6</v>
      </c>
      <c r="K219" s="69">
        <f t="shared" si="50"/>
        <v>0</v>
      </c>
      <c r="L219" s="69">
        <f t="shared" si="51"/>
        <v>0</v>
      </c>
      <c r="M219" s="69">
        <f t="shared" si="52"/>
        <v>0</v>
      </c>
    </row>
    <row r="220" spans="1:13" s="61" customFormat="1" ht="20.25" hidden="1" customHeight="1" x14ac:dyDescent="0.25">
      <c r="A220" s="67" t="s">
        <v>125</v>
      </c>
      <c r="B220" s="68"/>
      <c r="C220" s="69"/>
      <c r="D220" s="69"/>
      <c r="E220" s="222"/>
      <c r="F220" s="222"/>
      <c r="G220" s="68"/>
      <c r="H220" s="70"/>
      <c r="I220" s="71"/>
      <c r="J220" s="71" t="str">
        <f t="shared" si="49"/>
        <v>sem descrição</v>
      </c>
      <c r="K220" s="69" t="str">
        <f t="shared" ref="K220:K226" si="53">IF(C220="mensal",J220*H220*E220,IF(C220="trimestral",(J220*H220*E220)/3,IF(C220="semestral",(J220*H220*E220)/6,IF(C220="anual",(J220*H220*E220/12),"informar entrega"))))</f>
        <v>informar entrega</v>
      </c>
      <c r="L220" s="69">
        <f t="shared" si="51"/>
        <v>0</v>
      </c>
      <c r="M220" s="69">
        <f t="shared" si="52"/>
        <v>0</v>
      </c>
    </row>
    <row r="221" spans="1:13" s="61" customFormat="1" ht="20.25" hidden="1" customHeight="1" x14ac:dyDescent="0.25">
      <c r="A221" s="67" t="s">
        <v>127</v>
      </c>
      <c r="B221" s="68"/>
      <c r="C221" s="69"/>
      <c r="D221" s="69"/>
      <c r="E221" s="222"/>
      <c r="F221" s="222"/>
      <c r="G221" s="68"/>
      <c r="H221" s="70"/>
      <c r="I221" s="70"/>
      <c r="J221" s="71" t="str">
        <f t="shared" si="49"/>
        <v>sem descrição</v>
      </c>
      <c r="K221" s="69" t="str">
        <f t="shared" si="53"/>
        <v>informar entrega</v>
      </c>
      <c r="L221" s="69">
        <f t="shared" si="51"/>
        <v>0</v>
      </c>
      <c r="M221" s="69">
        <f t="shared" si="52"/>
        <v>0</v>
      </c>
    </row>
    <row r="222" spans="1:13" s="61" customFormat="1" ht="20.25" hidden="1" customHeight="1" x14ac:dyDescent="0.25">
      <c r="A222" s="67" t="s">
        <v>129</v>
      </c>
      <c r="B222" s="68"/>
      <c r="C222" s="69"/>
      <c r="D222" s="69"/>
      <c r="E222" s="222"/>
      <c r="F222" s="222"/>
      <c r="G222" s="68"/>
      <c r="H222" s="70"/>
      <c r="I222" s="70"/>
      <c r="J222" s="71" t="str">
        <f t="shared" si="49"/>
        <v>sem descrição</v>
      </c>
      <c r="K222" s="69" t="str">
        <f t="shared" si="53"/>
        <v>informar entrega</v>
      </c>
      <c r="L222" s="69">
        <f t="shared" si="51"/>
        <v>0</v>
      </c>
      <c r="M222" s="69">
        <f t="shared" si="52"/>
        <v>0</v>
      </c>
    </row>
    <row r="223" spans="1:13" s="61" customFormat="1" ht="20.25" hidden="1" customHeight="1" x14ac:dyDescent="0.25">
      <c r="A223" s="67" t="s">
        <v>131</v>
      </c>
      <c r="B223" s="68"/>
      <c r="C223" s="69"/>
      <c r="D223" s="69"/>
      <c r="E223" s="222"/>
      <c r="F223" s="222"/>
      <c r="G223" s="68"/>
      <c r="H223" s="70"/>
      <c r="I223" s="70"/>
      <c r="J223" s="71" t="str">
        <f t="shared" si="49"/>
        <v>sem descrição</v>
      </c>
      <c r="K223" s="69" t="str">
        <f t="shared" si="53"/>
        <v>informar entrega</v>
      </c>
      <c r="L223" s="69">
        <f t="shared" si="51"/>
        <v>0</v>
      </c>
      <c r="M223" s="69">
        <f t="shared" si="52"/>
        <v>0</v>
      </c>
    </row>
    <row r="224" spans="1:13" s="61" customFormat="1" ht="20.25" hidden="1" customHeight="1" x14ac:dyDescent="0.25">
      <c r="A224" s="67" t="s">
        <v>188</v>
      </c>
      <c r="B224" s="68"/>
      <c r="C224" s="69"/>
      <c r="D224" s="69"/>
      <c r="E224" s="222"/>
      <c r="F224" s="222"/>
      <c r="G224" s="68"/>
      <c r="H224" s="70"/>
      <c r="I224" s="70"/>
      <c r="J224" s="71" t="str">
        <f t="shared" si="49"/>
        <v>sem descrição</v>
      </c>
      <c r="K224" s="69" t="str">
        <f t="shared" si="53"/>
        <v>informar entrega</v>
      </c>
      <c r="L224" s="69">
        <f t="shared" si="51"/>
        <v>0</v>
      </c>
      <c r="M224" s="69">
        <f t="shared" si="52"/>
        <v>0</v>
      </c>
    </row>
    <row r="225" spans="1:13" s="61" customFormat="1" ht="20.25" hidden="1" customHeight="1" x14ac:dyDescent="0.25">
      <c r="A225" s="67" t="s">
        <v>192</v>
      </c>
      <c r="B225" s="68"/>
      <c r="C225" s="69"/>
      <c r="D225" s="69"/>
      <c r="E225" s="222"/>
      <c r="F225" s="222"/>
      <c r="G225" s="68"/>
      <c r="H225" s="70"/>
      <c r="I225" s="70"/>
      <c r="J225" s="71" t="str">
        <f t="shared" si="49"/>
        <v>sem descrição</v>
      </c>
      <c r="K225" s="69" t="str">
        <f t="shared" si="53"/>
        <v>informar entrega</v>
      </c>
      <c r="L225" s="69">
        <f t="shared" si="51"/>
        <v>0</v>
      </c>
      <c r="M225" s="69">
        <f t="shared" si="52"/>
        <v>0</v>
      </c>
    </row>
    <row r="226" spans="1:13" s="61" customFormat="1" ht="20.25" hidden="1" customHeight="1" x14ac:dyDescent="0.25">
      <c r="A226" s="67" t="s">
        <v>195</v>
      </c>
      <c r="B226" s="68"/>
      <c r="C226" s="69"/>
      <c r="D226" s="69"/>
      <c r="E226" s="222"/>
      <c r="F226" s="222"/>
      <c r="G226" s="68"/>
      <c r="H226" s="70"/>
      <c r="I226" s="70"/>
      <c r="J226" s="71" t="str">
        <f t="shared" si="49"/>
        <v>sem descrição</v>
      </c>
      <c r="K226" s="69" t="str">
        <f t="shared" si="53"/>
        <v>informar entrega</v>
      </c>
      <c r="L226" s="69">
        <f t="shared" si="51"/>
        <v>0</v>
      </c>
      <c r="M226" s="69">
        <f t="shared" si="52"/>
        <v>0</v>
      </c>
    </row>
    <row r="227" spans="1:13" s="61" customFormat="1" ht="20.25" hidden="1" customHeight="1" x14ac:dyDescent="0.25">
      <c r="A227" s="67" t="s">
        <v>199</v>
      </c>
      <c r="B227" s="68"/>
      <c r="C227" s="69"/>
      <c r="D227" s="69"/>
      <c r="E227" s="222"/>
      <c r="F227" s="222"/>
      <c r="G227" s="68"/>
      <c r="H227" s="70"/>
      <c r="I227" s="70"/>
      <c r="J227" s="71" t="str">
        <f t="shared" si="49"/>
        <v>sem descrição</v>
      </c>
      <c r="K227" s="69" t="str">
        <f>IF(C227="mensal",J227*H227*E227,IF(C227="trimestral",(J227*H227*E227)/3,IF(C227="semestral",(J227*H227*E227)/6,IF(C227="anual",(J227*H227*E227/12),"informar período"))))</f>
        <v>informar período</v>
      </c>
      <c r="L227" s="69">
        <f t="shared" si="51"/>
        <v>0</v>
      </c>
      <c r="M227" s="69">
        <f t="shared" si="52"/>
        <v>0</v>
      </c>
    </row>
    <row r="228" spans="1:13" s="61" customFormat="1" ht="20.25" customHeight="1" x14ac:dyDescent="0.25">
      <c r="A228" s="152" t="s">
        <v>301</v>
      </c>
      <c r="B228" s="147"/>
      <c r="C228" s="147"/>
      <c r="D228" s="147"/>
      <c r="E228" s="147"/>
      <c r="F228" s="147"/>
      <c r="G228" s="147"/>
      <c r="H228" s="147"/>
      <c r="I228" s="139"/>
      <c r="J228" s="155"/>
      <c r="K228" s="156">
        <f>SUM(K211:K227)</f>
        <v>0</v>
      </c>
      <c r="L228" s="157">
        <f>K228*12</f>
        <v>0</v>
      </c>
      <c r="M228" s="158">
        <f>K228*60</f>
        <v>0</v>
      </c>
    </row>
    <row r="229" spans="1:13" s="61" customFormat="1" ht="20.25" customHeight="1" x14ac:dyDescent="0.25">
      <c r="A229" s="152" t="s">
        <v>302</v>
      </c>
      <c r="B229" s="147"/>
      <c r="C229" s="147"/>
      <c r="D229" s="147"/>
      <c r="E229" s="147"/>
      <c r="F229" s="147"/>
      <c r="G229" s="147"/>
      <c r="H229" s="147"/>
      <c r="I229" s="147"/>
      <c r="J229" s="147"/>
      <c r="K229" s="147"/>
      <c r="L229" s="147"/>
      <c r="M229" s="159">
        <f>K228/SUM(C207:M209)</f>
        <v>0</v>
      </c>
    </row>
    <row r="230" spans="1:13" s="61" customFormat="1" ht="20.25" customHeight="1" x14ac:dyDescent="0.25">
      <c r="A230" s="235" t="s">
        <v>273</v>
      </c>
      <c r="B230" s="143" t="s">
        <v>19</v>
      </c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4"/>
    </row>
    <row r="231" spans="1:13" s="61" customFormat="1" ht="20.25" customHeight="1" x14ac:dyDescent="0.25">
      <c r="A231" s="62">
        <v>1</v>
      </c>
      <c r="B231" s="63" t="s">
        <v>274</v>
      </c>
      <c r="C231" s="216" t="str">
        <f>'planilha - proposta'!C40</f>
        <v>Despenseiro/Armazenista</v>
      </c>
      <c r="D231" s="217"/>
      <c r="E231" s="217"/>
      <c r="F231" s="217"/>
      <c r="G231" s="217"/>
      <c r="H231" s="145"/>
      <c r="I231" s="145"/>
      <c r="J231" s="145"/>
      <c r="K231" s="145"/>
      <c r="L231" s="145"/>
      <c r="M231" s="146"/>
    </row>
    <row r="232" spans="1:13" s="61" customFormat="1" ht="20.25" customHeight="1" x14ac:dyDescent="0.25">
      <c r="A232" s="62">
        <v>2</v>
      </c>
      <c r="B232" s="63" t="str">
        <f>'planilha - proposta'!D40</f>
        <v>Despenseiro/Armazenista - 12x36d</v>
      </c>
      <c r="C232" s="216">
        <f>VLOOKUP(B232,'planilha - proposta'!$D$17:$E$62,2,FALSE)</f>
        <v>2</v>
      </c>
      <c r="D232" s="217"/>
      <c r="E232" s="217"/>
      <c r="F232" s="217"/>
      <c r="G232" s="217"/>
      <c r="H232" s="145"/>
      <c r="I232" s="145"/>
      <c r="J232" s="145"/>
      <c r="K232" s="145"/>
      <c r="L232" s="145"/>
      <c r="M232" s="146"/>
    </row>
    <row r="233" spans="1:13" s="61" customFormat="1" ht="20.25" hidden="1" customHeight="1" x14ac:dyDescent="0.25">
      <c r="A233" s="62">
        <v>3</v>
      </c>
      <c r="B233" s="63" t="str">
        <f>'planilha - proposta'!D41</f>
        <v>Despenseiro/Armazenista - 12x36n</v>
      </c>
      <c r="C233" s="216">
        <f>VLOOKUP(B233,'planilha - proposta'!$D$17:$E$62,2,FALSE)</f>
        <v>0</v>
      </c>
      <c r="D233" s="217"/>
      <c r="E233" s="217"/>
      <c r="F233" s="217"/>
      <c r="G233" s="217"/>
      <c r="H233" s="145"/>
      <c r="I233" s="145"/>
      <c r="J233" s="145"/>
      <c r="K233" s="145"/>
      <c r="L233" s="145"/>
      <c r="M233" s="146"/>
    </row>
    <row r="234" spans="1:13" s="61" customFormat="1" ht="20.25" hidden="1" customHeight="1" x14ac:dyDescent="0.25">
      <c r="A234" s="62">
        <v>4</v>
      </c>
      <c r="B234" s="63" t="str">
        <f>'planilha - proposta'!D42</f>
        <v>Despenseiro/Armazenista - 44h</v>
      </c>
      <c r="C234" s="216">
        <f>VLOOKUP(B234,'planilha - proposta'!$D$17:$E$62,2,FALSE)</f>
        <v>0</v>
      </c>
      <c r="D234" s="217"/>
      <c r="E234" s="217"/>
      <c r="F234" s="217"/>
      <c r="G234" s="217"/>
      <c r="H234" s="145"/>
      <c r="I234" s="145"/>
      <c r="J234" s="145"/>
      <c r="K234" s="145"/>
      <c r="L234" s="145"/>
      <c r="M234" s="146"/>
    </row>
    <row r="235" spans="1:13" s="61" customFormat="1" ht="52.5" customHeight="1" x14ac:dyDescent="0.25">
      <c r="A235" s="64" t="s">
        <v>273</v>
      </c>
      <c r="B235" s="65" t="s">
        <v>275</v>
      </c>
      <c r="C235" s="218" t="s">
        <v>276</v>
      </c>
      <c r="D235" s="218" t="s">
        <v>277</v>
      </c>
      <c r="E235" s="218" t="s">
        <v>278</v>
      </c>
      <c r="F235" s="218" t="s">
        <v>303</v>
      </c>
      <c r="G235" s="223" t="s">
        <v>280</v>
      </c>
      <c r="H235" s="65" t="s">
        <v>304</v>
      </c>
      <c r="I235" s="66" t="s">
        <v>305</v>
      </c>
      <c r="J235" s="66" t="s">
        <v>318</v>
      </c>
      <c r="K235" s="65" t="s">
        <v>284</v>
      </c>
      <c r="L235" s="65" t="s">
        <v>285</v>
      </c>
      <c r="M235" s="66" t="s">
        <v>286</v>
      </c>
    </row>
    <row r="236" spans="1:13" s="61" customFormat="1" ht="20.25" customHeight="1" x14ac:dyDescent="0.25">
      <c r="A236" s="67" t="s">
        <v>108</v>
      </c>
      <c r="B236" s="68" t="s">
        <v>322</v>
      </c>
      <c r="C236" s="69" t="s">
        <v>300</v>
      </c>
      <c r="D236" s="69" t="s">
        <v>292</v>
      </c>
      <c r="E236" s="222">
        <v>1</v>
      </c>
      <c r="F236" s="222">
        <v>0</v>
      </c>
      <c r="G236" s="68" t="s">
        <v>290</v>
      </c>
      <c r="H236" s="70">
        <f>VLOOKUP(B236,custoEPI!$B$6:$E$29,4,FALSE)</f>
        <v>0</v>
      </c>
      <c r="I236" s="71">
        <f t="shared" ref="I236:I241" si="54">SUM($C$232:$M$234)</f>
        <v>2</v>
      </c>
      <c r="J236" s="71">
        <f t="shared" ref="J236:J252" si="55">IF(B236="","sem descrição",IF($C$232&gt;=$C$233,IF($C$234&gt;0,$C$232/2+$C$234,$C$232/2),IF($C$234&gt;0,$C$233/5+$C$234,$C$234)))</f>
        <v>1</v>
      </c>
      <c r="K236" s="69">
        <f>IF(C236="mensal",IF(F236&gt;0,F236*H236,IF(D236="descartável",((SUM($C$232:$C$233)/2)+$C$234)*E236*H236,IF(D236="pessoal",E236*H236*I236,E236*H236*J236))),0)+IF(C236="trimestral",IF(F236&gt;0,F236*H236/3,IF(D236="descartável",(((SUM($C$232:$C$233)/2)+$C$234)*E236*H236)/3,IF(D236="pessoal",(E236*H236*I236)/3,(E236*H236*J236)/3))),0)+IF(C236="semestral",IF(F236&gt;0,F236*H236/6,IF(D236="descartável",(((SUM($C$232:$C$233)/2)+$C$234)*E236*H236)/6,IF(D236="pessoal",(E236*H236*I236)/6,(E236*H236*J236)/6))),0)+IF(C236="anual",IF(F236&gt;0,F236*H236/12,IF(D236="descartável",(((SUM($C$232:$C$233)/2)+$C$234)*E236*H236)/12,IF(D236="pessoal",(E236*H236*I236)/12,(E236*H236*J236)/12))),0)</f>
        <v>0</v>
      </c>
      <c r="L236" s="69">
        <f>IFERROR(K236*12, 0)</f>
        <v>0</v>
      </c>
      <c r="M236" s="69">
        <f>IFERROR(K236*60,0)</f>
        <v>0</v>
      </c>
    </row>
    <row r="237" spans="1:13" s="61" customFormat="1" ht="20.25" customHeight="1" x14ac:dyDescent="0.25">
      <c r="A237" s="67" t="s">
        <v>110</v>
      </c>
      <c r="B237" s="68" t="s">
        <v>323</v>
      </c>
      <c r="C237" s="69" t="s">
        <v>296</v>
      </c>
      <c r="D237" s="69" t="s">
        <v>292</v>
      </c>
      <c r="E237" s="222">
        <v>1</v>
      </c>
      <c r="F237" s="222">
        <v>0</v>
      </c>
      <c r="G237" s="68" t="s">
        <v>315</v>
      </c>
      <c r="H237" s="70">
        <f>VLOOKUP(B237,custoEPI!$B$6:$E$29,4,FALSE)</f>
        <v>0</v>
      </c>
      <c r="I237" s="71">
        <f t="shared" si="54"/>
        <v>2</v>
      </c>
      <c r="J237" s="71">
        <f t="shared" si="55"/>
        <v>1</v>
      </c>
      <c r="K237" s="69">
        <f t="shared" ref="K237:K241" si="56">IF(C237="mensal",IF(F237&gt;0,F237*H237,IF(D237="descartável",((SUM($C$232:$C$233)/2)+$C$234)*E237*H237,IF(D237="pessoal",E237*H237*I237,E237*H237*J237))),0)+IF(C237="trimestral",IF(F237&gt;0,F237*H237/3,IF(D237="descartável",(((SUM($C$232:$C$233)/2)+$C$234)*E237*H237)/3,IF(D237="pessoal",(E237*H237*I237)/3,(E237*H237*J237)/3))),0)+IF(C237="semestral",IF(F237&gt;0,F237*H237/6,IF(D237="descartável",(((SUM($C$232:$C$233)/2)+$C$234)*E237*H237)/6,IF(D237="pessoal",(E237*H237*I237)/6,(E237*H237*J237)/6))),0)+IF(C237="anual",IF(F237&gt;0,F237*H237/12,IF(D237="descartável",(((SUM($C$232:$C$233)/2)+$C$234)*E237*H237)/12,IF(D237="pessoal",(E237*H237*I237)/12,(E237*H237*J237)/12))),0)</f>
        <v>0</v>
      </c>
      <c r="L237" s="69">
        <f t="shared" ref="L237:L252" si="57">IFERROR(K237*12, 0)</f>
        <v>0</v>
      </c>
      <c r="M237" s="69">
        <f t="shared" ref="M237:M252" si="58">IFERROR(K237*60,0)</f>
        <v>0</v>
      </c>
    </row>
    <row r="238" spans="1:13" s="61" customFormat="1" ht="20.25" customHeight="1" x14ac:dyDescent="0.25">
      <c r="A238" s="67" t="s">
        <v>111</v>
      </c>
      <c r="B238" s="68" t="s">
        <v>313</v>
      </c>
      <c r="C238" s="69" t="s">
        <v>288</v>
      </c>
      <c r="D238" s="69" t="s">
        <v>289</v>
      </c>
      <c r="E238" s="222">
        <v>48</v>
      </c>
      <c r="F238" s="222">
        <v>0</v>
      </c>
      <c r="G238" s="68" t="s">
        <v>290</v>
      </c>
      <c r="H238" s="70">
        <f>VLOOKUP(B238,custoEPI!$B$6:$E$29,4,FALSE)</f>
        <v>0</v>
      </c>
      <c r="I238" s="71">
        <f t="shared" si="54"/>
        <v>2</v>
      </c>
      <c r="J238" s="71">
        <f t="shared" si="55"/>
        <v>1</v>
      </c>
      <c r="K238" s="69">
        <f t="shared" si="56"/>
        <v>0</v>
      </c>
      <c r="L238" s="69">
        <f t="shared" si="57"/>
        <v>0</v>
      </c>
      <c r="M238" s="69">
        <f t="shared" si="58"/>
        <v>0</v>
      </c>
    </row>
    <row r="239" spans="1:13" s="61" customFormat="1" ht="20.25" customHeight="1" x14ac:dyDescent="0.25">
      <c r="A239" s="67" t="s">
        <v>113</v>
      </c>
      <c r="B239" s="68" t="s">
        <v>287</v>
      </c>
      <c r="C239" s="69" t="s">
        <v>288</v>
      </c>
      <c r="D239" s="69" t="s">
        <v>289</v>
      </c>
      <c r="E239" s="222">
        <f>3*30</f>
        <v>90</v>
      </c>
      <c r="F239" s="222">
        <v>0</v>
      </c>
      <c r="G239" s="68" t="s">
        <v>290</v>
      </c>
      <c r="H239" s="70">
        <f>VLOOKUP(B239,custoEPI!$B$6:$E$29,4,FALSE)</f>
        <v>0</v>
      </c>
      <c r="I239" s="71">
        <f t="shared" si="54"/>
        <v>2</v>
      </c>
      <c r="J239" s="71">
        <f t="shared" si="55"/>
        <v>1</v>
      </c>
      <c r="K239" s="69">
        <f t="shared" si="56"/>
        <v>0</v>
      </c>
      <c r="L239" s="69">
        <f t="shared" si="57"/>
        <v>0</v>
      </c>
      <c r="M239" s="69">
        <f t="shared" si="58"/>
        <v>0</v>
      </c>
    </row>
    <row r="240" spans="1:13" s="61" customFormat="1" ht="20.25" customHeight="1" x14ac:dyDescent="0.25">
      <c r="A240" s="67" t="s">
        <v>114</v>
      </c>
      <c r="B240" s="68" t="s">
        <v>294</v>
      </c>
      <c r="C240" s="69" t="s">
        <v>288</v>
      </c>
      <c r="D240" s="69" t="s">
        <v>289</v>
      </c>
      <c r="E240" s="222">
        <f>3*30</f>
        <v>90</v>
      </c>
      <c r="F240" s="222">
        <v>0</v>
      </c>
      <c r="G240" s="68" t="s">
        <v>290</v>
      </c>
      <c r="H240" s="70">
        <f>VLOOKUP(B240,custoEPI!$B$6:$E$29,4,FALSE)</f>
        <v>0</v>
      </c>
      <c r="I240" s="71">
        <f t="shared" si="54"/>
        <v>2</v>
      </c>
      <c r="J240" s="71">
        <f t="shared" si="55"/>
        <v>1</v>
      </c>
      <c r="K240" s="69">
        <f t="shared" si="56"/>
        <v>0</v>
      </c>
      <c r="L240" s="69">
        <f t="shared" si="57"/>
        <v>0</v>
      </c>
      <c r="M240" s="69">
        <f t="shared" si="58"/>
        <v>0</v>
      </c>
    </row>
    <row r="241" spans="1:13" s="61" customFormat="1" ht="20.25" customHeight="1" x14ac:dyDescent="0.25">
      <c r="A241" s="67" t="s">
        <v>115</v>
      </c>
      <c r="B241" s="68" t="s">
        <v>307</v>
      </c>
      <c r="C241" s="69" t="s">
        <v>300</v>
      </c>
      <c r="D241" s="69" t="s">
        <v>292</v>
      </c>
      <c r="E241" s="222">
        <v>1</v>
      </c>
      <c r="F241" s="222">
        <v>0</v>
      </c>
      <c r="G241" s="68" t="s">
        <v>290</v>
      </c>
      <c r="H241" s="70">
        <f>VLOOKUP(B241,custoEPI!$B$6:$E$29,4,FALSE)</f>
        <v>0</v>
      </c>
      <c r="I241" s="71">
        <f t="shared" si="54"/>
        <v>2</v>
      </c>
      <c r="J241" s="71">
        <f t="shared" si="55"/>
        <v>1</v>
      </c>
      <c r="K241" s="69">
        <f t="shared" si="56"/>
        <v>0</v>
      </c>
      <c r="L241" s="69">
        <f t="shared" si="57"/>
        <v>0</v>
      </c>
      <c r="M241" s="69">
        <f t="shared" si="58"/>
        <v>0</v>
      </c>
    </row>
    <row r="242" spans="1:13" s="61" customFormat="1" ht="20.25" hidden="1" customHeight="1" x14ac:dyDescent="0.25">
      <c r="A242" s="67" t="s">
        <v>116</v>
      </c>
      <c r="B242" s="68"/>
      <c r="C242" s="69"/>
      <c r="D242" s="69"/>
      <c r="E242" s="222"/>
      <c r="F242" s="222"/>
      <c r="G242" s="68" t="s">
        <v>290</v>
      </c>
      <c r="H242" s="70" t="e">
        <f>VLOOKUP(B242,custoEPI!$B$6:$E$29,4,FALSE)</f>
        <v>#N/A</v>
      </c>
      <c r="I242" s="71"/>
      <c r="J242" s="71" t="str">
        <f t="shared" si="55"/>
        <v>sem descrição</v>
      </c>
      <c r="K242" s="69" t="str">
        <f t="shared" ref="K242:K251" si="59">IF(C242="mensal",J242*H242*E242,IF(C242="trimestral",(J242*H242*E242)/3,IF(C242="semestral",(J242*H242*E242)/6,IF(C242="anual",(J242*H242*E242/12),"informar entrega"))))</f>
        <v>informar entrega</v>
      </c>
      <c r="L242" s="69">
        <f t="shared" si="57"/>
        <v>0</v>
      </c>
      <c r="M242" s="69">
        <f t="shared" si="58"/>
        <v>0</v>
      </c>
    </row>
    <row r="243" spans="1:13" s="61" customFormat="1" ht="20.25" hidden="1" customHeight="1" x14ac:dyDescent="0.25">
      <c r="A243" s="67" t="s">
        <v>118</v>
      </c>
      <c r="B243" s="68"/>
      <c r="C243" s="69"/>
      <c r="D243" s="69"/>
      <c r="E243" s="222"/>
      <c r="F243" s="222"/>
      <c r="G243" s="68" t="s">
        <v>290</v>
      </c>
      <c r="H243" s="70" t="e">
        <f>VLOOKUP(B243,custoEPI!$B$6:$E$29,4,FALSE)</f>
        <v>#N/A</v>
      </c>
      <c r="I243" s="71"/>
      <c r="J243" s="71" t="str">
        <f t="shared" si="55"/>
        <v>sem descrição</v>
      </c>
      <c r="K243" s="69" t="str">
        <f t="shared" si="59"/>
        <v>informar entrega</v>
      </c>
      <c r="L243" s="69">
        <f t="shared" si="57"/>
        <v>0</v>
      </c>
      <c r="M243" s="69">
        <f t="shared" si="58"/>
        <v>0</v>
      </c>
    </row>
    <row r="244" spans="1:13" s="61" customFormat="1" ht="20.25" hidden="1" customHeight="1" x14ac:dyDescent="0.25">
      <c r="A244" s="67" t="s">
        <v>121</v>
      </c>
      <c r="B244" s="68"/>
      <c r="C244" s="69"/>
      <c r="D244" s="69"/>
      <c r="E244" s="222"/>
      <c r="F244" s="222"/>
      <c r="G244" s="68"/>
      <c r="H244" s="70" t="e">
        <f>VLOOKUP(B244,custoEPI!$B$6:$E$29,4,FALSE)</f>
        <v>#N/A</v>
      </c>
      <c r="I244" s="71"/>
      <c r="J244" s="71" t="str">
        <f t="shared" si="55"/>
        <v>sem descrição</v>
      </c>
      <c r="K244" s="69" t="str">
        <f t="shared" si="59"/>
        <v>informar entrega</v>
      </c>
      <c r="L244" s="69">
        <f t="shared" si="57"/>
        <v>0</v>
      </c>
      <c r="M244" s="69">
        <f t="shared" si="58"/>
        <v>0</v>
      </c>
    </row>
    <row r="245" spans="1:13" s="61" customFormat="1" ht="20.25" hidden="1" customHeight="1" x14ac:dyDescent="0.25">
      <c r="A245" s="67" t="s">
        <v>125</v>
      </c>
      <c r="B245" s="68"/>
      <c r="C245" s="69"/>
      <c r="D245" s="69"/>
      <c r="E245" s="222"/>
      <c r="F245" s="222"/>
      <c r="G245" s="68"/>
      <c r="H245" s="70"/>
      <c r="I245" s="71"/>
      <c r="J245" s="71" t="str">
        <f t="shared" si="55"/>
        <v>sem descrição</v>
      </c>
      <c r="K245" s="69" t="str">
        <f t="shared" si="59"/>
        <v>informar entrega</v>
      </c>
      <c r="L245" s="69">
        <f t="shared" si="57"/>
        <v>0</v>
      </c>
      <c r="M245" s="69">
        <f t="shared" si="58"/>
        <v>0</v>
      </c>
    </row>
    <row r="246" spans="1:13" s="61" customFormat="1" ht="20.25" hidden="1" customHeight="1" x14ac:dyDescent="0.25">
      <c r="A246" s="67" t="s">
        <v>127</v>
      </c>
      <c r="B246" s="68"/>
      <c r="C246" s="69"/>
      <c r="D246" s="69"/>
      <c r="E246" s="222"/>
      <c r="F246" s="222"/>
      <c r="G246" s="68"/>
      <c r="H246" s="70"/>
      <c r="I246" s="70"/>
      <c r="J246" s="71" t="str">
        <f t="shared" si="55"/>
        <v>sem descrição</v>
      </c>
      <c r="K246" s="69" t="str">
        <f t="shared" si="59"/>
        <v>informar entrega</v>
      </c>
      <c r="L246" s="69">
        <f t="shared" si="57"/>
        <v>0</v>
      </c>
      <c r="M246" s="69">
        <f t="shared" si="58"/>
        <v>0</v>
      </c>
    </row>
    <row r="247" spans="1:13" s="61" customFormat="1" ht="20.25" hidden="1" customHeight="1" x14ac:dyDescent="0.25">
      <c r="A247" s="67" t="s">
        <v>129</v>
      </c>
      <c r="B247" s="68"/>
      <c r="C247" s="69"/>
      <c r="D247" s="69"/>
      <c r="E247" s="222"/>
      <c r="F247" s="222"/>
      <c r="G247" s="68"/>
      <c r="H247" s="70"/>
      <c r="I247" s="70"/>
      <c r="J247" s="71" t="str">
        <f t="shared" si="55"/>
        <v>sem descrição</v>
      </c>
      <c r="K247" s="69" t="str">
        <f t="shared" si="59"/>
        <v>informar entrega</v>
      </c>
      <c r="L247" s="69">
        <f t="shared" si="57"/>
        <v>0</v>
      </c>
      <c r="M247" s="69">
        <f t="shared" si="58"/>
        <v>0</v>
      </c>
    </row>
    <row r="248" spans="1:13" s="61" customFormat="1" ht="20.25" hidden="1" customHeight="1" x14ac:dyDescent="0.25">
      <c r="A248" s="67" t="s">
        <v>131</v>
      </c>
      <c r="B248" s="68"/>
      <c r="C248" s="69"/>
      <c r="D248" s="69"/>
      <c r="E248" s="222"/>
      <c r="F248" s="222"/>
      <c r="G248" s="68"/>
      <c r="H248" s="70"/>
      <c r="I248" s="70"/>
      <c r="J248" s="71" t="str">
        <f t="shared" si="55"/>
        <v>sem descrição</v>
      </c>
      <c r="K248" s="69" t="str">
        <f t="shared" si="59"/>
        <v>informar entrega</v>
      </c>
      <c r="L248" s="69">
        <f t="shared" si="57"/>
        <v>0</v>
      </c>
      <c r="M248" s="69">
        <f t="shared" si="58"/>
        <v>0</v>
      </c>
    </row>
    <row r="249" spans="1:13" s="61" customFormat="1" ht="20.25" hidden="1" customHeight="1" x14ac:dyDescent="0.25">
      <c r="A249" s="67" t="s">
        <v>188</v>
      </c>
      <c r="B249" s="68"/>
      <c r="C249" s="69"/>
      <c r="D249" s="69"/>
      <c r="E249" s="222"/>
      <c r="F249" s="222"/>
      <c r="G249" s="68"/>
      <c r="H249" s="70"/>
      <c r="I249" s="70"/>
      <c r="J249" s="71" t="str">
        <f t="shared" si="55"/>
        <v>sem descrição</v>
      </c>
      <c r="K249" s="69" t="str">
        <f t="shared" si="59"/>
        <v>informar entrega</v>
      </c>
      <c r="L249" s="69">
        <f t="shared" si="57"/>
        <v>0</v>
      </c>
      <c r="M249" s="69">
        <f t="shared" si="58"/>
        <v>0</v>
      </c>
    </row>
    <row r="250" spans="1:13" s="61" customFormat="1" ht="20.25" hidden="1" customHeight="1" x14ac:dyDescent="0.25">
      <c r="A250" s="67" t="s">
        <v>192</v>
      </c>
      <c r="B250" s="68"/>
      <c r="C250" s="69"/>
      <c r="D250" s="69"/>
      <c r="E250" s="222"/>
      <c r="F250" s="222"/>
      <c r="G250" s="68"/>
      <c r="H250" s="70"/>
      <c r="I250" s="70"/>
      <c r="J250" s="71" t="str">
        <f t="shared" si="55"/>
        <v>sem descrição</v>
      </c>
      <c r="K250" s="69" t="str">
        <f t="shared" si="59"/>
        <v>informar entrega</v>
      </c>
      <c r="L250" s="69">
        <f t="shared" si="57"/>
        <v>0</v>
      </c>
      <c r="M250" s="69">
        <f t="shared" si="58"/>
        <v>0</v>
      </c>
    </row>
    <row r="251" spans="1:13" s="61" customFormat="1" ht="20.25" hidden="1" customHeight="1" x14ac:dyDescent="0.25">
      <c r="A251" s="67" t="s">
        <v>195</v>
      </c>
      <c r="B251" s="68"/>
      <c r="C251" s="69"/>
      <c r="D251" s="69"/>
      <c r="E251" s="222"/>
      <c r="F251" s="222"/>
      <c r="G251" s="68"/>
      <c r="H251" s="70"/>
      <c r="I251" s="70"/>
      <c r="J251" s="71" t="str">
        <f t="shared" si="55"/>
        <v>sem descrição</v>
      </c>
      <c r="K251" s="69" t="str">
        <f t="shared" si="59"/>
        <v>informar entrega</v>
      </c>
      <c r="L251" s="69">
        <f t="shared" si="57"/>
        <v>0</v>
      </c>
      <c r="M251" s="69">
        <f t="shared" si="58"/>
        <v>0</v>
      </c>
    </row>
    <row r="252" spans="1:13" s="61" customFormat="1" ht="20.25" hidden="1" customHeight="1" x14ac:dyDescent="0.25">
      <c r="A252" s="67" t="s">
        <v>199</v>
      </c>
      <c r="B252" s="68"/>
      <c r="C252" s="69"/>
      <c r="D252" s="69"/>
      <c r="E252" s="222"/>
      <c r="F252" s="222"/>
      <c r="G252" s="68"/>
      <c r="H252" s="70"/>
      <c r="I252" s="70"/>
      <c r="J252" s="71" t="str">
        <f t="shared" si="55"/>
        <v>sem descrição</v>
      </c>
      <c r="K252" s="69" t="str">
        <f>IF(C252="mensal",J252*H252*E252,IF(C252="trimestral",(J252*H252*E252)/3,IF(C252="semestral",(J252*H252*E252)/6,IF(C252="anual",(J252*H252*E252/12),"informar período"))))</f>
        <v>informar período</v>
      </c>
      <c r="L252" s="69">
        <f t="shared" si="57"/>
        <v>0</v>
      </c>
      <c r="M252" s="69">
        <f t="shared" si="58"/>
        <v>0</v>
      </c>
    </row>
    <row r="253" spans="1:13" s="61" customFormat="1" ht="20.25" customHeight="1" x14ac:dyDescent="0.25">
      <c r="A253" s="152" t="s">
        <v>308</v>
      </c>
      <c r="B253" s="147"/>
      <c r="C253" s="147"/>
      <c r="D253" s="147"/>
      <c r="E253" s="147"/>
      <c r="F253" s="147"/>
      <c r="G253" s="147"/>
      <c r="H253" s="147"/>
      <c r="I253" s="139"/>
      <c r="J253" s="155"/>
      <c r="K253" s="156">
        <f>SUM(K236:K252)</f>
        <v>0</v>
      </c>
      <c r="L253" s="157">
        <f>K253*12</f>
        <v>0</v>
      </c>
      <c r="M253" s="158">
        <f>K253*60</f>
        <v>0</v>
      </c>
    </row>
    <row r="254" spans="1:13" s="61" customFormat="1" ht="20.25" customHeight="1" x14ac:dyDescent="0.25">
      <c r="A254" s="152" t="s">
        <v>302</v>
      </c>
      <c r="B254" s="147"/>
      <c r="C254" s="147"/>
      <c r="D254" s="147"/>
      <c r="E254" s="147"/>
      <c r="F254" s="147"/>
      <c r="G254" s="147"/>
      <c r="H254" s="147"/>
      <c r="I254" s="147"/>
      <c r="J254" s="147"/>
      <c r="K254" s="147"/>
      <c r="L254" s="147"/>
      <c r="M254" s="159">
        <f>K253/SUM(C232:M234)</f>
        <v>0</v>
      </c>
    </row>
    <row r="255" spans="1:13" s="61" customFormat="1" ht="20.25" customHeight="1" x14ac:dyDescent="0.25">
      <c r="A255" s="235" t="s">
        <v>273</v>
      </c>
      <c r="B255" s="143" t="s">
        <v>19</v>
      </c>
      <c r="C255" s="153"/>
      <c r="D255" s="153"/>
      <c r="E255" s="153"/>
      <c r="F255" s="153"/>
      <c r="G255" s="153"/>
      <c r="H255" s="153"/>
      <c r="I255" s="153"/>
      <c r="J255" s="153"/>
      <c r="K255" s="153"/>
      <c r="L255" s="153"/>
      <c r="M255" s="154"/>
    </row>
    <row r="256" spans="1:13" s="61" customFormat="1" ht="20.25" customHeight="1" x14ac:dyDescent="0.25">
      <c r="A256" s="62">
        <v>1</v>
      </c>
      <c r="B256" s="63" t="s">
        <v>274</v>
      </c>
      <c r="C256" s="216" t="str">
        <f>'planilha - proposta'!C43</f>
        <v>Operador de Câmara Fria</v>
      </c>
      <c r="D256" s="217"/>
      <c r="E256" s="217"/>
      <c r="F256" s="217"/>
      <c r="G256" s="217"/>
      <c r="H256" s="145"/>
      <c r="I256" s="145"/>
      <c r="J256" s="145"/>
      <c r="K256" s="145"/>
      <c r="L256" s="145"/>
      <c r="M256" s="146"/>
    </row>
    <row r="257" spans="1:13" s="61" customFormat="1" ht="20.25" customHeight="1" x14ac:dyDescent="0.25">
      <c r="A257" s="62">
        <v>2</v>
      </c>
      <c r="B257" s="63" t="str">
        <f>'planilha - proposta'!D43</f>
        <v>Operador de Câmara Fria - 12X36d</v>
      </c>
      <c r="C257" s="216">
        <f>VLOOKUP(B257,'planilha - proposta'!$D$17:$E$62,2,FALSE)</f>
        <v>2</v>
      </c>
      <c r="D257" s="217"/>
      <c r="E257" s="217"/>
      <c r="F257" s="217"/>
      <c r="G257" s="217"/>
      <c r="H257" s="145"/>
      <c r="I257" s="145"/>
      <c r="J257" s="145"/>
      <c r="K257" s="145"/>
      <c r="L257" s="145"/>
      <c r="M257" s="146"/>
    </row>
    <row r="258" spans="1:13" s="61" customFormat="1" ht="20.25" hidden="1" customHeight="1" x14ac:dyDescent="0.25">
      <c r="A258" s="62"/>
      <c r="B258" s="63"/>
      <c r="C258" s="213">
        <v>0</v>
      </c>
      <c r="D258" s="214"/>
      <c r="E258" s="214"/>
      <c r="F258" s="214"/>
      <c r="G258" s="214"/>
      <c r="H258" s="148"/>
      <c r="I258" s="148"/>
      <c r="J258" s="148"/>
      <c r="K258" s="148"/>
      <c r="L258" s="148"/>
      <c r="M258" s="149"/>
    </row>
    <row r="259" spans="1:13" s="61" customFormat="1" ht="20.25" hidden="1" customHeight="1" x14ac:dyDescent="0.25">
      <c r="A259" s="62"/>
      <c r="B259" s="63"/>
      <c r="C259" s="215">
        <v>0</v>
      </c>
      <c r="D259" s="215"/>
      <c r="E259" s="215"/>
      <c r="F259" s="215"/>
      <c r="G259" s="215"/>
      <c r="H259" s="144"/>
      <c r="I259" s="144"/>
      <c r="J259" s="144"/>
      <c r="K259" s="144"/>
      <c r="L259" s="144"/>
      <c r="M259" s="144"/>
    </row>
    <row r="260" spans="1:13" s="61" customFormat="1" ht="52.5" customHeight="1" x14ac:dyDescent="0.25">
      <c r="A260" s="64" t="s">
        <v>273</v>
      </c>
      <c r="B260" s="65" t="s">
        <v>275</v>
      </c>
      <c r="C260" s="218" t="s">
        <v>276</v>
      </c>
      <c r="D260" s="218" t="s">
        <v>277</v>
      </c>
      <c r="E260" s="218" t="s">
        <v>278</v>
      </c>
      <c r="F260" s="218" t="s">
        <v>303</v>
      </c>
      <c r="G260" s="223" t="s">
        <v>280</v>
      </c>
      <c r="H260" s="65" t="s">
        <v>304</v>
      </c>
      <c r="I260" s="66" t="s">
        <v>305</v>
      </c>
      <c r="J260" s="66" t="s">
        <v>318</v>
      </c>
      <c r="K260" s="65" t="s">
        <v>284</v>
      </c>
      <c r="L260" s="65" t="s">
        <v>285</v>
      </c>
      <c r="M260" s="66" t="s">
        <v>286</v>
      </c>
    </row>
    <row r="261" spans="1:13" s="61" customFormat="1" ht="20.25" customHeight="1" x14ac:dyDescent="0.25">
      <c r="A261" s="67" t="s">
        <v>108</v>
      </c>
      <c r="B261" s="68" t="s">
        <v>324</v>
      </c>
      <c r="C261" s="69" t="s">
        <v>298</v>
      </c>
      <c r="D261" s="69" t="s">
        <v>292</v>
      </c>
      <c r="E261" s="222">
        <v>1</v>
      </c>
      <c r="F261" s="222">
        <v>0</v>
      </c>
      <c r="G261" s="68" t="s">
        <v>290</v>
      </c>
      <c r="H261" s="70">
        <f>VLOOKUP(B261,custoEPI!$B$6:$E$29,4,FALSE)</f>
        <v>0</v>
      </c>
      <c r="I261" s="71">
        <f t="shared" ref="I261:I269" si="60">SUM($C$257:$M$259)</f>
        <v>2</v>
      </c>
      <c r="J261" s="71">
        <f t="shared" ref="J261:J277" si="61">IF(B261="","sem descrição",IF($C$257&gt;=$C$258,IF($C$259&gt;0,$C$257/2+$C$259,$C$257/2),IF($C$259&gt;0,$C$258/5+$C$259,$C$259)))</f>
        <v>1</v>
      </c>
      <c r="K261" s="69">
        <f>IF(C261="mensal",IF(F261&gt;0,F261*H261,IF(D261="descartável",((SUM($C$257:$C$258)/2)+$C$259)*E261*H261,IF(D261="pessoal",E261*H261*I261,E261*H261*J261))),0)+IF(C261="trimestral",IF(F261&gt;0,F261*H261/3,IF(D261="descartável",(((SUM($C$257:$C$258)/2)+$C$259)*E261*H261)/3,IF(D261="pessoal",(E261*H261*I261)/3,(E261*H261*J261)/3))),0)+IF(C261="semestral",IF(F261&gt;0,F261*H261/6,IF(D261="descartável",(((SUM($C$257:$C$258)/2)+$C$259)*E261*H261)/6,IF(D261="pessoal",(E261*H261*I261)/6,(E261*H261*J261)/6))),0)+IF(C261="anual",IF(F261&gt;0,F261*H261/12,IF(D261="descartável",(((SUM($C$257:$C$258)/2)+$C$259)*E261*H261)/12,IF(D261="pessoal",(E261*H261*I261)/12,(E261*H261*J261)/12))),0)</f>
        <v>0</v>
      </c>
      <c r="L261" s="69">
        <f>IFERROR(K261*12, 0)</f>
        <v>0</v>
      </c>
      <c r="M261" s="69">
        <f>IFERROR(K261*60,0)</f>
        <v>0</v>
      </c>
    </row>
    <row r="262" spans="1:13" s="61" customFormat="1" ht="20.25" customHeight="1" x14ac:dyDescent="0.25">
      <c r="A262" s="67" t="s">
        <v>110</v>
      </c>
      <c r="B262" s="68" t="s">
        <v>325</v>
      </c>
      <c r="C262" s="69" t="s">
        <v>298</v>
      </c>
      <c r="D262" s="69" t="s">
        <v>292</v>
      </c>
      <c r="E262" s="222">
        <v>1</v>
      </c>
      <c r="F262" s="222">
        <v>0</v>
      </c>
      <c r="G262" s="68" t="s">
        <v>290</v>
      </c>
      <c r="H262" s="70">
        <f>VLOOKUP(B262,custoEPI!$B$6:$E$29,4,FALSE)</f>
        <v>0</v>
      </c>
      <c r="I262" s="71">
        <f t="shared" si="60"/>
        <v>2</v>
      </c>
      <c r="J262" s="71">
        <f t="shared" si="61"/>
        <v>1</v>
      </c>
      <c r="K262" s="69">
        <f t="shared" ref="K262:K269" si="62">IF(C262="mensal",IF(F262&gt;0,F262*H262,IF(D262="descartável",((SUM($C$257:$C$258)/2)+$C$259)*E262*H262,IF(D262="pessoal",E262*H262*I262,E262*H262*J262))),0)+IF(C262="trimestral",IF(F262&gt;0,F262*H262/3,IF(D262="descartável",(((SUM($C$257:$C$258)/2)+$C$259)*E262*H262)/3,IF(D262="pessoal",(E262*H262*I262)/3,(E262*H262*J262)/3))),0)+IF(C262="semestral",IF(F262&gt;0,F262*H262/6,IF(D262="descartável",(((SUM($C$257:$C$258)/2)+$C$259)*E262*H262)/6,IF(D262="pessoal",(E262*H262*I262)/6,(E262*H262*J262)/6))),0)+IF(C262="anual",IF(F262&gt;0,F262*H262/12,IF(D262="descartável",(((SUM($C$257:$C$258)/2)+$C$259)*E262*H262)/12,IF(D262="pessoal",(E262*H262*I262)/12,(E262*H262*J262)/12))),0)</f>
        <v>0</v>
      </c>
      <c r="L262" s="69">
        <f t="shared" ref="L262:L277" si="63">IFERROR(K262*12, 0)</f>
        <v>0</v>
      </c>
      <c r="M262" s="69">
        <f t="shared" ref="M262:M277" si="64">IFERROR(K262*60,0)</f>
        <v>0</v>
      </c>
    </row>
    <row r="263" spans="1:13" s="61" customFormat="1" ht="20.25" customHeight="1" x14ac:dyDescent="0.25">
      <c r="A263" s="67" t="s">
        <v>111</v>
      </c>
      <c r="B263" s="68" t="s">
        <v>294</v>
      </c>
      <c r="C263" s="69" t="s">
        <v>288</v>
      </c>
      <c r="D263" s="69" t="s">
        <v>289</v>
      </c>
      <c r="E263" s="222">
        <f>3*30</f>
        <v>90</v>
      </c>
      <c r="F263" s="222">
        <v>0</v>
      </c>
      <c r="G263" s="68" t="s">
        <v>290</v>
      </c>
      <c r="H263" s="70">
        <f>VLOOKUP(B263,custoEPI!$B$6:$E$29,4,FALSE)</f>
        <v>0</v>
      </c>
      <c r="I263" s="71">
        <f t="shared" si="60"/>
        <v>2</v>
      </c>
      <c r="J263" s="71">
        <f t="shared" si="61"/>
        <v>1</v>
      </c>
      <c r="K263" s="69">
        <f t="shared" si="62"/>
        <v>0</v>
      </c>
      <c r="L263" s="69">
        <f t="shared" si="63"/>
        <v>0</v>
      </c>
      <c r="M263" s="69">
        <f t="shared" si="64"/>
        <v>0</v>
      </c>
    </row>
    <row r="264" spans="1:13" s="61" customFormat="1" ht="20.25" customHeight="1" x14ac:dyDescent="0.25">
      <c r="A264" s="67" t="s">
        <v>113</v>
      </c>
      <c r="B264" s="68" t="s">
        <v>287</v>
      </c>
      <c r="C264" s="69" t="s">
        <v>288</v>
      </c>
      <c r="D264" s="69" t="s">
        <v>289</v>
      </c>
      <c r="E264" s="222">
        <f>30*3</f>
        <v>90</v>
      </c>
      <c r="F264" s="222">
        <v>0</v>
      </c>
      <c r="G264" s="68" t="s">
        <v>290</v>
      </c>
      <c r="H264" s="70">
        <f>VLOOKUP(B264,custoEPI!$B$6:$E$29,4,FALSE)</f>
        <v>0</v>
      </c>
      <c r="I264" s="71">
        <f t="shared" si="60"/>
        <v>2</v>
      </c>
      <c r="J264" s="71">
        <f t="shared" si="61"/>
        <v>1</v>
      </c>
      <c r="K264" s="69">
        <f t="shared" si="62"/>
        <v>0</v>
      </c>
      <c r="L264" s="69">
        <f t="shared" si="63"/>
        <v>0</v>
      </c>
      <c r="M264" s="69">
        <f t="shared" si="64"/>
        <v>0</v>
      </c>
    </row>
    <row r="265" spans="1:13" s="61" customFormat="1" ht="20.25" customHeight="1" x14ac:dyDescent="0.25">
      <c r="A265" s="67" t="s">
        <v>114</v>
      </c>
      <c r="B265" s="68" t="s">
        <v>316</v>
      </c>
      <c r="C265" s="69" t="s">
        <v>298</v>
      </c>
      <c r="D265" s="69" t="s">
        <v>292</v>
      </c>
      <c r="E265" s="222">
        <v>1</v>
      </c>
      <c r="F265" s="222">
        <v>0</v>
      </c>
      <c r="G265" s="68" t="s">
        <v>315</v>
      </c>
      <c r="H265" s="70">
        <f>VLOOKUP(B265,custoEPI!$B$6:$E$29,4,FALSE)</f>
        <v>0</v>
      </c>
      <c r="I265" s="71">
        <f t="shared" si="60"/>
        <v>2</v>
      </c>
      <c r="J265" s="71">
        <f t="shared" si="61"/>
        <v>1</v>
      </c>
      <c r="K265" s="69">
        <f t="shared" si="62"/>
        <v>0</v>
      </c>
      <c r="L265" s="69">
        <f t="shared" si="63"/>
        <v>0</v>
      </c>
      <c r="M265" s="69">
        <f t="shared" si="64"/>
        <v>0</v>
      </c>
    </row>
    <row r="266" spans="1:13" s="61" customFormat="1" ht="20.25" customHeight="1" x14ac:dyDescent="0.25">
      <c r="A266" s="67" t="s">
        <v>115</v>
      </c>
      <c r="B266" s="68" t="s">
        <v>313</v>
      </c>
      <c r="C266" s="69" t="s">
        <v>288</v>
      </c>
      <c r="D266" s="69" t="s">
        <v>289</v>
      </c>
      <c r="E266" s="222">
        <v>48</v>
      </c>
      <c r="F266" s="222">
        <v>0</v>
      </c>
      <c r="G266" s="68" t="s">
        <v>290</v>
      </c>
      <c r="H266" s="70">
        <f>VLOOKUP(B266,custoEPI!$B$6:$E$29,4,FALSE)</f>
        <v>0</v>
      </c>
      <c r="I266" s="71">
        <f t="shared" si="60"/>
        <v>2</v>
      </c>
      <c r="J266" s="71">
        <f t="shared" si="61"/>
        <v>1</v>
      </c>
      <c r="K266" s="69">
        <f t="shared" si="62"/>
        <v>0</v>
      </c>
      <c r="L266" s="69">
        <f t="shared" si="63"/>
        <v>0</v>
      </c>
      <c r="M266" s="69">
        <f t="shared" si="64"/>
        <v>0</v>
      </c>
    </row>
    <row r="267" spans="1:13" s="61" customFormat="1" ht="20.25" customHeight="1" x14ac:dyDescent="0.25">
      <c r="A267" s="67" t="s">
        <v>116</v>
      </c>
      <c r="B267" s="68" t="s">
        <v>322</v>
      </c>
      <c r="C267" s="69" t="s">
        <v>300</v>
      </c>
      <c r="D267" s="69" t="s">
        <v>292</v>
      </c>
      <c r="E267" s="222">
        <v>1</v>
      </c>
      <c r="F267" s="222">
        <v>0</v>
      </c>
      <c r="G267" s="68" t="s">
        <v>290</v>
      </c>
      <c r="H267" s="70">
        <f>VLOOKUP(B267,custoEPI!$B$6:$E$29,4,FALSE)</f>
        <v>0</v>
      </c>
      <c r="I267" s="71">
        <f t="shared" si="60"/>
        <v>2</v>
      </c>
      <c r="J267" s="71">
        <f t="shared" si="61"/>
        <v>1</v>
      </c>
      <c r="K267" s="69">
        <f t="shared" si="62"/>
        <v>0</v>
      </c>
      <c r="L267" s="69">
        <f t="shared" si="63"/>
        <v>0</v>
      </c>
      <c r="M267" s="69">
        <f t="shared" si="64"/>
        <v>0</v>
      </c>
    </row>
    <row r="268" spans="1:13" s="61" customFormat="1" ht="20.25" customHeight="1" x14ac:dyDescent="0.25">
      <c r="A268" s="67" t="s">
        <v>118</v>
      </c>
      <c r="B268" s="68" t="s">
        <v>307</v>
      </c>
      <c r="C268" s="69" t="s">
        <v>300</v>
      </c>
      <c r="D268" s="69" t="s">
        <v>292</v>
      </c>
      <c r="E268" s="222">
        <v>1</v>
      </c>
      <c r="F268" s="222">
        <v>0</v>
      </c>
      <c r="G268" s="68" t="s">
        <v>290</v>
      </c>
      <c r="H268" s="70">
        <f>VLOOKUP(B268,custoEPI!$B$6:$E$29,4,FALSE)</f>
        <v>0</v>
      </c>
      <c r="I268" s="71">
        <f t="shared" si="60"/>
        <v>2</v>
      </c>
      <c r="J268" s="71">
        <f t="shared" si="61"/>
        <v>1</v>
      </c>
      <c r="K268" s="69">
        <f t="shared" si="62"/>
        <v>0</v>
      </c>
      <c r="L268" s="69">
        <f t="shared" si="63"/>
        <v>0</v>
      </c>
      <c r="M268" s="69">
        <f t="shared" si="64"/>
        <v>0</v>
      </c>
    </row>
    <row r="269" spans="1:13" s="61" customFormat="1" ht="20.25" customHeight="1" x14ac:dyDescent="0.25">
      <c r="A269" s="67" t="s">
        <v>121</v>
      </c>
      <c r="B269" s="68" t="s">
        <v>326</v>
      </c>
      <c r="C269" s="69" t="s">
        <v>298</v>
      </c>
      <c r="D269" s="69" t="s">
        <v>292</v>
      </c>
      <c r="E269" s="222">
        <v>1</v>
      </c>
      <c r="F269" s="222">
        <v>0</v>
      </c>
      <c r="G269" s="68" t="s">
        <v>290</v>
      </c>
      <c r="H269" s="70">
        <f>VLOOKUP(B269,custoEPI!$B$6:$E$29,4,FALSE)</f>
        <v>0</v>
      </c>
      <c r="I269" s="71">
        <f t="shared" si="60"/>
        <v>2</v>
      </c>
      <c r="J269" s="71">
        <f t="shared" si="61"/>
        <v>1</v>
      </c>
      <c r="K269" s="69">
        <f t="shared" si="62"/>
        <v>0</v>
      </c>
      <c r="L269" s="69">
        <f t="shared" si="63"/>
        <v>0</v>
      </c>
      <c r="M269" s="69">
        <f t="shared" si="64"/>
        <v>0</v>
      </c>
    </row>
    <row r="270" spans="1:13" s="61" customFormat="1" ht="20.25" hidden="1" customHeight="1" x14ac:dyDescent="0.25">
      <c r="A270" s="67" t="s">
        <v>125</v>
      </c>
      <c r="B270" s="68"/>
      <c r="C270" s="69"/>
      <c r="D270" s="69"/>
      <c r="E270" s="222"/>
      <c r="F270" s="222"/>
      <c r="G270" s="68"/>
      <c r="H270" s="70"/>
      <c r="I270" s="71"/>
      <c r="J270" s="71" t="str">
        <f t="shared" si="61"/>
        <v>sem descrição</v>
      </c>
      <c r="K270" s="69" t="str">
        <f t="shared" ref="K270:K276" si="65">IF(C270="mensal",J270*H270*E270,IF(C270="trimestral",(J270*H270*E270)/3,IF(C270="semestral",(J270*H270*E270)/6,IF(C270="anual",(J270*H270*E270/12),"informar entrega"))))</f>
        <v>informar entrega</v>
      </c>
      <c r="L270" s="69">
        <f t="shared" si="63"/>
        <v>0</v>
      </c>
      <c r="M270" s="69">
        <f t="shared" si="64"/>
        <v>0</v>
      </c>
    </row>
    <row r="271" spans="1:13" s="61" customFormat="1" ht="20.25" hidden="1" customHeight="1" x14ac:dyDescent="0.25">
      <c r="A271" s="67" t="s">
        <v>127</v>
      </c>
      <c r="B271" s="68"/>
      <c r="C271" s="69"/>
      <c r="D271" s="69"/>
      <c r="E271" s="222"/>
      <c r="F271" s="222"/>
      <c r="G271" s="68"/>
      <c r="H271" s="70"/>
      <c r="I271" s="70"/>
      <c r="J271" s="71" t="str">
        <f t="shared" si="61"/>
        <v>sem descrição</v>
      </c>
      <c r="K271" s="69" t="str">
        <f t="shared" si="65"/>
        <v>informar entrega</v>
      </c>
      <c r="L271" s="69">
        <f t="shared" si="63"/>
        <v>0</v>
      </c>
      <c r="M271" s="69">
        <f t="shared" si="64"/>
        <v>0</v>
      </c>
    </row>
    <row r="272" spans="1:13" s="61" customFormat="1" ht="20.25" hidden="1" customHeight="1" x14ac:dyDescent="0.25">
      <c r="A272" s="67" t="s">
        <v>129</v>
      </c>
      <c r="B272" s="68"/>
      <c r="C272" s="69"/>
      <c r="D272" s="69"/>
      <c r="E272" s="222"/>
      <c r="F272" s="222"/>
      <c r="G272" s="68"/>
      <c r="H272" s="70"/>
      <c r="I272" s="70"/>
      <c r="J272" s="71" t="str">
        <f t="shared" si="61"/>
        <v>sem descrição</v>
      </c>
      <c r="K272" s="69" t="str">
        <f t="shared" si="65"/>
        <v>informar entrega</v>
      </c>
      <c r="L272" s="69">
        <f t="shared" si="63"/>
        <v>0</v>
      </c>
      <c r="M272" s="69">
        <f t="shared" si="64"/>
        <v>0</v>
      </c>
    </row>
    <row r="273" spans="1:13" s="61" customFormat="1" ht="20.25" hidden="1" customHeight="1" x14ac:dyDescent="0.25">
      <c r="A273" s="67" t="s">
        <v>131</v>
      </c>
      <c r="B273" s="68"/>
      <c r="C273" s="69"/>
      <c r="D273" s="69"/>
      <c r="E273" s="222"/>
      <c r="F273" s="222"/>
      <c r="G273" s="68"/>
      <c r="H273" s="70"/>
      <c r="I273" s="70"/>
      <c r="J273" s="71" t="str">
        <f t="shared" si="61"/>
        <v>sem descrição</v>
      </c>
      <c r="K273" s="69" t="str">
        <f t="shared" si="65"/>
        <v>informar entrega</v>
      </c>
      <c r="L273" s="69">
        <f t="shared" si="63"/>
        <v>0</v>
      </c>
      <c r="M273" s="69">
        <f t="shared" si="64"/>
        <v>0</v>
      </c>
    </row>
    <row r="274" spans="1:13" s="61" customFormat="1" ht="20.25" hidden="1" customHeight="1" x14ac:dyDescent="0.25">
      <c r="A274" s="67" t="s">
        <v>188</v>
      </c>
      <c r="B274" s="68"/>
      <c r="C274" s="69"/>
      <c r="D274" s="69"/>
      <c r="E274" s="222"/>
      <c r="F274" s="222"/>
      <c r="G274" s="68"/>
      <c r="H274" s="70"/>
      <c r="I274" s="70"/>
      <c r="J274" s="71" t="str">
        <f t="shared" si="61"/>
        <v>sem descrição</v>
      </c>
      <c r="K274" s="69" t="str">
        <f t="shared" si="65"/>
        <v>informar entrega</v>
      </c>
      <c r="L274" s="69">
        <f t="shared" si="63"/>
        <v>0</v>
      </c>
      <c r="M274" s="69">
        <f t="shared" si="64"/>
        <v>0</v>
      </c>
    </row>
    <row r="275" spans="1:13" s="61" customFormat="1" ht="20.25" hidden="1" customHeight="1" x14ac:dyDescent="0.25">
      <c r="A275" s="67" t="s">
        <v>192</v>
      </c>
      <c r="B275" s="68"/>
      <c r="C275" s="69"/>
      <c r="D275" s="69"/>
      <c r="E275" s="222"/>
      <c r="F275" s="222"/>
      <c r="G275" s="68"/>
      <c r="H275" s="70"/>
      <c r="I275" s="70"/>
      <c r="J275" s="71" t="str">
        <f t="shared" si="61"/>
        <v>sem descrição</v>
      </c>
      <c r="K275" s="69" t="str">
        <f t="shared" si="65"/>
        <v>informar entrega</v>
      </c>
      <c r="L275" s="69">
        <f t="shared" si="63"/>
        <v>0</v>
      </c>
      <c r="M275" s="69">
        <f t="shared" si="64"/>
        <v>0</v>
      </c>
    </row>
    <row r="276" spans="1:13" s="61" customFormat="1" ht="20.25" hidden="1" customHeight="1" x14ac:dyDescent="0.25">
      <c r="A276" s="67" t="s">
        <v>195</v>
      </c>
      <c r="B276" s="68"/>
      <c r="C276" s="69"/>
      <c r="D276" s="69"/>
      <c r="E276" s="222"/>
      <c r="F276" s="222"/>
      <c r="G276" s="68"/>
      <c r="H276" s="70"/>
      <c r="I276" s="70"/>
      <c r="J276" s="71" t="str">
        <f t="shared" si="61"/>
        <v>sem descrição</v>
      </c>
      <c r="K276" s="69" t="str">
        <f t="shared" si="65"/>
        <v>informar entrega</v>
      </c>
      <c r="L276" s="69">
        <f t="shared" si="63"/>
        <v>0</v>
      </c>
      <c r="M276" s="69">
        <f t="shared" si="64"/>
        <v>0</v>
      </c>
    </row>
    <row r="277" spans="1:13" s="61" customFormat="1" ht="20.25" hidden="1" customHeight="1" x14ac:dyDescent="0.25">
      <c r="A277" s="67" t="s">
        <v>199</v>
      </c>
      <c r="B277" s="68"/>
      <c r="C277" s="69"/>
      <c r="D277" s="69"/>
      <c r="E277" s="222"/>
      <c r="F277" s="222"/>
      <c r="G277" s="68"/>
      <c r="H277" s="70"/>
      <c r="I277" s="70"/>
      <c r="J277" s="71" t="str">
        <f t="shared" si="61"/>
        <v>sem descrição</v>
      </c>
      <c r="K277" s="69" t="str">
        <f>IF(C277="mensal",J277*H277*E277,IF(C277="trimestral",(J277*H277*E277)/3,IF(C277="semestral",(J277*H277*E277)/6,IF(C277="anual",(J277*H277*E277/12),"informar período"))))</f>
        <v>informar período</v>
      </c>
      <c r="L277" s="69">
        <f t="shared" si="63"/>
        <v>0</v>
      </c>
      <c r="M277" s="69">
        <f t="shared" si="64"/>
        <v>0</v>
      </c>
    </row>
    <row r="278" spans="1:13" s="61" customFormat="1" ht="20.25" customHeight="1" x14ac:dyDescent="0.25">
      <c r="A278" s="152" t="s">
        <v>317</v>
      </c>
      <c r="B278" s="147"/>
      <c r="C278" s="147"/>
      <c r="D278" s="147"/>
      <c r="E278" s="147"/>
      <c r="F278" s="147"/>
      <c r="G278" s="147"/>
      <c r="H278" s="147"/>
      <c r="I278" s="139"/>
      <c r="J278" s="155"/>
      <c r="K278" s="156">
        <f>SUM(K261:K277)</f>
        <v>0</v>
      </c>
      <c r="L278" s="157">
        <f>K278*12</f>
        <v>0</v>
      </c>
      <c r="M278" s="158">
        <f>K278*60</f>
        <v>0</v>
      </c>
    </row>
    <row r="279" spans="1:13" s="61" customFormat="1" ht="20.25" customHeight="1" x14ac:dyDescent="0.25">
      <c r="A279" s="152" t="s">
        <v>302</v>
      </c>
      <c r="B279" s="147"/>
      <c r="C279" s="147"/>
      <c r="D279" s="147"/>
      <c r="E279" s="147"/>
      <c r="F279" s="147"/>
      <c r="G279" s="147"/>
      <c r="H279" s="147"/>
      <c r="I279" s="147"/>
      <c r="J279" s="147"/>
      <c r="K279" s="147"/>
      <c r="L279" s="147"/>
      <c r="M279" s="159">
        <f>K278/SUM(C257:M259)</f>
        <v>0</v>
      </c>
    </row>
    <row r="280" spans="1:13" s="61" customFormat="1" ht="20.25" customHeight="1" x14ac:dyDescent="0.25">
      <c r="A280" s="235" t="s">
        <v>273</v>
      </c>
      <c r="B280" s="143" t="s">
        <v>19</v>
      </c>
      <c r="C280" s="153"/>
      <c r="D280" s="153"/>
      <c r="E280" s="153"/>
      <c r="F280" s="153"/>
      <c r="G280" s="153"/>
      <c r="H280" s="153"/>
      <c r="I280" s="153"/>
      <c r="J280" s="153"/>
      <c r="K280" s="153"/>
      <c r="L280" s="153"/>
      <c r="M280" s="154"/>
    </row>
    <row r="281" spans="1:13" s="61" customFormat="1" ht="20.25" customHeight="1" x14ac:dyDescent="0.25">
      <c r="A281" s="62">
        <v>1</v>
      </c>
      <c r="B281" s="63" t="s">
        <v>274</v>
      </c>
      <c r="C281" s="216" t="str">
        <f>'planilha - proposta'!C44</f>
        <v>Governanta em Hotelaria</v>
      </c>
      <c r="D281" s="217"/>
      <c r="E281" s="217"/>
      <c r="F281" s="217"/>
      <c r="G281" s="217"/>
      <c r="H281" s="145"/>
      <c r="I281" s="145"/>
      <c r="J281" s="145"/>
      <c r="K281" s="145"/>
      <c r="L281" s="145"/>
      <c r="M281" s="146"/>
    </row>
    <row r="282" spans="1:13" s="61" customFormat="1" ht="20.25" customHeight="1" x14ac:dyDescent="0.25">
      <c r="A282" s="62">
        <v>2</v>
      </c>
      <c r="B282" s="63" t="str">
        <f>'planilha - proposta'!D44</f>
        <v>Governanta em Hotelaria - 12x36d</v>
      </c>
      <c r="C282" s="216">
        <f>VLOOKUP(B282,'planilha - proposta'!$D$17:$E$62,2,FALSE)</f>
        <v>2</v>
      </c>
      <c r="D282" s="217"/>
      <c r="E282" s="217"/>
      <c r="F282" s="217"/>
      <c r="G282" s="217"/>
      <c r="H282" s="145"/>
      <c r="I282" s="145"/>
      <c r="J282" s="145"/>
      <c r="K282" s="145"/>
      <c r="L282" s="145"/>
      <c r="M282" s="146"/>
    </row>
    <row r="283" spans="1:13" s="61" customFormat="1" ht="20.25" hidden="1" customHeight="1" x14ac:dyDescent="0.25">
      <c r="A283" s="62">
        <v>3</v>
      </c>
      <c r="B283" s="63" t="str">
        <f>'planilha - proposta'!D45</f>
        <v>Governanta em Hotelaria - 12x36n</v>
      </c>
      <c r="C283" s="216">
        <f>VLOOKUP(B283,'planilha - proposta'!$D$17:$E$62,2,FALSE)</f>
        <v>0</v>
      </c>
      <c r="D283" s="217"/>
      <c r="E283" s="217"/>
      <c r="F283" s="217"/>
      <c r="G283" s="217"/>
      <c r="H283" s="145"/>
      <c r="I283" s="145"/>
      <c r="J283" s="145"/>
      <c r="K283" s="145"/>
      <c r="L283" s="145"/>
      <c r="M283" s="146"/>
    </row>
    <row r="284" spans="1:13" s="61" customFormat="1" ht="20.25" customHeight="1" x14ac:dyDescent="0.25">
      <c r="A284" s="62">
        <v>4</v>
      </c>
      <c r="B284" s="63" t="str">
        <f>'planilha - proposta'!D46</f>
        <v>Governanta em Hotelaria - 44h</v>
      </c>
      <c r="C284" s="216">
        <f>VLOOKUP(B284,'planilha - proposta'!$D$17:$E$62,2,FALSE)</f>
        <v>2</v>
      </c>
      <c r="D284" s="217"/>
      <c r="E284" s="217"/>
      <c r="F284" s="217"/>
      <c r="G284" s="217"/>
      <c r="H284" s="145"/>
      <c r="I284" s="145"/>
      <c r="J284" s="145"/>
      <c r="K284" s="145"/>
      <c r="L284" s="145"/>
      <c r="M284" s="146"/>
    </row>
    <row r="285" spans="1:13" s="61" customFormat="1" ht="52.5" customHeight="1" x14ac:dyDescent="0.25">
      <c r="A285" s="64" t="s">
        <v>273</v>
      </c>
      <c r="B285" s="65" t="s">
        <v>275</v>
      </c>
      <c r="C285" s="218" t="s">
        <v>276</v>
      </c>
      <c r="D285" s="218" t="s">
        <v>277</v>
      </c>
      <c r="E285" s="218" t="s">
        <v>278</v>
      </c>
      <c r="F285" s="218" t="s">
        <v>303</v>
      </c>
      <c r="G285" s="223" t="s">
        <v>280</v>
      </c>
      <c r="H285" s="65" t="s">
        <v>304</v>
      </c>
      <c r="I285" s="66" t="s">
        <v>305</v>
      </c>
      <c r="J285" s="66" t="s">
        <v>318</v>
      </c>
      <c r="K285" s="65" t="s">
        <v>284</v>
      </c>
      <c r="L285" s="65" t="s">
        <v>285</v>
      </c>
      <c r="M285" s="66" t="s">
        <v>286</v>
      </c>
    </row>
    <row r="286" spans="1:13" s="61" customFormat="1" ht="20.25" customHeight="1" x14ac:dyDescent="0.25">
      <c r="A286" s="67" t="s">
        <v>108</v>
      </c>
      <c r="B286" s="68" t="s">
        <v>287</v>
      </c>
      <c r="C286" s="69" t="s">
        <v>288</v>
      </c>
      <c r="D286" s="69" t="s">
        <v>289</v>
      </c>
      <c r="E286" s="222">
        <f>3*30</f>
        <v>90</v>
      </c>
      <c r="F286" s="222">
        <v>0</v>
      </c>
      <c r="G286" s="68" t="s">
        <v>290</v>
      </c>
      <c r="H286" s="70">
        <f>VLOOKUP(B286,custoEPI!$B$6:$E$29,4,FALSE)</f>
        <v>0</v>
      </c>
      <c r="I286" s="71">
        <f>SUM($C$282:$M$284)</f>
        <v>4</v>
      </c>
      <c r="J286" s="71">
        <f t="shared" ref="J286:J302" si="66">IF(B286="","sem descrição",IF($C$282&gt;=$C$283,IF($C$284&gt;0,$C$282/2+$C$284,$C$282/2),IF($C$284&gt;0,$C$283/5+$C$284,$C$284)))</f>
        <v>3</v>
      </c>
      <c r="K286" s="69">
        <f>IF(C286="mensal",IF(F286&gt;0,F286*H286,IF(D286="descartável",((SUM($C$282:$C$283)/2)+$C$284)*E286*H286,IF(D286="pessoal",E286*H286*I286,E286*H286*J286))),0)+IF(C286="trimestral",IF(F286&gt;0,F286*H286/3,IF(D286="descartável",(((SUM($C$282:$C$283)/2)+$C$284)*E286*H286)/3,IF(D286="pessoal",(E286*H286*I286)/3,(E286*H286*J286)/3))),0)+IF(C286="semestral",IF(F286&gt;0,F286*H286/6,IF(D286="descartável",(((SUM($C$282:$C$283)/2)+$C$284)*E286*H286)/6,IF(D286="pessoal",(E286*H286*I286)/6,(E286*H286*J286)/6))),0)+IF(C286="anual",IF(F286&gt;0,F286*H286/12,IF(D286="descartável",(((SUM($C$282:$C$283)/2)+$C$284)*E286*H286)/12,IF(D286="pessoal",(E286*H286*I286)/12,(E286*H286*J286)/12))),0)</f>
        <v>0</v>
      </c>
      <c r="L286" s="69">
        <f>IFERROR(K286*12, 0)</f>
        <v>0</v>
      </c>
      <c r="M286" s="69">
        <f>IFERROR(K286*60,0)</f>
        <v>0</v>
      </c>
    </row>
    <row r="287" spans="1:13" s="61" customFormat="1" ht="20.25" customHeight="1" x14ac:dyDescent="0.25">
      <c r="A287" s="67" t="s">
        <v>110</v>
      </c>
      <c r="B287" s="68" t="s">
        <v>294</v>
      </c>
      <c r="C287" s="69" t="s">
        <v>288</v>
      </c>
      <c r="D287" s="69" t="s">
        <v>289</v>
      </c>
      <c r="E287" s="222">
        <f>2*30</f>
        <v>60</v>
      </c>
      <c r="F287" s="222">
        <v>0</v>
      </c>
      <c r="G287" s="68" t="s">
        <v>290</v>
      </c>
      <c r="H287" s="70">
        <f>VLOOKUP(B287,custoEPI!$B$6:$E$29,4,FALSE)</f>
        <v>0</v>
      </c>
      <c r="I287" s="71">
        <f>SUM($C$282:$M$284)</f>
        <v>4</v>
      </c>
      <c r="J287" s="71">
        <f t="shared" si="66"/>
        <v>3</v>
      </c>
      <c r="K287" s="69">
        <f t="shared" ref="K287:K288" si="67">IF(C287="mensal",IF(F287&gt;0,F287*H287,IF(D287="descartável",((SUM($C$282:$C$283)/2)+$C$284)*E287*H287,IF(D287="pessoal",E287*H287*I287,E287*H287*J287))),0)+IF(C287="trimestral",IF(F287&gt;0,F287*H287/3,IF(D287="descartável",(((SUM($C$282:$C$283)/2)+$C$284)*E287*H287)/3,IF(D287="pessoal",(E287*H287*I287)/3,(E287*H287*J287)/3))),0)+IF(C287="semestral",IF(F287&gt;0,F287*H287/6,IF(D287="descartável",(((SUM($C$282:$C$283)/2)+$C$284)*E287*H287)/6,IF(D287="pessoal",(E287*H287*I287)/6,(E287*H287*J287)/6))),0)+IF(C287="anual",IF(F287&gt;0,F287*H287/12,IF(D287="descartável",(((SUM($C$282:$C$283)/2)+$C$284)*E287*H287)/12,IF(D287="pessoal",(E287*H287*I287)/12,(E287*H287*J287)/12))),0)</f>
        <v>0</v>
      </c>
      <c r="L287" s="69">
        <f t="shared" ref="L287:L302" si="68">IFERROR(K287*12, 0)</f>
        <v>0</v>
      </c>
      <c r="M287" s="69">
        <f t="shared" ref="M287:M302" si="69">IFERROR(K287*60,0)</f>
        <v>0</v>
      </c>
    </row>
    <row r="288" spans="1:13" s="61" customFormat="1" ht="20.25" customHeight="1" x14ac:dyDescent="0.25">
      <c r="A288" s="67" t="s">
        <v>111</v>
      </c>
      <c r="B288" s="68" t="s">
        <v>295</v>
      </c>
      <c r="C288" s="69" t="s">
        <v>296</v>
      </c>
      <c r="D288" s="69" t="s">
        <v>292</v>
      </c>
      <c r="E288" s="222">
        <v>1</v>
      </c>
      <c r="F288" s="222">
        <v>0</v>
      </c>
      <c r="G288" s="68" t="s">
        <v>290</v>
      </c>
      <c r="H288" s="70">
        <f>VLOOKUP(B288,custoEPI!$B$6:$E$29,4,FALSE)</f>
        <v>0</v>
      </c>
      <c r="I288" s="71">
        <f>SUM($C$282:$M$284)</f>
        <v>4</v>
      </c>
      <c r="J288" s="71">
        <f t="shared" si="66"/>
        <v>3</v>
      </c>
      <c r="K288" s="69">
        <f t="shared" si="67"/>
        <v>0</v>
      </c>
      <c r="L288" s="69">
        <f t="shared" si="68"/>
        <v>0</v>
      </c>
      <c r="M288" s="69">
        <f t="shared" si="69"/>
        <v>0</v>
      </c>
    </row>
    <row r="289" spans="1:13" s="61" customFormat="1" ht="20.25" hidden="1" customHeight="1" x14ac:dyDescent="0.25">
      <c r="A289" s="67"/>
      <c r="B289" s="68"/>
      <c r="C289" s="69"/>
      <c r="D289" s="69"/>
      <c r="E289" s="222"/>
      <c r="F289" s="222"/>
      <c r="G289" s="68" t="s">
        <v>290</v>
      </c>
      <c r="H289" s="70" t="e">
        <f>VLOOKUP(B289,custoEPI!$B$6:$E$29,4,FALSE)</f>
        <v>#N/A</v>
      </c>
      <c r="I289" s="71"/>
      <c r="J289" s="71" t="str">
        <f t="shared" si="66"/>
        <v>sem descrição</v>
      </c>
      <c r="K289" s="69" t="str">
        <f t="shared" ref="K289:K301" si="70">IF(C289="mensal",J289*H289*E289,IF(C289="trimestral",(J289*H289*E289)/3,IF(C289="semestral",(J289*H289*E289)/6,IF(C289="anual",(J289*H289*E289/12),"informar entrega"))))</f>
        <v>informar entrega</v>
      </c>
      <c r="L289" s="69">
        <f t="shared" si="68"/>
        <v>0</v>
      </c>
      <c r="M289" s="69">
        <f t="shared" si="69"/>
        <v>0</v>
      </c>
    </row>
    <row r="290" spans="1:13" s="61" customFormat="1" ht="20.25" hidden="1" customHeight="1" x14ac:dyDescent="0.25">
      <c r="A290" s="67" t="s">
        <v>114</v>
      </c>
      <c r="B290" s="68"/>
      <c r="C290" s="69"/>
      <c r="D290" s="69"/>
      <c r="E290" s="222"/>
      <c r="F290" s="222"/>
      <c r="G290" s="68" t="s">
        <v>290</v>
      </c>
      <c r="H290" s="70" t="e">
        <f>VLOOKUP(B290,custoEPI!$B$6:$E$29,4,FALSE)</f>
        <v>#N/A</v>
      </c>
      <c r="I290" s="71"/>
      <c r="J290" s="71" t="str">
        <f t="shared" si="66"/>
        <v>sem descrição</v>
      </c>
      <c r="K290" s="69" t="str">
        <f t="shared" si="70"/>
        <v>informar entrega</v>
      </c>
      <c r="L290" s="69">
        <f t="shared" si="68"/>
        <v>0</v>
      </c>
      <c r="M290" s="69">
        <f t="shared" si="69"/>
        <v>0</v>
      </c>
    </row>
    <row r="291" spans="1:13" s="61" customFormat="1" ht="20.25" hidden="1" customHeight="1" x14ac:dyDescent="0.25">
      <c r="A291" s="67" t="s">
        <v>115</v>
      </c>
      <c r="B291" s="68"/>
      <c r="C291" s="69"/>
      <c r="D291" s="69"/>
      <c r="E291" s="222"/>
      <c r="F291" s="222"/>
      <c r="G291" s="68" t="s">
        <v>290</v>
      </c>
      <c r="H291" s="70" t="e">
        <f>VLOOKUP(B291,custoEPI!$B$6:$E$29,4,FALSE)</f>
        <v>#N/A</v>
      </c>
      <c r="I291" s="71"/>
      <c r="J291" s="71" t="str">
        <f t="shared" si="66"/>
        <v>sem descrição</v>
      </c>
      <c r="K291" s="69" t="str">
        <f t="shared" si="70"/>
        <v>informar entrega</v>
      </c>
      <c r="L291" s="69">
        <f t="shared" si="68"/>
        <v>0</v>
      </c>
      <c r="M291" s="69">
        <f t="shared" si="69"/>
        <v>0</v>
      </c>
    </row>
    <row r="292" spans="1:13" s="61" customFormat="1" ht="20.25" hidden="1" customHeight="1" x14ac:dyDescent="0.25">
      <c r="A292" s="67" t="s">
        <v>116</v>
      </c>
      <c r="B292" s="68"/>
      <c r="C292" s="69"/>
      <c r="D292" s="69"/>
      <c r="E292" s="222"/>
      <c r="F292" s="222"/>
      <c r="G292" s="68" t="s">
        <v>290</v>
      </c>
      <c r="H292" s="70" t="e">
        <f>VLOOKUP(B292,custoEPI!$B$6:$E$29,4,FALSE)</f>
        <v>#N/A</v>
      </c>
      <c r="I292" s="71"/>
      <c r="J292" s="71" t="str">
        <f t="shared" si="66"/>
        <v>sem descrição</v>
      </c>
      <c r="K292" s="69" t="str">
        <f t="shared" si="70"/>
        <v>informar entrega</v>
      </c>
      <c r="L292" s="69">
        <f t="shared" si="68"/>
        <v>0</v>
      </c>
      <c r="M292" s="69">
        <f t="shared" si="69"/>
        <v>0</v>
      </c>
    </row>
    <row r="293" spans="1:13" s="61" customFormat="1" ht="20.25" hidden="1" customHeight="1" x14ac:dyDescent="0.25">
      <c r="A293" s="67" t="s">
        <v>118</v>
      </c>
      <c r="B293" s="68"/>
      <c r="C293" s="69"/>
      <c r="D293" s="69"/>
      <c r="E293" s="222"/>
      <c r="F293" s="222"/>
      <c r="G293" s="68" t="s">
        <v>290</v>
      </c>
      <c r="H293" s="70" t="e">
        <f>VLOOKUP(B293,custoEPI!$B$6:$E$29,4,FALSE)</f>
        <v>#N/A</v>
      </c>
      <c r="I293" s="71"/>
      <c r="J293" s="71" t="str">
        <f t="shared" si="66"/>
        <v>sem descrição</v>
      </c>
      <c r="K293" s="69" t="str">
        <f t="shared" si="70"/>
        <v>informar entrega</v>
      </c>
      <c r="L293" s="69">
        <f t="shared" si="68"/>
        <v>0</v>
      </c>
      <c r="M293" s="69">
        <f t="shared" si="69"/>
        <v>0</v>
      </c>
    </row>
    <row r="294" spans="1:13" s="61" customFormat="1" ht="20.25" hidden="1" customHeight="1" x14ac:dyDescent="0.25">
      <c r="A294" s="67" t="s">
        <v>121</v>
      </c>
      <c r="B294" s="68"/>
      <c r="C294" s="69"/>
      <c r="D294" s="69"/>
      <c r="E294" s="222"/>
      <c r="F294" s="222"/>
      <c r="G294" s="68"/>
      <c r="H294" s="70" t="e">
        <f>VLOOKUP(B294,custoEPI!$B$6:$E$29,4,FALSE)</f>
        <v>#N/A</v>
      </c>
      <c r="I294" s="71"/>
      <c r="J294" s="71" t="str">
        <f t="shared" si="66"/>
        <v>sem descrição</v>
      </c>
      <c r="K294" s="69" t="str">
        <f t="shared" si="70"/>
        <v>informar entrega</v>
      </c>
      <c r="L294" s="69">
        <f t="shared" si="68"/>
        <v>0</v>
      </c>
      <c r="M294" s="69">
        <f t="shared" si="69"/>
        <v>0</v>
      </c>
    </row>
    <row r="295" spans="1:13" s="61" customFormat="1" ht="20.25" hidden="1" customHeight="1" x14ac:dyDescent="0.25">
      <c r="A295" s="67" t="s">
        <v>125</v>
      </c>
      <c r="B295" s="68"/>
      <c r="C295" s="69"/>
      <c r="D295" s="69"/>
      <c r="E295" s="222"/>
      <c r="F295" s="222"/>
      <c r="G295" s="68"/>
      <c r="H295" s="70"/>
      <c r="I295" s="71"/>
      <c r="J295" s="71" t="str">
        <f t="shared" si="66"/>
        <v>sem descrição</v>
      </c>
      <c r="K295" s="69" t="str">
        <f t="shared" si="70"/>
        <v>informar entrega</v>
      </c>
      <c r="L295" s="69">
        <f t="shared" si="68"/>
        <v>0</v>
      </c>
      <c r="M295" s="69">
        <f t="shared" si="69"/>
        <v>0</v>
      </c>
    </row>
    <row r="296" spans="1:13" s="61" customFormat="1" ht="20.25" hidden="1" customHeight="1" x14ac:dyDescent="0.25">
      <c r="A296" s="67" t="s">
        <v>127</v>
      </c>
      <c r="B296" s="68"/>
      <c r="C296" s="69"/>
      <c r="D296" s="69"/>
      <c r="E296" s="222"/>
      <c r="F296" s="222"/>
      <c r="G296" s="68"/>
      <c r="H296" s="70"/>
      <c r="I296" s="70"/>
      <c r="J296" s="71" t="str">
        <f t="shared" si="66"/>
        <v>sem descrição</v>
      </c>
      <c r="K296" s="69" t="str">
        <f t="shared" si="70"/>
        <v>informar entrega</v>
      </c>
      <c r="L296" s="69">
        <f t="shared" si="68"/>
        <v>0</v>
      </c>
      <c r="M296" s="69">
        <f t="shared" si="69"/>
        <v>0</v>
      </c>
    </row>
    <row r="297" spans="1:13" s="61" customFormat="1" ht="20.25" hidden="1" customHeight="1" x14ac:dyDescent="0.25">
      <c r="A297" s="67" t="s">
        <v>129</v>
      </c>
      <c r="B297" s="68"/>
      <c r="C297" s="69"/>
      <c r="D297" s="69"/>
      <c r="E297" s="222"/>
      <c r="F297" s="222"/>
      <c r="G297" s="68"/>
      <c r="H297" s="70"/>
      <c r="I297" s="70"/>
      <c r="J297" s="71" t="str">
        <f t="shared" si="66"/>
        <v>sem descrição</v>
      </c>
      <c r="K297" s="69" t="str">
        <f t="shared" si="70"/>
        <v>informar entrega</v>
      </c>
      <c r="L297" s="69">
        <f t="shared" si="68"/>
        <v>0</v>
      </c>
      <c r="M297" s="69">
        <f t="shared" si="69"/>
        <v>0</v>
      </c>
    </row>
    <row r="298" spans="1:13" s="61" customFormat="1" ht="20.25" hidden="1" customHeight="1" x14ac:dyDescent="0.25">
      <c r="A298" s="67" t="s">
        <v>131</v>
      </c>
      <c r="B298" s="68"/>
      <c r="C298" s="69"/>
      <c r="D298" s="69"/>
      <c r="E298" s="222"/>
      <c r="F298" s="222"/>
      <c r="G298" s="68"/>
      <c r="H298" s="70"/>
      <c r="I298" s="70"/>
      <c r="J298" s="71" t="str">
        <f t="shared" si="66"/>
        <v>sem descrição</v>
      </c>
      <c r="K298" s="69" t="str">
        <f t="shared" si="70"/>
        <v>informar entrega</v>
      </c>
      <c r="L298" s="69">
        <f t="shared" si="68"/>
        <v>0</v>
      </c>
      <c r="M298" s="69">
        <f t="shared" si="69"/>
        <v>0</v>
      </c>
    </row>
    <row r="299" spans="1:13" s="61" customFormat="1" ht="20.25" hidden="1" customHeight="1" x14ac:dyDescent="0.25">
      <c r="A299" s="67" t="s">
        <v>188</v>
      </c>
      <c r="B299" s="68"/>
      <c r="C299" s="69"/>
      <c r="D299" s="69"/>
      <c r="E299" s="222"/>
      <c r="F299" s="222"/>
      <c r="G299" s="68"/>
      <c r="H299" s="70"/>
      <c r="I299" s="70"/>
      <c r="J299" s="71" t="str">
        <f t="shared" si="66"/>
        <v>sem descrição</v>
      </c>
      <c r="K299" s="69" t="str">
        <f t="shared" si="70"/>
        <v>informar entrega</v>
      </c>
      <c r="L299" s="69">
        <f t="shared" si="68"/>
        <v>0</v>
      </c>
      <c r="M299" s="69">
        <f t="shared" si="69"/>
        <v>0</v>
      </c>
    </row>
    <row r="300" spans="1:13" s="61" customFormat="1" ht="20.25" hidden="1" customHeight="1" x14ac:dyDescent="0.25">
      <c r="A300" s="67" t="s">
        <v>192</v>
      </c>
      <c r="B300" s="68"/>
      <c r="C300" s="69"/>
      <c r="D300" s="69"/>
      <c r="E300" s="222"/>
      <c r="F300" s="222"/>
      <c r="G300" s="68"/>
      <c r="H300" s="70"/>
      <c r="I300" s="70"/>
      <c r="J300" s="71" t="str">
        <f t="shared" si="66"/>
        <v>sem descrição</v>
      </c>
      <c r="K300" s="69" t="str">
        <f t="shared" si="70"/>
        <v>informar entrega</v>
      </c>
      <c r="L300" s="69">
        <f t="shared" si="68"/>
        <v>0</v>
      </c>
      <c r="M300" s="69">
        <f t="shared" si="69"/>
        <v>0</v>
      </c>
    </row>
    <row r="301" spans="1:13" s="61" customFormat="1" ht="20.25" hidden="1" customHeight="1" x14ac:dyDescent="0.25">
      <c r="A301" s="67" t="s">
        <v>195</v>
      </c>
      <c r="B301" s="68"/>
      <c r="C301" s="69"/>
      <c r="D301" s="69"/>
      <c r="E301" s="222"/>
      <c r="F301" s="222"/>
      <c r="G301" s="68"/>
      <c r="H301" s="70"/>
      <c r="I301" s="70"/>
      <c r="J301" s="71" t="str">
        <f t="shared" si="66"/>
        <v>sem descrição</v>
      </c>
      <c r="K301" s="69" t="str">
        <f t="shared" si="70"/>
        <v>informar entrega</v>
      </c>
      <c r="L301" s="69">
        <f t="shared" si="68"/>
        <v>0</v>
      </c>
      <c r="M301" s="69">
        <f t="shared" si="69"/>
        <v>0</v>
      </c>
    </row>
    <row r="302" spans="1:13" s="61" customFormat="1" ht="20.25" hidden="1" customHeight="1" x14ac:dyDescent="0.25">
      <c r="A302" s="67" t="s">
        <v>199</v>
      </c>
      <c r="B302" s="68"/>
      <c r="C302" s="69"/>
      <c r="D302" s="69"/>
      <c r="E302" s="222"/>
      <c r="F302" s="222"/>
      <c r="G302" s="68"/>
      <c r="H302" s="70"/>
      <c r="I302" s="70"/>
      <c r="J302" s="71" t="str">
        <f t="shared" si="66"/>
        <v>sem descrição</v>
      </c>
      <c r="K302" s="69" t="str">
        <f>IF(C302="mensal",J302*H302*E302,IF(C302="trimestral",(J302*H302*E302)/3,IF(C302="semestral",(J302*H302*E302)/6,IF(C302="anual",(J302*H302*E302/12),"informar período"))))</f>
        <v>informar período</v>
      </c>
      <c r="L302" s="69">
        <f t="shared" si="68"/>
        <v>0</v>
      </c>
      <c r="M302" s="69">
        <f t="shared" si="69"/>
        <v>0</v>
      </c>
    </row>
    <row r="303" spans="1:13" s="61" customFormat="1" ht="20.25" customHeight="1" x14ac:dyDescent="0.25">
      <c r="A303" s="152" t="s">
        <v>321</v>
      </c>
      <c r="B303" s="147"/>
      <c r="C303" s="147"/>
      <c r="D303" s="147"/>
      <c r="E303" s="147"/>
      <c r="F303" s="147"/>
      <c r="G303" s="147"/>
      <c r="H303" s="147"/>
      <c r="I303" s="139"/>
      <c r="J303" s="155"/>
      <c r="K303" s="156">
        <f>SUM(K286:K302)</f>
        <v>0</v>
      </c>
      <c r="L303" s="157">
        <f>K303*12</f>
        <v>0</v>
      </c>
      <c r="M303" s="158">
        <f>K303*60</f>
        <v>0</v>
      </c>
    </row>
    <row r="304" spans="1:13" s="61" customFormat="1" ht="20.25" customHeight="1" x14ac:dyDescent="0.25">
      <c r="A304" s="152" t="s">
        <v>302</v>
      </c>
      <c r="B304" s="147"/>
      <c r="C304" s="147"/>
      <c r="D304" s="147"/>
      <c r="E304" s="147"/>
      <c r="F304" s="147"/>
      <c r="G304" s="147"/>
      <c r="H304" s="147"/>
      <c r="I304" s="147"/>
      <c r="J304" s="147"/>
      <c r="K304" s="147"/>
      <c r="L304" s="147"/>
      <c r="M304" s="159">
        <f>K303/SUM(C282:M284)</f>
        <v>0</v>
      </c>
    </row>
    <row r="305" spans="1:13" s="61" customFormat="1" ht="20.25" customHeight="1" x14ac:dyDescent="0.25">
      <c r="A305" s="235" t="s">
        <v>273</v>
      </c>
      <c r="B305" s="143" t="s">
        <v>19</v>
      </c>
      <c r="C305" s="153"/>
      <c r="D305" s="153"/>
      <c r="E305" s="153"/>
      <c r="F305" s="153"/>
      <c r="G305" s="153"/>
      <c r="H305" s="153"/>
      <c r="I305" s="153"/>
      <c r="J305" s="153"/>
      <c r="K305" s="153"/>
      <c r="L305" s="153"/>
      <c r="M305" s="154"/>
    </row>
    <row r="306" spans="1:13" s="61" customFormat="1" ht="20.25" customHeight="1" x14ac:dyDescent="0.25">
      <c r="A306" s="62">
        <v>1</v>
      </c>
      <c r="B306" s="63" t="s">
        <v>274</v>
      </c>
      <c r="C306" s="216" t="str">
        <f>'planilha - proposta'!C47</f>
        <v>Auxiliar de Lavanderia</v>
      </c>
      <c r="D306" s="217"/>
      <c r="E306" s="217"/>
      <c r="F306" s="217"/>
      <c r="G306" s="217"/>
      <c r="H306" s="145"/>
      <c r="I306" s="145"/>
      <c r="J306" s="145"/>
      <c r="K306" s="145"/>
      <c r="L306" s="145"/>
      <c r="M306" s="146"/>
    </row>
    <row r="307" spans="1:13" s="61" customFormat="1" ht="20.25" customHeight="1" x14ac:dyDescent="0.25">
      <c r="A307" s="62">
        <v>2</v>
      </c>
      <c r="B307" s="63" t="str">
        <f>'planilha - proposta'!D47</f>
        <v>Auxiliar de Lavanderia - 12x36d</v>
      </c>
      <c r="C307" s="216">
        <f>VLOOKUP(B307,'planilha - proposta'!$D$17:$E$62,2,FALSE)</f>
        <v>14</v>
      </c>
      <c r="D307" s="217"/>
      <c r="E307" s="217"/>
      <c r="F307" s="217"/>
      <c r="G307" s="217"/>
      <c r="H307" s="145"/>
      <c r="I307" s="145"/>
      <c r="J307" s="145"/>
      <c r="K307" s="145"/>
      <c r="L307" s="145"/>
      <c r="M307" s="146"/>
    </row>
    <row r="308" spans="1:13" s="61" customFormat="1" ht="20.25" customHeight="1" x14ac:dyDescent="0.25">
      <c r="A308" s="62">
        <v>3</v>
      </c>
      <c r="B308" s="63" t="str">
        <f>'planilha - proposta'!D48</f>
        <v>Auxiliar de Lavanderia - 12x36n</v>
      </c>
      <c r="C308" s="216">
        <f>VLOOKUP(B308,'planilha - proposta'!$D$17:$E$62,2,FALSE)</f>
        <v>6</v>
      </c>
      <c r="D308" s="217"/>
      <c r="E308" s="217"/>
      <c r="F308" s="217"/>
      <c r="G308" s="217"/>
      <c r="H308" s="145"/>
      <c r="I308" s="145"/>
      <c r="J308" s="145"/>
      <c r="K308" s="145"/>
      <c r="L308" s="145"/>
      <c r="M308" s="146"/>
    </row>
    <row r="309" spans="1:13" s="61" customFormat="1" ht="20.25" customHeight="1" x14ac:dyDescent="0.25">
      <c r="A309" s="62">
        <v>4</v>
      </c>
      <c r="B309" s="63" t="str">
        <f>'planilha - proposta'!D49</f>
        <v>Auxiliar de Lavanderia - 44h</v>
      </c>
      <c r="C309" s="216">
        <f>VLOOKUP(B309,'planilha - proposta'!$D$17:$E$62,2,FALSE)</f>
        <v>3</v>
      </c>
      <c r="D309" s="217"/>
      <c r="E309" s="217"/>
      <c r="F309" s="217"/>
      <c r="G309" s="217"/>
      <c r="H309" s="145"/>
      <c r="I309" s="145"/>
      <c r="J309" s="145"/>
      <c r="K309" s="145"/>
      <c r="L309" s="145"/>
      <c r="M309" s="146"/>
    </row>
    <row r="310" spans="1:13" s="61" customFormat="1" ht="52.5" customHeight="1" x14ac:dyDescent="0.25">
      <c r="A310" s="64" t="s">
        <v>273</v>
      </c>
      <c r="B310" s="65" t="s">
        <v>275</v>
      </c>
      <c r="C310" s="218" t="s">
        <v>276</v>
      </c>
      <c r="D310" s="218" t="s">
        <v>277</v>
      </c>
      <c r="E310" s="218" t="s">
        <v>278</v>
      </c>
      <c r="F310" s="218" t="s">
        <v>303</v>
      </c>
      <c r="G310" s="223" t="s">
        <v>280</v>
      </c>
      <c r="H310" s="65" t="s">
        <v>304</v>
      </c>
      <c r="I310" s="66" t="s">
        <v>305</v>
      </c>
      <c r="J310" s="66" t="s">
        <v>318</v>
      </c>
      <c r="K310" s="65" t="s">
        <v>284</v>
      </c>
      <c r="L310" s="65" t="s">
        <v>285</v>
      </c>
      <c r="M310" s="66" t="s">
        <v>286</v>
      </c>
    </row>
    <row r="311" spans="1:13" s="61" customFormat="1" ht="20.25" customHeight="1" x14ac:dyDescent="0.25">
      <c r="A311" s="67" t="s">
        <v>108</v>
      </c>
      <c r="B311" s="68" t="s">
        <v>293</v>
      </c>
      <c r="C311" s="69" t="s">
        <v>288</v>
      </c>
      <c r="D311" s="69" t="s">
        <v>289</v>
      </c>
      <c r="E311" s="222">
        <v>104</v>
      </c>
      <c r="F311" s="222">
        <v>0</v>
      </c>
      <c r="G311" s="68" t="s">
        <v>290</v>
      </c>
      <c r="H311" s="70">
        <f>VLOOKUP(B311,custoEPI!$B$6:$E$29,4,FALSE)</f>
        <v>0</v>
      </c>
      <c r="I311" s="71">
        <f t="shared" ref="I311:I319" si="71">SUM($C$307:$M$309)</f>
        <v>23</v>
      </c>
      <c r="J311" s="71">
        <f t="shared" ref="J311:J327" si="72">IF(B311="","sem descrição",IF($C$307&gt;=$C$308,IF($C$309&gt;0,$C$307/2+$C$309,$C$307/2),IF($C$309&gt;0,$C$308/5+$C$309,$C$309)))</f>
        <v>10</v>
      </c>
      <c r="K311" s="69">
        <f>IF(C311="mensal",IF(F311&gt;0,F311*H311,IF(D311="descartável",((SUM($C$307:$C$308)/2)+$C$309)*E311*H311,IF(D311="pessoal",E311*H311*I311,E311*H311*J311))),0)+IF(C311="trimestral",IF(F311&gt;0,F311*H311/3,IF(D311="descartável",(((SUM($C$307:$C$308)/2)+$C$309)*E311*H311)/3,IF(D311="pessoal",(E311*H311*I311)/3,(E311*H311*J311)/3))),0)+IF(C311="semestral",IF(F311&gt;0,F311*H311/6,IF(D311="descartável",(((SUM($C$307:$C$308)/2)+$C$309)*E311*H311)/6,IF(D311="pessoal",(E311*H311*I311)/6,(E311*H311*J311)/6))),0)+IF(C311="anual",IF(F311&gt;0,F311*H311/12,IF(D311="descartável",(((SUM($C$307:$C$308)/2)+$C$309)*E311*H311)/12,IF(D311="pessoal",(E311*H311*I311)/12,(E311*H311*J311)/12))),0)</f>
        <v>0</v>
      </c>
      <c r="L311" s="69">
        <f>IFERROR(K311*12, 0)</f>
        <v>0</v>
      </c>
      <c r="M311" s="69">
        <f>IFERROR(K311*60,0)</f>
        <v>0</v>
      </c>
    </row>
    <row r="312" spans="1:13" s="61" customFormat="1" ht="20.25" customHeight="1" x14ac:dyDescent="0.25">
      <c r="A312" s="67" t="s">
        <v>110</v>
      </c>
      <c r="B312" s="68" t="s">
        <v>327</v>
      </c>
      <c r="C312" s="69" t="s">
        <v>288</v>
      </c>
      <c r="D312" s="69" t="s">
        <v>292</v>
      </c>
      <c r="E312" s="222">
        <v>1</v>
      </c>
      <c r="F312" s="222">
        <v>0</v>
      </c>
      <c r="G312" s="68" t="s">
        <v>315</v>
      </c>
      <c r="H312" s="70">
        <f>VLOOKUP(B312,custoEPI!$B$6:$E$29,4,FALSE)</f>
        <v>0</v>
      </c>
      <c r="I312" s="71">
        <f t="shared" si="71"/>
        <v>23</v>
      </c>
      <c r="J312" s="71">
        <f t="shared" si="72"/>
        <v>10</v>
      </c>
      <c r="K312" s="69">
        <f t="shared" ref="K312:K319" si="73">IF(C312="mensal",IF(F312&gt;0,F312*H312,IF(D312="descartável",((SUM($C$307:$C$308)/2)+$C$309)*E312*H312,IF(D312="pessoal",E312*H312*I312,E312*H312*J312))),0)+IF(C312="trimestral",IF(F312&gt;0,F312*H312/3,IF(D312="descartável",(((SUM($C$307:$C$308)/2)+$C$309)*E312*H312)/3,IF(D312="pessoal",(E312*H312*I312)/3,(E312*H312*J312)/3))),0)+IF(C312="semestral",IF(F312&gt;0,F312*H312/6,IF(D312="descartável",(((SUM($C$307:$C$308)/2)+$C$309)*E312*H312)/6,IF(D312="pessoal",(E312*H312*I312)/6,(E312*H312*J312)/6))),0)+IF(C312="anual",IF(F312&gt;0,F312*H312/12,IF(D312="descartável",(((SUM($C$307:$C$308)/2)+$C$309)*E312*H312)/12,IF(D312="pessoal",(E312*H312*I312)/12,(E312*H312*J312)/12))),0)</f>
        <v>0</v>
      </c>
      <c r="L312" s="69">
        <f t="shared" ref="L312:L327" si="74">IFERROR(K312*12, 0)</f>
        <v>0</v>
      </c>
      <c r="M312" s="69">
        <f t="shared" ref="M312:M327" si="75">IFERROR(K312*60,0)</f>
        <v>0</v>
      </c>
    </row>
    <row r="313" spans="1:13" s="61" customFormat="1" ht="20.25" customHeight="1" x14ac:dyDescent="0.25">
      <c r="A313" s="67" t="s">
        <v>111</v>
      </c>
      <c r="B313" s="68" t="s">
        <v>287</v>
      </c>
      <c r="C313" s="69" t="s">
        <v>288</v>
      </c>
      <c r="D313" s="69" t="s">
        <v>289</v>
      </c>
      <c r="E313" s="222">
        <f>3*30</f>
        <v>90</v>
      </c>
      <c r="F313" s="222">
        <v>0</v>
      </c>
      <c r="G313" s="68" t="s">
        <v>290</v>
      </c>
      <c r="H313" s="70">
        <f>VLOOKUP(B313,custoEPI!$B$6:$E$29,4,FALSE)</f>
        <v>0</v>
      </c>
      <c r="I313" s="71">
        <f t="shared" si="71"/>
        <v>23</v>
      </c>
      <c r="J313" s="71">
        <f t="shared" si="72"/>
        <v>10</v>
      </c>
      <c r="K313" s="69">
        <f t="shared" si="73"/>
        <v>0</v>
      </c>
      <c r="L313" s="69">
        <f t="shared" si="74"/>
        <v>0</v>
      </c>
      <c r="M313" s="69">
        <f t="shared" si="75"/>
        <v>0</v>
      </c>
    </row>
    <row r="314" spans="1:13" s="61" customFormat="1" ht="20.25" customHeight="1" x14ac:dyDescent="0.25">
      <c r="A314" s="67" t="s">
        <v>113</v>
      </c>
      <c r="B314" s="68" t="s">
        <v>291</v>
      </c>
      <c r="C314" s="69" t="s">
        <v>288</v>
      </c>
      <c r="D314" s="69" t="s">
        <v>292</v>
      </c>
      <c r="E314" s="222">
        <v>2</v>
      </c>
      <c r="F314" s="222">
        <v>0</v>
      </c>
      <c r="G314" s="68" t="s">
        <v>290</v>
      </c>
      <c r="H314" s="70">
        <f>VLOOKUP(B314,custoEPI!$B$6:$E$29,4,FALSE)</f>
        <v>0</v>
      </c>
      <c r="I314" s="71">
        <f t="shared" si="71"/>
        <v>23</v>
      </c>
      <c r="J314" s="71">
        <f t="shared" si="72"/>
        <v>10</v>
      </c>
      <c r="K314" s="69">
        <f t="shared" si="73"/>
        <v>0</v>
      </c>
      <c r="L314" s="69">
        <f t="shared" si="74"/>
        <v>0</v>
      </c>
      <c r="M314" s="69">
        <f t="shared" si="75"/>
        <v>0</v>
      </c>
    </row>
    <row r="315" spans="1:13" s="61" customFormat="1" ht="20.25" customHeight="1" x14ac:dyDescent="0.25">
      <c r="A315" s="67" t="s">
        <v>114</v>
      </c>
      <c r="B315" s="68" t="s">
        <v>297</v>
      </c>
      <c r="C315" s="69" t="s">
        <v>298</v>
      </c>
      <c r="D315" s="69" t="s">
        <v>292</v>
      </c>
      <c r="E315" s="222">
        <v>0</v>
      </c>
      <c r="F315" s="222">
        <v>6</v>
      </c>
      <c r="G315" s="68" t="s">
        <v>290</v>
      </c>
      <c r="H315" s="70">
        <f>VLOOKUP(B315,custoEPI!$B$6:$E$29,4,FALSE)</f>
        <v>0</v>
      </c>
      <c r="I315" s="71">
        <f t="shared" si="71"/>
        <v>23</v>
      </c>
      <c r="J315" s="71">
        <f t="shared" si="72"/>
        <v>10</v>
      </c>
      <c r="K315" s="69">
        <f t="shared" si="73"/>
        <v>0</v>
      </c>
      <c r="L315" s="69">
        <f t="shared" si="74"/>
        <v>0</v>
      </c>
      <c r="M315" s="69">
        <f t="shared" si="75"/>
        <v>0</v>
      </c>
    </row>
    <row r="316" spans="1:13" s="61" customFormat="1" ht="20.25" customHeight="1" x14ac:dyDescent="0.25">
      <c r="A316" s="67" t="s">
        <v>115</v>
      </c>
      <c r="B316" s="68" t="s">
        <v>295</v>
      </c>
      <c r="C316" s="69" t="s">
        <v>296</v>
      </c>
      <c r="D316" s="69" t="s">
        <v>292</v>
      </c>
      <c r="E316" s="222">
        <v>1</v>
      </c>
      <c r="F316" s="222">
        <v>0</v>
      </c>
      <c r="G316" s="68" t="s">
        <v>290</v>
      </c>
      <c r="H316" s="70">
        <f>VLOOKUP(B316,custoEPI!$B$6:$E$29,4,FALSE)</f>
        <v>0</v>
      </c>
      <c r="I316" s="71">
        <f t="shared" si="71"/>
        <v>23</v>
      </c>
      <c r="J316" s="71">
        <f t="shared" si="72"/>
        <v>10</v>
      </c>
      <c r="K316" s="69">
        <f t="shared" si="73"/>
        <v>0</v>
      </c>
      <c r="L316" s="69">
        <f t="shared" si="74"/>
        <v>0</v>
      </c>
      <c r="M316" s="69">
        <f t="shared" si="75"/>
        <v>0</v>
      </c>
    </row>
    <row r="317" spans="1:13" s="61" customFormat="1" ht="20.25" customHeight="1" x14ac:dyDescent="0.25">
      <c r="A317" s="67" t="s">
        <v>116</v>
      </c>
      <c r="B317" s="68" t="s">
        <v>294</v>
      </c>
      <c r="C317" s="69" t="s">
        <v>288</v>
      </c>
      <c r="D317" s="69" t="s">
        <v>289</v>
      </c>
      <c r="E317" s="222">
        <v>17</v>
      </c>
      <c r="F317" s="222">
        <v>0</v>
      </c>
      <c r="G317" s="68" t="s">
        <v>290</v>
      </c>
      <c r="H317" s="70">
        <f>VLOOKUP(B317,custoEPI!$B$6:$E$29,4,FALSE)</f>
        <v>0</v>
      </c>
      <c r="I317" s="71">
        <f t="shared" si="71"/>
        <v>23</v>
      </c>
      <c r="J317" s="71">
        <f t="shared" si="72"/>
        <v>10</v>
      </c>
      <c r="K317" s="69">
        <f t="shared" si="73"/>
        <v>0</v>
      </c>
      <c r="L317" s="69">
        <f t="shared" si="74"/>
        <v>0</v>
      </c>
      <c r="M317" s="69">
        <f t="shared" si="75"/>
        <v>0</v>
      </c>
    </row>
    <row r="318" spans="1:13" s="61" customFormat="1" ht="20.25" hidden="1" customHeight="1" x14ac:dyDescent="0.25">
      <c r="A318" s="67"/>
      <c r="B318" s="68"/>
      <c r="C318" s="69"/>
      <c r="D318" s="69"/>
      <c r="E318" s="222"/>
      <c r="F318" s="222"/>
      <c r="G318" s="68"/>
      <c r="H318" s="70" t="e">
        <f>VLOOKUP(B318,custoEPI!$B$6:$E$29,4,FALSE)</f>
        <v>#N/A</v>
      </c>
      <c r="I318" s="71">
        <f t="shared" si="71"/>
        <v>23</v>
      </c>
      <c r="J318" s="71" t="str">
        <f t="shared" si="72"/>
        <v>sem descrição</v>
      </c>
      <c r="K318" s="69">
        <f t="shared" si="73"/>
        <v>0</v>
      </c>
      <c r="L318" s="69">
        <f t="shared" si="74"/>
        <v>0</v>
      </c>
      <c r="M318" s="69">
        <f t="shared" si="75"/>
        <v>0</v>
      </c>
    </row>
    <row r="319" spans="1:13" s="61" customFormat="1" ht="20.25" customHeight="1" x14ac:dyDescent="0.25">
      <c r="A319" s="67" t="s">
        <v>118</v>
      </c>
      <c r="B319" s="68" t="s">
        <v>299</v>
      </c>
      <c r="C319" s="69" t="s">
        <v>300</v>
      </c>
      <c r="D319" s="69" t="s">
        <v>292</v>
      </c>
      <c r="E319" s="222">
        <v>2</v>
      </c>
      <c r="F319" s="222">
        <v>0</v>
      </c>
      <c r="G319" s="68" t="s">
        <v>290</v>
      </c>
      <c r="H319" s="70">
        <f>VLOOKUP(B319,custoEPI!$B$6:$E$29,4,FALSE)</f>
        <v>0</v>
      </c>
      <c r="I319" s="71">
        <f t="shared" si="71"/>
        <v>23</v>
      </c>
      <c r="J319" s="71">
        <f t="shared" si="72"/>
        <v>10</v>
      </c>
      <c r="K319" s="69">
        <f t="shared" si="73"/>
        <v>0</v>
      </c>
      <c r="L319" s="69">
        <f t="shared" si="74"/>
        <v>0</v>
      </c>
      <c r="M319" s="69">
        <f t="shared" si="75"/>
        <v>0</v>
      </c>
    </row>
    <row r="320" spans="1:13" s="61" customFormat="1" ht="20.25" hidden="1" customHeight="1" x14ac:dyDescent="0.25">
      <c r="A320" s="67"/>
      <c r="B320" s="68"/>
      <c r="C320" s="69"/>
      <c r="D320" s="69"/>
      <c r="E320" s="222"/>
      <c r="F320" s="222"/>
      <c r="G320" s="68"/>
      <c r="H320" s="70"/>
      <c r="I320" s="71"/>
      <c r="J320" s="71" t="str">
        <f t="shared" si="72"/>
        <v>sem descrição</v>
      </c>
      <c r="K320" s="69" t="str">
        <f t="shared" ref="K320:K326" si="76">IF(C320="mensal",J320*H320*E320,IF(C320="trimestral",(J320*H320*E320)/3,IF(C320="semestral",(J320*H320*E320)/6,IF(C320="anual",(J320*H320*E320/12),"informar entrega"))))</f>
        <v>informar entrega</v>
      </c>
      <c r="L320" s="69">
        <f t="shared" si="74"/>
        <v>0</v>
      </c>
      <c r="M320" s="69">
        <f t="shared" si="75"/>
        <v>0</v>
      </c>
    </row>
    <row r="321" spans="1:13" s="61" customFormat="1" ht="20.25" hidden="1" customHeight="1" x14ac:dyDescent="0.25">
      <c r="A321" s="67" t="s">
        <v>127</v>
      </c>
      <c r="B321" s="68"/>
      <c r="C321" s="69"/>
      <c r="D321" s="69"/>
      <c r="E321" s="222"/>
      <c r="F321" s="222"/>
      <c r="G321" s="68"/>
      <c r="H321" s="70"/>
      <c r="I321" s="70"/>
      <c r="J321" s="71" t="str">
        <f t="shared" si="72"/>
        <v>sem descrição</v>
      </c>
      <c r="K321" s="69" t="str">
        <f t="shared" si="76"/>
        <v>informar entrega</v>
      </c>
      <c r="L321" s="69">
        <f t="shared" si="74"/>
        <v>0</v>
      </c>
      <c r="M321" s="69">
        <f t="shared" si="75"/>
        <v>0</v>
      </c>
    </row>
    <row r="322" spans="1:13" s="61" customFormat="1" ht="20.25" hidden="1" customHeight="1" x14ac:dyDescent="0.25">
      <c r="A322" s="67" t="s">
        <v>129</v>
      </c>
      <c r="B322" s="68"/>
      <c r="C322" s="69"/>
      <c r="D322" s="69"/>
      <c r="E322" s="222"/>
      <c r="F322" s="222"/>
      <c r="G322" s="68"/>
      <c r="H322" s="70"/>
      <c r="I322" s="70"/>
      <c r="J322" s="71" t="str">
        <f t="shared" si="72"/>
        <v>sem descrição</v>
      </c>
      <c r="K322" s="69" t="str">
        <f t="shared" si="76"/>
        <v>informar entrega</v>
      </c>
      <c r="L322" s="69">
        <f t="shared" si="74"/>
        <v>0</v>
      </c>
      <c r="M322" s="69">
        <f t="shared" si="75"/>
        <v>0</v>
      </c>
    </row>
    <row r="323" spans="1:13" s="61" customFormat="1" ht="20.25" hidden="1" customHeight="1" x14ac:dyDescent="0.25">
      <c r="A323" s="67" t="s">
        <v>131</v>
      </c>
      <c r="B323" s="68"/>
      <c r="C323" s="69"/>
      <c r="D323" s="69"/>
      <c r="E323" s="222"/>
      <c r="F323" s="222"/>
      <c r="G323" s="68"/>
      <c r="H323" s="70"/>
      <c r="I323" s="70"/>
      <c r="J323" s="71" t="str">
        <f t="shared" si="72"/>
        <v>sem descrição</v>
      </c>
      <c r="K323" s="69" t="str">
        <f t="shared" si="76"/>
        <v>informar entrega</v>
      </c>
      <c r="L323" s="69">
        <f t="shared" si="74"/>
        <v>0</v>
      </c>
      <c r="M323" s="69">
        <f t="shared" si="75"/>
        <v>0</v>
      </c>
    </row>
    <row r="324" spans="1:13" s="61" customFormat="1" ht="20.25" hidden="1" customHeight="1" x14ac:dyDescent="0.25">
      <c r="A324" s="67" t="s">
        <v>188</v>
      </c>
      <c r="B324" s="68"/>
      <c r="C324" s="69"/>
      <c r="D324" s="69"/>
      <c r="E324" s="222"/>
      <c r="F324" s="222"/>
      <c r="G324" s="68"/>
      <c r="H324" s="70"/>
      <c r="I324" s="70"/>
      <c r="J324" s="71" t="str">
        <f t="shared" si="72"/>
        <v>sem descrição</v>
      </c>
      <c r="K324" s="69" t="str">
        <f t="shared" si="76"/>
        <v>informar entrega</v>
      </c>
      <c r="L324" s="69">
        <f t="shared" si="74"/>
        <v>0</v>
      </c>
      <c r="M324" s="69">
        <f t="shared" si="75"/>
        <v>0</v>
      </c>
    </row>
    <row r="325" spans="1:13" s="61" customFormat="1" ht="20.25" hidden="1" customHeight="1" x14ac:dyDescent="0.25">
      <c r="A325" s="67" t="s">
        <v>192</v>
      </c>
      <c r="B325" s="68"/>
      <c r="C325" s="69"/>
      <c r="D325" s="69"/>
      <c r="E325" s="222"/>
      <c r="F325" s="222"/>
      <c r="G325" s="68"/>
      <c r="H325" s="70"/>
      <c r="I325" s="70"/>
      <c r="J325" s="71" t="str">
        <f t="shared" si="72"/>
        <v>sem descrição</v>
      </c>
      <c r="K325" s="69" t="str">
        <f t="shared" si="76"/>
        <v>informar entrega</v>
      </c>
      <c r="L325" s="69">
        <f t="shared" si="74"/>
        <v>0</v>
      </c>
      <c r="M325" s="69">
        <f t="shared" si="75"/>
        <v>0</v>
      </c>
    </row>
    <row r="326" spans="1:13" s="61" customFormat="1" ht="20.25" hidden="1" customHeight="1" x14ac:dyDescent="0.25">
      <c r="A326" s="67" t="s">
        <v>195</v>
      </c>
      <c r="B326" s="68"/>
      <c r="C326" s="69"/>
      <c r="D326" s="69"/>
      <c r="E326" s="222"/>
      <c r="F326" s="222"/>
      <c r="G326" s="68"/>
      <c r="H326" s="70"/>
      <c r="I326" s="70"/>
      <c r="J326" s="71" t="str">
        <f t="shared" si="72"/>
        <v>sem descrição</v>
      </c>
      <c r="K326" s="69" t="str">
        <f t="shared" si="76"/>
        <v>informar entrega</v>
      </c>
      <c r="L326" s="69">
        <f t="shared" si="74"/>
        <v>0</v>
      </c>
      <c r="M326" s="69">
        <f t="shared" si="75"/>
        <v>0</v>
      </c>
    </row>
    <row r="327" spans="1:13" s="61" customFormat="1" ht="20.25" hidden="1" customHeight="1" x14ac:dyDescent="0.25">
      <c r="A327" s="67" t="s">
        <v>199</v>
      </c>
      <c r="B327" s="68"/>
      <c r="C327" s="69"/>
      <c r="D327" s="69"/>
      <c r="E327" s="222"/>
      <c r="F327" s="222"/>
      <c r="G327" s="68"/>
      <c r="H327" s="70"/>
      <c r="I327" s="70"/>
      <c r="J327" s="71" t="str">
        <f t="shared" si="72"/>
        <v>sem descrição</v>
      </c>
      <c r="K327" s="69" t="str">
        <f>IF(C327="mensal",J327*H327*E327,IF(C327="trimestral",(J327*H327*E327)/3,IF(C327="semestral",(J327*H327*E327)/6,IF(C327="anual",(J327*H327*E327/12),"informar período"))))</f>
        <v>informar período</v>
      </c>
      <c r="L327" s="69">
        <f t="shared" si="74"/>
        <v>0</v>
      </c>
      <c r="M327" s="69">
        <f t="shared" si="75"/>
        <v>0</v>
      </c>
    </row>
    <row r="328" spans="1:13" s="61" customFormat="1" ht="20.25" customHeight="1" x14ac:dyDescent="0.25">
      <c r="A328" s="152" t="s">
        <v>320</v>
      </c>
      <c r="B328" s="147"/>
      <c r="C328" s="147"/>
      <c r="D328" s="147"/>
      <c r="E328" s="147"/>
      <c r="F328" s="147"/>
      <c r="G328" s="147"/>
      <c r="H328" s="147"/>
      <c r="I328" s="139"/>
      <c r="J328" s="155"/>
      <c r="K328" s="156">
        <f>SUM(K311:K327)</f>
        <v>0</v>
      </c>
      <c r="L328" s="157">
        <f>K328*12</f>
        <v>0</v>
      </c>
      <c r="M328" s="158">
        <f>K328*60</f>
        <v>0</v>
      </c>
    </row>
    <row r="329" spans="1:13" s="61" customFormat="1" ht="20.25" customHeight="1" x14ac:dyDescent="0.25">
      <c r="A329" s="152" t="s">
        <v>302</v>
      </c>
      <c r="B329" s="147"/>
      <c r="C329" s="147"/>
      <c r="D329" s="147"/>
      <c r="E329" s="147"/>
      <c r="F329" s="147"/>
      <c r="G329" s="147"/>
      <c r="H329" s="147"/>
      <c r="I329" s="147"/>
      <c r="J329" s="147"/>
      <c r="K329" s="147"/>
      <c r="L329" s="147"/>
      <c r="M329" s="159">
        <f>K328/SUM(C307:M309)</f>
        <v>0</v>
      </c>
    </row>
    <row r="330" spans="1:13" s="61" customFormat="1" ht="20.25" customHeight="1" x14ac:dyDescent="0.25">
      <c r="A330" s="235" t="s">
        <v>273</v>
      </c>
      <c r="B330" s="143" t="s">
        <v>19</v>
      </c>
      <c r="C330" s="153"/>
      <c r="D330" s="153"/>
      <c r="E330" s="153"/>
      <c r="F330" s="153"/>
      <c r="G330" s="153"/>
      <c r="H330" s="153"/>
      <c r="I330" s="153"/>
      <c r="J330" s="153"/>
      <c r="K330" s="153"/>
      <c r="L330" s="153"/>
      <c r="M330" s="154"/>
    </row>
    <row r="331" spans="1:13" s="61" customFormat="1" ht="20.25" customHeight="1" x14ac:dyDescent="0.25">
      <c r="A331" s="62">
        <v>1</v>
      </c>
      <c r="B331" s="63" t="s">
        <v>274</v>
      </c>
      <c r="C331" s="216" t="str">
        <f>'planilha - proposta'!C50</f>
        <v>Técnico em Nutrição</v>
      </c>
      <c r="D331" s="217"/>
      <c r="E331" s="217"/>
      <c r="F331" s="217"/>
      <c r="G331" s="217"/>
      <c r="H331" s="145"/>
      <c r="I331" s="145"/>
      <c r="J331" s="145"/>
      <c r="K331" s="145"/>
      <c r="L331" s="145"/>
      <c r="M331" s="146"/>
    </row>
    <row r="332" spans="1:13" s="61" customFormat="1" ht="20.25" customHeight="1" x14ac:dyDescent="0.25">
      <c r="A332" s="62">
        <v>2</v>
      </c>
      <c r="B332" s="63" t="str">
        <f>'planilha - proposta'!D50</f>
        <v>Técnico em Nutrição - 12x36d</v>
      </c>
      <c r="C332" s="216">
        <f>VLOOKUP(B332,'planilha - proposta'!$D$17:$E$62,2,FALSE)</f>
        <v>12</v>
      </c>
      <c r="D332" s="217"/>
      <c r="E332" s="217"/>
      <c r="F332" s="217"/>
      <c r="G332" s="217"/>
      <c r="H332" s="145"/>
      <c r="I332" s="145"/>
      <c r="J332" s="145"/>
      <c r="K332" s="145"/>
      <c r="L332" s="145"/>
      <c r="M332" s="146"/>
    </row>
    <row r="333" spans="1:13" s="61" customFormat="1" ht="20.25" customHeight="1" x14ac:dyDescent="0.25">
      <c r="A333" s="62">
        <v>3</v>
      </c>
      <c r="B333" s="63" t="str">
        <f>'planilha - proposta'!D51</f>
        <v>Técnico em Nutrição - 12x36n</v>
      </c>
      <c r="C333" s="216">
        <f>VLOOKUP(B333,'planilha - proposta'!$D$17:$E$62,2,FALSE)</f>
        <v>4</v>
      </c>
      <c r="D333" s="217"/>
      <c r="E333" s="217"/>
      <c r="F333" s="217"/>
      <c r="G333" s="217"/>
      <c r="H333" s="145"/>
      <c r="I333" s="145"/>
      <c r="J333" s="145"/>
      <c r="K333" s="145"/>
      <c r="L333" s="145"/>
      <c r="M333" s="146"/>
    </row>
    <row r="334" spans="1:13" s="61" customFormat="1" ht="20.25" customHeight="1" x14ac:dyDescent="0.25">
      <c r="A334" s="62">
        <v>4</v>
      </c>
      <c r="B334" s="63" t="str">
        <f>'planilha - proposta'!D52</f>
        <v>Técnico em Nutrição - 44h</v>
      </c>
      <c r="C334" s="216">
        <f>VLOOKUP(B334,'planilha - proposta'!$D$17:$E$62,2,FALSE)</f>
        <v>1</v>
      </c>
      <c r="D334" s="217"/>
      <c r="E334" s="217"/>
      <c r="F334" s="217"/>
      <c r="G334" s="217"/>
      <c r="H334" s="145"/>
      <c r="I334" s="145"/>
      <c r="J334" s="145"/>
      <c r="K334" s="145"/>
      <c r="L334" s="145"/>
      <c r="M334" s="146"/>
    </row>
    <row r="335" spans="1:13" s="61" customFormat="1" ht="52.5" customHeight="1" x14ac:dyDescent="0.25">
      <c r="A335" s="64" t="s">
        <v>273</v>
      </c>
      <c r="B335" s="65" t="s">
        <v>275</v>
      </c>
      <c r="C335" s="218" t="s">
        <v>276</v>
      </c>
      <c r="D335" s="218" t="s">
        <v>277</v>
      </c>
      <c r="E335" s="218" t="s">
        <v>278</v>
      </c>
      <c r="F335" s="218" t="s">
        <v>303</v>
      </c>
      <c r="G335" s="223" t="s">
        <v>280</v>
      </c>
      <c r="H335" s="65" t="s">
        <v>304</v>
      </c>
      <c r="I335" s="66" t="s">
        <v>305</v>
      </c>
      <c r="J335" s="66" t="s">
        <v>318</v>
      </c>
      <c r="K335" s="65" t="s">
        <v>284</v>
      </c>
      <c r="L335" s="65" t="s">
        <v>285</v>
      </c>
      <c r="M335" s="66" t="s">
        <v>286</v>
      </c>
    </row>
    <row r="336" spans="1:13" s="61" customFormat="1" ht="20.25" customHeight="1" x14ac:dyDescent="0.25">
      <c r="A336" s="67" t="s">
        <v>108</v>
      </c>
      <c r="B336" s="68" t="s">
        <v>287</v>
      </c>
      <c r="C336" s="69" t="s">
        <v>288</v>
      </c>
      <c r="D336" s="69" t="s">
        <v>289</v>
      </c>
      <c r="E336" s="222">
        <f>3*30</f>
        <v>90</v>
      </c>
      <c r="F336" s="222">
        <v>0</v>
      </c>
      <c r="G336" s="68" t="s">
        <v>290</v>
      </c>
      <c r="H336" s="70">
        <f>VLOOKUP(B336,custoEPI!$B$6:$E$29,4,FALSE)</f>
        <v>0</v>
      </c>
      <c r="I336" s="71">
        <f>SUM($C$332:$M$334)</f>
        <v>17</v>
      </c>
      <c r="J336" s="71">
        <f t="shared" ref="J336:J352" si="77">IF(B336="","sem descrição",IF($C$332&gt;=$C$333,IF($C$334&gt;0,$C$332/2+$C$334,$C$332/2),IF($C$334&gt;0,$C$333/5+$C$334,$C$334)))</f>
        <v>7</v>
      </c>
      <c r="K336" s="69">
        <f>IF(C336="mensal",IF(F336&gt;0,F336*H336,IF(D336="descartável",((SUM($C$332:$C$333)/2)+$C$334)*E336*H336,IF(D336="pessoal",E336*H336*I336,E336*H336*J336))),0)+IF(C336="trimestral",IF(F336&gt;0,F336*H336/3,IF(D336="descartável",(((SUM($C$332:$C$333)/2)+$C$334)*E336*H336)/3,IF(D336="pessoal",(E336*H336*I336)/3,(E336*H336*J336)/3))),0)+IF(C336="semestral",IF(F336&gt;0,F336*H336/6,IF(D336="descartável",(((SUM($C$332:$C$333)/2)+$C$334)*E336*H336)/6,IF(D336="pessoal",(E336*H336*I336)/6,(E336*H336*J336)/6))),0)+IF(C336="anual",IF(F336&gt;0,F336*H336/12,IF(D336="descartável",(((SUM($C$332:$C$333)/2)+$C$334)*E336*H336)/12,IF(D336="pessoal",(E336*H336*I336)/12,(E336*H336*J336)/12))),0)</f>
        <v>0</v>
      </c>
      <c r="L336" s="69">
        <f>IFERROR(K336*12, 0)</f>
        <v>0</v>
      </c>
      <c r="M336" s="69">
        <f>IFERROR(K336*60,0)</f>
        <v>0</v>
      </c>
    </row>
    <row r="337" spans="1:13" s="61" customFormat="1" ht="20.25" customHeight="1" x14ac:dyDescent="0.25">
      <c r="A337" s="67" t="s">
        <v>110</v>
      </c>
      <c r="B337" s="68" t="s">
        <v>294</v>
      </c>
      <c r="C337" s="69" t="s">
        <v>288</v>
      </c>
      <c r="D337" s="69" t="s">
        <v>289</v>
      </c>
      <c r="E337" s="222">
        <f>3*30</f>
        <v>90</v>
      </c>
      <c r="F337" s="222">
        <v>0</v>
      </c>
      <c r="G337" s="68" t="s">
        <v>290</v>
      </c>
      <c r="H337" s="70">
        <f>VLOOKUP(B337,custoEPI!$B$6:$E$29,4,FALSE)</f>
        <v>0</v>
      </c>
      <c r="I337" s="71">
        <f>SUM($C$332:$M$334)</f>
        <v>17</v>
      </c>
      <c r="J337" s="71">
        <f t="shared" si="77"/>
        <v>7</v>
      </c>
      <c r="K337" s="69">
        <f t="shared" ref="K337:K338" si="78">IF(C337="mensal",IF(F337&gt;0,F337*H337,IF(D337="descartável",((SUM($C$332:$C$333)/2)+$C$334)*E337*H337,IF(D337="pessoal",E337*H337*I337,E337*H337*J337))),0)+IF(C337="trimestral",IF(F337&gt;0,F337*H337/3,IF(D337="descartável",(((SUM($C$332:$C$333)/2)+$C$334)*E337*H337)/3,IF(D337="pessoal",(E337*H337*I337)/3,(E337*H337*J337)/3))),0)+IF(C337="semestral",IF(F337&gt;0,F337*H337/6,IF(D337="descartável",(((SUM($C$332:$C$333)/2)+$C$334)*E337*H337)/6,IF(D337="pessoal",(E337*H337*I337)/6,(E337*H337*J337)/6))),0)+IF(C337="anual",IF(F337&gt;0,F337*H337/12,IF(D337="descartável",(((SUM($C$332:$C$333)/2)+$C$334)*E337*H337)/12,IF(D337="pessoal",(E337*H337*I337)/12,(E337*H337*J337)/12))),0)</f>
        <v>0</v>
      </c>
      <c r="L337" s="69">
        <f t="shared" ref="L337:L352" si="79">IFERROR(K337*12, 0)</f>
        <v>0</v>
      </c>
      <c r="M337" s="69">
        <f t="shared" ref="M337:M352" si="80">IFERROR(K337*60,0)</f>
        <v>0</v>
      </c>
    </row>
    <row r="338" spans="1:13" s="61" customFormat="1" ht="20.25" customHeight="1" x14ac:dyDescent="0.25">
      <c r="A338" s="67" t="s">
        <v>111</v>
      </c>
      <c r="B338" s="68" t="s">
        <v>313</v>
      </c>
      <c r="C338" s="69" t="s">
        <v>288</v>
      </c>
      <c r="D338" s="69" t="s">
        <v>289</v>
      </c>
      <c r="E338" s="222">
        <v>48</v>
      </c>
      <c r="F338" s="222">
        <v>0</v>
      </c>
      <c r="G338" s="68" t="s">
        <v>290</v>
      </c>
      <c r="H338" s="70">
        <f>VLOOKUP(B338,custoEPI!$B$6:$E$29,4,FALSE)</f>
        <v>0</v>
      </c>
      <c r="I338" s="71">
        <f>SUM($C$332:$M$334)</f>
        <v>17</v>
      </c>
      <c r="J338" s="71">
        <f t="shared" si="77"/>
        <v>7</v>
      </c>
      <c r="K338" s="69">
        <f t="shared" si="78"/>
        <v>0</v>
      </c>
      <c r="L338" s="69">
        <f t="shared" si="79"/>
        <v>0</v>
      </c>
      <c r="M338" s="69">
        <f t="shared" si="80"/>
        <v>0</v>
      </c>
    </row>
    <row r="339" spans="1:13" s="61" customFormat="1" ht="20.25" hidden="1" customHeight="1" x14ac:dyDescent="0.25">
      <c r="A339" s="67"/>
      <c r="B339" s="68"/>
      <c r="C339" s="69"/>
      <c r="D339" s="69"/>
      <c r="E339" s="222"/>
      <c r="F339" s="222"/>
      <c r="G339" s="68"/>
      <c r="H339" s="70" t="e">
        <f>VLOOKUP(B339,custoEPI!$B$6:$E$29,4,FALSE)</f>
        <v>#N/A</v>
      </c>
      <c r="I339" s="71">
        <f>SUM($C$332:$M$334)</f>
        <v>17</v>
      </c>
      <c r="J339" s="71" t="str">
        <f t="shared" si="77"/>
        <v>sem descrição</v>
      </c>
      <c r="K339" s="69" t="str">
        <f t="shared" ref="K339:K351" si="81">IF(C339="mensal",J339*H339*E339,IF(C339="trimestral",(J339*H339*E339)/3,IF(C339="semestral",(J339*H339*E339)/6,IF(C339="anual",(J339*H339*E339/12),"informar entrega"))))</f>
        <v>informar entrega</v>
      </c>
      <c r="L339" s="69">
        <f t="shared" si="79"/>
        <v>0</v>
      </c>
      <c r="M339" s="69">
        <f t="shared" si="80"/>
        <v>0</v>
      </c>
    </row>
    <row r="340" spans="1:13" s="61" customFormat="1" ht="20.25" hidden="1" customHeight="1" x14ac:dyDescent="0.25">
      <c r="A340" s="67" t="s">
        <v>114</v>
      </c>
      <c r="B340" s="68"/>
      <c r="C340" s="69"/>
      <c r="D340" s="69"/>
      <c r="E340" s="222"/>
      <c r="F340" s="222"/>
      <c r="G340" s="68" t="s">
        <v>290</v>
      </c>
      <c r="H340" s="70" t="e">
        <f>VLOOKUP(B340,custoEPI!$B$6:$E$29,4,FALSE)</f>
        <v>#N/A</v>
      </c>
      <c r="I340" s="71"/>
      <c r="J340" s="71" t="str">
        <f t="shared" si="77"/>
        <v>sem descrição</v>
      </c>
      <c r="K340" s="69" t="str">
        <f t="shared" si="81"/>
        <v>informar entrega</v>
      </c>
      <c r="L340" s="69">
        <f t="shared" si="79"/>
        <v>0</v>
      </c>
      <c r="M340" s="69">
        <f t="shared" si="80"/>
        <v>0</v>
      </c>
    </row>
    <row r="341" spans="1:13" s="61" customFormat="1" ht="20.25" hidden="1" customHeight="1" x14ac:dyDescent="0.25">
      <c r="A341" s="67" t="s">
        <v>115</v>
      </c>
      <c r="B341" s="68"/>
      <c r="C341" s="69"/>
      <c r="D341" s="69"/>
      <c r="E341" s="222"/>
      <c r="F341" s="222"/>
      <c r="G341" s="68" t="s">
        <v>290</v>
      </c>
      <c r="H341" s="70" t="e">
        <f>VLOOKUP(B341,custoEPI!$B$6:$E$29,4,FALSE)</f>
        <v>#N/A</v>
      </c>
      <c r="I341" s="71"/>
      <c r="J341" s="71" t="str">
        <f t="shared" si="77"/>
        <v>sem descrição</v>
      </c>
      <c r="K341" s="69" t="str">
        <f t="shared" si="81"/>
        <v>informar entrega</v>
      </c>
      <c r="L341" s="69">
        <f t="shared" si="79"/>
        <v>0</v>
      </c>
      <c r="M341" s="69">
        <f t="shared" si="80"/>
        <v>0</v>
      </c>
    </row>
    <row r="342" spans="1:13" s="61" customFormat="1" ht="20.25" hidden="1" customHeight="1" x14ac:dyDescent="0.25">
      <c r="A342" s="67" t="s">
        <v>116</v>
      </c>
      <c r="B342" s="68"/>
      <c r="C342" s="69"/>
      <c r="D342" s="69"/>
      <c r="E342" s="222"/>
      <c r="F342" s="222"/>
      <c r="G342" s="68" t="s">
        <v>290</v>
      </c>
      <c r="H342" s="70" t="e">
        <f>VLOOKUP(B342,custoEPI!$B$6:$E$29,4,FALSE)</f>
        <v>#N/A</v>
      </c>
      <c r="I342" s="71"/>
      <c r="J342" s="71" t="str">
        <f t="shared" si="77"/>
        <v>sem descrição</v>
      </c>
      <c r="K342" s="69" t="str">
        <f t="shared" si="81"/>
        <v>informar entrega</v>
      </c>
      <c r="L342" s="69">
        <f t="shared" si="79"/>
        <v>0</v>
      </c>
      <c r="M342" s="69">
        <f t="shared" si="80"/>
        <v>0</v>
      </c>
    </row>
    <row r="343" spans="1:13" s="61" customFormat="1" ht="20.25" hidden="1" customHeight="1" x14ac:dyDescent="0.25">
      <c r="A343" s="67" t="s">
        <v>118</v>
      </c>
      <c r="B343" s="68"/>
      <c r="C343" s="69"/>
      <c r="D343" s="69"/>
      <c r="E343" s="222"/>
      <c r="F343" s="222"/>
      <c r="G343" s="68" t="s">
        <v>290</v>
      </c>
      <c r="H343" s="70" t="e">
        <f>VLOOKUP(B343,custoEPI!$B$6:$E$29,4,FALSE)</f>
        <v>#N/A</v>
      </c>
      <c r="I343" s="71"/>
      <c r="J343" s="71" t="str">
        <f t="shared" si="77"/>
        <v>sem descrição</v>
      </c>
      <c r="K343" s="69" t="str">
        <f t="shared" si="81"/>
        <v>informar entrega</v>
      </c>
      <c r="L343" s="69">
        <f t="shared" si="79"/>
        <v>0</v>
      </c>
      <c r="M343" s="69">
        <f t="shared" si="80"/>
        <v>0</v>
      </c>
    </row>
    <row r="344" spans="1:13" s="61" customFormat="1" ht="20.25" hidden="1" customHeight="1" x14ac:dyDescent="0.25">
      <c r="A344" s="67" t="s">
        <v>121</v>
      </c>
      <c r="B344" s="68"/>
      <c r="C344" s="69"/>
      <c r="D344" s="69"/>
      <c r="E344" s="222"/>
      <c r="F344" s="222"/>
      <c r="G344" s="68"/>
      <c r="H344" s="70" t="e">
        <f>VLOOKUP(B344,custoEPI!$B$6:$E$29,4,FALSE)</f>
        <v>#N/A</v>
      </c>
      <c r="I344" s="71"/>
      <c r="J344" s="71" t="str">
        <f t="shared" si="77"/>
        <v>sem descrição</v>
      </c>
      <c r="K344" s="69" t="str">
        <f t="shared" si="81"/>
        <v>informar entrega</v>
      </c>
      <c r="L344" s="69">
        <f t="shared" si="79"/>
        <v>0</v>
      </c>
      <c r="M344" s="69">
        <f t="shared" si="80"/>
        <v>0</v>
      </c>
    </row>
    <row r="345" spans="1:13" s="61" customFormat="1" ht="20.25" hidden="1" customHeight="1" x14ac:dyDescent="0.25">
      <c r="A345" s="67" t="s">
        <v>125</v>
      </c>
      <c r="B345" s="68"/>
      <c r="C345" s="69"/>
      <c r="D345" s="69"/>
      <c r="E345" s="222"/>
      <c r="F345" s="222"/>
      <c r="G345" s="68"/>
      <c r="H345" s="70"/>
      <c r="I345" s="71"/>
      <c r="J345" s="71" t="str">
        <f t="shared" si="77"/>
        <v>sem descrição</v>
      </c>
      <c r="K345" s="69" t="str">
        <f t="shared" si="81"/>
        <v>informar entrega</v>
      </c>
      <c r="L345" s="69">
        <f t="shared" si="79"/>
        <v>0</v>
      </c>
      <c r="M345" s="69">
        <f t="shared" si="80"/>
        <v>0</v>
      </c>
    </row>
    <row r="346" spans="1:13" s="61" customFormat="1" ht="20.25" hidden="1" customHeight="1" x14ac:dyDescent="0.25">
      <c r="A346" s="67" t="s">
        <v>127</v>
      </c>
      <c r="B346" s="68"/>
      <c r="C346" s="69"/>
      <c r="D346" s="69"/>
      <c r="E346" s="222"/>
      <c r="F346" s="222"/>
      <c r="G346" s="68"/>
      <c r="H346" s="70"/>
      <c r="I346" s="70"/>
      <c r="J346" s="71" t="str">
        <f t="shared" si="77"/>
        <v>sem descrição</v>
      </c>
      <c r="K346" s="69" t="str">
        <f t="shared" si="81"/>
        <v>informar entrega</v>
      </c>
      <c r="L346" s="69">
        <f t="shared" si="79"/>
        <v>0</v>
      </c>
      <c r="M346" s="69">
        <f t="shared" si="80"/>
        <v>0</v>
      </c>
    </row>
    <row r="347" spans="1:13" s="61" customFormat="1" ht="20.25" hidden="1" customHeight="1" x14ac:dyDescent="0.25">
      <c r="A347" s="67" t="s">
        <v>129</v>
      </c>
      <c r="B347" s="68"/>
      <c r="C347" s="69"/>
      <c r="D347" s="69"/>
      <c r="E347" s="222"/>
      <c r="F347" s="222"/>
      <c r="G347" s="68"/>
      <c r="H347" s="70"/>
      <c r="I347" s="70"/>
      <c r="J347" s="71" t="str">
        <f t="shared" si="77"/>
        <v>sem descrição</v>
      </c>
      <c r="K347" s="69" t="str">
        <f t="shared" si="81"/>
        <v>informar entrega</v>
      </c>
      <c r="L347" s="69">
        <f t="shared" si="79"/>
        <v>0</v>
      </c>
      <c r="M347" s="69">
        <f t="shared" si="80"/>
        <v>0</v>
      </c>
    </row>
    <row r="348" spans="1:13" s="61" customFormat="1" ht="20.25" hidden="1" customHeight="1" x14ac:dyDescent="0.25">
      <c r="A348" s="67" t="s">
        <v>131</v>
      </c>
      <c r="B348" s="68"/>
      <c r="C348" s="69"/>
      <c r="D348" s="69"/>
      <c r="E348" s="222"/>
      <c r="F348" s="222"/>
      <c r="G348" s="68"/>
      <c r="H348" s="70"/>
      <c r="I348" s="70"/>
      <c r="J348" s="71" t="str">
        <f t="shared" si="77"/>
        <v>sem descrição</v>
      </c>
      <c r="K348" s="69" t="str">
        <f t="shared" si="81"/>
        <v>informar entrega</v>
      </c>
      <c r="L348" s="69">
        <f t="shared" si="79"/>
        <v>0</v>
      </c>
      <c r="M348" s="69">
        <f t="shared" si="80"/>
        <v>0</v>
      </c>
    </row>
    <row r="349" spans="1:13" s="61" customFormat="1" ht="20.25" hidden="1" customHeight="1" x14ac:dyDescent="0.25">
      <c r="A349" s="67" t="s">
        <v>188</v>
      </c>
      <c r="B349" s="68"/>
      <c r="C349" s="69"/>
      <c r="D349" s="69"/>
      <c r="E349" s="222"/>
      <c r="F349" s="222"/>
      <c r="G349" s="68"/>
      <c r="H349" s="70"/>
      <c r="I349" s="70"/>
      <c r="J349" s="71" t="str">
        <f t="shared" si="77"/>
        <v>sem descrição</v>
      </c>
      <c r="K349" s="69" t="str">
        <f t="shared" si="81"/>
        <v>informar entrega</v>
      </c>
      <c r="L349" s="69">
        <f t="shared" si="79"/>
        <v>0</v>
      </c>
      <c r="M349" s="69">
        <f t="shared" si="80"/>
        <v>0</v>
      </c>
    </row>
    <row r="350" spans="1:13" s="61" customFormat="1" ht="20.25" hidden="1" customHeight="1" x14ac:dyDescent="0.25">
      <c r="A350" s="67" t="s">
        <v>192</v>
      </c>
      <c r="B350" s="68"/>
      <c r="C350" s="69"/>
      <c r="D350" s="69"/>
      <c r="E350" s="222"/>
      <c r="F350" s="222"/>
      <c r="G350" s="68"/>
      <c r="H350" s="70"/>
      <c r="I350" s="70"/>
      <c r="J350" s="71" t="str">
        <f t="shared" si="77"/>
        <v>sem descrição</v>
      </c>
      <c r="K350" s="69" t="str">
        <f t="shared" si="81"/>
        <v>informar entrega</v>
      </c>
      <c r="L350" s="69">
        <f t="shared" si="79"/>
        <v>0</v>
      </c>
      <c r="M350" s="69">
        <f t="shared" si="80"/>
        <v>0</v>
      </c>
    </row>
    <row r="351" spans="1:13" s="61" customFormat="1" ht="20.25" hidden="1" customHeight="1" x14ac:dyDescent="0.25">
      <c r="A351" s="67" t="s">
        <v>195</v>
      </c>
      <c r="B351" s="68"/>
      <c r="C351" s="69"/>
      <c r="D351" s="69"/>
      <c r="E351" s="222"/>
      <c r="F351" s="222"/>
      <c r="G351" s="68"/>
      <c r="H351" s="70"/>
      <c r="I351" s="70"/>
      <c r="J351" s="71" t="str">
        <f t="shared" si="77"/>
        <v>sem descrição</v>
      </c>
      <c r="K351" s="69" t="str">
        <f t="shared" si="81"/>
        <v>informar entrega</v>
      </c>
      <c r="L351" s="69">
        <f t="shared" si="79"/>
        <v>0</v>
      </c>
      <c r="M351" s="69">
        <f t="shared" si="80"/>
        <v>0</v>
      </c>
    </row>
    <row r="352" spans="1:13" s="61" customFormat="1" ht="20.25" hidden="1" customHeight="1" x14ac:dyDescent="0.25">
      <c r="A352" s="67" t="s">
        <v>199</v>
      </c>
      <c r="B352" s="68"/>
      <c r="C352" s="69"/>
      <c r="D352" s="69"/>
      <c r="E352" s="222"/>
      <c r="F352" s="222"/>
      <c r="G352" s="68"/>
      <c r="H352" s="70"/>
      <c r="I352" s="70"/>
      <c r="J352" s="71" t="str">
        <f t="shared" si="77"/>
        <v>sem descrição</v>
      </c>
      <c r="K352" s="69" t="str">
        <f>IF(C352="mensal",J352*H352*E352,IF(C352="trimestral",(J352*H352*E352)/3,IF(C352="semestral",(J352*H352*E352)/6,IF(C352="anual",(J352*H352*E352/12),"informar período"))))</f>
        <v>informar período</v>
      </c>
      <c r="L352" s="69">
        <f t="shared" si="79"/>
        <v>0</v>
      </c>
      <c r="M352" s="69">
        <f t="shared" si="80"/>
        <v>0</v>
      </c>
    </row>
    <row r="353" spans="1:13" s="61" customFormat="1" ht="20.25" customHeight="1" x14ac:dyDescent="0.25">
      <c r="A353" s="152" t="s">
        <v>321</v>
      </c>
      <c r="B353" s="147"/>
      <c r="C353" s="147"/>
      <c r="D353" s="147"/>
      <c r="E353" s="147"/>
      <c r="F353" s="147"/>
      <c r="G353" s="147"/>
      <c r="H353" s="147"/>
      <c r="I353" s="139"/>
      <c r="J353" s="155"/>
      <c r="K353" s="156">
        <f>SUM(K336:K352)</f>
        <v>0</v>
      </c>
      <c r="L353" s="157">
        <f>K353*12</f>
        <v>0</v>
      </c>
      <c r="M353" s="158">
        <f>K353*60</f>
        <v>0</v>
      </c>
    </row>
    <row r="354" spans="1:13" s="61" customFormat="1" ht="20.25" customHeight="1" x14ac:dyDescent="0.25">
      <c r="A354" s="152" t="s">
        <v>302</v>
      </c>
      <c r="B354" s="147"/>
      <c r="C354" s="147"/>
      <c r="D354" s="147"/>
      <c r="E354" s="147"/>
      <c r="F354" s="147"/>
      <c r="G354" s="147"/>
      <c r="H354" s="147"/>
      <c r="I354" s="147"/>
      <c r="J354" s="147"/>
      <c r="K354" s="147"/>
      <c r="L354" s="147"/>
      <c r="M354" s="159">
        <f>K353/SUM(C332:M334)</f>
        <v>0</v>
      </c>
    </row>
    <row r="355" spans="1:13" s="61" customFormat="1" ht="20.25" customHeight="1" x14ac:dyDescent="0.25">
      <c r="A355" s="235" t="s">
        <v>273</v>
      </c>
      <c r="B355" s="143" t="s">
        <v>19</v>
      </c>
      <c r="C355" s="153"/>
      <c r="D355" s="153"/>
      <c r="E355" s="153"/>
      <c r="F355" s="153"/>
      <c r="G355" s="153"/>
      <c r="H355" s="153"/>
      <c r="I355" s="153"/>
      <c r="J355" s="153"/>
      <c r="K355" s="153"/>
      <c r="L355" s="153"/>
      <c r="M355" s="154"/>
    </row>
    <row r="356" spans="1:13" s="61" customFormat="1" ht="20.25" customHeight="1" x14ac:dyDescent="0.25">
      <c r="A356" s="62">
        <v>1</v>
      </c>
      <c r="B356" s="63" t="s">
        <v>274</v>
      </c>
      <c r="C356" s="216" t="str">
        <f>'planilha - proposta'!C53</f>
        <v>Supervisor de Lavanderia</v>
      </c>
      <c r="D356" s="217"/>
      <c r="E356" s="217"/>
      <c r="F356" s="217"/>
      <c r="G356" s="217"/>
      <c r="H356" s="145"/>
      <c r="I356" s="145"/>
      <c r="J356" s="145"/>
      <c r="K356" s="145"/>
      <c r="L356" s="145"/>
      <c r="M356" s="146"/>
    </row>
    <row r="357" spans="1:13" s="61" customFormat="1" ht="20.25" hidden="1" customHeight="1" x14ac:dyDescent="0.25">
      <c r="A357" s="62"/>
      <c r="B357" s="63"/>
      <c r="C357" s="216">
        <v>0</v>
      </c>
      <c r="D357" s="217"/>
      <c r="E357" s="217"/>
      <c r="F357" s="217"/>
      <c r="G357" s="217"/>
      <c r="H357" s="145"/>
      <c r="I357" s="145"/>
      <c r="J357" s="145"/>
      <c r="K357" s="145"/>
      <c r="L357" s="145"/>
      <c r="M357" s="146"/>
    </row>
    <row r="358" spans="1:13" s="61" customFormat="1" ht="20.25" hidden="1" customHeight="1" x14ac:dyDescent="0.25">
      <c r="A358" s="62"/>
      <c r="B358" s="63"/>
      <c r="C358" s="213">
        <v>0</v>
      </c>
      <c r="D358" s="214"/>
      <c r="E358" s="214"/>
      <c r="F358" s="214"/>
      <c r="G358" s="214"/>
      <c r="H358" s="148"/>
      <c r="I358" s="148"/>
      <c r="J358" s="148"/>
      <c r="K358" s="148"/>
      <c r="L358" s="148"/>
      <c r="M358" s="149"/>
    </row>
    <row r="359" spans="1:13" s="61" customFormat="1" ht="20.25" customHeight="1" x14ac:dyDescent="0.25">
      <c r="A359" s="62">
        <v>2</v>
      </c>
      <c r="B359" s="63" t="str">
        <f>'planilha - proposta'!D53</f>
        <v>Supervisor de Lavanderia - 44h</v>
      </c>
      <c r="C359" s="216">
        <f>VLOOKUP(B359,'planilha - proposta'!$D$17:$E$62,2,FALSE)</f>
        <v>1</v>
      </c>
      <c r="D359" s="217"/>
      <c r="E359" s="217"/>
      <c r="F359" s="217"/>
      <c r="G359" s="217"/>
      <c r="H359" s="145"/>
      <c r="I359" s="145"/>
      <c r="J359" s="145"/>
      <c r="K359" s="145"/>
      <c r="L359" s="145"/>
      <c r="M359" s="146"/>
    </row>
    <row r="360" spans="1:13" s="61" customFormat="1" ht="52.5" customHeight="1" x14ac:dyDescent="0.25">
      <c r="A360" s="64" t="s">
        <v>273</v>
      </c>
      <c r="B360" s="65" t="s">
        <v>275</v>
      </c>
      <c r="C360" s="218" t="s">
        <v>276</v>
      </c>
      <c r="D360" s="218" t="s">
        <v>277</v>
      </c>
      <c r="E360" s="218" t="s">
        <v>278</v>
      </c>
      <c r="F360" s="218" t="s">
        <v>303</v>
      </c>
      <c r="G360" s="223" t="s">
        <v>280</v>
      </c>
      <c r="H360" s="65" t="s">
        <v>304</v>
      </c>
      <c r="I360" s="66" t="s">
        <v>305</v>
      </c>
      <c r="J360" s="66" t="s">
        <v>318</v>
      </c>
      <c r="K360" s="65" t="s">
        <v>284</v>
      </c>
      <c r="L360" s="65" t="s">
        <v>285</v>
      </c>
      <c r="M360" s="66" t="s">
        <v>286</v>
      </c>
    </row>
    <row r="361" spans="1:13" s="61" customFormat="1" ht="20.25" customHeight="1" x14ac:dyDescent="0.25">
      <c r="A361" s="67" t="s">
        <v>108</v>
      </c>
      <c r="B361" s="68" t="s">
        <v>287</v>
      </c>
      <c r="C361" s="69" t="s">
        <v>288</v>
      </c>
      <c r="D361" s="69" t="s">
        <v>289</v>
      </c>
      <c r="E361" s="222">
        <f>3*26</f>
        <v>78</v>
      </c>
      <c r="F361" s="222">
        <v>0</v>
      </c>
      <c r="G361" s="68" t="s">
        <v>290</v>
      </c>
      <c r="H361" s="70">
        <f>VLOOKUP(B361,custoEPI!$B$6:$E$29,4,FALSE)</f>
        <v>0</v>
      </c>
      <c r="I361" s="71">
        <f>SUM($C$357:$M$359)</f>
        <v>1</v>
      </c>
      <c r="J361" s="71">
        <f t="shared" ref="J361:J377" si="82">IF(B361="","sem descrição",IF($C$357&gt;=$C$358,IF($C$359&gt;0,$C$357/2+$C$359,$C$357/2),IF($C$359&gt;0,$C$358/5+$C$359,$C$359)))</f>
        <v>1</v>
      </c>
      <c r="K361" s="69">
        <f>IF(C361="mensal",IF(F361&gt;0,F361*H361,IF(D361="descartável",((SUM($C$357:$C$358)/2)+$C$359)*E361*H361,IF(D361="pessoal",E361*H361*I361,E361*H361*J361))),0)+IF(C361="trimestral",IF(F361&gt;0,F361*H361/3,IF(D361="descartável",(((SUM($C$357:$C$358)/2)+$C$359)*E361*H361)/3,IF(D361="pessoal",(E361*H361*I361)/3,(E361*H361*J361)/3))),0)+IF(C361="semestral",IF(F361&gt;0,F361*H361/6,IF(D361="descartável",(((SUM($C$357:$C$358)/2)+$C$359)*E361*H361)/6,IF(D361="pessoal",(E361*H361*I361)/6,(E361*H361*J361)/6))),0)+IF(C361="anual",IF(F361&gt;0,F361*H361/12,IF(D361="descartável",(((SUM($C$357:$C$358)/2)+$C$359)*E361*H361)/12,IF(D361="pessoal",(E361*H361*I361)/12,(E361*H361*J361)/12))),0)</f>
        <v>0</v>
      </c>
      <c r="L361" s="69">
        <f>IFERROR(K361*12, 0)</f>
        <v>0</v>
      </c>
      <c r="M361" s="69">
        <f>IFERROR(K361*60,0)</f>
        <v>0</v>
      </c>
    </row>
    <row r="362" spans="1:13" s="61" customFormat="1" ht="20.25" hidden="1" customHeight="1" x14ac:dyDescent="0.25">
      <c r="A362" s="67"/>
      <c r="B362" s="68"/>
      <c r="C362" s="69"/>
      <c r="D362" s="69"/>
      <c r="E362" s="222"/>
      <c r="F362" s="222"/>
      <c r="G362" s="68"/>
      <c r="H362" s="70" t="e">
        <f>VLOOKUP(B362,custoEPI!$B$6:$E$29,4,FALSE)</f>
        <v>#N/A</v>
      </c>
      <c r="I362" s="71">
        <f>SUM($C$357:$M$359)</f>
        <v>1</v>
      </c>
      <c r="J362" s="71" t="str">
        <f t="shared" si="82"/>
        <v>sem descrição</v>
      </c>
      <c r="K362" s="69" t="str">
        <f t="shared" ref="K362:K376" si="83">IF(C362="mensal",J362*H362*E362,IF(C362="trimestral",(J362*H362*E362)/3,IF(C362="semestral",(J362*H362*E362)/6,IF(C362="anual",(J362*H362*E362/12),"informar entrega"))))</f>
        <v>informar entrega</v>
      </c>
      <c r="L362" s="69">
        <f t="shared" ref="L362:L377" si="84">IFERROR(K362*12, 0)</f>
        <v>0</v>
      </c>
      <c r="M362" s="69">
        <f t="shared" ref="M362:M377" si="85">IFERROR(K362*60,0)</f>
        <v>0</v>
      </c>
    </row>
    <row r="363" spans="1:13" s="61" customFormat="1" ht="20.25" hidden="1" customHeight="1" x14ac:dyDescent="0.25">
      <c r="A363" s="67"/>
      <c r="B363" s="68"/>
      <c r="C363" s="69"/>
      <c r="D363" s="69"/>
      <c r="E363" s="222"/>
      <c r="F363" s="222"/>
      <c r="G363" s="68"/>
      <c r="H363" s="70" t="e">
        <f>VLOOKUP(B363,custoEPI!$B$6:$E$29,4,FALSE)</f>
        <v>#N/A</v>
      </c>
      <c r="I363" s="71">
        <f>SUM($C$357:$M$359)</f>
        <v>1</v>
      </c>
      <c r="J363" s="71" t="str">
        <f t="shared" si="82"/>
        <v>sem descrição</v>
      </c>
      <c r="K363" s="69" t="str">
        <f t="shared" si="83"/>
        <v>informar entrega</v>
      </c>
      <c r="L363" s="69">
        <f t="shared" si="84"/>
        <v>0</v>
      </c>
      <c r="M363" s="69">
        <f t="shared" si="85"/>
        <v>0</v>
      </c>
    </row>
    <row r="364" spans="1:13" s="61" customFormat="1" ht="20.25" hidden="1" customHeight="1" x14ac:dyDescent="0.25">
      <c r="A364" s="67"/>
      <c r="B364" s="68"/>
      <c r="C364" s="69"/>
      <c r="D364" s="69"/>
      <c r="E364" s="222"/>
      <c r="F364" s="222"/>
      <c r="G364" s="68"/>
      <c r="H364" s="70" t="e">
        <f>VLOOKUP(B364,custoEPI!$B$6:$E$29,4,FALSE)</f>
        <v>#N/A</v>
      </c>
      <c r="I364" s="71">
        <f>SUM($C$357:$M$359)</f>
        <v>1</v>
      </c>
      <c r="J364" s="71" t="str">
        <f t="shared" si="82"/>
        <v>sem descrição</v>
      </c>
      <c r="K364" s="69" t="str">
        <f t="shared" si="83"/>
        <v>informar entrega</v>
      </c>
      <c r="L364" s="69">
        <f t="shared" si="84"/>
        <v>0</v>
      </c>
      <c r="M364" s="69">
        <f t="shared" si="85"/>
        <v>0</v>
      </c>
    </row>
    <row r="365" spans="1:13" s="61" customFormat="1" ht="20.25" hidden="1" customHeight="1" x14ac:dyDescent="0.25">
      <c r="A365" s="67" t="s">
        <v>114</v>
      </c>
      <c r="B365" s="68"/>
      <c r="C365" s="69"/>
      <c r="D365" s="69"/>
      <c r="E365" s="222"/>
      <c r="F365" s="222"/>
      <c r="G365" s="68" t="s">
        <v>290</v>
      </c>
      <c r="H365" s="70" t="e">
        <f>VLOOKUP(B365,custoEPI!$B$6:$E$29,4,FALSE)</f>
        <v>#N/A</v>
      </c>
      <c r="I365" s="71"/>
      <c r="J365" s="71" t="str">
        <f t="shared" si="82"/>
        <v>sem descrição</v>
      </c>
      <c r="K365" s="69" t="str">
        <f t="shared" si="83"/>
        <v>informar entrega</v>
      </c>
      <c r="L365" s="69">
        <f t="shared" si="84"/>
        <v>0</v>
      </c>
      <c r="M365" s="69">
        <f t="shared" si="85"/>
        <v>0</v>
      </c>
    </row>
    <row r="366" spans="1:13" s="61" customFormat="1" ht="20.25" hidden="1" customHeight="1" x14ac:dyDescent="0.25">
      <c r="A366" s="67" t="s">
        <v>115</v>
      </c>
      <c r="B366" s="68"/>
      <c r="C366" s="69"/>
      <c r="D366" s="69"/>
      <c r="E366" s="222"/>
      <c r="F366" s="222"/>
      <c r="G366" s="68" t="s">
        <v>290</v>
      </c>
      <c r="H366" s="70" t="e">
        <f>VLOOKUP(B366,custoEPI!$B$6:$E$29,4,FALSE)</f>
        <v>#N/A</v>
      </c>
      <c r="I366" s="71"/>
      <c r="J366" s="71" t="str">
        <f t="shared" si="82"/>
        <v>sem descrição</v>
      </c>
      <c r="K366" s="69" t="str">
        <f t="shared" si="83"/>
        <v>informar entrega</v>
      </c>
      <c r="L366" s="69">
        <f t="shared" si="84"/>
        <v>0</v>
      </c>
      <c r="M366" s="69">
        <f t="shared" si="85"/>
        <v>0</v>
      </c>
    </row>
    <row r="367" spans="1:13" s="61" customFormat="1" ht="20.25" hidden="1" customHeight="1" x14ac:dyDescent="0.25">
      <c r="A367" s="67" t="s">
        <v>116</v>
      </c>
      <c r="B367" s="68"/>
      <c r="C367" s="69"/>
      <c r="D367" s="69"/>
      <c r="E367" s="222"/>
      <c r="F367" s="222"/>
      <c r="G367" s="68" t="s">
        <v>290</v>
      </c>
      <c r="H367" s="70" t="e">
        <f>VLOOKUP(B367,custoEPI!$B$6:$E$29,4,FALSE)</f>
        <v>#N/A</v>
      </c>
      <c r="I367" s="71"/>
      <c r="J367" s="71" t="str">
        <f t="shared" si="82"/>
        <v>sem descrição</v>
      </c>
      <c r="K367" s="69" t="str">
        <f t="shared" si="83"/>
        <v>informar entrega</v>
      </c>
      <c r="L367" s="69">
        <f t="shared" si="84"/>
        <v>0</v>
      </c>
      <c r="M367" s="69">
        <f t="shared" si="85"/>
        <v>0</v>
      </c>
    </row>
    <row r="368" spans="1:13" s="61" customFormat="1" ht="20.25" hidden="1" customHeight="1" x14ac:dyDescent="0.25">
      <c r="A368" s="67" t="s">
        <v>118</v>
      </c>
      <c r="B368" s="68"/>
      <c r="C368" s="69"/>
      <c r="D368" s="69"/>
      <c r="E368" s="222"/>
      <c r="F368" s="222"/>
      <c r="G368" s="68" t="s">
        <v>290</v>
      </c>
      <c r="H368" s="70" t="e">
        <f>VLOOKUP(B368,custoEPI!$B$6:$E$29,4,FALSE)</f>
        <v>#N/A</v>
      </c>
      <c r="I368" s="71"/>
      <c r="J368" s="71" t="str">
        <f t="shared" si="82"/>
        <v>sem descrição</v>
      </c>
      <c r="K368" s="69" t="str">
        <f t="shared" si="83"/>
        <v>informar entrega</v>
      </c>
      <c r="L368" s="69">
        <f t="shared" si="84"/>
        <v>0</v>
      </c>
      <c r="M368" s="69">
        <f t="shared" si="85"/>
        <v>0</v>
      </c>
    </row>
    <row r="369" spans="1:13" s="61" customFormat="1" ht="20.25" hidden="1" customHeight="1" x14ac:dyDescent="0.25">
      <c r="A369" s="67" t="s">
        <v>121</v>
      </c>
      <c r="B369" s="68"/>
      <c r="C369" s="69"/>
      <c r="D369" s="69"/>
      <c r="E369" s="222"/>
      <c r="F369" s="222"/>
      <c r="G369" s="68"/>
      <c r="H369" s="70" t="e">
        <f>VLOOKUP(B369,custoEPI!$B$6:$E$29,4,FALSE)</f>
        <v>#N/A</v>
      </c>
      <c r="I369" s="71"/>
      <c r="J369" s="71" t="str">
        <f t="shared" si="82"/>
        <v>sem descrição</v>
      </c>
      <c r="K369" s="69" t="str">
        <f t="shared" si="83"/>
        <v>informar entrega</v>
      </c>
      <c r="L369" s="69">
        <f t="shared" si="84"/>
        <v>0</v>
      </c>
      <c r="M369" s="69">
        <f t="shared" si="85"/>
        <v>0</v>
      </c>
    </row>
    <row r="370" spans="1:13" s="61" customFormat="1" ht="20.25" hidden="1" customHeight="1" x14ac:dyDescent="0.25">
      <c r="A370" s="67" t="s">
        <v>125</v>
      </c>
      <c r="B370" s="68"/>
      <c r="C370" s="69"/>
      <c r="D370" s="69"/>
      <c r="E370" s="222"/>
      <c r="F370" s="222"/>
      <c r="G370" s="68"/>
      <c r="H370" s="70"/>
      <c r="I370" s="71"/>
      <c r="J370" s="71" t="str">
        <f t="shared" si="82"/>
        <v>sem descrição</v>
      </c>
      <c r="K370" s="69" t="str">
        <f t="shared" si="83"/>
        <v>informar entrega</v>
      </c>
      <c r="L370" s="69">
        <f t="shared" si="84"/>
        <v>0</v>
      </c>
      <c r="M370" s="69">
        <f t="shared" si="85"/>
        <v>0</v>
      </c>
    </row>
    <row r="371" spans="1:13" s="61" customFormat="1" ht="20.25" hidden="1" customHeight="1" x14ac:dyDescent="0.25">
      <c r="A371" s="67" t="s">
        <v>127</v>
      </c>
      <c r="B371" s="68"/>
      <c r="C371" s="69"/>
      <c r="D371" s="69"/>
      <c r="E371" s="222"/>
      <c r="F371" s="222"/>
      <c r="G371" s="68"/>
      <c r="H371" s="70"/>
      <c r="I371" s="70"/>
      <c r="J371" s="71" t="str">
        <f t="shared" si="82"/>
        <v>sem descrição</v>
      </c>
      <c r="K371" s="69" t="str">
        <f t="shared" si="83"/>
        <v>informar entrega</v>
      </c>
      <c r="L371" s="69">
        <f t="shared" si="84"/>
        <v>0</v>
      </c>
      <c r="M371" s="69">
        <f t="shared" si="85"/>
        <v>0</v>
      </c>
    </row>
    <row r="372" spans="1:13" s="61" customFormat="1" ht="20.25" hidden="1" customHeight="1" x14ac:dyDescent="0.25">
      <c r="A372" s="67" t="s">
        <v>129</v>
      </c>
      <c r="B372" s="68"/>
      <c r="C372" s="69"/>
      <c r="D372" s="69"/>
      <c r="E372" s="222"/>
      <c r="F372" s="222"/>
      <c r="G372" s="68"/>
      <c r="H372" s="70"/>
      <c r="I372" s="70"/>
      <c r="J372" s="71" t="str">
        <f t="shared" si="82"/>
        <v>sem descrição</v>
      </c>
      <c r="K372" s="69" t="str">
        <f t="shared" si="83"/>
        <v>informar entrega</v>
      </c>
      <c r="L372" s="69">
        <f t="shared" si="84"/>
        <v>0</v>
      </c>
      <c r="M372" s="69">
        <f t="shared" si="85"/>
        <v>0</v>
      </c>
    </row>
    <row r="373" spans="1:13" s="61" customFormat="1" ht="20.25" hidden="1" customHeight="1" x14ac:dyDescent="0.25">
      <c r="A373" s="67" t="s">
        <v>131</v>
      </c>
      <c r="B373" s="68"/>
      <c r="C373" s="69"/>
      <c r="D373" s="69"/>
      <c r="E373" s="222"/>
      <c r="F373" s="222"/>
      <c r="G373" s="68"/>
      <c r="H373" s="70"/>
      <c r="I373" s="70"/>
      <c r="J373" s="71" t="str">
        <f t="shared" si="82"/>
        <v>sem descrição</v>
      </c>
      <c r="K373" s="69" t="str">
        <f t="shared" si="83"/>
        <v>informar entrega</v>
      </c>
      <c r="L373" s="69">
        <f t="shared" si="84"/>
        <v>0</v>
      </c>
      <c r="M373" s="69">
        <f t="shared" si="85"/>
        <v>0</v>
      </c>
    </row>
    <row r="374" spans="1:13" s="61" customFormat="1" ht="20.25" hidden="1" customHeight="1" x14ac:dyDescent="0.25">
      <c r="A374" s="67" t="s">
        <v>188</v>
      </c>
      <c r="B374" s="68"/>
      <c r="C374" s="69"/>
      <c r="D374" s="69"/>
      <c r="E374" s="222"/>
      <c r="F374" s="222"/>
      <c r="G374" s="68"/>
      <c r="H374" s="70"/>
      <c r="I374" s="70"/>
      <c r="J374" s="71" t="str">
        <f t="shared" si="82"/>
        <v>sem descrição</v>
      </c>
      <c r="K374" s="69" t="str">
        <f t="shared" si="83"/>
        <v>informar entrega</v>
      </c>
      <c r="L374" s="69">
        <f t="shared" si="84"/>
        <v>0</v>
      </c>
      <c r="M374" s="69">
        <f t="shared" si="85"/>
        <v>0</v>
      </c>
    </row>
    <row r="375" spans="1:13" s="61" customFormat="1" ht="20.25" hidden="1" customHeight="1" x14ac:dyDescent="0.25">
      <c r="A375" s="67" t="s">
        <v>192</v>
      </c>
      <c r="B375" s="68"/>
      <c r="C375" s="69"/>
      <c r="D375" s="69"/>
      <c r="E375" s="222"/>
      <c r="F375" s="222"/>
      <c r="G375" s="68"/>
      <c r="H375" s="70"/>
      <c r="I375" s="70"/>
      <c r="J375" s="71" t="str">
        <f t="shared" si="82"/>
        <v>sem descrição</v>
      </c>
      <c r="K375" s="69" t="str">
        <f t="shared" si="83"/>
        <v>informar entrega</v>
      </c>
      <c r="L375" s="69">
        <f t="shared" si="84"/>
        <v>0</v>
      </c>
      <c r="M375" s="69">
        <f t="shared" si="85"/>
        <v>0</v>
      </c>
    </row>
    <row r="376" spans="1:13" s="61" customFormat="1" ht="20.25" hidden="1" customHeight="1" x14ac:dyDescent="0.25">
      <c r="A376" s="67" t="s">
        <v>195</v>
      </c>
      <c r="B376" s="68"/>
      <c r="C376" s="69"/>
      <c r="D376" s="69"/>
      <c r="E376" s="222"/>
      <c r="F376" s="222"/>
      <c r="G376" s="68"/>
      <c r="H376" s="70"/>
      <c r="I376" s="70"/>
      <c r="J376" s="71" t="str">
        <f t="shared" si="82"/>
        <v>sem descrição</v>
      </c>
      <c r="K376" s="69" t="str">
        <f t="shared" si="83"/>
        <v>informar entrega</v>
      </c>
      <c r="L376" s="69">
        <f t="shared" si="84"/>
        <v>0</v>
      </c>
      <c r="M376" s="69">
        <f t="shared" si="85"/>
        <v>0</v>
      </c>
    </row>
    <row r="377" spans="1:13" s="61" customFormat="1" ht="20.25" hidden="1" customHeight="1" x14ac:dyDescent="0.25">
      <c r="A377" s="67" t="s">
        <v>199</v>
      </c>
      <c r="B377" s="68"/>
      <c r="C377" s="69"/>
      <c r="D377" s="69"/>
      <c r="E377" s="222"/>
      <c r="F377" s="222"/>
      <c r="G377" s="68"/>
      <c r="H377" s="70"/>
      <c r="I377" s="70"/>
      <c r="J377" s="71" t="str">
        <f t="shared" si="82"/>
        <v>sem descrição</v>
      </c>
      <c r="K377" s="69" t="str">
        <f>IF(C377="mensal",J377*H377*E377,IF(C377="trimestral",(J377*H377*E377)/3,IF(C377="semestral",(J377*H377*E377)/6,IF(C377="anual",(J377*H377*E377/12),"informar período"))))</f>
        <v>informar período</v>
      </c>
      <c r="L377" s="69">
        <f t="shared" si="84"/>
        <v>0</v>
      </c>
      <c r="M377" s="69">
        <f t="shared" si="85"/>
        <v>0</v>
      </c>
    </row>
    <row r="378" spans="1:13" s="61" customFormat="1" ht="20.25" customHeight="1" x14ac:dyDescent="0.25">
      <c r="A378" s="152" t="s">
        <v>330</v>
      </c>
      <c r="B378" s="147"/>
      <c r="C378" s="147"/>
      <c r="D378" s="147"/>
      <c r="E378" s="147"/>
      <c r="F378" s="147"/>
      <c r="G378" s="147"/>
      <c r="H378" s="147"/>
      <c r="I378" s="139"/>
      <c r="J378" s="155"/>
      <c r="K378" s="156">
        <f>SUM(K361:K377)</f>
        <v>0</v>
      </c>
      <c r="L378" s="157">
        <f>K378*12</f>
        <v>0</v>
      </c>
      <c r="M378" s="158">
        <f>K378*60</f>
        <v>0</v>
      </c>
    </row>
    <row r="379" spans="1:13" s="61" customFormat="1" ht="20.25" customHeight="1" x14ac:dyDescent="0.25">
      <c r="A379" s="152" t="s">
        <v>302</v>
      </c>
      <c r="B379" s="147"/>
      <c r="C379" s="147"/>
      <c r="D379" s="147"/>
      <c r="E379" s="147"/>
      <c r="F379" s="147"/>
      <c r="G379" s="147"/>
      <c r="H379" s="147"/>
      <c r="I379" s="147"/>
      <c r="J379" s="147"/>
      <c r="K379" s="147"/>
      <c r="L379" s="147"/>
      <c r="M379" s="159">
        <f>K378/SUM(C357:M359)</f>
        <v>0</v>
      </c>
    </row>
    <row r="380" spans="1:13" s="61" customFormat="1" ht="20.25" customHeight="1" x14ac:dyDescent="0.25">
      <c r="A380" s="235" t="s">
        <v>273</v>
      </c>
      <c r="B380" s="143" t="s">
        <v>19</v>
      </c>
      <c r="C380" s="153"/>
      <c r="D380" s="153"/>
      <c r="E380" s="153"/>
      <c r="F380" s="153"/>
      <c r="G380" s="153"/>
      <c r="H380" s="153"/>
      <c r="I380" s="153"/>
      <c r="J380" s="153"/>
      <c r="K380" s="153"/>
      <c r="L380" s="153"/>
      <c r="M380" s="154"/>
    </row>
    <row r="381" spans="1:13" s="61" customFormat="1" ht="20.25" customHeight="1" x14ac:dyDescent="0.25">
      <c r="A381" s="62">
        <v>1</v>
      </c>
      <c r="B381" s="63" t="s">
        <v>274</v>
      </c>
      <c r="C381" s="216" t="str">
        <f>'planilha - proposta'!C54</f>
        <v>Supervisor de Hotelaria</v>
      </c>
      <c r="D381" s="217"/>
      <c r="E381" s="217"/>
      <c r="F381" s="217"/>
      <c r="G381" s="217"/>
      <c r="H381" s="145"/>
      <c r="I381" s="145"/>
      <c r="J381" s="145"/>
      <c r="K381" s="145"/>
      <c r="L381" s="145"/>
      <c r="M381" s="146"/>
    </row>
    <row r="382" spans="1:13" s="61" customFormat="1" ht="20.25" hidden="1" customHeight="1" x14ac:dyDescent="0.25">
      <c r="A382" s="62"/>
      <c r="B382" s="63"/>
      <c r="C382" s="216"/>
      <c r="D382" s="217"/>
      <c r="E382" s="217"/>
      <c r="F382" s="217"/>
      <c r="G382" s="217"/>
      <c r="H382" s="145"/>
      <c r="I382" s="145"/>
      <c r="J382" s="145"/>
      <c r="K382" s="145"/>
      <c r="L382" s="145"/>
      <c r="M382" s="146"/>
    </row>
    <row r="383" spans="1:13" s="61" customFormat="1" ht="20.25" hidden="1" customHeight="1" x14ac:dyDescent="0.25">
      <c r="A383" s="62"/>
      <c r="B383" s="63"/>
      <c r="C383" s="213"/>
      <c r="D383" s="214"/>
      <c r="E383" s="214"/>
      <c r="F383" s="214"/>
      <c r="G383" s="214"/>
      <c r="H383" s="148"/>
      <c r="I383" s="148"/>
      <c r="J383" s="148"/>
      <c r="K383" s="148"/>
      <c r="L383" s="148"/>
      <c r="M383" s="149"/>
    </row>
    <row r="384" spans="1:13" s="61" customFormat="1" ht="20.25" customHeight="1" x14ac:dyDescent="0.25">
      <c r="A384" s="62">
        <v>2</v>
      </c>
      <c r="B384" s="63" t="str">
        <f>'planilha - proposta'!D54</f>
        <v>Supervisor de Hotelaria - 44h</v>
      </c>
      <c r="C384" s="216">
        <f>VLOOKUP(B384,'planilha - proposta'!$D$17:$E$62,2,FALSE)</f>
        <v>1</v>
      </c>
      <c r="D384" s="217"/>
      <c r="E384" s="217"/>
      <c r="F384" s="217"/>
      <c r="G384" s="217"/>
      <c r="H384" s="145"/>
      <c r="I384" s="145"/>
      <c r="J384" s="145"/>
      <c r="K384" s="145"/>
      <c r="L384" s="145"/>
      <c r="M384" s="146"/>
    </row>
    <row r="385" spans="1:13" s="61" customFormat="1" ht="52.5" customHeight="1" x14ac:dyDescent="0.25">
      <c r="A385" s="64" t="s">
        <v>273</v>
      </c>
      <c r="B385" s="65" t="s">
        <v>275</v>
      </c>
      <c r="C385" s="218" t="s">
        <v>276</v>
      </c>
      <c r="D385" s="218" t="s">
        <v>277</v>
      </c>
      <c r="E385" s="218" t="s">
        <v>278</v>
      </c>
      <c r="F385" s="218" t="s">
        <v>303</v>
      </c>
      <c r="G385" s="223" t="s">
        <v>280</v>
      </c>
      <c r="H385" s="65" t="s">
        <v>304</v>
      </c>
      <c r="I385" s="66" t="s">
        <v>305</v>
      </c>
      <c r="J385" s="66" t="s">
        <v>318</v>
      </c>
      <c r="K385" s="65" t="s">
        <v>284</v>
      </c>
      <c r="L385" s="65" t="s">
        <v>285</v>
      </c>
      <c r="M385" s="66" t="s">
        <v>286</v>
      </c>
    </row>
    <row r="386" spans="1:13" s="61" customFormat="1" ht="20.25" customHeight="1" x14ac:dyDescent="0.25">
      <c r="A386" s="67" t="s">
        <v>108</v>
      </c>
      <c r="B386" s="68" t="s">
        <v>287</v>
      </c>
      <c r="C386" s="69" t="s">
        <v>288</v>
      </c>
      <c r="D386" s="69" t="s">
        <v>289</v>
      </c>
      <c r="E386" s="222">
        <f>3*30</f>
        <v>90</v>
      </c>
      <c r="F386" s="222">
        <v>0</v>
      </c>
      <c r="G386" s="68" t="s">
        <v>290</v>
      </c>
      <c r="H386" s="70">
        <f>VLOOKUP(B386,custoEPI!$B$6:$E$29,4,FALSE)</f>
        <v>0</v>
      </c>
      <c r="I386" s="71">
        <f>SUM($C$382:$M$384)</f>
        <v>1</v>
      </c>
      <c r="J386" s="71">
        <f t="shared" ref="J386:J402" si="86">IF(B386="","sem descrição",IF($C$382&gt;=$C$383,IF($C$384&gt;0,$C$382/2+$C$384,$C$382/2),IF($C$384&gt;0,$C$383/5+$C$384,$C$384)))</f>
        <v>1</v>
      </c>
      <c r="K386" s="69">
        <f>IF(C386="mensal",IF(F386&gt;0,F386*H386,IF(D386="descartável",((SUM($C$382:$C$383)/2)+$C$384)*E386*H386,IF(D386="pessoal",E386*H386*I386,E386*H386*J386))),0)+IF(C386="trimestral",IF(F386&gt;0,F386*H386/3,IF(D386="descartável",(((SUM($C$382:$C$383)/2)+$C$384)*E386*H386)/3,IF(D386="pessoal",(E386*H386*I386)/3,(E386*H386*J386)/3))),0)+IF(C386="semestral",IF(F386&gt;0,F386*H386/6,IF(D386="descartável",(((SUM($C$382:$C$383)/2)+$C$384)*E386*H386)/6,IF(D386="pessoal",(E386*H386*I386)/6,(E386*H386*J386)/6))),0)+IF(C386="anual",IF(F386&gt;0,F386*H386/12,IF(D386="descartável",(((SUM($C$382:$C$383)/2)+$C$384)*E386*H386)/12,IF(D386="pessoal",(E386*H386*I386)/12,(E386*H386*J386)/12))),0)</f>
        <v>0</v>
      </c>
      <c r="L386" s="69">
        <f>IFERROR(K386*12, 0)</f>
        <v>0</v>
      </c>
      <c r="M386" s="69">
        <f>IFERROR(K386*60,0)</f>
        <v>0</v>
      </c>
    </row>
    <row r="387" spans="1:13" s="61" customFormat="1" ht="20.25" customHeight="1" x14ac:dyDescent="0.25">
      <c r="A387" s="67" t="s">
        <v>110</v>
      </c>
      <c r="B387" s="68" t="s">
        <v>294</v>
      </c>
      <c r="C387" s="69" t="s">
        <v>288</v>
      </c>
      <c r="D387" s="69" t="s">
        <v>289</v>
      </c>
      <c r="E387" s="222">
        <v>34</v>
      </c>
      <c r="F387" s="222">
        <v>0</v>
      </c>
      <c r="G387" s="68" t="s">
        <v>290</v>
      </c>
      <c r="H387" s="70">
        <f>VLOOKUP(B387,custoEPI!$B$6:$E$29,4,FALSE)</f>
        <v>0</v>
      </c>
      <c r="I387" s="71">
        <f>SUM($C$382:$M$384)</f>
        <v>1</v>
      </c>
      <c r="J387" s="71">
        <f t="shared" si="86"/>
        <v>1</v>
      </c>
      <c r="K387" s="69">
        <f>IF(C387="mensal",IF(F387&gt;0,F387*H387,IF(D387="descartável",((SUM($C$382:$C$383)/2)+$C$384)*E387*H387,IF(D387="pessoal",E387*H387*I387,E387*H387*J387))),0)+IF(C387="trimestral",IF(F387&gt;0,F387*H387/3,IF(D387="descartável",(((SUM($C$382:$C$383)/2)+$C$384)*E387*H387)/3,IF(D387="pessoal",(E387*H387*I387)/3,(E387*H387*J387)/3))),0)+IF(C387="semestral",IF(F387&gt;0,F387*H387/6,IF(D387="descartável",(((SUM($C$382:$C$383)/2)+$C$384)*E387*H387)/6,IF(D387="pessoal",(E387*H387*I387)/6,(E387*H387*J387)/6))),0)+IF(C387="anual",IF(F387&gt;0,F387*H387/12,IF(D387="descartável",(((SUM($C$382:$C$383)/2)+$C$384)*E387*H387)/12,IF(D387="pessoal",(E387*H387*I387)/12,(E387*H387*J387)/12))),0)</f>
        <v>0</v>
      </c>
      <c r="L387" s="69">
        <f t="shared" ref="L387:L402" si="87">IFERROR(K387*12, 0)</f>
        <v>0</v>
      </c>
      <c r="M387" s="69">
        <f t="shared" ref="M387:M402" si="88">IFERROR(K387*60,0)</f>
        <v>0</v>
      </c>
    </row>
    <row r="388" spans="1:13" s="61" customFormat="1" ht="20.25" hidden="1" customHeight="1" x14ac:dyDescent="0.25">
      <c r="A388" s="67"/>
      <c r="B388" s="68"/>
      <c r="C388" s="69"/>
      <c r="D388" s="69"/>
      <c r="E388" s="222"/>
      <c r="F388" s="222"/>
      <c r="G388" s="68" t="s">
        <v>290</v>
      </c>
      <c r="H388" s="70" t="e">
        <f>VLOOKUP(B388,custoEPI!$B$6:$E$29,4,FALSE)</f>
        <v>#N/A</v>
      </c>
      <c r="I388" s="71">
        <f>SUM($C$382:$M$384)</f>
        <v>1</v>
      </c>
      <c r="J388" s="71" t="str">
        <f t="shared" si="86"/>
        <v>sem descrição</v>
      </c>
      <c r="K388" s="69" t="str">
        <f t="shared" ref="K388:K401" si="89">IF(C388="mensal",J388*H388*E388,IF(C388="trimestral",(J388*H388*E388)/3,IF(C388="semestral",(J388*H388*E388)/6,IF(C388="anual",(J388*H388*E388/12),"informar entrega"))))</f>
        <v>informar entrega</v>
      </c>
      <c r="L388" s="69">
        <f t="shared" si="87"/>
        <v>0</v>
      </c>
      <c r="M388" s="69">
        <f t="shared" si="88"/>
        <v>0</v>
      </c>
    </row>
    <row r="389" spans="1:13" s="61" customFormat="1" ht="20.25" hidden="1" customHeight="1" x14ac:dyDescent="0.25">
      <c r="A389" s="67"/>
      <c r="B389" s="68"/>
      <c r="C389" s="69"/>
      <c r="D389" s="69"/>
      <c r="E389" s="222"/>
      <c r="F389" s="222"/>
      <c r="G389" s="68"/>
      <c r="H389" s="70" t="e">
        <f>VLOOKUP(B389,custoEPI!$B$6:$E$29,4,FALSE)</f>
        <v>#N/A</v>
      </c>
      <c r="I389" s="71">
        <f>SUM($C$382:$M$384)</f>
        <v>1</v>
      </c>
      <c r="J389" s="71" t="str">
        <f t="shared" si="86"/>
        <v>sem descrição</v>
      </c>
      <c r="K389" s="69" t="str">
        <f t="shared" si="89"/>
        <v>informar entrega</v>
      </c>
      <c r="L389" s="69">
        <f t="shared" si="87"/>
        <v>0</v>
      </c>
      <c r="M389" s="69">
        <f t="shared" si="88"/>
        <v>0</v>
      </c>
    </row>
    <row r="390" spans="1:13" s="61" customFormat="1" ht="20.25" hidden="1" customHeight="1" x14ac:dyDescent="0.25">
      <c r="A390" s="67" t="s">
        <v>114</v>
      </c>
      <c r="B390" s="68"/>
      <c r="C390" s="69"/>
      <c r="D390" s="69"/>
      <c r="E390" s="222"/>
      <c r="F390" s="222"/>
      <c r="G390" s="68" t="s">
        <v>290</v>
      </c>
      <c r="H390" s="70" t="e">
        <f>VLOOKUP(B390,custoEPI!$B$6:$E$29,4,FALSE)</f>
        <v>#N/A</v>
      </c>
      <c r="I390" s="71"/>
      <c r="J390" s="71" t="str">
        <f t="shared" si="86"/>
        <v>sem descrição</v>
      </c>
      <c r="K390" s="69" t="str">
        <f t="shared" si="89"/>
        <v>informar entrega</v>
      </c>
      <c r="L390" s="69">
        <f t="shared" si="87"/>
        <v>0</v>
      </c>
      <c r="M390" s="69">
        <f t="shared" si="88"/>
        <v>0</v>
      </c>
    </row>
    <row r="391" spans="1:13" s="61" customFormat="1" ht="20.25" hidden="1" customHeight="1" x14ac:dyDescent="0.25">
      <c r="A391" s="67" t="s">
        <v>115</v>
      </c>
      <c r="B391" s="68"/>
      <c r="C391" s="69"/>
      <c r="D391" s="69"/>
      <c r="E391" s="222"/>
      <c r="F391" s="222"/>
      <c r="G391" s="68" t="s">
        <v>290</v>
      </c>
      <c r="H391" s="70" t="e">
        <f>VLOOKUP(B391,custoEPI!$B$6:$E$29,4,FALSE)</f>
        <v>#N/A</v>
      </c>
      <c r="I391" s="71"/>
      <c r="J391" s="71" t="str">
        <f t="shared" si="86"/>
        <v>sem descrição</v>
      </c>
      <c r="K391" s="69" t="str">
        <f t="shared" si="89"/>
        <v>informar entrega</v>
      </c>
      <c r="L391" s="69">
        <f t="shared" si="87"/>
        <v>0</v>
      </c>
      <c r="M391" s="69">
        <f t="shared" si="88"/>
        <v>0</v>
      </c>
    </row>
    <row r="392" spans="1:13" s="61" customFormat="1" ht="20.25" hidden="1" customHeight="1" x14ac:dyDescent="0.25">
      <c r="A392" s="67" t="s">
        <v>116</v>
      </c>
      <c r="B392" s="68"/>
      <c r="C392" s="69"/>
      <c r="D392" s="69"/>
      <c r="E392" s="222"/>
      <c r="F392" s="222"/>
      <c r="G392" s="68" t="s">
        <v>290</v>
      </c>
      <c r="H392" s="70" t="e">
        <f>VLOOKUP(B392,custoEPI!$B$6:$E$29,4,FALSE)</f>
        <v>#N/A</v>
      </c>
      <c r="I392" s="71"/>
      <c r="J392" s="71" t="str">
        <f t="shared" si="86"/>
        <v>sem descrição</v>
      </c>
      <c r="K392" s="69" t="str">
        <f t="shared" si="89"/>
        <v>informar entrega</v>
      </c>
      <c r="L392" s="69">
        <f t="shared" si="87"/>
        <v>0</v>
      </c>
      <c r="M392" s="69">
        <f t="shared" si="88"/>
        <v>0</v>
      </c>
    </row>
    <row r="393" spans="1:13" s="61" customFormat="1" ht="20.25" hidden="1" customHeight="1" x14ac:dyDescent="0.25">
      <c r="A393" s="67" t="s">
        <v>118</v>
      </c>
      <c r="B393" s="68"/>
      <c r="C393" s="69"/>
      <c r="D393" s="69"/>
      <c r="E393" s="222"/>
      <c r="F393" s="222"/>
      <c r="G393" s="68" t="s">
        <v>290</v>
      </c>
      <c r="H393" s="70" t="e">
        <f>VLOOKUP(B393,custoEPI!$B$6:$E$29,4,FALSE)</f>
        <v>#N/A</v>
      </c>
      <c r="I393" s="71"/>
      <c r="J393" s="71" t="str">
        <f t="shared" si="86"/>
        <v>sem descrição</v>
      </c>
      <c r="K393" s="69" t="str">
        <f t="shared" si="89"/>
        <v>informar entrega</v>
      </c>
      <c r="L393" s="69">
        <f t="shared" si="87"/>
        <v>0</v>
      </c>
      <c r="M393" s="69">
        <f t="shared" si="88"/>
        <v>0</v>
      </c>
    </row>
    <row r="394" spans="1:13" s="61" customFormat="1" ht="20.25" hidden="1" customHeight="1" x14ac:dyDescent="0.25">
      <c r="A394" s="67" t="s">
        <v>121</v>
      </c>
      <c r="B394" s="68"/>
      <c r="C394" s="69"/>
      <c r="D394" s="69"/>
      <c r="E394" s="222"/>
      <c r="F394" s="222"/>
      <c r="G394" s="68"/>
      <c r="H394" s="70" t="e">
        <f>VLOOKUP(B394,custoEPI!$B$6:$E$29,4,FALSE)</f>
        <v>#N/A</v>
      </c>
      <c r="I394" s="71"/>
      <c r="J394" s="71" t="str">
        <f t="shared" si="86"/>
        <v>sem descrição</v>
      </c>
      <c r="K394" s="69" t="str">
        <f t="shared" si="89"/>
        <v>informar entrega</v>
      </c>
      <c r="L394" s="69">
        <f t="shared" si="87"/>
        <v>0</v>
      </c>
      <c r="M394" s="69">
        <f t="shared" si="88"/>
        <v>0</v>
      </c>
    </row>
    <row r="395" spans="1:13" s="61" customFormat="1" ht="20.25" hidden="1" customHeight="1" x14ac:dyDescent="0.25">
      <c r="A395" s="67" t="s">
        <v>125</v>
      </c>
      <c r="B395" s="68"/>
      <c r="C395" s="69"/>
      <c r="D395" s="69"/>
      <c r="E395" s="222"/>
      <c r="F395" s="222"/>
      <c r="G395" s="68"/>
      <c r="H395" s="70"/>
      <c r="I395" s="71"/>
      <c r="J395" s="71" t="str">
        <f t="shared" si="86"/>
        <v>sem descrição</v>
      </c>
      <c r="K395" s="69" t="str">
        <f t="shared" si="89"/>
        <v>informar entrega</v>
      </c>
      <c r="L395" s="69">
        <f t="shared" si="87"/>
        <v>0</v>
      </c>
      <c r="M395" s="69">
        <f t="shared" si="88"/>
        <v>0</v>
      </c>
    </row>
    <row r="396" spans="1:13" s="61" customFormat="1" ht="20.25" hidden="1" customHeight="1" x14ac:dyDescent="0.25">
      <c r="A396" s="67" t="s">
        <v>127</v>
      </c>
      <c r="B396" s="68"/>
      <c r="C396" s="69"/>
      <c r="D396" s="69"/>
      <c r="E396" s="222"/>
      <c r="F396" s="222"/>
      <c r="G396" s="68"/>
      <c r="H396" s="70"/>
      <c r="I396" s="70"/>
      <c r="J396" s="71" t="str">
        <f t="shared" si="86"/>
        <v>sem descrição</v>
      </c>
      <c r="K396" s="69" t="str">
        <f t="shared" si="89"/>
        <v>informar entrega</v>
      </c>
      <c r="L396" s="69">
        <f t="shared" si="87"/>
        <v>0</v>
      </c>
      <c r="M396" s="69">
        <f t="shared" si="88"/>
        <v>0</v>
      </c>
    </row>
    <row r="397" spans="1:13" s="61" customFormat="1" ht="20.25" hidden="1" customHeight="1" x14ac:dyDescent="0.25">
      <c r="A397" s="67" t="s">
        <v>129</v>
      </c>
      <c r="B397" s="68"/>
      <c r="C397" s="69"/>
      <c r="D397" s="69"/>
      <c r="E397" s="222"/>
      <c r="F397" s="222"/>
      <c r="G397" s="68"/>
      <c r="H397" s="70"/>
      <c r="I397" s="70"/>
      <c r="J397" s="71" t="str">
        <f t="shared" si="86"/>
        <v>sem descrição</v>
      </c>
      <c r="K397" s="69" t="str">
        <f t="shared" si="89"/>
        <v>informar entrega</v>
      </c>
      <c r="L397" s="69">
        <f t="shared" si="87"/>
        <v>0</v>
      </c>
      <c r="M397" s="69">
        <f t="shared" si="88"/>
        <v>0</v>
      </c>
    </row>
    <row r="398" spans="1:13" s="61" customFormat="1" ht="20.25" hidden="1" customHeight="1" x14ac:dyDescent="0.25">
      <c r="A398" s="67" t="s">
        <v>131</v>
      </c>
      <c r="B398" s="68"/>
      <c r="C398" s="69"/>
      <c r="D398" s="69"/>
      <c r="E398" s="222"/>
      <c r="F398" s="222"/>
      <c r="G398" s="68"/>
      <c r="H398" s="70"/>
      <c r="I398" s="70"/>
      <c r="J398" s="71" t="str">
        <f t="shared" si="86"/>
        <v>sem descrição</v>
      </c>
      <c r="K398" s="69" t="str">
        <f t="shared" si="89"/>
        <v>informar entrega</v>
      </c>
      <c r="L398" s="69">
        <f t="shared" si="87"/>
        <v>0</v>
      </c>
      <c r="M398" s="69">
        <f t="shared" si="88"/>
        <v>0</v>
      </c>
    </row>
    <row r="399" spans="1:13" s="61" customFormat="1" ht="20.25" hidden="1" customHeight="1" x14ac:dyDescent="0.25">
      <c r="A399" s="67" t="s">
        <v>188</v>
      </c>
      <c r="B399" s="68"/>
      <c r="C399" s="69"/>
      <c r="D399" s="69"/>
      <c r="E399" s="222"/>
      <c r="F399" s="222"/>
      <c r="G399" s="68"/>
      <c r="H399" s="70"/>
      <c r="I399" s="70"/>
      <c r="J399" s="71" t="str">
        <f t="shared" si="86"/>
        <v>sem descrição</v>
      </c>
      <c r="K399" s="69" t="str">
        <f t="shared" si="89"/>
        <v>informar entrega</v>
      </c>
      <c r="L399" s="69">
        <f t="shared" si="87"/>
        <v>0</v>
      </c>
      <c r="M399" s="69">
        <f t="shared" si="88"/>
        <v>0</v>
      </c>
    </row>
    <row r="400" spans="1:13" s="61" customFormat="1" ht="20.25" hidden="1" customHeight="1" x14ac:dyDescent="0.25">
      <c r="A400" s="67" t="s">
        <v>192</v>
      </c>
      <c r="B400" s="68"/>
      <c r="C400" s="69"/>
      <c r="D400" s="69"/>
      <c r="E400" s="222"/>
      <c r="F400" s="222"/>
      <c r="G400" s="68"/>
      <c r="H400" s="70"/>
      <c r="I400" s="70"/>
      <c r="J400" s="71" t="str">
        <f t="shared" si="86"/>
        <v>sem descrição</v>
      </c>
      <c r="K400" s="69" t="str">
        <f t="shared" si="89"/>
        <v>informar entrega</v>
      </c>
      <c r="L400" s="69">
        <f t="shared" si="87"/>
        <v>0</v>
      </c>
      <c r="M400" s="69">
        <f t="shared" si="88"/>
        <v>0</v>
      </c>
    </row>
    <row r="401" spans="1:13" s="61" customFormat="1" ht="20.25" hidden="1" customHeight="1" x14ac:dyDescent="0.25">
      <c r="A401" s="67" t="s">
        <v>195</v>
      </c>
      <c r="B401" s="68"/>
      <c r="C401" s="69"/>
      <c r="D401" s="69"/>
      <c r="E401" s="222"/>
      <c r="F401" s="222"/>
      <c r="G401" s="68"/>
      <c r="H401" s="70"/>
      <c r="I401" s="70"/>
      <c r="J401" s="71" t="str">
        <f t="shared" si="86"/>
        <v>sem descrição</v>
      </c>
      <c r="K401" s="69" t="str">
        <f t="shared" si="89"/>
        <v>informar entrega</v>
      </c>
      <c r="L401" s="69">
        <f t="shared" si="87"/>
        <v>0</v>
      </c>
      <c r="M401" s="69">
        <f t="shared" si="88"/>
        <v>0</v>
      </c>
    </row>
    <row r="402" spans="1:13" s="61" customFormat="1" ht="20.25" hidden="1" customHeight="1" x14ac:dyDescent="0.25">
      <c r="A402" s="67" t="s">
        <v>199</v>
      </c>
      <c r="B402" s="68"/>
      <c r="C402" s="69"/>
      <c r="D402" s="69"/>
      <c r="E402" s="222"/>
      <c r="F402" s="222"/>
      <c r="G402" s="68"/>
      <c r="H402" s="70"/>
      <c r="I402" s="70"/>
      <c r="J402" s="71" t="str">
        <f t="shared" si="86"/>
        <v>sem descrição</v>
      </c>
      <c r="K402" s="69" t="str">
        <f>IF(C402="mensal",J402*H402*E402,IF(C402="trimestral",(J402*H402*E402)/3,IF(C402="semestral",(J402*H402*E402)/6,IF(C402="anual",(J402*H402*E402/12),"informar período"))))</f>
        <v>informar período</v>
      </c>
      <c r="L402" s="69">
        <f t="shared" si="87"/>
        <v>0</v>
      </c>
      <c r="M402" s="69">
        <f t="shared" si="88"/>
        <v>0</v>
      </c>
    </row>
    <row r="403" spans="1:13" s="61" customFormat="1" ht="20.25" customHeight="1" x14ac:dyDescent="0.25">
      <c r="A403" s="152" t="s">
        <v>394</v>
      </c>
      <c r="B403" s="147"/>
      <c r="C403" s="147"/>
      <c r="D403" s="147"/>
      <c r="E403" s="147"/>
      <c r="F403" s="147"/>
      <c r="G403" s="147"/>
      <c r="H403" s="147"/>
      <c r="I403" s="139"/>
      <c r="J403" s="155"/>
      <c r="K403" s="156">
        <f>SUM(K386:K402)</f>
        <v>0</v>
      </c>
      <c r="L403" s="157">
        <f>K403*12</f>
        <v>0</v>
      </c>
      <c r="M403" s="158">
        <f>K403*60</f>
        <v>0</v>
      </c>
    </row>
    <row r="404" spans="1:13" s="61" customFormat="1" ht="20.25" customHeight="1" x14ac:dyDescent="0.25">
      <c r="A404" s="152" t="s">
        <v>302</v>
      </c>
      <c r="B404" s="147"/>
      <c r="C404" s="147"/>
      <c r="D404" s="147"/>
      <c r="E404" s="147"/>
      <c r="F404" s="147"/>
      <c r="G404" s="147"/>
      <c r="H404" s="147"/>
      <c r="I404" s="147"/>
      <c r="J404" s="147"/>
      <c r="K404" s="147"/>
      <c r="L404" s="147"/>
      <c r="M404" s="159">
        <f>K403/SUM(C382:M384)</f>
        <v>0</v>
      </c>
    </row>
    <row r="405" spans="1:13" s="61" customFormat="1" ht="20.25" customHeight="1" x14ac:dyDescent="0.25">
      <c r="A405" s="235" t="s">
        <v>273</v>
      </c>
      <c r="B405" s="143" t="s">
        <v>19</v>
      </c>
      <c r="C405" s="153"/>
      <c r="D405" s="153"/>
      <c r="E405" s="153"/>
      <c r="F405" s="153"/>
      <c r="G405" s="153"/>
      <c r="H405" s="153"/>
      <c r="I405" s="153"/>
      <c r="J405" s="153"/>
      <c r="K405" s="153"/>
      <c r="L405" s="153"/>
      <c r="M405" s="154"/>
    </row>
    <row r="406" spans="1:13" s="61" customFormat="1" ht="20.25" customHeight="1" x14ac:dyDescent="0.25">
      <c r="A406" s="62">
        <v>1</v>
      </c>
      <c r="B406" s="63" t="s">
        <v>274</v>
      </c>
      <c r="C406" s="216" t="str">
        <f>'planilha - proposta'!C55</f>
        <v>Maqueiro</v>
      </c>
      <c r="D406" s="217"/>
      <c r="E406" s="217"/>
      <c r="F406" s="217"/>
      <c r="G406" s="217"/>
      <c r="H406" s="145"/>
      <c r="I406" s="145"/>
      <c r="J406" s="145"/>
      <c r="K406" s="145"/>
      <c r="L406" s="145"/>
      <c r="M406" s="146"/>
    </row>
    <row r="407" spans="1:13" s="61" customFormat="1" ht="20.25" customHeight="1" x14ac:dyDescent="0.25">
      <c r="A407" s="62">
        <v>2</v>
      </c>
      <c r="B407" s="63" t="str">
        <f>'planilha - proposta'!D55</f>
        <v>Maqueiro - 12x36d</v>
      </c>
      <c r="C407" s="216">
        <f>VLOOKUP(B407,'planilha - proposta'!$D$17:$E$62,2,FALSE)</f>
        <v>10</v>
      </c>
      <c r="D407" s="217"/>
      <c r="E407" s="217"/>
      <c r="F407" s="217"/>
      <c r="G407" s="217"/>
      <c r="H407" s="145"/>
      <c r="I407" s="145"/>
      <c r="J407" s="145"/>
      <c r="K407" s="145"/>
      <c r="L407" s="145"/>
      <c r="M407" s="146"/>
    </row>
    <row r="408" spans="1:13" s="61" customFormat="1" ht="20.25" customHeight="1" x14ac:dyDescent="0.25">
      <c r="A408" s="62">
        <v>3</v>
      </c>
      <c r="B408" s="63" t="str">
        <f>'planilha - proposta'!D56</f>
        <v>Maqueiro - 12x36n</v>
      </c>
      <c r="C408" s="216">
        <f>VLOOKUP(B408,'planilha - proposta'!$D$17:$E$62,2,FALSE)</f>
        <v>6</v>
      </c>
      <c r="D408" s="217"/>
      <c r="E408" s="217"/>
      <c r="F408" s="217"/>
      <c r="G408" s="217"/>
      <c r="H408" s="145"/>
      <c r="I408" s="145"/>
      <c r="J408" s="145"/>
      <c r="K408" s="145"/>
      <c r="L408" s="145"/>
      <c r="M408" s="146"/>
    </row>
    <row r="409" spans="1:13" s="61" customFormat="1" ht="20.25" customHeight="1" x14ac:dyDescent="0.25">
      <c r="A409" s="62">
        <v>4</v>
      </c>
      <c r="B409" s="63" t="str">
        <f>'planilha - proposta'!D57</f>
        <v>Maqueiro - 44h</v>
      </c>
      <c r="C409" s="216">
        <f>VLOOKUP(B409,'planilha - proposta'!$D$17:$E$62,2,FALSE)</f>
        <v>5</v>
      </c>
      <c r="D409" s="217"/>
      <c r="E409" s="217"/>
      <c r="F409" s="217"/>
      <c r="G409" s="217"/>
      <c r="H409" s="145"/>
      <c r="I409" s="145"/>
      <c r="J409" s="145"/>
      <c r="K409" s="145"/>
      <c r="L409" s="145"/>
      <c r="M409" s="146"/>
    </row>
    <row r="410" spans="1:13" s="61" customFormat="1" ht="52.5" customHeight="1" x14ac:dyDescent="0.25">
      <c r="A410" s="64" t="s">
        <v>273</v>
      </c>
      <c r="B410" s="65" t="s">
        <v>275</v>
      </c>
      <c r="C410" s="218" t="s">
        <v>276</v>
      </c>
      <c r="D410" s="218" t="s">
        <v>277</v>
      </c>
      <c r="E410" s="218" t="s">
        <v>278</v>
      </c>
      <c r="F410" s="218" t="s">
        <v>303</v>
      </c>
      <c r="G410" s="223" t="s">
        <v>280</v>
      </c>
      <c r="H410" s="65" t="s">
        <v>304</v>
      </c>
      <c r="I410" s="66" t="s">
        <v>305</v>
      </c>
      <c r="J410" s="66" t="s">
        <v>318</v>
      </c>
      <c r="K410" s="65" t="s">
        <v>284</v>
      </c>
      <c r="L410" s="65" t="s">
        <v>285</v>
      </c>
      <c r="M410" s="66" t="s">
        <v>286</v>
      </c>
    </row>
    <row r="411" spans="1:13" s="61" customFormat="1" ht="20.25" customHeight="1" x14ac:dyDescent="0.25">
      <c r="A411" s="67" t="s">
        <v>108</v>
      </c>
      <c r="B411" s="68" t="s">
        <v>287</v>
      </c>
      <c r="C411" s="69" t="s">
        <v>288</v>
      </c>
      <c r="D411" s="69" t="s">
        <v>289</v>
      </c>
      <c r="E411" s="222">
        <f>3*30</f>
        <v>90</v>
      </c>
      <c r="F411" s="222">
        <v>0</v>
      </c>
      <c r="G411" s="68" t="s">
        <v>290</v>
      </c>
      <c r="H411" s="70">
        <f>VLOOKUP(B411,custoEPI!$B$6:$E$29,4,FALSE)</f>
        <v>0</v>
      </c>
      <c r="I411" s="71">
        <f t="shared" ref="I411:I418" si="90">SUM($C$407:$M$409)</f>
        <v>21</v>
      </c>
      <c r="J411" s="71">
        <f t="shared" ref="J411:J427" si="91">IF(B411="","sem descrição",IF($C$407&gt;=$C$408,IF($C$409&gt;0,$C$407/2+$C$409,$C$407/2),IF($C$409&gt;0,$C$408/5+$C$409,$C$409)))</f>
        <v>10</v>
      </c>
      <c r="K411" s="69">
        <f>IF(C411="mensal",IF(F411&gt;0,F411*H411,IF(D411="descartável",((SUM($C$407:$C$408)/2)+$C$409)*E411*H411,IF(D411="pessoal",E411*H411*I411,E411*H411*J411))),0)+IF(C411="trimestral",IF(F411&gt;0,F411*H411/3,IF(D411="descartável",(((SUM($C$407:$C$408)/2)+$C$409)*E411*H411)/3,IF(D411="pessoal",(E411*H411*I411)/3,(E411*H411*J411)/3))),0)+IF(C411="semestral",IF(F411&gt;0,F411*H411/6,IF(D411="descartável",(((SUM($C$407:$C$408)/2)+$C$409)*E411*H411)/6,IF(D411="pessoal",(E411*H411*I411)/6,(E411*H411*J411)/6))),0)+IF(C411="anual",IF(F411&gt;0,F411*H411/12,IF(D411="descartável",(((SUM($C$407:$C$408)/2)+$C$409)*E411*H411)/12,IF(D411="pessoal",(E411*H411*I411)/12,(E411*H411*J411)/12))),0)</f>
        <v>0</v>
      </c>
      <c r="L411" s="69">
        <f>IFERROR(K411*12, 0)</f>
        <v>0</v>
      </c>
      <c r="M411" s="69">
        <f>IFERROR(K411*60,0)</f>
        <v>0</v>
      </c>
    </row>
    <row r="412" spans="1:13" s="61" customFormat="1" ht="20.25" customHeight="1" x14ac:dyDescent="0.25">
      <c r="A412" s="67" t="s">
        <v>110</v>
      </c>
      <c r="B412" s="68" t="s">
        <v>291</v>
      </c>
      <c r="C412" s="69" t="s">
        <v>288</v>
      </c>
      <c r="D412" s="69" t="s">
        <v>289</v>
      </c>
      <c r="E412" s="222">
        <f>2</f>
        <v>2</v>
      </c>
      <c r="F412" s="222">
        <v>0</v>
      </c>
      <c r="G412" s="68" t="s">
        <v>290</v>
      </c>
      <c r="H412" s="70">
        <f>VLOOKUP(B412,custoEPI!$B$6:$E$29,4,FALSE)</f>
        <v>0</v>
      </c>
      <c r="I412" s="71">
        <f t="shared" si="90"/>
        <v>21</v>
      </c>
      <c r="J412" s="71">
        <f t="shared" si="91"/>
        <v>10</v>
      </c>
      <c r="K412" s="69">
        <f t="shared" ref="K412:K418" si="92">IF(C412="mensal",IF(F412&gt;0,F412*H412,IF(D412="descartável",((SUM($C$407:$C$408)/2)+$C$409)*E412*H412,IF(D412="pessoal",E412*H412*I412,E412*H412*J412))),0)+IF(C412="trimestral",IF(F412&gt;0,F412*H412/3,IF(D412="descartável",(((SUM($C$407:$C$408)/2)+$C$409)*E412*H412)/3,IF(D412="pessoal",(E412*H412*I412)/3,(E412*H412*J412)/3))),0)+IF(C412="semestral",IF(F412&gt;0,F412*H412/6,IF(D412="descartável",(((SUM($C$407:$C$408)/2)+$C$409)*E412*H412)/6,IF(D412="pessoal",(E412*H412*I412)/6,(E412*H412*J412)/6))),0)+IF(C412="anual",IF(F412&gt;0,F412*H412/12,IF(D412="descartável",(((SUM($C$407:$C$408)/2)+$C$409)*E412*H412)/12,IF(D412="pessoal",(E412*H412*I412)/12,(E412*H412*J412)/12))),0)</f>
        <v>0</v>
      </c>
      <c r="L412" s="69">
        <f t="shared" ref="L412:L427" si="93">IFERROR(K412*12, 0)</f>
        <v>0</v>
      </c>
      <c r="M412" s="69">
        <f t="shared" ref="M412:M427" si="94">IFERROR(K412*60,0)</f>
        <v>0</v>
      </c>
    </row>
    <row r="413" spans="1:13" s="61" customFormat="1" ht="20.25" customHeight="1" x14ac:dyDescent="0.25">
      <c r="A413" s="67" t="s">
        <v>111</v>
      </c>
      <c r="B413" s="68" t="s">
        <v>293</v>
      </c>
      <c r="C413" s="69" t="s">
        <v>288</v>
      </c>
      <c r="D413" s="69" t="s">
        <v>289</v>
      </c>
      <c r="E413" s="222">
        <v>500</v>
      </c>
      <c r="F413" s="222">
        <v>0</v>
      </c>
      <c r="G413" s="68" t="s">
        <v>290</v>
      </c>
      <c r="H413" s="70">
        <f>VLOOKUP(B413,custoEPI!$B$6:$E$29,4,FALSE)</f>
        <v>0</v>
      </c>
      <c r="I413" s="71">
        <f t="shared" si="90"/>
        <v>21</v>
      </c>
      <c r="J413" s="71">
        <f t="shared" si="91"/>
        <v>10</v>
      </c>
      <c r="K413" s="69">
        <f t="shared" si="92"/>
        <v>0</v>
      </c>
      <c r="L413" s="69">
        <f t="shared" si="93"/>
        <v>0</v>
      </c>
      <c r="M413" s="69">
        <f t="shared" si="94"/>
        <v>0</v>
      </c>
    </row>
    <row r="414" spans="1:13" s="61" customFormat="1" ht="20.25" customHeight="1" x14ac:dyDescent="0.25">
      <c r="A414" s="67" t="s">
        <v>113</v>
      </c>
      <c r="B414" s="68" t="s">
        <v>329</v>
      </c>
      <c r="C414" s="69" t="s">
        <v>288</v>
      </c>
      <c r="D414" s="69" t="s">
        <v>310</v>
      </c>
      <c r="E414" s="222">
        <v>0</v>
      </c>
      <c r="F414" s="222">
        <v>2</v>
      </c>
      <c r="G414" s="68" t="s">
        <v>290</v>
      </c>
      <c r="H414" s="70">
        <f>VLOOKUP(B414,custoEPI!$B$6:$E$29,4,FALSE)</f>
        <v>0</v>
      </c>
      <c r="I414" s="71">
        <f t="shared" si="90"/>
        <v>21</v>
      </c>
      <c r="J414" s="71">
        <f t="shared" si="91"/>
        <v>10</v>
      </c>
      <c r="K414" s="69">
        <f t="shared" si="92"/>
        <v>0</v>
      </c>
      <c r="L414" s="69">
        <f t="shared" ref="L414" si="95">IFERROR(K414*12, 0)</f>
        <v>0</v>
      </c>
      <c r="M414" s="69">
        <f t="shared" ref="M414" si="96">IFERROR(K414*60,0)</f>
        <v>0</v>
      </c>
    </row>
    <row r="415" spans="1:13" s="61" customFormat="1" ht="20.25" customHeight="1" x14ac:dyDescent="0.25">
      <c r="A415" s="67" t="s">
        <v>114</v>
      </c>
      <c r="B415" s="68" t="s">
        <v>294</v>
      </c>
      <c r="C415" s="69" t="s">
        <v>288</v>
      </c>
      <c r="D415" s="69" t="s">
        <v>289</v>
      </c>
      <c r="E415" s="222">
        <v>2</v>
      </c>
      <c r="F415" s="222">
        <v>0</v>
      </c>
      <c r="G415" s="68" t="s">
        <v>290</v>
      </c>
      <c r="H415" s="70">
        <f>VLOOKUP(B415,custoEPI!$B$6:$E$29,4,FALSE)</f>
        <v>0</v>
      </c>
      <c r="I415" s="71">
        <f t="shared" si="90"/>
        <v>21</v>
      </c>
      <c r="J415" s="71">
        <f t="shared" si="91"/>
        <v>10</v>
      </c>
      <c r="K415" s="69">
        <f t="shared" si="92"/>
        <v>0</v>
      </c>
      <c r="L415" s="69">
        <f t="shared" si="93"/>
        <v>0</v>
      </c>
      <c r="M415" s="69">
        <f t="shared" si="94"/>
        <v>0</v>
      </c>
    </row>
    <row r="416" spans="1:13" s="61" customFormat="1" ht="20.25" customHeight="1" x14ac:dyDescent="0.25">
      <c r="A416" s="67" t="s">
        <v>115</v>
      </c>
      <c r="B416" s="68" t="s">
        <v>307</v>
      </c>
      <c r="C416" s="69" t="s">
        <v>300</v>
      </c>
      <c r="D416" s="69" t="s">
        <v>292</v>
      </c>
      <c r="E416" s="222">
        <v>1</v>
      </c>
      <c r="F416" s="222">
        <v>0</v>
      </c>
      <c r="G416" s="68" t="s">
        <v>290</v>
      </c>
      <c r="H416" s="70">
        <f>VLOOKUP(B416,custoEPI!$B$6:$E$29,4,FALSE)</f>
        <v>0</v>
      </c>
      <c r="I416" s="71">
        <f t="shared" si="90"/>
        <v>21</v>
      </c>
      <c r="J416" s="71">
        <f t="shared" si="91"/>
        <v>10</v>
      </c>
      <c r="K416" s="69">
        <f t="shared" si="92"/>
        <v>0</v>
      </c>
      <c r="L416" s="69">
        <f t="shared" si="93"/>
        <v>0</v>
      </c>
      <c r="M416" s="69">
        <f t="shared" si="94"/>
        <v>0</v>
      </c>
    </row>
    <row r="417" spans="1:13" s="61" customFormat="1" ht="20.25" customHeight="1" x14ac:dyDescent="0.25">
      <c r="A417" s="67" t="s">
        <v>116</v>
      </c>
      <c r="B417" s="68" t="s">
        <v>295</v>
      </c>
      <c r="C417" s="69" t="s">
        <v>296</v>
      </c>
      <c r="D417" s="69" t="s">
        <v>292</v>
      </c>
      <c r="E417" s="222">
        <v>1</v>
      </c>
      <c r="F417" s="222">
        <v>0</v>
      </c>
      <c r="G417" s="68" t="s">
        <v>290</v>
      </c>
      <c r="H417" s="70">
        <f>VLOOKUP(B417,custoEPI!$B$6:$E$29,4,FALSE)</f>
        <v>0</v>
      </c>
      <c r="I417" s="71">
        <f t="shared" si="90"/>
        <v>21</v>
      </c>
      <c r="J417" s="71">
        <f t="shared" si="91"/>
        <v>10</v>
      </c>
      <c r="K417" s="69">
        <f t="shared" si="92"/>
        <v>0</v>
      </c>
      <c r="L417" s="69">
        <f t="shared" si="93"/>
        <v>0</v>
      </c>
      <c r="M417" s="69">
        <f t="shared" si="94"/>
        <v>0</v>
      </c>
    </row>
    <row r="418" spans="1:13" s="61" customFormat="1" ht="20.25" customHeight="1" x14ac:dyDescent="0.25">
      <c r="A418" s="67" t="s">
        <v>118</v>
      </c>
      <c r="B418" s="68" t="s">
        <v>299</v>
      </c>
      <c r="C418" s="69" t="s">
        <v>300</v>
      </c>
      <c r="D418" s="69" t="s">
        <v>292</v>
      </c>
      <c r="E418" s="222">
        <v>2</v>
      </c>
      <c r="F418" s="222">
        <v>0</v>
      </c>
      <c r="G418" s="68" t="s">
        <v>290</v>
      </c>
      <c r="H418" s="70">
        <f>VLOOKUP(B418,custoEPI!$B$6:$E$29,4,FALSE)</f>
        <v>0</v>
      </c>
      <c r="I418" s="71">
        <f t="shared" si="90"/>
        <v>21</v>
      </c>
      <c r="J418" s="71">
        <f t="shared" si="91"/>
        <v>10</v>
      </c>
      <c r="K418" s="69">
        <f t="shared" si="92"/>
        <v>0</v>
      </c>
      <c r="L418" s="69">
        <f t="shared" si="93"/>
        <v>0</v>
      </c>
      <c r="M418" s="69">
        <f t="shared" si="94"/>
        <v>0</v>
      </c>
    </row>
    <row r="419" spans="1:13" s="61" customFormat="1" ht="20.25" hidden="1" customHeight="1" x14ac:dyDescent="0.25">
      <c r="A419" s="67" t="s">
        <v>121</v>
      </c>
      <c r="B419" s="68"/>
      <c r="C419" s="69"/>
      <c r="D419" s="69"/>
      <c r="E419" s="222"/>
      <c r="F419" s="222"/>
      <c r="G419" s="68"/>
      <c r="H419" s="70" t="e">
        <f>VLOOKUP(B419,custoEPI!$B$6:$E$29,4,FALSE)</f>
        <v>#N/A</v>
      </c>
      <c r="I419" s="71"/>
      <c r="J419" s="71" t="str">
        <f t="shared" si="91"/>
        <v>sem descrição</v>
      </c>
      <c r="K419" s="69" t="str">
        <f t="shared" ref="K419:K426" si="97">IF(C419="mensal",J419*H419*E419,IF(C419="trimestral",(J419*H419*E419)/3,IF(C419="semestral",(J419*H419*E419)/6,IF(C419="anual",(J419*H419*E419/12),"informar entrega"))))</f>
        <v>informar entrega</v>
      </c>
      <c r="L419" s="69">
        <f t="shared" si="93"/>
        <v>0</v>
      </c>
      <c r="M419" s="69">
        <f t="shared" si="94"/>
        <v>0</v>
      </c>
    </row>
    <row r="420" spans="1:13" s="61" customFormat="1" ht="20.25" hidden="1" customHeight="1" x14ac:dyDescent="0.25">
      <c r="A420" s="67" t="s">
        <v>125</v>
      </c>
      <c r="B420" s="68"/>
      <c r="C420" s="69"/>
      <c r="D420" s="69"/>
      <c r="E420" s="222"/>
      <c r="F420" s="222"/>
      <c r="G420" s="68"/>
      <c r="H420" s="70"/>
      <c r="I420" s="71"/>
      <c r="J420" s="71" t="str">
        <f t="shared" si="91"/>
        <v>sem descrição</v>
      </c>
      <c r="K420" s="69" t="str">
        <f t="shared" si="97"/>
        <v>informar entrega</v>
      </c>
      <c r="L420" s="69">
        <f t="shared" si="93"/>
        <v>0</v>
      </c>
      <c r="M420" s="69">
        <f t="shared" si="94"/>
        <v>0</v>
      </c>
    </row>
    <row r="421" spans="1:13" s="61" customFormat="1" ht="20.25" hidden="1" customHeight="1" x14ac:dyDescent="0.25">
      <c r="A421" s="67" t="s">
        <v>127</v>
      </c>
      <c r="B421" s="68"/>
      <c r="C421" s="69"/>
      <c r="D421" s="69"/>
      <c r="E421" s="222"/>
      <c r="F421" s="222"/>
      <c r="G421" s="68"/>
      <c r="H421" s="70"/>
      <c r="I421" s="70"/>
      <c r="J421" s="71" t="str">
        <f t="shared" si="91"/>
        <v>sem descrição</v>
      </c>
      <c r="K421" s="69" t="str">
        <f t="shared" si="97"/>
        <v>informar entrega</v>
      </c>
      <c r="L421" s="69">
        <f t="shared" si="93"/>
        <v>0</v>
      </c>
      <c r="M421" s="69">
        <f t="shared" si="94"/>
        <v>0</v>
      </c>
    </row>
    <row r="422" spans="1:13" s="61" customFormat="1" ht="20.25" hidden="1" customHeight="1" x14ac:dyDescent="0.25">
      <c r="A422" s="67" t="s">
        <v>129</v>
      </c>
      <c r="B422" s="68"/>
      <c r="C422" s="69"/>
      <c r="D422" s="69"/>
      <c r="E422" s="222"/>
      <c r="F422" s="222"/>
      <c r="G422" s="68"/>
      <c r="H422" s="70"/>
      <c r="I422" s="70"/>
      <c r="J422" s="71" t="str">
        <f t="shared" si="91"/>
        <v>sem descrição</v>
      </c>
      <c r="K422" s="69" t="str">
        <f t="shared" si="97"/>
        <v>informar entrega</v>
      </c>
      <c r="L422" s="69">
        <f t="shared" si="93"/>
        <v>0</v>
      </c>
      <c r="M422" s="69">
        <f t="shared" si="94"/>
        <v>0</v>
      </c>
    </row>
    <row r="423" spans="1:13" s="61" customFormat="1" ht="20.25" hidden="1" customHeight="1" x14ac:dyDescent="0.25">
      <c r="A423" s="67" t="s">
        <v>131</v>
      </c>
      <c r="B423" s="68"/>
      <c r="C423" s="69"/>
      <c r="D423" s="69"/>
      <c r="E423" s="222"/>
      <c r="F423" s="222"/>
      <c r="G423" s="68"/>
      <c r="H423" s="70"/>
      <c r="I423" s="70"/>
      <c r="J423" s="71" t="str">
        <f t="shared" si="91"/>
        <v>sem descrição</v>
      </c>
      <c r="K423" s="69" t="str">
        <f t="shared" si="97"/>
        <v>informar entrega</v>
      </c>
      <c r="L423" s="69">
        <f t="shared" si="93"/>
        <v>0</v>
      </c>
      <c r="M423" s="69">
        <f t="shared" si="94"/>
        <v>0</v>
      </c>
    </row>
    <row r="424" spans="1:13" s="61" customFormat="1" ht="20.25" hidden="1" customHeight="1" x14ac:dyDescent="0.25">
      <c r="A424" s="67" t="s">
        <v>188</v>
      </c>
      <c r="B424" s="68"/>
      <c r="C424" s="69"/>
      <c r="D424" s="69"/>
      <c r="E424" s="222"/>
      <c r="F424" s="222"/>
      <c r="G424" s="68"/>
      <c r="H424" s="70"/>
      <c r="I424" s="70"/>
      <c r="J424" s="71" t="str">
        <f t="shared" si="91"/>
        <v>sem descrição</v>
      </c>
      <c r="K424" s="69" t="str">
        <f t="shared" si="97"/>
        <v>informar entrega</v>
      </c>
      <c r="L424" s="69">
        <f t="shared" si="93"/>
        <v>0</v>
      </c>
      <c r="M424" s="69">
        <f t="shared" si="94"/>
        <v>0</v>
      </c>
    </row>
    <row r="425" spans="1:13" s="61" customFormat="1" ht="20.25" hidden="1" customHeight="1" x14ac:dyDescent="0.25">
      <c r="A425" s="67" t="s">
        <v>192</v>
      </c>
      <c r="B425" s="68"/>
      <c r="C425" s="69"/>
      <c r="D425" s="69"/>
      <c r="E425" s="222"/>
      <c r="F425" s="222"/>
      <c r="G425" s="68"/>
      <c r="H425" s="70"/>
      <c r="I425" s="70"/>
      <c r="J425" s="71" t="str">
        <f t="shared" si="91"/>
        <v>sem descrição</v>
      </c>
      <c r="K425" s="69" t="str">
        <f t="shared" si="97"/>
        <v>informar entrega</v>
      </c>
      <c r="L425" s="69">
        <f t="shared" si="93"/>
        <v>0</v>
      </c>
      <c r="M425" s="69">
        <f t="shared" si="94"/>
        <v>0</v>
      </c>
    </row>
    <row r="426" spans="1:13" s="61" customFormat="1" ht="20.25" hidden="1" customHeight="1" x14ac:dyDescent="0.25">
      <c r="A426" s="67" t="s">
        <v>195</v>
      </c>
      <c r="B426" s="68"/>
      <c r="C426" s="69"/>
      <c r="D426" s="69"/>
      <c r="E426" s="222"/>
      <c r="F426" s="222"/>
      <c r="G426" s="68"/>
      <c r="H426" s="70"/>
      <c r="I426" s="70"/>
      <c r="J426" s="71" t="str">
        <f t="shared" si="91"/>
        <v>sem descrição</v>
      </c>
      <c r="K426" s="69" t="str">
        <f t="shared" si="97"/>
        <v>informar entrega</v>
      </c>
      <c r="L426" s="69">
        <f t="shared" si="93"/>
        <v>0</v>
      </c>
      <c r="M426" s="69">
        <f t="shared" si="94"/>
        <v>0</v>
      </c>
    </row>
    <row r="427" spans="1:13" s="61" customFormat="1" ht="20.25" hidden="1" customHeight="1" x14ac:dyDescent="0.25">
      <c r="A427" s="67" t="s">
        <v>199</v>
      </c>
      <c r="B427" s="68"/>
      <c r="C427" s="69"/>
      <c r="D427" s="69"/>
      <c r="E427" s="222"/>
      <c r="F427" s="222"/>
      <c r="G427" s="68"/>
      <c r="H427" s="70"/>
      <c r="I427" s="70"/>
      <c r="J427" s="71" t="str">
        <f t="shared" si="91"/>
        <v>sem descrição</v>
      </c>
      <c r="K427" s="69" t="str">
        <f>IF(C427="mensal",J427*H427*E427,IF(C427="trimestral",(J427*H427*E427)/3,IF(C427="semestral",(J427*H427*E427)/6,IF(C427="anual",(J427*H427*E427/12),"informar período"))))</f>
        <v>informar período</v>
      </c>
      <c r="L427" s="69">
        <f t="shared" si="93"/>
        <v>0</v>
      </c>
      <c r="M427" s="69">
        <f t="shared" si="94"/>
        <v>0</v>
      </c>
    </row>
    <row r="428" spans="1:13" s="61" customFormat="1" ht="20.25" customHeight="1" x14ac:dyDescent="0.25">
      <c r="A428" s="152" t="s">
        <v>320</v>
      </c>
      <c r="B428" s="147"/>
      <c r="C428" s="147"/>
      <c r="D428" s="147"/>
      <c r="E428" s="147"/>
      <c r="F428" s="147"/>
      <c r="G428" s="147"/>
      <c r="H428" s="147"/>
      <c r="I428" s="139"/>
      <c r="J428" s="155"/>
      <c r="K428" s="156">
        <f>SUM(K411:K427)</f>
        <v>0</v>
      </c>
      <c r="L428" s="157">
        <f>K428*12</f>
        <v>0</v>
      </c>
      <c r="M428" s="158">
        <f>K428*60</f>
        <v>0</v>
      </c>
    </row>
    <row r="429" spans="1:13" s="61" customFormat="1" ht="20.25" customHeight="1" x14ac:dyDescent="0.25">
      <c r="A429" s="152" t="s">
        <v>302</v>
      </c>
      <c r="B429" s="147"/>
      <c r="C429" s="147"/>
      <c r="D429" s="147"/>
      <c r="E429" s="147"/>
      <c r="F429" s="147"/>
      <c r="G429" s="147"/>
      <c r="H429" s="147"/>
      <c r="I429" s="147"/>
      <c r="J429" s="147"/>
      <c r="K429" s="147"/>
      <c r="L429" s="147"/>
      <c r="M429" s="159">
        <f>K428/SUM(C407:M409)</f>
        <v>0</v>
      </c>
    </row>
    <row r="430" spans="1:13" s="61" customFormat="1" ht="20.25" customHeight="1" x14ac:dyDescent="0.25">
      <c r="A430" s="235" t="s">
        <v>273</v>
      </c>
      <c r="B430" s="143" t="s">
        <v>19</v>
      </c>
      <c r="C430" s="153"/>
      <c r="D430" s="153"/>
      <c r="E430" s="153"/>
      <c r="F430" s="153"/>
      <c r="G430" s="153"/>
      <c r="H430" s="153"/>
      <c r="I430" s="153"/>
      <c r="J430" s="153"/>
      <c r="K430" s="153"/>
      <c r="L430" s="153"/>
      <c r="M430" s="154"/>
    </row>
    <row r="431" spans="1:13" s="61" customFormat="1" ht="20.25" customHeight="1" x14ac:dyDescent="0.25">
      <c r="A431" s="62">
        <v>1</v>
      </c>
      <c r="B431" s="63" t="s">
        <v>274</v>
      </c>
      <c r="C431" s="216" t="str">
        <f>'planilha - proposta'!C58</f>
        <v>Motorista</v>
      </c>
      <c r="D431" s="217"/>
      <c r="E431" s="217"/>
      <c r="F431" s="217"/>
      <c r="G431" s="217"/>
      <c r="H431" s="145"/>
      <c r="I431" s="145"/>
      <c r="J431" s="145"/>
      <c r="K431" s="145"/>
      <c r="L431" s="145"/>
      <c r="M431" s="146"/>
    </row>
    <row r="432" spans="1:13" s="61" customFormat="1" ht="20.25" hidden="1" customHeight="1" x14ac:dyDescent="0.25">
      <c r="A432" s="62"/>
      <c r="B432" s="63"/>
      <c r="C432" s="216"/>
      <c r="D432" s="217"/>
      <c r="E432" s="217"/>
      <c r="F432" s="217"/>
      <c r="G432" s="217"/>
      <c r="H432" s="145"/>
      <c r="I432" s="145"/>
      <c r="J432" s="145"/>
      <c r="K432" s="145"/>
      <c r="L432" s="145"/>
      <c r="M432" s="146"/>
    </row>
    <row r="433" spans="1:13" s="61" customFormat="1" ht="20.25" hidden="1" customHeight="1" x14ac:dyDescent="0.25">
      <c r="A433" s="62"/>
      <c r="B433" s="63"/>
      <c r="C433" s="213"/>
      <c r="D433" s="214"/>
      <c r="E433" s="214"/>
      <c r="F433" s="214"/>
      <c r="G433" s="214"/>
      <c r="H433" s="148"/>
      <c r="I433" s="148"/>
      <c r="J433" s="148"/>
      <c r="K433" s="148"/>
      <c r="L433" s="148"/>
      <c r="M433" s="149"/>
    </row>
    <row r="434" spans="1:13" s="61" customFormat="1" ht="20.25" customHeight="1" x14ac:dyDescent="0.25">
      <c r="A434" s="62">
        <v>2</v>
      </c>
      <c r="B434" s="63" t="str">
        <f>'planilha - proposta'!D58</f>
        <v>Motorista - 44h</v>
      </c>
      <c r="C434" s="216">
        <f>VLOOKUP(B434,'planilha - proposta'!$D$17:$E$62,2,FALSE)</f>
        <v>1</v>
      </c>
      <c r="D434" s="217"/>
      <c r="E434" s="217"/>
      <c r="F434" s="217"/>
      <c r="G434" s="217"/>
      <c r="H434" s="145"/>
      <c r="I434" s="145"/>
      <c r="J434" s="145"/>
      <c r="K434" s="145"/>
      <c r="L434" s="145"/>
      <c r="M434" s="146"/>
    </row>
    <row r="435" spans="1:13" s="61" customFormat="1" ht="52.5" customHeight="1" x14ac:dyDescent="0.25">
      <c r="A435" s="64" t="s">
        <v>273</v>
      </c>
      <c r="B435" s="65" t="s">
        <v>275</v>
      </c>
      <c r="C435" s="218" t="s">
        <v>276</v>
      </c>
      <c r="D435" s="218" t="s">
        <v>277</v>
      </c>
      <c r="E435" s="218" t="s">
        <v>278</v>
      </c>
      <c r="F435" s="218" t="s">
        <v>303</v>
      </c>
      <c r="G435" s="223" t="s">
        <v>280</v>
      </c>
      <c r="H435" s="65" t="s">
        <v>304</v>
      </c>
      <c r="I435" s="66" t="s">
        <v>305</v>
      </c>
      <c r="J435" s="66" t="s">
        <v>318</v>
      </c>
      <c r="K435" s="65" t="s">
        <v>284</v>
      </c>
      <c r="L435" s="65" t="s">
        <v>285</v>
      </c>
      <c r="M435" s="66" t="s">
        <v>286</v>
      </c>
    </row>
    <row r="436" spans="1:13" s="61" customFormat="1" ht="20.25" customHeight="1" x14ac:dyDescent="0.25">
      <c r="A436" s="67" t="s">
        <v>108</v>
      </c>
      <c r="B436" s="68" t="s">
        <v>287</v>
      </c>
      <c r="C436" s="69" t="s">
        <v>288</v>
      </c>
      <c r="D436" s="69" t="s">
        <v>289</v>
      </c>
      <c r="E436" s="222">
        <f>3*26</f>
        <v>78</v>
      </c>
      <c r="F436" s="222">
        <v>0</v>
      </c>
      <c r="G436" s="68" t="s">
        <v>290</v>
      </c>
      <c r="H436" s="70">
        <f>VLOOKUP(B436,custoEPI!$B$6:$E$29,4,FALSE)</f>
        <v>0</v>
      </c>
      <c r="I436" s="71">
        <f>SUM($C$432:$M$434)</f>
        <v>1</v>
      </c>
      <c r="J436" s="71">
        <f t="shared" ref="J436:J452" si="98">IF(B436="","sem descrição",IF($C$432&gt;=$C$433,IF($C$434&gt;0,$C$432/2+$C$434,$C$432/2),IF($C$434&gt;0,$C$433/5+$C$434,$C$434)))</f>
        <v>1</v>
      </c>
      <c r="K436" s="69">
        <f>IF(C436="mensal",IF(F436&gt;0,F436*H436,IF(D436="descartável",((SUM($C$432:$C$433)/2)+$C$434)*E436*H436,IF(D436="pessoal",E436*H436*I436,E436*H436*J436))),0)+IF(C436="trimestral",IF(F436&gt;0,F436*H436/3,IF(D436="descartável",(((SUM($C$432:$C$433)/2)+$C$434)*E436*H436)/3,IF(D436="pessoal",(E436*H436*I436)/3,(E436*H436*J436)/3))),0)+IF(C436="semestral",IF(F436&gt;0,F436*H436/6,IF(D436="descartável",(((SUM($C$432:$C$433)/2)+$C$434)*E436*H436)/6,IF(D436="pessoal",(E436*H436*I436)/6,(E436*H436*J436)/6))),0)+IF(C436="anual",IF(F436&gt;0,F436*H436/12,IF(D436="descartável",(((SUM($C$432:$C$433)/2)+$C$434)*E436*H436)/12,IF(D436="pessoal",(E436*H436*I436)/12,(E436*H436*J436)/12))),0)</f>
        <v>0</v>
      </c>
      <c r="L436" s="69">
        <f>IFERROR(K436*12, 0)</f>
        <v>0</v>
      </c>
      <c r="M436" s="69">
        <f>IFERROR(K436*60,0)</f>
        <v>0</v>
      </c>
    </row>
    <row r="437" spans="1:13" s="61" customFormat="1" ht="20.25" hidden="1" customHeight="1" x14ac:dyDescent="0.25">
      <c r="A437" s="67" t="s">
        <v>110</v>
      </c>
      <c r="B437" s="68"/>
      <c r="C437" s="69"/>
      <c r="D437" s="69"/>
      <c r="E437" s="222"/>
      <c r="F437" s="222"/>
      <c r="G437" s="68" t="s">
        <v>290</v>
      </c>
      <c r="H437" s="70" t="e">
        <f>VLOOKUP(B437,custoEPI!$B$6:$E$29,4,FALSE)</f>
        <v>#N/A</v>
      </c>
      <c r="I437" s="71"/>
      <c r="J437" s="71" t="str">
        <f t="shared" si="98"/>
        <v>sem descrição</v>
      </c>
      <c r="K437" s="69" t="str">
        <f t="shared" ref="K437:K451" si="99">IF(C437="mensal",J437*H437*E437,IF(C437="trimestral",(J437*H437*E437)/3,IF(C437="semestral",(J437*H437*E437)/6,IF(C437="anual",(J437*H437*E437/12),"informar entrega"))))</f>
        <v>informar entrega</v>
      </c>
      <c r="L437" s="69">
        <f t="shared" ref="L437:L452" si="100">IFERROR(K437*12, 0)</f>
        <v>0</v>
      </c>
      <c r="M437" s="69">
        <f t="shared" ref="M437:M452" si="101">IFERROR(K437*60,0)</f>
        <v>0</v>
      </c>
    </row>
    <row r="438" spans="1:13" s="61" customFormat="1" ht="20.25" hidden="1" customHeight="1" x14ac:dyDescent="0.25">
      <c r="A438" s="67" t="s">
        <v>111</v>
      </c>
      <c r="B438" s="68"/>
      <c r="C438" s="69"/>
      <c r="D438" s="69"/>
      <c r="E438" s="222"/>
      <c r="F438" s="222"/>
      <c r="G438" s="68" t="s">
        <v>290</v>
      </c>
      <c r="H438" s="70" t="e">
        <f>VLOOKUP(B438,custoEPI!$B$6:$E$29,4,FALSE)</f>
        <v>#N/A</v>
      </c>
      <c r="I438" s="71"/>
      <c r="J438" s="71" t="str">
        <f t="shared" si="98"/>
        <v>sem descrição</v>
      </c>
      <c r="K438" s="69" t="str">
        <f t="shared" si="99"/>
        <v>informar entrega</v>
      </c>
      <c r="L438" s="69">
        <f t="shared" si="100"/>
        <v>0</v>
      </c>
      <c r="M438" s="69">
        <f t="shared" si="101"/>
        <v>0</v>
      </c>
    </row>
    <row r="439" spans="1:13" s="61" customFormat="1" ht="20.25" hidden="1" customHeight="1" x14ac:dyDescent="0.25">
      <c r="A439" s="67" t="s">
        <v>113</v>
      </c>
      <c r="B439" s="68"/>
      <c r="C439" s="69"/>
      <c r="D439" s="69"/>
      <c r="E439" s="222"/>
      <c r="F439" s="222"/>
      <c r="G439" s="68" t="s">
        <v>290</v>
      </c>
      <c r="H439" s="70" t="e">
        <f>VLOOKUP(B439,custoEPI!$B$6:$E$29,4,FALSE)</f>
        <v>#N/A</v>
      </c>
      <c r="I439" s="71"/>
      <c r="J439" s="71" t="str">
        <f t="shared" si="98"/>
        <v>sem descrição</v>
      </c>
      <c r="K439" s="69" t="str">
        <f t="shared" si="99"/>
        <v>informar entrega</v>
      </c>
      <c r="L439" s="69">
        <f t="shared" si="100"/>
        <v>0</v>
      </c>
      <c r="M439" s="69">
        <f t="shared" si="101"/>
        <v>0</v>
      </c>
    </row>
    <row r="440" spans="1:13" s="61" customFormat="1" ht="20.25" hidden="1" customHeight="1" x14ac:dyDescent="0.25">
      <c r="A440" s="67" t="s">
        <v>114</v>
      </c>
      <c r="B440" s="68"/>
      <c r="C440" s="69"/>
      <c r="D440" s="69"/>
      <c r="E440" s="222"/>
      <c r="F440" s="222"/>
      <c r="G440" s="68" t="s">
        <v>290</v>
      </c>
      <c r="H440" s="70" t="e">
        <f>VLOOKUP(B440,custoEPI!$B$6:$E$29,4,FALSE)</f>
        <v>#N/A</v>
      </c>
      <c r="I440" s="71"/>
      <c r="J440" s="71" t="str">
        <f t="shared" si="98"/>
        <v>sem descrição</v>
      </c>
      <c r="K440" s="69" t="str">
        <f t="shared" si="99"/>
        <v>informar entrega</v>
      </c>
      <c r="L440" s="69">
        <f t="shared" si="100"/>
        <v>0</v>
      </c>
      <c r="M440" s="69">
        <f t="shared" si="101"/>
        <v>0</v>
      </c>
    </row>
    <row r="441" spans="1:13" s="61" customFormat="1" ht="20.25" hidden="1" customHeight="1" x14ac:dyDescent="0.25">
      <c r="A441" s="67" t="s">
        <v>115</v>
      </c>
      <c r="B441" s="68"/>
      <c r="C441" s="69"/>
      <c r="D441" s="69"/>
      <c r="E441" s="222"/>
      <c r="F441" s="222"/>
      <c r="G441" s="68" t="s">
        <v>290</v>
      </c>
      <c r="H441" s="70" t="e">
        <f>VLOOKUP(B441,custoEPI!$B$6:$E$29,4,FALSE)</f>
        <v>#N/A</v>
      </c>
      <c r="I441" s="71"/>
      <c r="J441" s="71" t="str">
        <f t="shared" si="98"/>
        <v>sem descrição</v>
      </c>
      <c r="K441" s="69" t="str">
        <f t="shared" si="99"/>
        <v>informar entrega</v>
      </c>
      <c r="L441" s="69">
        <f t="shared" si="100"/>
        <v>0</v>
      </c>
      <c r="M441" s="69">
        <f t="shared" si="101"/>
        <v>0</v>
      </c>
    </row>
    <row r="442" spans="1:13" s="61" customFormat="1" ht="20.25" hidden="1" customHeight="1" x14ac:dyDescent="0.25">
      <c r="A442" s="67" t="s">
        <v>116</v>
      </c>
      <c r="B442" s="68"/>
      <c r="C442" s="69"/>
      <c r="D442" s="69"/>
      <c r="E442" s="222"/>
      <c r="F442" s="222"/>
      <c r="G442" s="68" t="s">
        <v>290</v>
      </c>
      <c r="H442" s="70" t="e">
        <f>VLOOKUP(B442,custoEPI!$B$6:$E$29,4,FALSE)</f>
        <v>#N/A</v>
      </c>
      <c r="I442" s="71"/>
      <c r="J442" s="71" t="str">
        <f t="shared" si="98"/>
        <v>sem descrição</v>
      </c>
      <c r="K442" s="69" t="str">
        <f t="shared" si="99"/>
        <v>informar entrega</v>
      </c>
      <c r="L442" s="69">
        <f t="shared" si="100"/>
        <v>0</v>
      </c>
      <c r="M442" s="69">
        <f t="shared" si="101"/>
        <v>0</v>
      </c>
    </row>
    <row r="443" spans="1:13" s="61" customFormat="1" ht="20.25" hidden="1" customHeight="1" x14ac:dyDescent="0.25">
      <c r="A443" s="67" t="s">
        <v>118</v>
      </c>
      <c r="B443" s="68"/>
      <c r="C443" s="69"/>
      <c r="D443" s="69"/>
      <c r="E443" s="222"/>
      <c r="F443" s="222"/>
      <c r="G443" s="68" t="s">
        <v>290</v>
      </c>
      <c r="H443" s="70" t="e">
        <f>VLOOKUP(B443,custoEPI!$B$6:$E$29,4,FALSE)</f>
        <v>#N/A</v>
      </c>
      <c r="I443" s="71"/>
      <c r="J443" s="71" t="str">
        <f t="shared" si="98"/>
        <v>sem descrição</v>
      </c>
      <c r="K443" s="69" t="str">
        <f t="shared" si="99"/>
        <v>informar entrega</v>
      </c>
      <c r="L443" s="69">
        <f t="shared" si="100"/>
        <v>0</v>
      </c>
      <c r="M443" s="69">
        <f t="shared" si="101"/>
        <v>0</v>
      </c>
    </row>
    <row r="444" spans="1:13" s="61" customFormat="1" ht="20.25" hidden="1" customHeight="1" x14ac:dyDescent="0.25">
      <c r="A444" s="67" t="s">
        <v>121</v>
      </c>
      <c r="B444" s="68"/>
      <c r="C444" s="69"/>
      <c r="D444" s="69"/>
      <c r="E444" s="222"/>
      <c r="F444" s="222"/>
      <c r="G444" s="68"/>
      <c r="H444" s="70" t="e">
        <f>VLOOKUP(B444,custoEPI!$B$6:$E$29,4,FALSE)</f>
        <v>#N/A</v>
      </c>
      <c r="I444" s="71"/>
      <c r="J444" s="71" t="str">
        <f t="shared" si="98"/>
        <v>sem descrição</v>
      </c>
      <c r="K444" s="69" t="str">
        <f t="shared" si="99"/>
        <v>informar entrega</v>
      </c>
      <c r="L444" s="69">
        <f t="shared" si="100"/>
        <v>0</v>
      </c>
      <c r="M444" s="69">
        <f t="shared" si="101"/>
        <v>0</v>
      </c>
    </row>
    <row r="445" spans="1:13" s="61" customFormat="1" ht="20.25" hidden="1" customHeight="1" x14ac:dyDescent="0.25">
      <c r="A445" s="67" t="s">
        <v>125</v>
      </c>
      <c r="B445" s="68"/>
      <c r="C445" s="69"/>
      <c r="D445" s="69"/>
      <c r="E445" s="222"/>
      <c r="F445" s="222"/>
      <c r="G445" s="68"/>
      <c r="H445" s="70"/>
      <c r="I445" s="71"/>
      <c r="J445" s="71" t="str">
        <f t="shared" si="98"/>
        <v>sem descrição</v>
      </c>
      <c r="K445" s="69" t="str">
        <f t="shared" si="99"/>
        <v>informar entrega</v>
      </c>
      <c r="L445" s="69">
        <f t="shared" si="100"/>
        <v>0</v>
      </c>
      <c r="M445" s="69">
        <f t="shared" si="101"/>
        <v>0</v>
      </c>
    </row>
    <row r="446" spans="1:13" s="61" customFormat="1" ht="20.25" hidden="1" customHeight="1" x14ac:dyDescent="0.25">
      <c r="A446" s="67" t="s">
        <v>127</v>
      </c>
      <c r="B446" s="68"/>
      <c r="C446" s="69"/>
      <c r="D446" s="69"/>
      <c r="E446" s="222"/>
      <c r="F446" s="222"/>
      <c r="G446" s="68"/>
      <c r="H446" s="70"/>
      <c r="I446" s="70"/>
      <c r="J446" s="71" t="str">
        <f t="shared" si="98"/>
        <v>sem descrição</v>
      </c>
      <c r="K446" s="69" t="str">
        <f t="shared" si="99"/>
        <v>informar entrega</v>
      </c>
      <c r="L446" s="69">
        <f t="shared" si="100"/>
        <v>0</v>
      </c>
      <c r="M446" s="69">
        <f t="shared" si="101"/>
        <v>0</v>
      </c>
    </row>
    <row r="447" spans="1:13" s="61" customFormat="1" ht="20.25" hidden="1" customHeight="1" x14ac:dyDescent="0.25">
      <c r="A447" s="67" t="s">
        <v>129</v>
      </c>
      <c r="B447" s="68"/>
      <c r="C447" s="69"/>
      <c r="D447" s="69"/>
      <c r="E447" s="222"/>
      <c r="F447" s="222"/>
      <c r="G447" s="68"/>
      <c r="H447" s="70"/>
      <c r="I447" s="70"/>
      <c r="J447" s="71" t="str">
        <f t="shared" si="98"/>
        <v>sem descrição</v>
      </c>
      <c r="K447" s="69" t="str">
        <f t="shared" si="99"/>
        <v>informar entrega</v>
      </c>
      <c r="L447" s="69">
        <f t="shared" si="100"/>
        <v>0</v>
      </c>
      <c r="M447" s="69">
        <f t="shared" si="101"/>
        <v>0</v>
      </c>
    </row>
    <row r="448" spans="1:13" s="61" customFormat="1" ht="20.25" hidden="1" customHeight="1" x14ac:dyDescent="0.25">
      <c r="A448" s="67" t="s">
        <v>131</v>
      </c>
      <c r="B448" s="68"/>
      <c r="C448" s="69"/>
      <c r="D448" s="69"/>
      <c r="E448" s="222"/>
      <c r="F448" s="222"/>
      <c r="G448" s="68"/>
      <c r="H448" s="70"/>
      <c r="I448" s="70"/>
      <c r="J448" s="71" t="str">
        <f t="shared" si="98"/>
        <v>sem descrição</v>
      </c>
      <c r="K448" s="69" t="str">
        <f t="shared" si="99"/>
        <v>informar entrega</v>
      </c>
      <c r="L448" s="69">
        <f t="shared" si="100"/>
        <v>0</v>
      </c>
      <c r="M448" s="69">
        <f t="shared" si="101"/>
        <v>0</v>
      </c>
    </row>
    <row r="449" spans="1:13" s="61" customFormat="1" ht="20.25" hidden="1" customHeight="1" x14ac:dyDescent="0.25">
      <c r="A449" s="67" t="s">
        <v>188</v>
      </c>
      <c r="B449" s="68"/>
      <c r="C449" s="69"/>
      <c r="D449" s="69"/>
      <c r="E449" s="222"/>
      <c r="F449" s="222"/>
      <c r="G449" s="68"/>
      <c r="H449" s="70"/>
      <c r="I449" s="70"/>
      <c r="J449" s="71" t="str">
        <f t="shared" si="98"/>
        <v>sem descrição</v>
      </c>
      <c r="K449" s="69" t="str">
        <f t="shared" si="99"/>
        <v>informar entrega</v>
      </c>
      <c r="L449" s="69">
        <f t="shared" si="100"/>
        <v>0</v>
      </c>
      <c r="M449" s="69">
        <f t="shared" si="101"/>
        <v>0</v>
      </c>
    </row>
    <row r="450" spans="1:13" s="61" customFormat="1" ht="20.25" hidden="1" customHeight="1" x14ac:dyDescent="0.25">
      <c r="A450" s="67" t="s">
        <v>192</v>
      </c>
      <c r="B450" s="68"/>
      <c r="C450" s="69"/>
      <c r="D450" s="69"/>
      <c r="E450" s="222"/>
      <c r="F450" s="222"/>
      <c r="G450" s="68"/>
      <c r="H450" s="70"/>
      <c r="I450" s="70"/>
      <c r="J450" s="71" t="str">
        <f t="shared" si="98"/>
        <v>sem descrição</v>
      </c>
      <c r="K450" s="69" t="str">
        <f t="shared" si="99"/>
        <v>informar entrega</v>
      </c>
      <c r="L450" s="69">
        <f t="shared" si="100"/>
        <v>0</v>
      </c>
      <c r="M450" s="69">
        <f t="shared" si="101"/>
        <v>0</v>
      </c>
    </row>
    <row r="451" spans="1:13" s="61" customFormat="1" ht="20.25" hidden="1" customHeight="1" x14ac:dyDescent="0.25">
      <c r="A451" s="67" t="s">
        <v>195</v>
      </c>
      <c r="B451" s="68"/>
      <c r="C451" s="69"/>
      <c r="D451" s="69"/>
      <c r="E451" s="222"/>
      <c r="F451" s="222"/>
      <c r="G451" s="68"/>
      <c r="H451" s="70"/>
      <c r="I451" s="70"/>
      <c r="J451" s="71" t="str">
        <f t="shared" si="98"/>
        <v>sem descrição</v>
      </c>
      <c r="K451" s="69" t="str">
        <f t="shared" si="99"/>
        <v>informar entrega</v>
      </c>
      <c r="L451" s="69">
        <f t="shared" si="100"/>
        <v>0</v>
      </c>
      <c r="M451" s="69">
        <f t="shared" si="101"/>
        <v>0</v>
      </c>
    </row>
    <row r="452" spans="1:13" s="61" customFormat="1" ht="20.25" hidden="1" customHeight="1" x14ac:dyDescent="0.25">
      <c r="A452" s="67" t="s">
        <v>199</v>
      </c>
      <c r="B452" s="68"/>
      <c r="C452" s="69"/>
      <c r="D452" s="69"/>
      <c r="E452" s="222"/>
      <c r="F452" s="222"/>
      <c r="G452" s="68"/>
      <c r="H452" s="70"/>
      <c r="I452" s="70"/>
      <c r="J452" s="71" t="str">
        <f t="shared" si="98"/>
        <v>sem descrição</v>
      </c>
      <c r="K452" s="69" t="str">
        <f>IF(C452="mensal",J452*H452*E452,IF(C452="trimestral",(J452*H452*E452)/3,IF(C452="semestral",(J452*H452*E452)/6,IF(C452="anual",(J452*H452*E452/12),"informar período"))))</f>
        <v>informar período</v>
      </c>
      <c r="L452" s="69">
        <f t="shared" si="100"/>
        <v>0</v>
      </c>
      <c r="M452" s="69">
        <f t="shared" si="101"/>
        <v>0</v>
      </c>
    </row>
    <row r="453" spans="1:13" s="61" customFormat="1" ht="20.25" customHeight="1" x14ac:dyDescent="0.25">
      <c r="A453" s="152" t="s">
        <v>330</v>
      </c>
      <c r="B453" s="147"/>
      <c r="C453" s="147"/>
      <c r="D453" s="147"/>
      <c r="E453" s="147"/>
      <c r="F453" s="147"/>
      <c r="G453" s="147"/>
      <c r="H453" s="147"/>
      <c r="I453" s="139"/>
      <c r="J453" s="155"/>
      <c r="K453" s="156">
        <f>SUM(K436:K452)</f>
        <v>0</v>
      </c>
      <c r="L453" s="157">
        <f>K453*12</f>
        <v>0</v>
      </c>
      <c r="M453" s="158">
        <f>K453*60</f>
        <v>0</v>
      </c>
    </row>
    <row r="454" spans="1:13" s="61" customFormat="1" ht="20.25" customHeight="1" x14ac:dyDescent="0.25">
      <c r="A454" s="152" t="s">
        <v>302</v>
      </c>
      <c r="B454" s="147"/>
      <c r="C454" s="147"/>
      <c r="D454" s="147"/>
      <c r="E454" s="147"/>
      <c r="F454" s="147"/>
      <c r="G454" s="147"/>
      <c r="H454" s="147"/>
      <c r="I454" s="147"/>
      <c r="J454" s="147"/>
      <c r="K454" s="147"/>
      <c r="L454" s="147"/>
      <c r="M454" s="159">
        <f>K453/SUM(C432:M434)</f>
        <v>0</v>
      </c>
    </row>
    <row r="455" spans="1:13" s="61" customFormat="1" ht="20.25" customHeight="1" x14ac:dyDescent="0.25">
      <c r="A455" s="235" t="s">
        <v>273</v>
      </c>
      <c r="B455" s="143" t="s">
        <v>19</v>
      </c>
      <c r="C455" s="153"/>
      <c r="D455" s="153"/>
      <c r="E455" s="153"/>
      <c r="F455" s="153"/>
      <c r="G455" s="153"/>
      <c r="H455" s="153"/>
      <c r="I455" s="153"/>
      <c r="J455" s="153"/>
      <c r="K455" s="153"/>
      <c r="L455" s="153"/>
      <c r="M455" s="154"/>
    </row>
    <row r="456" spans="1:13" s="61" customFormat="1" ht="20.25" customHeight="1" x14ac:dyDescent="0.25">
      <c r="A456" s="62">
        <v>1</v>
      </c>
      <c r="B456" s="63" t="s">
        <v>274</v>
      </c>
      <c r="C456" s="216" t="str">
        <f>'planilha - proposta'!C59</f>
        <v>Condutor de Ambulância</v>
      </c>
      <c r="D456" s="217"/>
      <c r="E456" s="217"/>
      <c r="F456" s="217"/>
      <c r="G456" s="217"/>
      <c r="H456" s="145"/>
      <c r="I456" s="145"/>
      <c r="J456" s="145"/>
      <c r="K456" s="145"/>
      <c r="L456" s="145"/>
      <c r="M456" s="146"/>
    </row>
    <row r="457" spans="1:13" s="61" customFormat="1" ht="20.25" customHeight="1" x14ac:dyDescent="0.25">
      <c r="A457" s="62">
        <v>2</v>
      </c>
      <c r="B457" s="63" t="str">
        <f>'planilha - proposta'!D59</f>
        <v>Condutor de Ambulância - 12x36/12x48</v>
      </c>
      <c r="C457" s="216">
        <f>VLOOKUP(B457,'planilha - proposta'!$D$17:$E$62,2,FALSE)</f>
        <v>6</v>
      </c>
      <c r="D457" s="217"/>
      <c r="E457" s="217"/>
      <c r="F457" s="217"/>
      <c r="G457" s="217"/>
      <c r="H457" s="145"/>
      <c r="I457" s="145"/>
      <c r="J457" s="145"/>
      <c r="K457" s="145"/>
      <c r="L457" s="145"/>
      <c r="M457" s="146"/>
    </row>
    <row r="458" spans="1:13" s="61" customFormat="1" ht="20.25" hidden="1" customHeight="1" x14ac:dyDescent="0.25">
      <c r="A458" s="62">
        <v>3</v>
      </c>
      <c r="B458" s="63" t="str">
        <f>'planilha - proposta'!D60</f>
        <v>Condutor de Ambulância - 24x96</v>
      </c>
      <c r="C458" s="216">
        <f>VLOOKUP(B458,'planilha - proposta'!$D$17:$E$62,2,FALSE)</f>
        <v>0</v>
      </c>
      <c r="D458" s="217"/>
      <c r="E458" s="217"/>
      <c r="F458" s="217"/>
      <c r="G458" s="217"/>
      <c r="H458" s="145"/>
      <c r="I458" s="145"/>
      <c r="J458" s="145"/>
      <c r="K458" s="145"/>
      <c r="L458" s="145"/>
      <c r="M458" s="146"/>
    </row>
    <row r="459" spans="1:13" s="61" customFormat="1" ht="20.25" hidden="1" customHeight="1" x14ac:dyDescent="0.25">
      <c r="A459" s="62"/>
      <c r="B459" s="63"/>
      <c r="C459" s="215"/>
      <c r="D459" s="215"/>
      <c r="E459" s="215"/>
      <c r="F459" s="215"/>
      <c r="G459" s="215"/>
      <c r="H459" s="144"/>
      <c r="I459" s="144"/>
      <c r="J459" s="144"/>
      <c r="K459" s="144"/>
      <c r="L459" s="144"/>
      <c r="M459" s="144"/>
    </row>
    <row r="460" spans="1:13" s="61" customFormat="1" ht="52.5" customHeight="1" x14ac:dyDescent="0.25">
      <c r="A460" s="64" t="s">
        <v>273</v>
      </c>
      <c r="B460" s="65" t="s">
        <v>275</v>
      </c>
      <c r="C460" s="218" t="s">
        <v>276</v>
      </c>
      <c r="D460" s="218" t="s">
        <v>277</v>
      </c>
      <c r="E460" s="218" t="s">
        <v>278</v>
      </c>
      <c r="F460" s="218" t="s">
        <v>303</v>
      </c>
      <c r="G460" s="223" t="s">
        <v>280</v>
      </c>
      <c r="H460" s="65" t="s">
        <v>304</v>
      </c>
      <c r="I460" s="66" t="s">
        <v>305</v>
      </c>
      <c r="J460" s="66" t="s">
        <v>318</v>
      </c>
      <c r="K460" s="65" t="s">
        <v>284</v>
      </c>
      <c r="L460" s="65" t="s">
        <v>285</v>
      </c>
      <c r="M460" s="66" t="s">
        <v>286</v>
      </c>
    </row>
    <row r="461" spans="1:13" s="61" customFormat="1" ht="20.25" customHeight="1" x14ac:dyDescent="0.25">
      <c r="A461" s="67" t="s">
        <v>108</v>
      </c>
      <c r="B461" s="68" t="s">
        <v>287</v>
      </c>
      <c r="C461" s="69" t="s">
        <v>288</v>
      </c>
      <c r="D461" s="69" t="s">
        <v>289</v>
      </c>
      <c r="E461" s="222">
        <f>3*30</f>
        <v>90</v>
      </c>
      <c r="F461" s="222">
        <v>0</v>
      </c>
      <c r="G461" s="68" t="s">
        <v>290</v>
      </c>
      <c r="H461" s="70">
        <f>VLOOKUP(B461,custoEPI!$B$6:$E$29,4,FALSE)</f>
        <v>0</v>
      </c>
      <c r="I461" s="71">
        <f t="shared" ref="I461:I466" si="102">SUM($C$457:$M$459)</f>
        <v>6</v>
      </c>
      <c r="J461" s="71">
        <f t="shared" ref="J461:J477" si="103">IF(B461="","sem descrição",IF($C$457&gt;=$C$458,IF($C$459&gt;0,$C$457/2+$C$459,$C$457/2),IF($C$459&gt;0,$C$458/5+$C$459,$C$459)))</f>
        <v>3</v>
      </c>
      <c r="K461" s="69">
        <f>IF(C461="mensal",IF(F461&gt;0,F461*H461,IF(D461="descartável",((SUM($C$457:$C$458)/2)+$C$459)*E461*H461,IF(D461="pessoal",E461*H461*I461,E461*H461*J461))),0)+IF(C461="trimestral",IF(F461&gt;0,F461*H461/3,IF(D461="descartável",(((SUM($C$457:$C$458)/2)+$C$459)*E461*H461)/3,IF(D461="pessoal",(E461*H461*I461)/3,(E461*H461*J461)/3))),0)+IF(C461="semestral",IF(F461&gt;0,F461*H461/6,IF(D461="descartável",(((SUM($C$457:$C$458)/2)+$C$459)*E461*H461)/6,IF(D461="pessoal",(E461*H461*I461)/6,(E461*H461*J461)/6))),0)+IF(C461="anual",IF(F461&gt;0,F461*H461/12,IF(D461="descartável",(((SUM($C$457:$C$458)/2)+$C$459)*E461*H461)/12,IF(D461="pessoal",(E461*H461*I461)/12,(E461*H461*J461)/12))),0)</f>
        <v>0</v>
      </c>
      <c r="L461" s="69">
        <f>IFERROR(K461*12, 0)</f>
        <v>0</v>
      </c>
      <c r="M461" s="69">
        <f>IFERROR(K461*60,0)</f>
        <v>0</v>
      </c>
    </row>
    <row r="462" spans="1:13" s="61" customFormat="1" ht="20.25" customHeight="1" x14ac:dyDescent="0.25">
      <c r="A462" s="67" t="s">
        <v>110</v>
      </c>
      <c r="B462" s="68" t="s">
        <v>291</v>
      </c>
      <c r="C462" s="69" t="s">
        <v>288</v>
      </c>
      <c r="D462" s="69" t="s">
        <v>289</v>
      </c>
      <c r="E462" s="222">
        <v>1</v>
      </c>
      <c r="F462" s="222">
        <v>0</v>
      </c>
      <c r="G462" s="68" t="s">
        <v>290</v>
      </c>
      <c r="H462" s="70">
        <f>VLOOKUP(B462,custoEPI!$B$6:$E$29,4,FALSE)</f>
        <v>0</v>
      </c>
      <c r="I462" s="71">
        <f t="shared" si="102"/>
        <v>6</v>
      </c>
      <c r="J462" s="71">
        <f t="shared" si="103"/>
        <v>3</v>
      </c>
      <c r="K462" s="69">
        <f t="shared" ref="K462:K466" si="104">IF(C462="mensal",IF(F462&gt;0,F462*H462,IF(D462="descartável",((SUM($C$457:$C$458)/2)+$C$459)*E462*H462,IF(D462="pessoal",E462*H462*I462,E462*H462*J462))),0)+IF(C462="trimestral",IF(F462&gt;0,F462*H462/3,IF(D462="descartável",(((SUM($C$457:$C$458)/2)+$C$459)*E462*H462)/3,IF(D462="pessoal",(E462*H462*I462)/3,(E462*H462*J462)/3))),0)+IF(C462="semestral",IF(F462&gt;0,F462*H462/6,IF(D462="descartável",(((SUM($C$457:$C$458)/2)+$C$459)*E462*H462)/6,IF(D462="pessoal",(E462*H462*I462)/6,(E462*H462*J462)/6))),0)+IF(C462="anual",IF(F462&gt;0,F462*H462/12,IF(D462="descartável",(((SUM($C$457:$C$458)/2)+$C$459)*E462*H462)/12,IF(D462="pessoal",(E462*H462*I462)/12,(E462*H462*J462)/12))),0)</f>
        <v>0</v>
      </c>
      <c r="L462" s="69">
        <f t="shared" ref="L462:L477" si="105">IFERROR(K462*12, 0)</f>
        <v>0</v>
      </c>
      <c r="M462" s="69">
        <f t="shared" ref="M462:M477" si="106">IFERROR(K462*60,0)</f>
        <v>0</v>
      </c>
    </row>
    <row r="463" spans="1:13" s="61" customFormat="1" ht="20.25" customHeight="1" x14ac:dyDescent="0.25">
      <c r="A463" s="67" t="s">
        <v>111</v>
      </c>
      <c r="B463" s="68" t="s">
        <v>293</v>
      </c>
      <c r="C463" s="69" t="s">
        <v>288</v>
      </c>
      <c r="D463" s="69" t="s">
        <v>289</v>
      </c>
      <c r="E463" s="222">
        <v>30</v>
      </c>
      <c r="F463" s="222">
        <v>0</v>
      </c>
      <c r="G463" s="68" t="s">
        <v>290</v>
      </c>
      <c r="H463" s="70">
        <f>VLOOKUP(B463,custoEPI!$B$6:$E$29,4,FALSE)</f>
        <v>0</v>
      </c>
      <c r="I463" s="71">
        <f t="shared" si="102"/>
        <v>6</v>
      </c>
      <c r="J463" s="71">
        <f t="shared" si="103"/>
        <v>3</v>
      </c>
      <c r="K463" s="69">
        <f t="shared" si="104"/>
        <v>0</v>
      </c>
      <c r="L463" s="69">
        <f t="shared" si="105"/>
        <v>0</v>
      </c>
      <c r="M463" s="69">
        <f t="shared" si="106"/>
        <v>0</v>
      </c>
    </row>
    <row r="464" spans="1:13" s="61" customFormat="1" ht="20.25" customHeight="1" x14ac:dyDescent="0.25">
      <c r="A464" s="67" t="s">
        <v>113</v>
      </c>
      <c r="B464" s="68" t="s">
        <v>299</v>
      </c>
      <c r="C464" s="69" t="s">
        <v>300</v>
      </c>
      <c r="D464" s="69" t="s">
        <v>292</v>
      </c>
      <c r="E464" s="222">
        <v>2</v>
      </c>
      <c r="F464" s="222">
        <v>0</v>
      </c>
      <c r="G464" s="68" t="s">
        <v>290</v>
      </c>
      <c r="H464" s="70">
        <f>VLOOKUP(B464,custoEPI!$B$6:$E$29,4,FALSE)</f>
        <v>0</v>
      </c>
      <c r="I464" s="71">
        <f t="shared" si="102"/>
        <v>6</v>
      </c>
      <c r="J464" s="71">
        <f t="shared" si="103"/>
        <v>3</v>
      </c>
      <c r="K464" s="69">
        <f t="shared" si="104"/>
        <v>0</v>
      </c>
      <c r="L464" s="69">
        <f t="shared" si="105"/>
        <v>0</v>
      </c>
      <c r="M464" s="69">
        <f t="shared" si="106"/>
        <v>0</v>
      </c>
    </row>
    <row r="465" spans="1:13" s="61" customFormat="1" ht="20.25" customHeight="1" x14ac:dyDescent="0.25">
      <c r="A465" s="67" t="s">
        <v>114</v>
      </c>
      <c r="B465" s="68" t="s">
        <v>294</v>
      </c>
      <c r="C465" s="69" t="s">
        <v>288</v>
      </c>
      <c r="D465" s="69" t="s">
        <v>289</v>
      </c>
      <c r="E465" s="222">
        <v>30</v>
      </c>
      <c r="F465" s="222">
        <v>0</v>
      </c>
      <c r="G465" s="68" t="s">
        <v>290</v>
      </c>
      <c r="H465" s="70">
        <f>VLOOKUP(B465,custoEPI!$B$6:$E$29,4,FALSE)</f>
        <v>0</v>
      </c>
      <c r="I465" s="71">
        <f t="shared" si="102"/>
        <v>6</v>
      </c>
      <c r="J465" s="71">
        <f t="shared" si="103"/>
        <v>3</v>
      </c>
      <c r="K465" s="69">
        <f t="shared" si="104"/>
        <v>0</v>
      </c>
      <c r="L465" s="69">
        <f t="shared" si="105"/>
        <v>0</v>
      </c>
      <c r="M465" s="69">
        <f t="shared" si="106"/>
        <v>0</v>
      </c>
    </row>
    <row r="466" spans="1:13" s="61" customFormat="1" ht="20.25" customHeight="1" x14ac:dyDescent="0.25">
      <c r="A466" s="67" t="s">
        <v>115</v>
      </c>
      <c r="B466" s="68" t="s">
        <v>295</v>
      </c>
      <c r="C466" s="69" t="s">
        <v>296</v>
      </c>
      <c r="D466" s="69" t="s">
        <v>292</v>
      </c>
      <c r="E466" s="222">
        <v>1</v>
      </c>
      <c r="F466" s="222">
        <v>0</v>
      </c>
      <c r="G466" s="68" t="s">
        <v>290</v>
      </c>
      <c r="H466" s="70">
        <f>VLOOKUP(B466,custoEPI!$B$6:$E$29,4,FALSE)</f>
        <v>0</v>
      </c>
      <c r="I466" s="71">
        <f t="shared" si="102"/>
        <v>6</v>
      </c>
      <c r="J466" s="71">
        <f t="shared" si="103"/>
        <v>3</v>
      </c>
      <c r="K466" s="69">
        <f t="shared" si="104"/>
        <v>0</v>
      </c>
      <c r="L466" s="69">
        <f t="shared" si="105"/>
        <v>0</v>
      </c>
      <c r="M466" s="69">
        <f t="shared" si="106"/>
        <v>0</v>
      </c>
    </row>
    <row r="467" spans="1:13" s="61" customFormat="1" ht="20.25" hidden="1" customHeight="1" x14ac:dyDescent="0.25">
      <c r="A467" s="67"/>
      <c r="B467" s="68"/>
      <c r="C467" s="69"/>
      <c r="D467" s="69"/>
      <c r="E467" s="222"/>
      <c r="F467" s="222"/>
      <c r="G467" s="68" t="s">
        <v>290</v>
      </c>
      <c r="H467" s="70" t="e">
        <f>VLOOKUP(B467,custoEPI!$B$6:$E$29,4,FALSE)</f>
        <v>#N/A</v>
      </c>
      <c r="I467" s="71"/>
      <c r="J467" s="71" t="str">
        <f t="shared" si="103"/>
        <v>sem descrição</v>
      </c>
      <c r="K467" s="69" t="str">
        <f t="shared" ref="K467:K476" si="107">IF(C467="mensal",J467*H467*E467,IF(C467="trimestral",(J467*H467*E467)/3,IF(C467="semestral",(J467*H467*E467)/6,IF(C467="anual",(J467*H467*E467/12),"informar entrega"))))</f>
        <v>informar entrega</v>
      </c>
      <c r="L467" s="69">
        <f t="shared" si="105"/>
        <v>0</v>
      </c>
      <c r="M467" s="69">
        <f t="shared" si="106"/>
        <v>0</v>
      </c>
    </row>
    <row r="468" spans="1:13" s="61" customFormat="1" ht="20.25" hidden="1" customHeight="1" x14ac:dyDescent="0.25">
      <c r="A468" s="67" t="s">
        <v>118</v>
      </c>
      <c r="B468" s="68"/>
      <c r="C468" s="69"/>
      <c r="D468" s="69"/>
      <c r="E468" s="222"/>
      <c r="F468" s="222"/>
      <c r="G468" s="68" t="s">
        <v>290</v>
      </c>
      <c r="H468" s="70" t="e">
        <f>VLOOKUP(B468,custoEPI!$B$6:$E$29,4,FALSE)</f>
        <v>#N/A</v>
      </c>
      <c r="I468" s="71"/>
      <c r="J468" s="71" t="str">
        <f t="shared" si="103"/>
        <v>sem descrição</v>
      </c>
      <c r="K468" s="69" t="str">
        <f t="shared" si="107"/>
        <v>informar entrega</v>
      </c>
      <c r="L468" s="69">
        <f t="shared" si="105"/>
        <v>0</v>
      </c>
      <c r="M468" s="69">
        <f t="shared" si="106"/>
        <v>0</v>
      </c>
    </row>
    <row r="469" spans="1:13" s="61" customFormat="1" ht="20.25" hidden="1" customHeight="1" x14ac:dyDescent="0.25">
      <c r="A469" s="67" t="s">
        <v>121</v>
      </c>
      <c r="B469" s="68"/>
      <c r="C469" s="69"/>
      <c r="D469" s="69"/>
      <c r="E469" s="222"/>
      <c r="F469" s="222"/>
      <c r="G469" s="68"/>
      <c r="H469" s="70" t="e">
        <f>VLOOKUP(B469,custoEPI!$B$6:$E$29,4,FALSE)</f>
        <v>#N/A</v>
      </c>
      <c r="I469" s="71"/>
      <c r="J469" s="71" t="str">
        <f t="shared" si="103"/>
        <v>sem descrição</v>
      </c>
      <c r="K469" s="69" t="str">
        <f t="shared" si="107"/>
        <v>informar entrega</v>
      </c>
      <c r="L469" s="69">
        <f t="shared" si="105"/>
        <v>0</v>
      </c>
      <c r="M469" s="69">
        <f t="shared" si="106"/>
        <v>0</v>
      </c>
    </row>
    <row r="470" spans="1:13" s="61" customFormat="1" ht="20.25" hidden="1" customHeight="1" x14ac:dyDescent="0.25">
      <c r="A470" s="67" t="s">
        <v>125</v>
      </c>
      <c r="B470" s="68"/>
      <c r="C470" s="69"/>
      <c r="D470" s="69"/>
      <c r="E470" s="222"/>
      <c r="F470" s="222"/>
      <c r="G470" s="68"/>
      <c r="H470" s="70"/>
      <c r="I470" s="71"/>
      <c r="J470" s="71" t="str">
        <f t="shared" si="103"/>
        <v>sem descrição</v>
      </c>
      <c r="K470" s="69" t="str">
        <f t="shared" si="107"/>
        <v>informar entrega</v>
      </c>
      <c r="L470" s="69">
        <f t="shared" si="105"/>
        <v>0</v>
      </c>
      <c r="M470" s="69">
        <f t="shared" si="106"/>
        <v>0</v>
      </c>
    </row>
    <row r="471" spans="1:13" s="61" customFormat="1" ht="20.25" hidden="1" customHeight="1" x14ac:dyDescent="0.25">
      <c r="A471" s="67" t="s">
        <v>127</v>
      </c>
      <c r="B471" s="68"/>
      <c r="C471" s="69"/>
      <c r="D471" s="69"/>
      <c r="E471" s="222"/>
      <c r="F471" s="222"/>
      <c r="G471" s="68"/>
      <c r="H471" s="70"/>
      <c r="I471" s="70"/>
      <c r="J471" s="71" t="str">
        <f t="shared" si="103"/>
        <v>sem descrição</v>
      </c>
      <c r="K471" s="69" t="str">
        <f t="shared" si="107"/>
        <v>informar entrega</v>
      </c>
      <c r="L471" s="69">
        <f t="shared" si="105"/>
        <v>0</v>
      </c>
      <c r="M471" s="69">
        <f t="shared" si="106"/>
        <v>0</v>
      </c>
    </row>
    <row r="472" spans="1:13" s="61" customFormat="1" ht="20.25" hidden="1" customHeight="1" x14ac:dyDescent="0.25">
      <c r="A472" s="67" t="s">
        <v>129</v>
      </c>
      <c r="B472" s="68"/>
      <c r="C472" s="69"/>
      <c r="D472" s="69"/>
      <c r="E472" s="222"/>
      <c r="F472" s="222"/>
      <c r="G472" s="68"/>
      <c r="H472" s="70"/>
      <c r="I472" s="70"/>
      <c r="J472" s="71" t="str">
        <f t="shared" si="103"/>
        <v>sem descrição</v>
      </c>
      <c r="K472" s="69" t="str">
        <f t="shared" si="107"/>
        <v>informar entrega</v>
      </c>
      <c r="L472" s="69">
        <f t="shared" si="105"/>
        <v>0</v>
      </c>
      <c r="M472" s="69">
        <f t="shared" si="106"/>
        <v>0</v>
      </c>
    </row>
    <row r="473" spans="1:13" s="61" customFormat="1" ht="20.25" hidden="1" customHeight="1" x14ac:dyDescent="0.25">
      <c r="A473" s="67" t="s">
        <v>131</v>
      </c>
      <c r="B473" s="68"/>
      <c r="C473" s="69"/>
      <c r="D473" s="69"/>
      <c r="E473" s="222"/>
      <c r="F473" s="222"/>
      <c r="G473" s="68"/>
      <c r="H473" s="70"/>
      <c r="I473" s="70"/>
      <c r="J473" s="71" t="str">
        <f t="shared" si="103"/>
        <v>sem descrição</v>
      </c>
      <c r="K473" s="69" t="str">
        <f t="shared" si="107"/>
        <v>informar entrega</v>
      </c>
      <c r="L473" s="69">
        <f t="shared" si="105"/>
        <v>0</v>
      </c>
      <c r="M473" s="69">
        <f t="shared" si="106"/>
        <v>0</v>
      </c>
    </row>
    <row r="474" spans="1:13" s="61" customFormat="1" ht="20.25" hidden="1" customHeight="1" x14ac:dyDescent="0.25">
      <c r="A474" s="67" t="s">
        <v>188</v>
      </c>
      <c r="B474" s="68"/>
      <c r="C474" s="69"/>
      <c r="D474" s="69"/>
      <c r="E474" s="222"/>
      <c r="F474" s="222"/>
      <c r="G474" s="68"/>
      <c r="H474" s="70"/>
      <c r="I474" s="70"/>
      <c r="J474" s="71" t="str">
        <f t="shared" si="103"/>
        <v>sem descrição</v>
      </c>
      <c r="K474" s="69" t="str">
        <f t="shared" si="107"/>
        <v>informar entrega</v>
      </c>
      <c r="L474" s="69">
        <f t="shared" si="105"/>
        <v>0</v>
      </c>
      <c r="M474" s="69">
        <f t="shared" si="106"/>
        <v>0</v>
      </c>
    </row>
    <row r="475" spans="1:13" s="61" customFormat="1" ht="20.25" hidden="1" customHeight="1" x14ac:dyDescent="0.25">
      <c r="A475" s="67" t="s">
        <v>192</v>
      </c>
      <c r="B475" s="68"/>
      <c r="C475" s="69"/>
      <c r="D475" s="69"/>
      <c r="E475" s="222"/>
      <c r="F475" s="222"/>
      <c r="G475" s="68"/>
      <c r="H475" s="70"/>
      <c r="I475" s="70"/>
      <c r="J475" s="71" t="str">
        <f t="shared" si="103"/>
        <v>sem descrição</v>
      </c>
      <c r="K475" s="69" t="str">
        <f t="shared" si="107"/>
        <v>informar entrega</v>
      </c>
      <c r="L475" s="69">
        <f t="shared" si="105"/>
        <v>0</v>
      </c>
      <c r="M475" s="69">
        <f t="shared" si="106"/>
        <v>0</v>
      </c>
    </row>
    <row r="476" spans="1:13" s="61" customFormat="1" ht="20.25" hidden="1" customHeight="1" x14ac:dyDescent="0.25">
      <c r="A476" s="67" t="s">
        <v>195</v>
      </c>
      <c r="B476" s="68"/>
      <c r="C476" s="69"/>
      <c r="D476" s="69"/>
      <c r="E476" s="222"/>
      <c r="F476" s="222"/>
      <c r="G476" s="68"/>
      <c r="H476" s="70"/>
      <c r="I476" s="70"/>
      <c r="J476" s="71" t="str">
        <f t="shared" si="103"/>
        <v>sem descrição</v>
      </c>
      <c r="K476" s="69" t="str">
        <f t="shared" si="107"/>
        <v>informar entrega</v>
      </c>
      <c r="L476" s="69">
        <f t="shared" si="105"/>
        <v>0</v>
      </c>
      <c r="M476" s="69">
        <f t="shared" si="106"/>
        <v>0</v>
      </c>
    </row>
    <row r="477" spans="1:13" s="61" customFormat="1" ht="20.25" hidden="1" customHeight="1" x14ac:dyDescent="0.25">
      <c r="A477" s="67" t="s">
        <v>199</v>
      </c>
      <c r="B477" s="68"/>
      <c r="C477" s="69"/>
      <c r="D477" s="69"/>
      <c r="E477" s="222"/>
      <c r="F477" s="222"/>
      <c r="G477" s="68"/>
      <c r="H477" s="70"/>
      <c r="I477" s="70"/>
      <c r="J477" s="71" t="str">
        <f t="shared" si="103"/>
        <v>sem descrição</v>
      </c>
      <c r="K477" s="69" t="str">
        <f>IF(C477="mensal",J477*H477*E477,IF(C477="trimestral",(J477*H477*E477)/3,IF(C477="semestral",(J477*H477*E477)/6,IF(C477="anual",(J477*H477*E477/12),"informar período"))))</f>
        <v>informar período</v>
      </c>
      <c r="L477" s="69">
        <f t="shared" si="105"/>
        <v>0</v>
      </c>
      <c r="M477" s="69">
        <f t="shared" si="106"/>
        <v>0</v>
      </c>
    </row>
    <row r="478" spans="1:13" s="61" customFormat="1" ht="20.25" customHeight="1" x14ac:dyDescent="0.25">
      <c r="A478" s="152" t="s">
        <v>308</v>
      </c>
      <c r="B478" s="147"/>
      <c r="C478" s="147"/>
      <c r="D478" s="147"/>
      <c r="E478" s="147"/>
      <c r="F478" s="147"/>
      <c r="G478" s="147"/>
      <c r="H478" s="147"/>
      <c r="I478" s="139"/>
      <c r="J478" s="155"/>
      <c r="K478" s="156">
        <f>SUM(K461:K477)</f>
        <v>0</v>
      </c>
      <c r="L478" s="157">
        <f>K478*12</f>
        <v>0</v>
      </c>
      <c r="M478" s="158">
        <f>K478*60</f>
        <v>0</v>
      </c>
    </row>
    <row r="479" spans="1:13" s="61" customFormat="1" ht="20.25" customHeight="1" x14ac:dyDescent="0.25">
      <c r="A479" s="152" t="s">
        <v>302</v>
      </c>
      <c r="B479" s="147"/>
      <c r="C479" s="147"/>
      <c r="D479" s="147"/>
      <c r="E479" s="147"/>
      <c r="F479" s="147"/>
      <c r="G479" s="147"/>
      <c r="H479" s="147"/>
      <c r="I479" s="147"/>
      <c r="J479" s="147"/>
      <c r="K479" s="147"/>
      <c r="L479" s="147"/>
      <c r="M479" s="159">
        <f>K478/SUM(C457:M459)</f>
        <v>0</v>
      </c>
    </row>
    <row r="480" spans="1:13" s="61" customFormat="1" ht="20.25" customHeight="1" x14ac:dyDescent="0.25">
      <c r="A480" s="235" t="s">
        <v>273</v>
      </c>
      <c r="B480" s="143" t="s">
        <v>19</v>
      </c>
      <c r="C480" s="153"/>
      <c r="D480" s="153"/>
      <c r="E480" s="153"/>
      <c r="F480" s="153"/>
      <c r="G480" s="153"/>
      <c r="H480" s="153"/>
      <c r="I480" s="153"/>
      <c r="J480" s="153"/>
      <c r="K480" s="153"/>
      <c r="L480" s="153"/>
      <c r="M480" s="154"/>
    </row>
    <row r="481" spans="1:13" s="61" customFormat="1" ht="20.25" customHeight="1" x14ac:dyDescent="0.25">
      <c r="A481" s="62">
        <v>1</v>
      </c>
      <c r="B481" s="63" t="s">
        <v>274</v>
      </c>
      <c r="C481" s="216" t="str">
        <f>'planilha - proposta'!C61</f>
        <v>Bombeiro Civil</v>
      </c>
      <c r="D481" s="217"/>
      <c r="E481" s="217"/>
      <c r="F481" s="217"/>
      <c r="G481" s="217"/>
      <c r="H481" s="145"/>
      <c r="I481" s="145"/>
      <c r="J481" s="145"/>
      <c r="K481" s="145"/>
      <c r="L481" s="145"/>
      <c r="M481" s="146"/>
    </row>
    <row r="482" spans="1:13" s="61" customFormat="1" ht="20.25" customHeight="1" x14ac:dyDescent="0.25">
      <c r="A482" s="62">
        <v>2</v>
      </c>
      <c r="B482" s="63" t="str">
        <f>'planilha - proposta'!D61</f>
        <v>Bombeiro Civil - 12x36d</v>
      </c>
      <c r="C482" s="216">
        <f>VLOOKUP(B482,'planilha - proposta'!$D$17:$E$62,2,FALSE)</f>
        <v>4</v>
      </c>
      <c r="D482" s="217"/>
      <c r="E482" s="217"/>
      <c r="F482" s="217"/>
      <c r="G482" s="217"/>
      <c r="H482" s="145"/>
      <c r="I482" s="145"/>
      <c r="J482" s="145"/>
      <c r="K482" s="145"/>
      <c r="L482" s="145"/>
      <c r="M482" s="146"/>
    </row>
    <row r="483" spans="1:13" s="61" customFormat="1" ht="20.25" customHeight="1" x14ac:dyDescent="0.25">
      <c r="A483" s="62">
        <v>3</v>
      </c>
      <c r="B483" s="63" t="str">
        <f>'planilha - proposta'!D62</f>
        <v>Bombeiro Civil - 12x36n</v>
      </c>
      <c r="C483" s="216">
        <f>VLOOKUP(B483,'planilha - proposta'!$D$17:$E$62,2,FALSE)</f>
        <v>4</v>
      </c>
      <c r="D483" s="217"/>
      <c r="E483" s="217"/>
      <c r="F483" s="217"/>
      <c r="G483" s="217"/>
      <c r="H483" s="145"/>
      <c r="I483" s="145"/>
      <c r="J483" s="145"/>
      <c r="K483" s="145"/>
      <c r="L483" s="145"/>
      <c r="M483" s="146"/>
    </row>
    <row r="484" spans="1:13" s="61" customFormat="1" ht="20.25" hidden="1" customHeight="1" x14ac:dyDescent="0.25">
      <c r="A484" s="62"/>
      <c r="B484" s="63"/>
      <c r="C484" s="215">
        <v>0</v>
      </c>
      <c r="D484" s="215"/>
      <c r="E484" s="215"/>
      <c r="F484" s="215"/>
      <c r="G484" s="215"/>
      <c r="H484" s="144"/>
      <c r="I484" s="144"/>
      <c r="J484" s="144"/>
      <c r="K484" s="144"/>
      <c r="L484" s="144"/>
      <c r="M484" s="144"/>
    </row>
    <row r="485" spans="1:13" s="61" customFormat="1" ht="52.5" customHeight="1" x14ac:dyDescent="0.25">
      <c r="A485" s="64" t="s">
        <v>273</v>
      </c>
      <c r="B485" s="65" t="s">
        <v>275</v>
      </c>
      <c r="C485" s="218" t="s">
        <v>276</v>
      </c>
      <c r="D485" s="218" t="s">
        <v>277</v>
      </c>
      <c r="E485" s="218" t="s">
        <v>278</v>
      </c>
      <c r="F485" s="218" t="s">
        <v>303</v>
      </c>
      <c r="G485" s="223" t="s">
        <v>280</v>
      </c>
      <c r="H485" s="65" t="s">
        <v>304</v>
      </c>
      <c r="I485" s="66" t="s">
        <v>305</v>
      </c>
      <c r="J485" s="66" t="s">
        <v>318</v>
      </c>
      <c r="K485" s="65" t="s">
        <v>284</v>
      </c>
      <c r="L485" s="65" t="s">
        <v>285</v>
      </c>
      <c r="M485" s="66" t="s">
        <v>286</v>
      </c>
    </row>
    <row r="486" spans="1:13" s="61" customFormat="1" ht="20.25" hidden="1" customHeight="1" x14ac:dyDescent="0.25">
      <c r="A486" s="67"/>
      <c r="B486" s="71"/>
      <c r="C486" s="69"/>
      <c r="D486" s="69"/>
      <c r="E486" s="222"/>
      <c r="F486" s="222"/>
      <c r="G486" s="68"/>
      <c r="H486" s="70"/>
      <c r="I486" s="71">
        <f t="shared" ref="I486:I492" si="108">SUM($C$482:$M$484)</f>
        <v>8</v>
      </c>
      <c r="J486" s="71" t="str">
        <f t="shared" ref="J486:J503" si="109">IF(B486="","sem descrição",IF($C$482&gt;=$C$483,IF($C$484&gt;0,$C$482/2+$C$484,$C$482/2),IF($C$484&gt;0,$C$483/2+$C$484,$C$484)))</f>
        <v>sem descrição</v>
      </c>
      <c r="K486" s="69" t="str">
        <f>IF(C486="mensal",J486*H486*E486,IF(C486="trimestral",(J486*H486*E486)/3,IF(C486="semestral",(J486*H486*E486)/6,IF(C486="anual",(J486*H486*E486/12),"informar entrega"))))</f>
        <v>informar entrega</v>
      </c>
      <c r="L486" s="69">
        <f>IFERROR(K486*12, 0)</f>
        <v>0</v>
      </c>
      <c r="M486" s="69">
        <f>IFERROR(K486*60,0)</f>
        <v>0</v>
      </c>
    </row>
    <row r="487" spans="1:13" s="61" customFormat="1" ht="20.25" hidden="1" customHeight="1" x14ac:dyDescent="0.25">
      <c r="A487" s="67"/>
      <c r="B487" s="71"/>
      <c r="C487" s="69"/>
      <c r="D487" s="69"/>
      <c r="E487" s="222"/>
      <c r="F487" s="222"/>
      <c r="G487" s="68"/>
      <c r="H487" s="70"/>
      <c r="I487" s="71">
        <f t="shared" si="108"/>
        <v>8</v>
      </c>
      <c r="J487" s="71" t="str">
        <f t="shared" si="109"/>
        <v>sem descrição</v>
      </c>
      <c r="K487" s="69" t="str">
        <f>IF(C487="mensal",J487*H487*E487,IF(C487="trimestral",(J487*H487*E487)/3,IF(C487="semestral",(J487*H487*E487)/6,IF(C487="anual",(J487*H487*E487/12),"informar entrega"))))</f>
        <v>informar entrega</v>
      </c>
      <c r="L487" s="69">
        <f t="shared" ref="L487:L503" si="110">IFERROR(K487*12, 0)</f>
        <v>0</v>
      </c>
      <c r="M487" s="69">
        <f t="shared" ref="M487:M503" si="111">IFERROR(K487*60,0)</f>
        <v>0</v>
      </c>
    </row>
    <row r="488" spans="1:13" s="61" customFormat="1" ht="20.25" customHeight="1" x14ac:dyDescent="0.25">
      <c r="A488" s="67" t="s">
        <v>108</v>
      </c>
      <c r="B488" s="71" t="s">
        <v>331</v>
      </c>
      <c r="C488" s="69" t="s">
        <v>298</v>
      </c>
      <c r="D488" s="69" t="s">
        <v>310</v>
      </c>
      <c r="E488" s="222">
        <v>1</v>
      </c>
      <c r="F488" s="222">
        <v>0</v>
      </c>
      <c r="G488" s="68" t="s">
        <v>290</v>
      </c>
      <c r="H488" s="70">
        <f>VLOOKUP(B488,custoEPI!$B$6:$E$29,4,FALSE)</f>
        <v>0</v>
      </c>
      <c r="I488" s="71">
        <f t="shared" si="108"/>
        <v>8</v>
      </c>
      <c r="J488" s="71">
        <f t="shared" si="109"/>
        <v>2</v>
      </c>
      <c r="K488" s="69">
        <f>IF(C488="mensal",IF(F488&gt;0,F488*H488,IF(D488="descartável",((SUM($C$482:$C$483)/2)+$C$484)*E488*H488,IF(D488="pessoal",E488*H488*I488,E488*H488*J488))),0)+IF(C488="trimestral",IF(F488&gt;0,F488*H488/3,IF(D488="descartável",(((SUM($C$482:$C$483)/2)+$C$484)*E488*H488)/3,IF(D488="pessoal",(E488*H488*I488)/3,(E488*H488*J488)/3))),0)+IF(C488="semestral",IF(F488&gt;0,F488*H488/6,IF(D488="descartável",(((SUM($C$482:$C$483)/2)+$C$484)*E488*H488)/6,IF(D488="pessoal",(E488*H488*I488)/6,(E488*H488*J488)/6))),0)+IF(C488="anual",IF(F488&gt;0,F488*H488/12,IF(D488="descartável",(((SUM($C$482:$C$483)/2)+$C$484)*E488*H488)/12,IF(D488="pessoal",(E488*H488*I488)/12,(E488*H488*J488)/12))),0)</f>
        <v>0</v>
      </c>
      <c r="L488" s="69">
        <f t="shared" si="110"/>
        <v>0</v>
      </c>
      <c r="M488" s="69">
        <f t="shared" si="111"/>
        <v>0</v>
      </c>
    </row>
    <row r="489" spans="1:13" s="61" customFormat="1" ht="20.25" customHeight="1" x14ac:dyDescent="0.25">
      <c r="A489" s="67" t="s">
        <v>110</v>
      </c>
      <c r="B489" s="71" t="s">
        <v>332</v>
      </c>
      <c r="C489" s="69" t="s">
        <v>298</v>
      </c>
      <c r="D489" s="69" t="s">
        <v>292</v>
      </c>
      <c r="E489" s="222">
        <v>1</v>
      </c>
      <c r="F489" s="222">
        <v>0</v>
      </c>
      <c r="G489" s="68" t="s">
        <v>290</v>
      </c>
      <c r="H489" s="70">
        <f>VLOOKUP(B489,custoEPI!$B$6:$E$29,4,FALSE)</f>
        <v>0</v>
      </c>
      <c r="I489" s="71">
        <f t="shared" si="108"/>
        <v>8</v>
      </c>
      <c r="J489" s="71">
        <f t="shared" si="109"/>
        <v>2</v>
      </c>
      <c r="K489" s="69">
        <f t="shared" ref="K489:K496" si="112">IF(C489="mensal",IF(F489&gt;0,F489*H489,IF(D489="descartável",((SUM($C$482:$C$483)/2)+$C$484)*E489*H489,IF(D489="pessoal",E489*H489*I489,E489*H489*J489))),0)+IF(C489="trimestral",IF(F489&gt;0,F489*H489/3,IF(D489="descartável",(((SUM($C$482:$C$483)/2)+$C$484)*E489*H489)/3,IF(D489="pessoal",(E489*H489*I489)/3,(E489*H489*J489)/3))),0)+IF(C489="semestral",IF(F489&gt;0,F489*H489/6,IF(D489="descartável",(((SUM($C$482:$C$483)/2)+$C$484)*E489*H489)/6,IF(D489="pessoal",(E489*H489*I489)/6,(E489*H489*J489)/6))),0)+IF(C489="anual",IF(F489&gt;0,F489*H489/12,IF(D489="descartável",(((SUM($C$482:$C$483)/2)+$C$484)*E489*H489)/12,IF(D489="pessoal",(E489*H489*I489)/12,(E489*H489*J489)/12))),0)</f>
        <v>0</v>
      </c>
      <c r="L489" s="69">
        <f t="shared" si="110"/>
        <v>0</v>
      </c>
      <c r="M489" s="69">
        <f t="shared" si="111"/>
        <v>0</v>
      </c>
    </row>
    <row r="490" spans="1:13" s="61" customFormat="1" ht="20.25" customHeight="1" x14ac:dyDescent="0.25">
      <c r="A490" s="67" t="s">
        <v>111</v>
      </c>
      <c r="B490" s="71" t="s">
        <v>329</v>
      </c>
      <c r="C490" s="69" t="s">
        <v>298</v>
      </c>
      <c r="D490" s="69" t="s">
        <v>310</v>
      </c>
      <c r="E490" s="222">
        <v>1</v>
      </c>
      <c r="F490" s="222">
        <v>0</v>
      </c>
      <c r="G490" s="68" t="s">
        <v>290</v>
      </c>
      <c r="H490" s="70">
        <f>VLOOKUP(B490,custoEPI!$B$6:$E$29,4,FALSE)</f>
        <v>0</v>
      </c>
      <c r="I490" s="71">
        <f t="shared" si="108"/>
        <v>8</v>
      </c>
      <c r="J490" s="71">
        <f t="shared" si="109"/>
        <v>2</v>
      </c>
      <c r="K490" s="69">
        <f t="shared" si="112"/>
        <v>0</v>
      </c>
      <c r="L490" s="69">
        <f t="shared" si="110"/>
        <v>0</v>
      </c>
      <c r="M490" s="69">
        <f t="shared" si="111"/>
        <v>0</v>
      </c>
    </row>
    <row r="491" spans="1:13" s="61" customFormat="1" ht="20.25" hidden="1" customHeight="1" x14ac:dyDescent="0.25">
      <c r="A491" s="67"/>
      <c r="B491" s="71"/>
      <c r="C491" s="69"/>
      <c r="D491" s="69"/>
      <c r="E491" s="222"/>
      <c r="F491" s="222"/>
      <c r="G491" s="68"/>
      <c r="H491" s="70" t="e">
        <f>VLOOKUP(B491,custoEPI!$B$6:$E$29,4,FALSE)</f>
        <v>#N/A</v>
      </c>
      <c r="I491" s="71">
        <f t="shared" si="108"/>
        <v>8</v>
      </c>
      <c r="J491" s="71" t="str">
        <f t="shared" si="109"/>
        <v>sem descrição</v>
      </c>
      <c r="K491" s="69">
        <f t="shared" si="112"/>
        <v>0</v>
      </c>
      <c r="L491" s="69">
        <f t="shared" si="110"/>
        <v>0</v>
      </c>
      <c r="M491" s="69">
        <f t="shared" si="111"/>
        <v>0</v>
      </c>
    </row>
    <row r="492" spans="1:13" s="61" customFormat="1" ht="20.25" customHeight="1" x14ac:dyDescent="0.25">
      <c r="A492" s="67" t="s">
        <v>113</v>
      </c>
      <c r="B492" s="68" t="s">
        <v>307</v>
      </c>
      <c r="C492" s="69" t="s">
        <v>300</v>
      </c>
      <c r="D492" s="69" t="s">
        <v>292</v>
      </c>
      <c r="E492" s="222">
        <v>1</v>
      </c>
      <c r="F492" s="222">
        <v>0</v>
      </c>
      <c r="G492" s="68" t="s">
        <v>290</v>
      </c>
      <c r="H492" s="70">
        <f>VLOOKUP(B492,custoEPI!$B$6:$E$29,4,FALSE)</f>
        <v>0</v>
      </c>
      <c r="I492" s="71">
        <f t="shared" si="108"/>
        <v>8</v>
      </c>
      <c r="J492" s="71">
        <f t="shared" si="109"/>
        <v>2</v>
      </c>
      <c r="K492" s="69">
        <f t="shared" si="112"/>
        <v>0</v>
      </c>
      <c r="L492" s="69">
        <f t="shared" si="110"/>
        <v>0</v>
      </c>
      <c r="M492" s="69">
        <f t="shared" si="111"/>
        <v>0</v>
      </c>
    </row>
    <row r="493" spans="1:13" s="61" customFormat="1" ht="20.25" customHeight="1" x14ac:dyDescent="0.25">
      <c r="A493" s="67" t="s">
        <v>114</v>
      </c>
      <c r="B493" s="68" t="s">
        <v>295</v>
      </c>
      <c r="C493" s="69" t="s">
        <v>296</v>
      </c>
      <c r="D493" s="69" t="s">
        <v>292</v>
      </c>
      <c r="E493" s="222">
        <v>1</v>
      </c>
      <c r="F493" s="222">
        <v>0</v>
      </c>
      <c r="G493" s="68" t="s">
        <v>290</v>
      </c>
      <c r="H493" s="70">
        <f>VLOOKUP(B493,custoEPI!$B$6:$E$29,4,FALSE)</f>
        <v>0</v>
      </c>
      <c r="I493" s="71">
        <f t="shared" ref="I493:I494" si="113">SUM($C$482:$M$484)</f>
        <v>8</v>
      </c>
      <c r="J493" s="71">
        <f t="shared" si="109"/>
        <v>2</v>
      </c>
      <c r="K493" s="69">
        <f t="shared" si="112"/>
        <v>0</v>
      </c>
      <c r="L493" s="69">
        <f t="shared" ref="L493" si="114">IFERROR(K493*12, 0)</f>
        <v>0</v>
      </c>
      <c r="M493" s="69">
        <f t="shared" ref="M493" si="115">IFERROR(K493*60,0)</f>
        <v>0</v>
      </c>
    </row>
    <row r="494" spans="1:13" s="61" customFormat="1" ht="20.25" customHeight="1" x14ac:dyDescent="0.25">
      <c r="A494" s="67" t="s">
        <v>115</v>
      </c>
      <c r="B494" s="71" t="s">
        <v>297</v>
      </c>
      <c r="C494" s="69" t="s">
        <v>298</v>
      </c>
      <c r="D494" s="69" t="s">
        <v>292</v>
      </c>
      <c r="E494" s="222">
        <v>1</v>
      </c>
      <c r="F494" s="222">
        <v>0</v>
      </c>
      <c r="G494" s="68" t="s">
        <v>290</v>
      </c>
      <c r="H494" s="70">
        <f>VLOOKUP(B494,custoEPI!$B$6:$E$29,4,FALSE)</f>
        <v>0</v>
      </c>
      <c r="I494" s="71">
        <f t="shared" si="113"/>
        <v>8</v>
      </c>
      <c r="J494" s="71">
        <f t="shared" si="109"/>
        <v>2</v>
      </c>
      <c r="K494" s="69">
        <f t="shared" si="112"/>
        <v>0</v>
      </c>
      <c r="L494" s="69">
        <f t="shared" si="110"/>
        <v>0</v>
      </c>
      <c r="M494" s="69">
        <f t="shared" si="111"/>
        <v>0</v>
      </c>
    </row>
    <row r="495" spans="1:13" s="61" customFormat="1" ht="20.25" customHeight="1" x14ac:dyDescent="0.25">
      <c r="A495" s="67" t="s">
        <v>116</v>
      </c>
      <c r="B495" s="71" t="s">
        <v>287</v>
      </c>
      <c r="C495" s="69" t="s">
        <v>288</v>
      </c>
      <c r="D495" s="69" t="s">
        <v>289</v>
      </c>
      <c r="E495" s="222">
        <f>3*30</f>
        <v>90</v>
      </c>
      <c r="F495" s="222">
        <v>0</v>
      </c>
      <c r="G495" s="68" t="s">
        <v>290</v>
      </c>
      <c r="H495" s="70">
        <f>VLOOKUP(B495,custoEPI!$B$6:$E$29,4,FALSE)</f>
        <v>0</v>
      </c>
      <c r="I495" s="71">
        <f>SUM($C$482:$M$484)</f>
        <v>8</v>
      </c>
      <c r="J495" s="71">
        <f t="shared" si="109"/>
        <v>2</v>
      </c>
      <c r="K495" s="69">
        <f t="shared" si="112"/>
        <v>0</v>
      </c>
      <c r="L495" s="69">
        <f t="shared" si="110"/>
        <v>0</v>
      </c>
      <c r="M495" s="69">
        <f t="shared" si="111"/>
        <v>0</v>
      </c>
    </row>
    <row r="496" spans="1:13" s="61" customFormat="1" ht="20.25" customHeight="1" x14ac:dyDescent="0.25">
      <c r="A496" s="67" t="s">
        <v>118</v>
      </c>
      <c r="B496" s="71" t="s">
        <v>291</v>
      </c>
      <c r="C496" s="69" t="s">
        <v>288</v>
      </c>
      <c r="D496" s="69" t="s">
        <v>289</v>
      </c>
      <c r="E496" s="222">
        <v>1</v>
      </c>
      <c r="F496" s="222">
        <v>0</v>
      </c>
      <c r="G496" s="68" t="s">
        <v>290</v>
      </c>
      <c r="H496" s="70">
        <f>VLOOKUP(B496,custoEPI!$B$6:$E$29,4,FALSE)</f>
        <v>0</v>
      </c>
      <c r="I496" s="71">
        <f>SUM($C$482:$M$484)</f>
        <v>8</v>
      </c>
      <c r="J496" s="71">
        <f t="shared" si="109"/>
        <v>2</v>
      </c>
      <c r="K496" s="69">
        <f t="shared" si="112"/>
        <v>0</v>
      </c>
      <c r="L496" s="69">
        <f t="shared" si="110"/>
        <v>0</v>
      </c>
      <c r="M496" s="69">
        <f t="shared" si="111"/>
        <v>0</v>
      </c>
    </row>
    <row r="497" spans="1:13" s="61" customFormat="1" ht="20.25" hidden="1" customHeight="1" x14ac:dyDescent="0.25">
      <c r="A497" s="67"/>
      <c r="B497" s="68"/>
      <c r="C497" s="69"/>
      <c r="D497" s="69"/>
      <c r="E497" s="222"/>
      <c r="F497" s="222"/>
      <c r="G497" s="68"/>
      <c r="H497" s="70"/>
      <c r="I497" s="71">
        <f>SUM($C$482:$M$484)</f>
        <v>8</v>
      </c>
      <c r="J497" s="71" t="str">
        <f t="shared" si="109"/>
        <v>sem descrição</v>
      </c>
      <c r="K497" s="69" t="str">
        <f t="shared" ref="K497:K502" si="116">IF(C497="mensal",J497*H497*E497,IF(C497="trimestral",(J497*H497*E497)/3,IF(C497="semestral",(J497*H497*E497)/6,IF(C497="anual",(J497*H497*E497/12),"informar entrega"))))</f>
        <v>informar entrega</v>
      </c>
      <c r="L497" s="69">
        <f t="shared" si="110"/>
        <v>0</v>
      </c>
      <c r="M497" s="69">
        <f t="shared" si="111"/>
        <v>0</v>
      </c>
    </row>
    <row r="498" spans="1:13" s="61" customFormat="1" ht="20.25" hidden="1" customHeight="1" x14ac:dyDescent="0.25">
      <c r="A498" s="67" t="s">
        <v>129</v>
      </c>
      <c r="B498" s="68"/>
      <c r="C498" s="69"/>
      <c r="D498" s="69"/>
      <c r="E498" s="222"/>
      <c r="F498" s="222"/>
      <c r="G498" s="68"/>
      <c r="H498" s="70"/>
      <c r="I498" s="70"/>
      <c r="J498" s="71" t="str">
        <f t="shared" si="109"/>
        <v>sem descrição</v>
      </c>
      <c r="K498" s="69" t="str">
        <f t="shared" si="116"/>
        <v>informar entrega</v>
      </c>
      <c r="L498" s="69">
        <f t="shared" si="110"/>
        <v>0</v>
      </c>
      <c r="M498" s="69">
        <f t="shared" si="111"/>
        <v>0</v>
      </c>
    </row>
    <row r="499" spans="1:13" s="61" customFormat="1" ht="20.25" hidden="1" customHeight="1" x14ac:dyDescent="0.25">
      <c r="A499" s="67" t="s">
        <v>131</v>
      </c>
      <c r="B499" s="68"/>
      <c r="C499" s="69"/>
      <c r="D499" s="69"/>
      <c r="E499" s="222"/>
      <c r="F499" s="222"/>
      <c r="G499" s="68"/>
      <c r="H499" s="70"/>
      <c r="I499" s="70"/>
      <c r="J499" s="71" t="str">
        <f t="shared" si="109"/>
        <v>sem descrição</v>
      </c>
      <c r="K499" s="69" t="str">
        <f t="shared" si="116"/>
        <v>informar entrega</v>
      </c>
      <c r="L499" s="69">
        <f t="shared" si="110"/>
        <v>0</v>
      </c>
      <c r="M499" s="69">
        <f t="shared" si="111"/>
        <v>0</v>
      </c>
    </row>
    <row r="500" spans="1:13" s="61" customFormat="1" ht="20.25" hidden="1" customHeight="1" x14ac:dyDescent="0.25">
      <c r="A500" s="67" t="s">
        <v>188</v>
      </c>
      <c r="B500" s="68"/>
      <c r="C500" s="69"/>
      <c r="D500" s="69"/>
      <c r="E500" s="222"/>
      <c r="F500" s="222"/>
      <c r="G500" s="68"/>
      <c r="H500" s="70"/>
      <c r="I500" s="70"/>
      <c r="J500" s="71" t="str">
        <f t="shared" si="109"/>
        <v>sem descrição</v>
      </c>
      <c r="K500" s="69" t="str">
        <f t="shared" si="116"/>
        <v>informar entrega</v>
      </c>
      <c r="L500" s="69">
        <f t="shared" si="110"/>
        <v>0</v>
      </c>
      <c r="M500" s="69">
        <f t="shared" si="111"/>
        <v>0</v>
      </c>
    </row>
    <row r="501" spans="1:13" s="61" customFormat="1" ht="20.25" hidden="1" customHeight="1" x14ac:dyDescent="0.25">
      <c r="A501" s="67" t="s">
        <v>192</v>
      </c>
      <c r="B501" s="68"/>
      <c r="C501" s="69"/>
      <c r="D501" s="69"/>
      <c r="E501" s="222"/>
      <c r="F501" s="222"/>
      <c r="G501" s="68"/>
      <c r="H501" s="70"/>
      <c r="I501" s="70"/>
      <c r="J501" s="71" t="str">
        <f t="shared" si="109"/>
        <v>sem descrição</v>
      </c>
      <c r="K501" s="69" t="str">
        <f t="shared" si="116"/>
        <v>informar entrega</v>
      </c>
      <c r="L501" s="69">
        <f t="shared" si="110"/>
        <v>0</v>
      </c>
      <c r="M501" s="69">
        <f t="shared" si="111"/>
        <v>0</v>
      </c>
    </row>
    <row r="502" spans="1:13" s="61" customFormat="1" ht="20.25" hidden="1" customHeight="1" x14ac:dyDescent="0.25">
      <c r="A502" s="67" t="s">
        <v>195</v>
      </c>
      <c r="B502" s="68"/>
      <c r="C502" s="69"/>
      <c r="D502" s="69"/>
      <c r="E502" s="222"/>
      <c r="F502" s="222"/>
      <c r="G502" s="68"/>
      <c r="H502" s="70"/>
      <c r="I502" s="70"/>
      <c r="J502" s="71" t="str">
        <f t="shared" si="109"/>
        <v>sem descrição</v>
      </c>
      <c r="K502" s="69" t="str">
        <f t="shared" si="116"/>
        <v>informar entrega</v>
      </c>
      <c r="L502" s="69">
        <f t="shared" si="110"/>
        <v>0</v>
      </c>
      <c r="M502" s="69">
        <f t="shared" si="111"/>
        <v>0</v>
      </c>
    </row>
    <row r="503" spans="1:13" s="61" customFormat="1" ht="20.25" hidden="1" customHeight="1" x14ac:dyDescent="0.25">
      <c r="A503" s="67" t="s">
        <v>199</v>
      </c>
      <c r="B503" s="68"/>
      <c r="C503" s="69"/>
      <c r="D503" s="69"/>
      <c r="E503" s="222"/>
      <c r="F503" s="222"/>
      <c r="G503" s="68"/>
      <c r="H503" s="70"/>
      <c r="I503" s="70"/>
      <c r="J503" s="71" t="str">
        <f t="shared" si="109"/>
        <v>sem descrição</v>
      </c>
      <c r="K503" s="69" t="str">
        <f>IF(C503="mensal",J503*H503*E503,IF(C503="trimestral",(J503*H503*E503)/3,IF(C503="semestral",(J503*H503*E503)/6,IF(C503="anual",(J503*H503*E503/12),"informar período"))))</f>
        <v>informar período</v>
      </c>
      <c r="L503" s="69">
        <f t="shared" si="110"/>
        <v>0</v>
      </c>
      <c r="M503" s="69">
        <f t="shared" si="111"/>
        <v>0</v>
      </c>
    </row>
    <row r="504" spans="1:13" s="61" customFormat="1" ht="20.25" customHeight="1" x14ac:dyDescent="0.25">
      <c r="A504" s="152" t="s">
        <v>320</v>
      </c>
      <c r="B504" s="147"/>
      <c r="C504" s="147"/>
      <c r="D504" s="147"/>
      <c r="E504" s="147"/>
      <c r="F504" s="147"/>
      <c r="G504" s="147"/>
      <c r="H504" s="147"/>
      <c r="I504" s="139"/>
      <c r="J504" s="155"/>
      <c r="K504" s="156">
        <f>SUM(K486:K503)</f>
        <v>0</v>
      </c>
      <c r="L504" s="157">
        <f>K504*12</f>
        <v>0</v>
      </c>
      <c r="M504" s="158">
        <f>K504*60</f>
        <v>0</v>
      </c>
    </row>
    <row r="505" spans="1:13" s="61" customFormat="1" ht="20.25" customHeight="1" x14ac:dyDescent="0.25">
      <c r="A505" s="152" t="s">
        <v>302</v>
      </c>
      <c r="B505" s="147"/>
      <c r="C505" s="147"/>
      <c r="D505" s="147"/>
      <c r="E505" s="147"/>
      <c r="F505" s="147"/>
      <c r="G505" s="147"/>
      <c r="H505" s="147"/>
      <c r="I505" s="147"/>
      <c r="J505" s="147"/>
      <c r="K505" s="147"/>
      <c r="L505" s="147"/>
      <c r="M505" s="159">
        <f>K504/SUM(C482:M484)</f>
        <v>0</v>
      </c>
    </row>
    <row r="506" spans="1:13" s="61" customFormat="1" ht="20.25" customHeight="1" x14ac:dyDescent="0.25">
      <c r="C506" s="28"/>
      <c r="D506" s="28"/>
      <c r="E506" s="28"/>
      <c r="F506" s="28"/>
      <c r="G506" s="28"/>
    </row>
  </sheetData>
  <sheetProtection sheet="1" objects="1" scenarios="1"/>
  <dataValidations count="5">
    <dataValidation type="list" allowBlank="1" showInputMessage="1" showErrorMessage="1" sqref="D444:D452 D419:D427 D469:D477 C21:D27 D46:D52 C316:C327 D94:D102 D119:D127 D144:D152 D169:D177 D194:D202 D220:D227 D244:D252 D70:D77 D294:D302 D320:D327 D344:D352 D369:D377 D394:D402 C62:C77 C36:C52 C86:C102 C111:C127 C136:C152 C161:C177 C186:C202 C211:C227 C236:C252 C261:C277 C286:C302 D497:D503 C336:C352 C361:C377 C386:C402 C411:C427 C436:C452 C461:C477 C486:C503 C311:C314">
      <formula1>"mensal, trimestral, semestral, anual"</formula1>
    </dataValidation>
    <dataValidation type="list" allowBlank="1" showInputMessage="1" showErrorMessage="1" sqref="G11:G27 G36:G52 G61:G77 G86:G102 G461:G477 G111:G127 G136:G152 G161:G177 G186:G202 G211:G227 G236:G252 G261:G277 G286:G302 G486:G503 G336:G352 G361:G377 G386:G402 G411:G427 G436:G452 G311:G327">
      <formula1>"par, unidade, caixa, pacote"</formula1>
    </dataValidation>
    <dataValidation type="list" allowBlank="1" showInputMessage="1" showErrorMessage="1" sqref="C11:C20 C315">
      <formula1>"mensal, trimestral, quadrimestral, semestral, anual, bianual"</formula1>
    </dataValidation>
    <dataValidation type="list" allowBlank="1" showInputMessage="1" showErrorMessage="1" sqref="C61">
      <formula1>"mensal, trimestral, semestral, anual, bianual"</formula1>
    </dataValidation>
    <dataValidation type="list" allowBlank="1" showInputMessage="1" showErrorMessage="1" sqref="D11:D20 D36:D45 D61:D69 D311:D319 D111:D118 D136:D143 D161:D168 D186:D193 D211:D219 D236:D243 D261:D277 D286:D293 D486:D496 D336:D343 D361:D368 D386:D393 D411:D418 D436:D443 D461:D468 D86:D93">
      <formula1>"pessoal, descartável, coletivo"</formula1>
    </dataValidation>
  </dataValidations>
  <printOptions horizontalCentered="1"/>
  <pageMargins left="0.62992125984251968" right="0.62992125984251968" top="0.19685039370078741" bottom="0.19685039370078741" header="0" footer="0"/>
  <pageSetup paperSize="9" scale="86" fitToHeight="0" orientation="landscape" r:id="rId1"/>
  <ignoredErrors>
    <ignoredError sqref="E11 E15 E36 E65 E88 E137 E186 E411:E412 E436 E461 E495 E113:E114 E263:E264 E286:E287 E313 E336:E338 E361 E386 E239 H11:H20 H36:H43" unlockedFormula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9900"/>
    <pageSetUpPr fitToPage="1"/>
  </sheetPr>
  <dimension ref="A1:N506"/>
  <sheetViews>
    <sheetView showGridLines="0" zoomScale="85" zoomScaleNormal="85" workbookViewId="0">
      <selection activeCell="D166" sqref="D166"/>
    </sheetView>
  </sheetViews>
  <sheetFormatPr defaultColWidth="15" defaultRowHeight="20.25" customHeight="1" x14ac:dyDescent="0.25"/>
  <cols>
    <col min="1" max="1" width="5.85546875" style="1" customWidth="1"/>
    <col min="2" max="2" width="61.7109375" style="1" customWidth="1"/>
    <col min="3" max="7" width="15.42578125" style="220" customWidth="1"/>
    <col min="8" max="9" width="15.42578125" style="1" customWidth="1"/>
    <col min="10" max="10" width="15" style="1" customWidth="1"/>
    <col min="11" max="13" width="19.28515625" style="1" customWidth="1"/>
    <col min="14" max="14" width="1.5703125" style="1" customWidth="1"/>
    <col min="15" max="16384" width="15" style="1"/>
  </cols>
  <sheetData>
    <row r="1" spans="1:14" ht="20.25" customHeight="1" x14ac:dyDescent="0.25">
      <c r="A1" s="130" t="s">
        <v>395</v>
      </c>
      <c r="B1" s="3"/>
      <c r="C1" s="209"/>
      <c r="D1" s="209"/>
      <c r="E1" s="209"/>
      <c r="F1" s="209"/>
      <c r="G1" s="209"/>
      <c r="H1" s="3"/>
      <c r="I1" s="3"/>
      <c r="J1" s="3"/>
      <c r="K1" s="3"/>
      <c r="L1" s="3"/>
      <c r="M1" s="3"/>
      <c r="N1" s="7"/>
    </row>
    <row r="2" spans="1:14" ht="20.25" customHeight="1" x14ac:dyDescent="0.25">
      <c r="A2" s="4" t="s">
        <v>17</v>
      </c>
      <c r="B2" s="141"/>
      <c r="C2" s="210"/>
      <c r="D2" s="210"/>
      <c r="E2" s="210"/>
      <c r="F2" s="210"/>
      <c r="G2" s="210"/>
      <c r="H2" s="141"/>
      <c r="I2" s="141"/>
      <c r="J2" s="141"/>
      <c r="K2" s="141"/>
      <c r="L2" s="141"/>
      <c r="M2" s="141"/>
      <c r="N2" s="7"/>
    </row>
    <row r="3" spans="1:14" ht="20.25" customHeight="1" x14ac:dyDescent="0.25">
      <c r="A3" s="150" t="s">
        <v>272</v>
      </c>
      <c r="B3" s="142"/>
      <c r="C3" s="211"/>
      <c r="D3" s="211"/>
      <c r="E3" s="211"/>
      <c r="F3" s="211"/>
      <c r="G3" s="211"/>
      <c r="H3" s="142"/>
      <c r="I3" s="142"/>
      <c r="J3" s="142"/>
      <c r="K3" s="142"/>
      <c r="L3" s="142"/>
      <c r="M3" s="142"/>
      <c r="N3" s="7"/>
    </row>
    <row r="4" spans="1:14" s="61" customFormat="1" ht="20.25" customHeight="1" x14ac:dyDescent="0.25">
      <c r="A4" s="151"/>
      <c r="B4" s="60"/>
      <c r="C4" s="212"/>
      <c r="D4" s="212"/>
      <c r="E4" s="212"/>
      <c r="F4" s="212"/>
      <c r="G4" s="212"/>
      <c r="H4" s="60"/>
      <c r="I4" s="60"/>
      <c r="J4" s="60"/>
      <c r="K4" s="60"/>
      <c r="L4" s="60"/>
      <c r="M4" s="60"/>
      <c r="N4" s="45"/>
    </row>
    <row r="5" spans="1:14" s="61" customFormat="1" ht="20.25" customHeight="1" x14ac:dyDescent="0.25">
      <c r="A5" s="235" t="s">
        <v>273</v>
      </c>
      <c r="B5" s="143" t="s">
        <v>19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4"/>
    </row>
    <row r="6" spans="1:14" s="61" customFormat="1" ht="20.25" customHeight="1" x14ac:dyDescent="0.25">
      <c r="A6" s="62">
        <v>1</v>
      </c>
      <c r="B6" s="63" t="s">
        <v>274</v>
      </c>
      <c r="C6" s="213" t="str">
        <f>'[1]planilha - proposta'!C17</f>
        <v>Eletrotécnico</v>
      </c>
      <c r="D6" s="214"/>
      <c r="E6" s="214"/>
      <c r="F6" s="214"/>
      <c r="G6" s="214"/>
      <c r="H6" s="148"/>
      <c r="I6" s="148"/>
      <c r="J6" s="148"/>
      <c r="K6" s="148"/>
      <c r="L6" s="148"/>
      <c r="M6" s="149"/>
    </row>
    <row r="7" spans="1:14" s="61" customFormat="1" ht="20.25" hidden="1" customHeight="1" x14ac:dyDescent="0.25">
      <c r="A7" s="62"/>
      <c r="B7" s="63"/>
      <c r="C7" s="215">
        <v>0</v>
      </c>
      <c r="D7" s="215"/>
      <c r="E7" s="215"/>
      <c r="F7" s="215"/>
      <c r="G7" s="215"/>
      <c r="H7" s="144"/>
      <c r="I7" s="144"/>
      <c r="J7" s="144"/>
      <c r="K7" s="144"/>
      <c r="L7" s="144"/>
      <c r="M7" s="144"/>
    </row>
    <row r="8" spans="1:14" s="61" customFormat="1" ht="20.25" hidden="1" customHeight="1" x14ac:dyDescent="0.25">
      <c r="A8" s="62">
        <v>2</v>
      </c>
      <c r="B8" s="63" t="str">
        <f>'planilha - proposta'!D17</f>
        <v>Eletrotécnico - 12x36n</v>
      </c>
      <c r="C8" s="216">
        <f>VLOOKUP(B8,'[1]planilha - proposta'!$D$17:$E$62,2,FALSE)</f>
        <v>0</v>
      </c>
      <c r="D8" s="217"/>
      <c r="E8" s="217"/>
      <c r="F8" s="217"/>
      <c r="G8" s="217"/>
      <c r="H8" s="145"/>
      <c r="I8" s="145"/>
      <c r="J8" s="145"/>
      <c r="K8" s="145"/>
      <c r="L8" s="145"/>
      <c r="M8" s="146"/>
    </row>
    <row r="9" spans="1:14" s="61" customFormat="1" ht="20.25" customHeight="1" x14ac:dyDescent="0.25">
      <c r="A9" s="62">
        <v>3</v>
      </c>
      <c r="B9" s="63" t="str">
        <f>'planilha - proposta'!D18</f>
        <v>Eletrotécnico - 44h</v>
      </c>
      <c r="C9" s="216">
        <f>VLOOKUP(B9,'[1]planilha - proposta'!$D$17:$E$62,2,FALSE)</f>
        <v>1</v>
      </c>
      <c r="D9" s="217"/>
      <c r="E9" s="217"/>
      <c r="F9" s="217"/>
      <c r="G9" s="217"/>
      <c r="H9" s="145"/>
      <c r="I9" s="145"/>
      <c r="J9" s="145"/>
      <c r="K9" s="145"/>
      <c r="L9" s="145"/>
      <c r="M9" s="146"/>
    </row>
    <row r="10" spans="1:14" s="61" customFormat="1" ht="52.5" customHeight="1" x14ac:dyDescent="0.25">
      <c r="A10" s="64" t="s">
        <v>273</v>
      </c>
      <c r="B10" s="65" t="s">
        <v>275</v>
      </c>
      <c r="C10" s="218" t="s">
        <v>276</v>
      </c>
      <c r="D10" s="218" t="s">
        <v>277</v>
      </c>
      <c r="E10" s="218" t="s">
        <v>278</v>
      </c>
      <c r="F10" s="218" t="s">
        <v>279</v>
      </c>
      <c r="G10" s="223" t="s">
        <v>280</v>
      </c>
      <c r="H10" s="65" t="s">
        <v>281</v>
      </c>
      <c r="I10" s="66" t="s">
        <v>282</v>
      </c>
      <c r="J10" s="66" t="s">
        <v>283</v>
      </c>
      <c r="K10" s="65" t="s">
        <v>284</v>
      </c>
      <c r="L10" s="65" t="s">
        <v>285</v>
      </c>
      <c r="M10" s="66" t="s">
        <v>286</v>
      </c>
    </row>
    <row r="11" spans="1:14" s="61" customFormat="1" ht="20.25" customHeight="1" x14ac:dyDescent="0.25">
      <c r="A11" s="67" t="s">
        <v>108</v>
      </c>
      <c r="B11" s="68" t="s">
        <v>287</v>
      </c>
      <c r="C11" s="69" t="s">
        <v>288</v>
      </c>
      <c r="D11" s="69" t="s">
        <v>289</v>
      </c>
      <c r="E11" s="222">
        <f>3*26</f>
        <v>78</v>
      </c>
      <c r="F11" s="222">
        <v>0</v>
      </c>
      <c r="G11" s="68" t="s">
        <v>290</v>
      </c>
      <c r="H11" s="70">
        <f>VLOOKUP(B11,custoEPI!$B$6:$E$29,4,FALSE)</f>
        <v>0</v>
      </c>
      <c r="I11" s="71">
        <f>SUM($C$7:$M$9)</f>
        <v>1</v>
      </c>
      <c r="J11" s="71">
        <f t="shared" ref="J11:J27" si="0">IF(B11="","sem descrição",IF($C$7&gt;=$C$8,IF($C$9&gt;0,$C$7/2+$C$9,$C$7/2),IF($C$9&gt;0,$C$8/5+$C$9,$C$9)))</f>
        <v>1</v>
      </c>
      <c r="K11" s="69">
        <f>IF(C11="mensal",IF(F11&gt;0,F11*H11,IF(D11="descartável",((SUM(C7:C8)/2)+C9)*E11*H11,IF(D11="pessoal",E11*H11*I11,E11*H11*J11))),0)+IF(C11="trimestral",IF(F11&gt;0,F11*H11/3,IF(D11="descartável",(((SUM(C7:C8)/2)+C9)*E11*H11)/3,IF(D11="pessoal",(E11*H11*I11)/3,(E11*H11*J11)/3))),0)+IF(C11="semestral",IF(F11&gt;0,F11*H11/6,IF(D11="descartável",(((SUM(C7:C8)/2)+C9)*E11*H11)/6,IF(D11="pessoal",(E11*H11*I11)/6,(E11*H11*J11)/6))),0)+IF(C11="anual",IF(F11&gt;0,F11*H11/12,IF(D11="descartável",(((SUM(C7:C8)/2)+C9)*E11*H11)/12,IF(D11="pessoal",(E11*H11*I11)/12,(E11*H11*J11)/12))),0)</f>
        <v>0</v>
      </c>
      <c r="L11" s="69">
        <f>IFERROR(K11*12, 0)</f>
        <v>0</v>
      </c>
      <c r="M11" s="69">
        <f>IFERROR(K11*60,0)</f>
        <v>0</v>
      </c>
    </row>
    <row r="12" spans="1:14" s="61" customFormat="1" ht="20.25" customHeight="1" x14ac:dyDescent="0.25">
      <c r="A12" s="67" t="s">
        <v>110</v>
      </c>
      <c r="B12" s="68" t="s">
        <v>291</v>
      </c>
      <c r="C12" s="69" t="s">
        <v>288</v>
      </c>
      <c r="D12" s="69" t="s">
        <v>292</v>
      </c>
      <c r="E12" s="222">
        <v>2</v>
      </c>
      <c r="F12" s="222">
        <v>0</v>
      </c>
      <c r="G12" s="68" t="s">
        <v>290</v>
      </c>
      <c r="H12" s="70">
        <f>VLOOKUP(B12,custoEPI!$B$6:$E$29,4,FALSE)</f>
        <v>0</v>
      </c>
      <c r="I12" s="71">
        <f t="shared" ref="I12:I20" si="1">SUM($C$7:$M$9)</f>
        <v>1</v>
      </c>
      <c r="J12" s="71">
        <f t="shared" si="0"/>
        <v>1</v>
      </c>
      <c r="K12" s="69">
        <f t="shared" ref="K12:K20" si="2">IF(C12="mensal",IF(F12&gt;0,F12*H12,IF(D12="descartável",((SUM($C$7:$C$8)/2)+$C$9)*E12*H12,IF(D12="pessoal",E12*H12*I12,E12*H12*J12))),0)+IF(C12="trimestral",IF(F12&gt;0,F12*H12/3,IF(D12="descartável",(((SUM($C$7:$C$8)/2)+$C$9)*E12*H12)/3,IF(D12="pessoal",(E12*H12*I12)/3,(E12*H12*J12)/3))),0)+IF(C12="semestral",IF(F12&gt;0,F12*H12/6,IF(D12="descartável",(((SUM($C$7:$C$8)/2)+$C$9)*E12*H12)/6,IF(D12="pessoal",(E12*H12*I12)/6,(E12*H12*J12)/6))),0)+IF(C12="anual",IF(F12&gt;0,F12*H12/12,IF(D12="descartável",(((SUM($C$7:$C$8)/2)+$C$9)*E12*H12)/12,IF(D12="pessoal",(E12*H12*I12)/12,(E12*H12*J12)/12))),0)</f>
        <v>0</v>
      </c>
      <c r="L12" s="69">
        <f t="shared" ref="L12:L27" si="3">IFERROR(K12*12, 0)</f>
        <v>0</v>
      </c>
      <c r="M12" s="69">
        <f t="shared" ref="M12:M27" si="4">IFERROR(K12*60,0)</f>
        <v>0</v>
      </c>
    </row>
    <row r="13" spans="1:14" s="61" customFormat="1" ht="20.25" customHeight="1" x14ac:dyDescent="0.25">
      <c r="A13" s="67" t="s">
        <v>111</v>
      </c>
      <c r="B13" s="68" t="s">
        <v>293</v>
      </c>
      <c r="C13" s="69" t="s">
        <v>288</v>
      </c>
      <c r="D13" s="69" t="s">
        <v>289</v>
      </c>
      <c r="E13" s="222">
        <v>26</v>
      </c>
      <c r="F13" s="222">
        <v>0</v>
      </c>
      <c r="G13" s="68" t="s">
        <v>290</v>
      </c>
      <c r="H13" s="70">
        <f>VLOOKUP(B13,custoEPI!$B$6:$E$29,4,FALSE)</f>
        <v>0</v>
      </c>
      <c r="I13" s="71">
        <f t="shared" si="1"/>
        <v>1</v>
      </c>
      <c r="J13" s="71">
        <f t="shared" si="0"/>
        <v>1</v>
      </c>
      <c r="K13" s="69">
        <f t="shared" si="2"/>
        <v>0</v>
      </c>
      <c r="L13" s="69">
        <f t="shared" si="3"/>
        <v>0</v>
      </c>
      <c r="M13" s="69">
        <f t="shared" si="4"/>
        <v>0</v>
      </c>
    </row>
    <row r="14" spans="1:14" s="61" customFormat="1" ht="20.25" hidden="1" customHeight="1" x14ac:dyDescent="0.25">
      <c r="A14" s="67"/>
      <c r="B14" s="68"/>
      <c r="C14" s="69"/>
      <c r="D14" s="69"/>
      <c r="E14" s="222"/>
      <c r="F14" s="222"/>
      <c r="G14" s="68"/>
      <c r="H14" s="70" t="e">
        <f>VLOOKUP(B14,custoEPI!$B$6:$E$29,4,FALSE)</f>
        <v>#N/A</v>
      </c>
      <c r="I14" s="71">
        <f t="shared" si="1"/>
        <v>1</v>
      </c>
      <c r="J14" s="71" t="str">
        <f t="shared" si="0"/>
        <v>sem descrição</v>
      </c>
      <c r="K14" s="69">
        <f t="shared" si="2"/>
        <v>0</v>
      </c>
      <c r="L14" s="69">
        <f t="shared" si="3"/>
        <v>0</v>
      </c>
      <c r="M14" s="69">
        <f t="shared" si="4"/>
        <v>0</v>
      </c>
    </row>
    <row r="15" spans="1:14" s="61" customFormat="1" ht="20.25" customHeight="1" x14ac:dyDescent="0.25">
      <c r="A15" s="67" t="s">
        <v>113</v>
      </c>
      <c r="B15" s="68" t="s">
        <v>294</v>
      </c>
      <c r="C15" s="69" t="s">
        <v>288</v>
      </c>
      <c r="D15" s="69" t="s">
        <v>289</v>
      </c>
      <c r="E15" s="222">
        <f>100/4</f>
        <v>25</v>
      </c>
      <c r="F15" s="222">
        <v>0</v>
      </c>
      <c r="G15" s="68" t="s">
        <v>290</v>
      </c>
      <c r="H15" s="70">
        <f>VLOOKUP(B15,custoEPI!$B$6:$E$29,4,FALSE)</f>
        <v>0</v>
      </c>
      <c r="I15" s="71">
        <f t="shared" si="1"/>
        <v>1</v>
      </c>
      <c r="J15" s="71">
        <f t="shared" si="0"/>
        <v>1</v>
      </c>
      <c r="K15" s="69">
        <f t="shared" si="2"/>
        <v>0</v>
      </c>
      <c r="L15" s="69">
        <f t="shared" si="3"/>
        <v>0</v>
      </c>
      <c r="M15" s="69">
        <f t="shared" si="4"/>
        <v>0</v>
      </c>
    </row>
    <row r="16" spans="1:14" s="61" customFormat="1" ht="20.25" customHeight="1" x14ac:dyDescent="0.25">
      <c r="A16" s="67" t="s">
        <v>114</v>
      </c>
      <c r="B16" s="68" t="s">
        <v>295</v>
      </c>
      <c r="C16" s="69" t="s">
        <v>296</v>
      </c>
      <c r="D16" s="69" t="s">
        <v>292</v>
      </c>
      <c r="E16" s="222">
        <v>1</v>
      </c>
      <c r="F16" s="222">
        <v>0</v>
      </c>
      <c r="G16" s="68" t="s">
        <v>290</v>
      </c>
      <c r="H16" s="70">
        <f>VLOOKUP(B16,custoEPI!$B$6:$E$29,4,FALSE)</f>
        <v>0</v>
      </c>
      <c r="I16" s="71">
        <f t="shared" si="1"/>
        <v>1</v>
      </c>
      <c r="J16" s="71">
        <f t="shared" si="0"/>
        <v>1</v>
      </c>
      <c r="K16" s="69">
        <f t="shared" si="2"/>
        <v>0</v>
      </c>
      <c r="L16" s="69">
        <f t="shared" si="3"/>
        <v>0</v>
      </c>
      <c r="M16" s="69">
        <f t="shared" si="4"/>
        <v>0</v>
      </c>
    </row>
    <row r="17" spans="1:13" s="61" customFormat="1" ht="20.25" hidden="1" customHeight="1" x14ac:dyDescent="0.25">
      <c r="A17" s="67" t="s">
        <v>116</v>
      </c>
      <c r="B17" s="68"/>
      <c r="C17" s="69"/>
      <c r="D17" s="69"/>
      <c r="E17" s="222"/>
      <c r="F17" s="222"/>
      <c r="G17" s="68"/>
      <c r="H17" s="70" t="e">
        <f>VLOOKUP(B17,custoEPI!$B$6:$E$29,4,FALSE)</f>
        <v>#N/A</v>
      </c>
      <c r="I17" s="71">
        <f t="shared" si="1"/>
        <v>1</v>
      </c>
      <c r="J17" s="71" t="str">
        <f t="shared" si="0"/>
        <v>sem descrição</v>
      </c>
      <c r="K17" s="69">
        <f t="shared" si="2"/>
        <v>0</v>
      </c>
      <c r="L17" s="69">
        <f t="shared" si="3"/>
        <v>0</v>
      </c>
      <c r="M17" s="69">
        <f t="shared" si="4"/>
        <v>0</v>
      </c>
    </row>
    <row r="18" spans="1:13" s="61" customFormat="1" ht="20.25" hidden="1" customHeight="1" x14ac:dyDescent="0.25">
      <c r="A18" s="67"/>
      <c r="B18" s="68"/>
      <c r="C18" s="69"/>
      <c r="D18" s="69"/>
      <c r="E18" s="222"/>
      <c r="F18" s="222"/>
      <c r="G18" s="68"/>
      <c r="H18" s="70" t="e">
        <f>VLOOKUP(B18,custoEPI!$B$6:$E$29,4,FALSE)</f>
        <v>#N/A</v>
      </c>
      <c r="I18" s="71">
        <f t="shared" si="1"/>
        <v>1</v>
      </c>
      <c r="J18" s="71" t="str">
        <f t="shared" si="0"/>
        <v>sem descrição</v>
      </c>
      <c r="K18" s="69">
        <f t="shared" si="2"/>
        <v>0</v>
      </c>
      <c r="L18" s="69">
        <f t="shared" si="3"/>
        <v>0</v>
      </c>
      <c r="M18" s="69">
        <f t="shared" si="4"/>
        <v>0</v>
      </c>
    </row>
    <row r="19" spans="1:13" s="61" customFormat="1" ht="20.25" customHeight="1" x14ac:dyDescent="0.25">
      <c r="A19" s="67" t="s">
        <v>115</v>
      </c>
      <c r="B19" s="68" t="s">
        <v>297</v>
      </c>
      <c r="C19" s="69" t="s">
        <v>298</v>
      </c>
      <c r="D19" s="69" t="s">
        <v>292</v>
      </c>
      <c r="E19" s="222">
        <v>1</v>
      </c>
      <c r="F19" s="222">
        <v>0</v>
      </c>
      <c r="G19" s="68" t="s">
        <v>290</v>
      </c>
      <c r="H19" s="70">
        <f>VLOOKUP(B19,custoEPI!$B$6:$E$29,4,FALSE)</f>
        <v>0</v>
      </c>
      <c r="I19" s="71">
        <f t="shared" si="1"/>
        <v>1</v>
      </c>
      <c r="J19" s="71">
        <f t="shared" si="0"/>
        <v>1</v>
      </c>
      <c r="K19" s="69">
        <f t="shared" si="2"/>
        <v>0</v>
      </c>
      <c r="L19" s="69">
        <f t="shared" si="3"/>
        <v>0</v>
      </c>
      <c r="M19" s="69">
        <f t="shared" si="4"/>
        <v>0</v>
      </c>
    </row>
    <row r="20" spans="1:13" s="61" customFormat="1" ht="20.25" hidden="1" customHeight="1" x14ac:dyDescent="0.25">
      <c r="A20" s="67" t="s">
        <v>116</v>
      </c>
      <c r="B20" s="68" t="s">
        <v>299</v>
      </c>
      <c r="C20" s="69" t="s">
        <v>300</v>
      </c>
      <c r="D20" s="69" t="s">
        <v>292</v>
      </c>
      <c r="E20" s="222">
        <v>2</v>
      </c>
      <c r="F20" s="222">
        <v>0</v>
      </c>
      <c r="G20" s="68" t="s">
        <v>290</v>
      </c>
      <c r="H20" s="70">
        <f>VLOOKUP(B20,custoEPI!$B$6:$E$29,4,FALSE)</f>
        <v>0</v>
      </c>
      <c r="I20" s="71">
        <f t="shared" si="1"/>
        <v>1</v>
      </c>
      <c r="J20" s="71">
        <f t="shared" si="0"/>
        <v>1</v>
      </c>
      <c r="K20" s="69">
        <f t="shared" si="2"/>
        <v>0</v>
      </c>
      <c r="L20" s="69">
        <f t="shared" si="3"/>
        <v>0</v>
      </c>
      <c r="M20" s="69">
        <f t="shared" si="4"/>
        <v>0</v>
      </c>
    </row>
    <row r="21" spans="1:13" s="61" customFormat="1" ht="20.25" hidden="1" customHeight="1" x14ac:dyDescent="0.25">
      <c r="A21" s="67"/>
      <c r="B21" s="68"/>
      <c r="C21" s="69"/>
      <c r="D21" s="69"/>
      <c r="E21" s="222"/>
      <c r="F21" s="222"/>
      <c r="G21" s="68"/>
      <c r="H21" s="70"/>
      <c r="I21" s="70"/>
      <c r="J21" s="71" t="str">
        <f t="shared" si="0"/>
        <v>sem descrição</v>
      </c>
      <c r="K21" s="69" t="str">
        <f t="shared" ref="K21:K26" si="5">IF(C21="mensal",J21*H21*E21,IF(C21="trimestral",(J21*H21*E21)/3,IF(C21="semestral",(J21*H21*E21)/6,IF(C21="anual",(J21*H21*E21/12),"informar entrega"))))</f>
        <v>informar entrega</v>
      </c>
      <c r="L21" s="69">
        <f t="shared" si="3"/>
        <v>0</v>
      </c>
      <c r="M21" s="69">
        <f t="shared" si="4"/>
        <v>0</v>
      </c>
    </row>
    <row r="22" spans="1:13" s="61" customFormat="1" ht="20.25" hidden="1" customHeight="1" x14ac:dyDescent="0.25">
      <c r="A22" s="67" t="s">
        <v>129</v>
      </c>
      <c r="B22" s="68"/>
      <c r="C22" s="69"/>
      <c r="D22" s="69"/>
      <c r="E22" s="222"/>
      <c r="F22" s="222"/>
      <c r="G22" s="68"/>
      <c r="H22" s="70"/>
      <c r="I22" s="70"/>
      <c r="J22" s="71" t="str">
        <f t="shared" si="0"/>
        <v>sem descrição</v>
      </c>
      <c r="K22" s="69" t="str">
        <f t="shared" si="5"/>
        <v>informar entrega</v>
      </c>
      <c r="L22" s="69">
        <f t="shared" si="3"/>
        <v>0</v>
      </c>
      <c r="M22" s="69">
        <f t="shared" si="4"/>
        <v>0</v>
      </c>
    </row>
    <row r="23" spans="1:13" s="61" customFormat="1" ht="20.25" hidden="1" customHeight="1" x14ac:dyDescent="0.25">
      <c r="A23" s="67" t="s">
        <v>131</v>
      </c>
      <c r="B23" s="68"/>
      <c r="C23" s="69"/>
      <c r="D23" s="69"/>
      <c r="E23" s="222"/>
      <c r="F23" s="222"/>
      <c r="G23" s="68"/>
      <c r="H23" s="70"/>
      <c r="I23" s="70"/>
      <c r="J23" s="71" t="str">
        <f t="shared" si="0"/>
        <v>sem descrição</v>
      </c>
      <c r="K23" s="69" t="str">
        <f t="shared" si="5"/>
        <v>informar entrega</v>
      </c>
      <c r="L23" s="69">
        <f t="shared" si="3"/>
        <v>0</v>
      </c>
      <c r="M23" s="69">
        <f t="shared" si="4"/>
        <v>0</v>
      </c>
    </row>
    <row r="24" spans="1:13" s="61" customFormat="1" ht="20.25" hidden="1" customHeight="1" x14ac:dyDescent="0.25">
      <c r="A24" s="67" t="s">
        <v>188</v>
      </c>
      <c r="B24" s="68"/>
      <c r="C24" s="69"/>
      <c r="D24" s="69"/>
      <c r="E24" s="222"/>
      <c r="F24" s="222"/>
      <c r="G24" s="68"/>
      <c r="H24" s="70"/>
      <c r="I24" s="70"/>
      <c r="J24" s="71" t="str">
        <f t="shared" si="0"/>
        <v>sem descrição</v>
      </c>
      <c r="K24" s="69" t="str">
        <f t="shared" si="5"/>
        <v>informar entrega</v>
      </c>
      <c r="L24" s="69">
        <f t="shared" si="3"/>
        <v>0</v>
      </c>
      <c r="M24" s="69">
        <f t="shared" si="4"/>
        <v>0</v>
      </c>
    </row>
    <row r="25" spans="1:13" s="61" customFormat="1" ht="20.25" hidden="1" customHeight="1" x14ac:dyDescent="0.25">
      <c r="A25" s="67" t="s">
        <v>192</v>
      </c>
      <c r="B25" s="68"/>
      <c r="C25" s="69"/>
      <c r="D25" s="69"/>
      <c r="E25" s="222"/>
      <c r="F25" s="222"/>
      <c r="G25" s="68"/>
      <c r="H25" s="70"/>
      <c r="I25" s="70"/>
      <c r="J25" s="71" t="str">
        <f t="shared" si="0"/>
        <v>sem descrição</v>
      </c>
      <c r="K25" s="69" t="str">
        <f t="shared" si="5"/>
        <v>informar entrega</v>
      </c>
      <c r="L25" s="69">
        <f t="shared" si="3"/>
        <v>0</v>
      </c>
      <c r="M25" s="69">
        <f t="shared" si="4"/>
        <v>0</v>
      </c>
    </row>
    <row r="26" spans="1:13" s="61" customFormat="1" ht="20.25" hidden="1" customHeight="1" x14ac:dyDescent="0.25">
      <c r="A26" s="67" t="s">
        <v>195</v>
      </c>
      <c r="B26" s="68"/>
      <c r="C26" s="69"/>
      <c r="D26" s="69"/>
      <c r="E26" s="222"/>
      <c r="F26" s="222"/>
      <c r="G26" s="68"/>
      <c r="H26" s="70"/>
      <c r="I26" s="70"/>
      <c r="J26" s="71" t="str">
        <f t="shared" si="0"/>
        <v>sem descrição</v>
      </c>
      <c r="K26" s="69" t="str">
        <f t="shared" si="5"/>
        <v>informar entrega</v>
      </c>
      <c r="L26" s="69">
        <f t="shared" si="3"/>
        <v>0</v>
      </c>
      <c r="M26" s="69">
        <f t="shared" si="4"/>
        <v>0</v>
      </c>
    </row>
    <row r="27" spans="1:13" s="61" customFormat="1" ht="20.25" hidden="1" customHeight="1" x14ac:dyDescent="0.25">
      <c r="A27" s="67" t="s">
        <v>199</v>
      </c>
      <c r="B27" s="68"/>
      <c r="C27" s="69"/>
      <c r="D27" s="69"/>
      <c r="E27" s="222"/>
      <c r="F27" s="222"/>
      <c r="G27" s="68"/>
      <c r="H27" s="70"/>
      <c r="I27" s="70"/>
      <c r="J27" s="71" t="str">
        <f t="shared" si="0"/>
        <v>sem descrição</v>
      </c>
      <c r="K27" s="69" t="str">
        <f>IF(C27="mensal",J27*H27*E27,IF(C27="trimestral",(J27*H27*E27)/3,IF(C27="semestral",(J27*H27*E27)/6,IF(C27="anual",(J27*H27*E27/12),"informar período"))))</f>
        <v>informar período</v>
      </c>
      <c r="L27" s="69">
        <f t="shared" si="3"/>
        <v>0</v>
      </c>
      <c r="M27" s="69">
        <f t="shared" si="4"/>
        <v>0</v>
      </c>
    </row>
    <row r="28" spans="1:13" s="61" customFormat="1" ht="20.25" customHeight="1" x14ac:dyDescent="0.25">
      <c r="A28" s="152" t="s">
        <v>301</v>
      </c>
      <c r="B28" s="147"/>
      <c r="C28" s="147"/>
      <c r="D28" s="147"/>
      <c r="E28" s="147"/>
      <c r="F28" s="147"/>
      <c r="G28" s="147"/>
      <c r="H28" s="147"/>
      <c r="I28" s="139"/>
      <c r="J28" s="155"/>
      <c r="K28" s="156">
        <f>SUM(K11:K27)</f>
        <v>0</v>
      </c>
      <c r="L28" s="157">
        <f>K28*12</f>
        <v>0</v>
      </c>
      <c r="M28" s="158">
        <f>K28*60</f>
        <v>0</v>
      </c>
    </row>
    <row r="29" spans="1:13" s="61" customFormat="1" ht="20.25" customHeight="1" x14ac:dyDescent="0.25">
      <c r="A29" s="152" t="s">
        <v>302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59">
        <f>K28/SUM(C7:M9)</f>
        <v>0</v>
      </c>
    </row>
    <row r="30" spans="1:13" s="61" customFormat="1" ht="20.25" customHeight="1" x14ac:dyDescent="0.25">
      <c r="A30" s="235" t="s">
        <v>273</v>
      </c>
      <c r="B30" s="143" t="s">
        <v>19</v>
      </c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4"/>
    </row>
    <row r="31" spans="1:13" s="61" customFormat="1" ht="20.25" customHeight="1" x14ac:dyDescent="0.25">
      <c r="A31" s="62">
        <v>1</v>
      </c>
      <c r="B31" s="63" t="s">
        <v>274</v>
      </c>
      <c r="C31" s="216" t="str">
        <f>'[1]planilha - proposta'!C19</f>
        <v>Oficial de Manutenção de Equipamento Médico Hospitalar</v>
      </c>
      <c r="D31" s="217"/>
      <c r="E31" s="217"/>
      <c r="F31" s="217"/>
      <c r="G31" s="217"/>
      <c r="H31" s="145"/>
      <c r="I31" s="145"/>
      <c r="J31" s="145"/>
      <c r="K31" s="145"/>
      <c r="L31" s="145"/>
      <c r="M31" s="146"/>
    </row>
    <row r="32" spans="1:13" s="61" customFormat="1" ht="20.25" hidden="1" customHeight="1" x14ac:dyDescent="0.25">
      <c r="A32" s="62">
        <v>2</v>
      </c>
      <c r="B32" s="63" t="str">
        <f>'planilha - proposta'!D19</f>
        <v>Oficial de Manutenção de Equipamento Médico Hospitalar - 12x36d</v>
      </c>
      <c r="C32" s="216">
        <f>VLOOKUP(B32,'[1]planilha - proposta'!$D$17:$E$62,2,FALSE)</f>
        <v>0</v>
      </c>
      <c r="D32" s="217"/>
      <c r="E32" s="217"/>
      <c r="F32" s="217"/>
      <c r="G32" s="217"/>
      <c r="H32" s="145"/>
      <c r="I32" s="145"/>
      <c r="J32" s="145"/>
      <c r="K32" s="145"/>
      <c r="L32" s="145"/>
      <c r="M32" s="146"/>
    </row>
    <row r="33" spans="1:13" s="61" customFormat="1" ht="20.25" hidden="1" customHeight="1" x14ac:dyDescent="0.25">
      <c r="A33" s="62">
        <v>3</v>
      </c>
      <c r="B33" s="63" t="str">
        <f>'planilha - proposta'!D20</f>
        <v>Oficial de Manutenção de Equipamento Médico Hospitalar - 12x36n</v>
      </c>
      <c r="C33" s="216">
        <f>VLOOKUP(B33,'[1]planilha - proposta'!$D$17:$E$62,2,FALSE)</f>
        <v>0</v>
      </c>
      <c r="D33" s="217"/>
      <c r="E33" s="217"/>
      <c r="F33" s="217"/>
      <c r="G33" s="217"/>
      <c r="H33" s="145"/>
      <c r="I33" s="145"/>
      <c r="J33" s="145"/>
      <c r="K33" s="145"/>
      <c r="L33" s="145"/>
      <c r="M33" s="146"/>
    </row>
    <row r="34" spans="1:13" s="61" customFormat="1" ht="20.25" customHeight="1" x14ac:dyDescent="0.25">
      <c r="A34" s="62">
        <v>4</v>
      </c>
      <c r="B34" s="63" t="str">
        <f>'planilha - proposta'!D21</f>
        <v>Oficial de Manutenção de Equipamento Médico Hospitalar - 44h</v>
      </c>
      <c r="C34" s="216">
        <f>VLOOKUP(B34,'[1]planilha - proposta'!$D$17:$E$62,2,FALSE)</f>
        <v>1</v>
      </c>
      <c r="D34" s="217"/>
      <c r="E34" s="217"/>
      <c r="F34" s="217"/>
      <c r="G34" s="217"/>
      <c r="H34" s="145"/>
      <c r="I34" s="145"/>
      <c r="J34" s="145"/>
      <c r="K34" s="145"/>
      <c r="L34" s="145"/>
      <c r="M34" s="146"/>
    </row>
    <row r="35" spans="1:13" s="61" customFormat="1" ht="52.5" customHeight="1" x14ac:dyDescent="0.25">
      <c r="A35" s="64" t="s">
        <v>273</v>
      </c>
      <c r="B35" s="65" t="s">
        <v>275</v>
      </c>
      <c r="C35" s="218" t="s">
        <v>276</v>
      </c>
      <c r="D35" s="218" t="s">
        <v>277</v>
      </c>
      <c r="E35" s="218" t="s">
        <v>278</v>
      </c>
      <c r="F35" s="218" t="s">
        <v>303</v>
      </c>
      <c r="G35" s="223" t="s">
        <v>280</v>
      </c>
      <c r="H35" s="65" t="s">
        <v>304</v>
      </c>
      <c r="I35" s="66" t="s">
        <v>305</v>
      </c>
      <c r="J35" s="66" t="s">
        <v>306</v>
      </c>
      <c r="K35" s="65" t="s">
        <v>284</v>
      </c>
      <c r="L35" s="65" t="s">
        <v>285</v>
      </c>
      <c r="M35" s="66" t="s">
        <v>286</v>
      </c>
    </row>
    <row r="36" spans="1:13" s="61" customFormat="1" ht="20.25" customHeight="1" x14ac:dyDescent="0.25">
      <c r="A36" s="67" t="s">
        <v>108</v>
      </c>
      <c r="B36" s="68" t="s">
        <v>287</v>
      </c>
      <c r="C36" s="69" t="s">
        <v>288</v>
      </c>
      <c r="D36" s="69" t="s">
        <v>289</v>
      </c>
      <c r="E36" s="222">
        <f>30*3</f>
        <v>90</v>
      </c>
      <c r="F36" s="222">
        <v>0</v>
      </c>
      <c r="G36" s="68" t="s">
        <v>290</v>
      </c>
      <c r="H36" s="70">
        <f>VLOOKUP(B36,custoEPI!$B$6:$E$29,4,FALSE)</f>
        <v>0</v>
      </c>
      <c r="I36" s="71">
        <f t="shared" ref="I36:I43" si="6">SUM($C$32:$M$34)</f>
        <v>1</v>
      </c>
      <c r="J36" s="71">
        <f t="shared" ref="J36:J52" si="7">IF(B36="","sem descrição",IF($C$32&gt;=$C$33,IF($C$34&gt;0,$C$32/2+$C$34,$C$32/2),IF($C$34&gt;0,$C$33/5+$C$34,$C$34)))</f>
        <v>1</v>
      </c>
      <c r="K36" s="69">
        <f>IF(C36="mensal",IF(F36&gt;0,F36*H36,IF(D36="descartável",((SUM($C$32:$C$33)/2)+$C$34)*E36*H36,IF(D36="pessoal",E36*H36*I36,E36*H36*J36))),0)+IF(C36="trimestral",IF(F36&gt;0,F36*H36/3,IF(D36="descartável",(((SUM($C$32:$C$33)/2)+$C$34)*E36*H36)/3,IF(D36="pessoal",(E36*H36*I36)/3,(E36*H36*J36)/3))),0)+IF(C36="semestral",IF(F36&gt;0,F36*H36/6,IF(D36="descartável",(((SUM($C$32:$C$33)/2)+$C$34)*E36*H36)/6,IF(D36="pessoal",(E36*H36*I36)/6,(E36*H36*J36)/6))),0)+IF(C36="anual",IF(F36&gt;0,F36*H36/12,IF(D36="descartável",(((SUM($C$32:$C$33)/2)+$C$34)*E36*H36)/12,IF(D36="pessoal",(E36*H36*I36)/12,(E36*H36*J36)/12))),0)</f>
        <v>0</v>
      </c>
      <c r="L36" s="69">
        <f>IFERROR(K36*12, 0)</f>
        <v>0</v>
      </c>
      <c r="M36" s="69">
        <f>IFERROR(K36*60,0)</f>
        <v>0</v>
      </c>
    </row>
    <row r="37" spans="1:13" s="61" customFormat="1" ht="20.25" customHeight="1" x14ac:dyDescent="0.25">
      <c r="A37" s="67" t="s">
        <v>110</v>
      </c>
      <c r="B37" s="68" t="s">
        <v>291</v>
      </c>
      <c r="C37" s="69" t="s">
        <v>288</v>
      </c>
      <c r="D37" s="69" t="s">
        <v>292</v>
      </c>
      <c r="E37" s="222">
        <v>2</v>
      </c>
      <c r="F37" s="222">
        <v>0</v>
      </c>
      <c r="G37" s="68" t="s">
        <v>290</v>
      </c>
      <c r="H37" s="70">
        <f>VLOOKUP(B37,custoEPI!$B$6:$E$29,4,FALSE)</f>
        <v>0</v>
      </c>
      <c r="I37" s="71">
        <f t="shared" si="6"/>
        <v>1</v>
      </c>
      <c r="J37" s="71">
        <f t="shared" si="7"/>
        <v>1</v>
      </c>
      <c r="K37" s="69">
        <f t="shared" ref="K37:K43" si="8">IF(C37="mensal",IF(F37&gt;0,F37*H37,IF(D37="descartável",((SUM($C$32:$C$33)/2)+$C$34)*E37*H37,IF(D37="pessoal",E37*H37*I37,E37*H37*J37))),0)+IF(C37="trimestral",IF(F37&gt;0,F37*H37/3,IF(D37="descartável",(((SUM($C$32:$C$33)/2)+$C$34)*E37*H37)/3,IF(D37="pessoal",(E37*H37*I37)/3,(E37*H37*J37)/3))),0)+IF(C37="semestral",IF(F37&gt;0,F37*H37/6,IF(D37="descartável",(((SUM($C$32:$C$33)/2)+$C$34)*E37*H37)/6,IF(D37="pessoal",(E37*H37*I37)/6,(E37*H37*J37)/6))),0)+IF(C37="anual",IF(F37&gt;0,F37*H37/12,IF(D37="descartável",(((SUM($C$32:$C$33)/2)+$C$34)*E37*H37)/12,IF(D37="pessoal",(E37*H37*I37)/12,(E37*H37*J37)/12))),0)</f>
        <v>0</v>
      </c>
      <c r="L37" s="69">
        <f t="shared" ref="L37:L52" si="9">IFERROR(K37*12, 0)</f>
        <v>0</v>
      </c>
      <c r="M37" s="69">
        <f t="shared" ref="M37:M52" si="10">IFERROR(K37*60,0)</f>
        <v>0</v>
      </c>
    </row>
    <row r="38" spans="1:13" s="61" customFormat="1" ht="20.25" customHeight="1" x14ac:dyDescent="0.25">
      <c r="A38" s="67" t="s">
        <v>111</v>
      </c>
      <c r="B38" s="68" t="s">
        <v>293</v>
      </c>
      <c r="C38" s="69" t="s">
        <v>288</v>
      </c>
      <c r="D38" s="69" t="s">
        <v>289</v>
      </c>
      <c r="E38" s="222">
        <v>26</v>
      </c>
      <c r="F38" s="222">
        <v>0</v>
      </c>
      <c r="G38" s="68" t="s">
        <v>290</v>
      </c>
      <c r="H38" s="70">
        <f>VLOOKUP(B38,custoEPI!$B$6:$E$29,4,FALSE)</f>
        <v>0</v>
      </c>
      <c r="I38" s="71">
        <f t="shared" si="6"/>
        <v>1</v>
      </c>
      <c r="J38" s="71">
        <f t="shared" si="7"/>
        <v>1</v>
      </c>
      <c r="K38" s="69">
        <f t="shared" si="8"/>
        <v>0</v>
      </c>
      <c r="L38" s="69">
        <f t="shared" si="9"/>
        <v>0</v>
      </c>
      <c r="M38" s="69">
        <f t="shared" si="10"/>
        <v>0</v>
      </c>
    </row>
    <row r="39" spans="1:13" s="61" customFormat="1" ht="20.25" hidden="1" customHeight="1" x14ac:dyDescent="0.25">
      <c r="A39" s="67"/>
      <c r="B39" s="68"/>
      <c r="C39" s="69"/>
      <c r="D39" s="69"/>
      <c r="E39" s="222"/>
      <c r="F39" s="222"/>
      <c r="G39" s="68"/>
      <c r="H39" s="70" t="e">
        <f>VLOOKUP(B39,custoEPI!$B$6:$E$29,4,FALSE)</f>
        <v>#N/A</v>
      </c>
      <c r="I39" s="71">
        <f t="shared" si="6"/>
        <v>1</v>
      </c>
      <c r="J39" s="71" t="str">
        <f t="shared" si="7"/>
        <v>sem descrição</v>
      </c>
      <c r="K39" s="69">
        <f t="shared" si="8"/>
        <v>0</v>
      </c>
      <c r="L39" s="69">
        <f t="shared" si="9"/>
        <v>0</v>
      </c>
      <c r="M39" s="69">
        <f t="shared" si="10"/>
        <v>0</v>
      </c>
    </row>
    <row r="40" spans="1:13" s="61" customFormat="1" ht="20.25" customHeight="1" x14ac:dyDescent="0.25">
      <c r="A40" s="67" t="s">
        <v>113</v>
      </c>
      <c r="B40" s="68" t="s">
        <v>294</v>
      </c>
      <c r="C40" s="69" t="s">
        <v>288</v>
      </c>
      <c r="D40" s="69" t="s">
        <v>289</v>
      </c>
      <c r="E40" s="222">
        <v>25</v>
      </c>
      <c r="F40" s="222">
        <v>0</v>
      </c>
      <c r="G40" s="68" t="s">
        <v>290</v>
      </c>
      <c r="H40" s="70">
        <f>VLOOKUP(B40,custoEPI!$B$6:$E$29,4,FALSE)</f>
        <v>0</v>
      </c>
      <c r="I40" s="71">
        <f t="shared" si="6"/>
        <v>1</v>
      </c>
      <c r="J40" s="71">
        <f t="shared" si="7"/>
        <v>1</v>
      </c>
      <c r="K40" s="69">
        <f t="shared" si="8"/>
        <v>0</v>
      </c>
      <c r="L40" s="69">
        <f t="shared" si="9"/>
        <v>0</v>
      </c>
      <c r="M40" s="69">
        <f t="shared" si="10"/>
        <v>0</v>
      </c>
    </row>
    <row r="41" spans="1:13" s="61" customFormat="1" ht="20.25" customHeight="1" x14ac:dyDescent="0.25">
      <c r="A41" s="67" t="s">
        <v>114</v>
      </c>
      <c r="B41" s="68" t="s">
        <v>307</v>
      </c>
      <c r="C41" s="69" t="s">
        <v>300</v>
      </c>
      <c r="D41" s="69" t="s">
        <v>292</v>
      </c>
      <c r="E41" s="222">
        <v>1</v>
      </c>
      <c r="F41" s="222">
        <v>0</v>
      </c>
      <c r="G41" s="68" t="s">
        <v>290</v>
      </c>
      <c r="H41" s="70">
        <f>VLOOKUP(B41,custoEPI!$B$6:$E$29,4,FALSE)</f>
        <v>0</v>
      </c>
      <c r="I41" s="71">
        <f t="shared" si="6"/>
        <v>1</v>
      </c>
      <c r="J41" s="71">
        <f t="shared" si="7"/>
        <v>1</v>
      </c>
      <c r="K41" s="69">
        <f t="shared" si="8"/>
        <v>0</v>
      </c>
      <c r="L41" s="69">
        <f t="shared" si="9"/>
        <v>0</v>
      </c>
      <c r="M41" s="69">
        <f t="shared" si="10"/>
        <v>0</v>
      </c>
    </row>
    <row r="42" spans="1:13" s="61" customFormat="1" ht="20.25" customHeight="1" x14ac:dyDescent="0.25">
      <c r="A42" s="67" t="s">
        <v>115</v>
      </c>
      <c r="B42" s="68" t="s">
        <v>295</v>
      </c>
      <c r="C42" s="69" t="s">
        <v>296</v>
      </c>
      <c r="D42" s="69" t="s">
        <v>292</v>
      </c>
      <c r="E42" s="222">
        <v>1</v>
      </c>
      <c r="F42" s="222">
        <v>0</v>
      </c>
      <c r="G42" s="68" t="s">
        <v>290</v>
      </c>
      <c r="H42" s="70">
        <f>VLOOKUP(B42,custoEPI!$B$6:$E$29,4,FALSE)</f>
        <v>0</v>
      </c>
      <c r="I42" s="71">
        <f t="shared" si="6"/>
        <v>1</v>
      </c>
      <c r="J42" s="71">
        <f t="shared" si="7"/>
        <v>1</v>
      </c>
      <c r="K42" s="69">
        <f t="shared" si="8"/>
        <v>0</v>
      </c>
      <c r="L42" s="69">
        <f t="shared" si="9"/>
        <v>0</v>
      </c>
      <c r="M42" s="69">
        <f t="shared" si="10"/>
        <v>0</v>
      </c>
    </row>
    <row r="43" spans="1:13" s="61" customFormat="1" ht="20.25" customHeight="1" x14ac:dyDescent="0.25">
      <c r="A43" s="67" t="s">
        <v>116</v>
      </c>
      <c r="B43" s="68" t="s">
        <v>299</v>
      </c>
      <c r="C43" s="69" t="s">
        <v>300</v>
      </c>
      <c r="D43" s="69" t="s">
        <v>292</v>
      </c>
      <c r="E43" s="222">
        <v>2</v>
      </c>
      <c r="F43" s="222">
        <v>0</v>
      </c>
      <c r="G43" s="68" t="s">
        <v>290</v>
      </c>
      <c r="H43" s="70">
        <f>VLOOKUP(B43,custoEPI!$B$6:$E$29,4,FALSE)</f>
        <v>0</v>
      </c>
      <c r="I43" s="71">
        <f t="shared" si="6"/>
        <v>1</v>
      </c>
      <c r="J43" s="71">
        <f t="shared" si="7"/>
        <v>1</v>
      </c>
      <c r="K43" s="69">
        <f t="shared" si="8"/>
        <v>0</v>
      </c>
      <c r="L43" s="69">
        <f t="shared" si="9"/>
        <v>0</v>
      </c>
      <c r="M43" s="69">
        <f t="shared" si="10"/>
        <v>0</v>
      </c>
    </row>
    <row r="44" spans="1:13" s="61" customFormat="1" ht="20.25" hidden="1" customHeight="1" x14ac:dyDescent="0.25">
      <c r="A44" s="67"/>
      <c r="B44" s="68"/>
      <c r="C44" s="69"/>
      <c r="D44" s="69"/>
      <c r="E44" s="222"/>
      <c r="F44" s="222"/>
      <c r="G44" s="68"/>
      <c r="H44" s="70" t="e">
        <f>VLOOKUP(B44,custoEPI!$B$6:$E$29,4,FALSE)</f>
        <v>#N/A</v>
      </c>
      <c r="I44" s="71"/>
      <c r="J44" s="71" t="str">
        <f t="shared" si="7"/>
        <v>sem descrição</v>
      </c>
      <c r="K44" s="69" t="str">
        <f t="shared" ref="K44:K51" si="11">IF(C44="mensal",J44*H44*E44,IF(C44="trimestral",(J44*H44*E44)/3,IF(C44="semestral",(J44*H44*E44)/6,IF(C44="anual",(J44*H44*E44/12),"informar entrega"))))</f>
        <v>informar entrega</v>
      </c>
      <c r="L44" s="69">
        <f t="shared" si="9"/>
        <v>0</v>
      </c>
      <c r="M44" s="69">
        <f t="shared" si="10"/>
        <v>0</v>
      </c>
    </row>
    <row r="45" spans="1:13" s="61" customFormat="1" ht="20.25" hidden="1" customHeight="1" x14ac:dyDescent="0.25">
      <c r="A45" s="67" t="s">
        <v>125</v>
      </c>
      <c r="B45" s="68"/>
      <c r="C45" s="69"/>
      <c r="D45" s="69"/>
      <c r="E45" s="222"/>
      <c r="F45" s="222"/>
      <c r="G45" s="68"/>
      <c r="H45" s="70" t="e">
        <f>VLOOKUP(B45,custoEPI!$B$6:$E$29,4,FALSE)</f>
        <v>#N/A</v>
      </c>
      <c r="I45" s="70"/>
      <c r="J45" s="71" t="str">
        <f t="shared" si="7"/>
        <v>sem descrição</v>
      </c>
      <c r="K45" s="69" t="str">
        <f t="shared" si="11"/>
        <v>informar entrega</v>
      </c>
      <c r="L45" s="69">
        <f t="shared" si="9"/>
        <v>0</v>
      </c>
      <c r="M45" s="69">
        <f t="shared" si="10"/>
        <v>0</v>
      </c>
    </row>
    <row r="46" spans="1:13" s="61" customFormat="1" ht="20.25" hidden="1" customHeight="1" x14ac:dyDescent="0.25">
      <c r="A46" s="67" t="s">
        <v>127</v>
      </c>
      <c r="B46" s="68"/>
      <c r="C46" s="69"/>
      <c r="D46" s="69"/>
      <c r="E46" s="222"/>
      <c r="F46" s="222"/>
      <c r="G46" s="68"/>
      <c r="H46" s="70"/>
      <c r="I46" s="70"/>
      <c r="J46" s="71" t="str">
        <f t="shared" si="7"/>
        <v>sem descrição</v>
      </c>
      <c r="K46" s="69" t="str">
        <f t="shared" si="11"/>
        <v>informar entrega</v>
      </c>
      <c r="L46" s="69">
        <f t="shared" si="9"/>
        <v>0</v>
      </c>
      <c r="M46" s="69">
        <f t="shared" si="10"/>
        <v>0</v>
      </c>
    </row>
    <row r="47" spans="1:13" s="61" customFormat="1" ht="20.25" hidden="1" customHeight="1" x14ac:dyDescent="0.25">
      <c r="A47" s="67" t="s">
        <v>129</v>
      </c>
      <c r="B47" s="68"/>
      <c r="C47" s="69"/>
      <c r="D47" s="69"/>
      <c r="E47" s="222"/>
      <c r="F47" s="222"/>
      <c r="G47" s="68"/>
      <c r="H47" s="70"/>
      <c r="I47" s="70"/>
      <c r="J47" s="71" t="str">
        <f t="shared" si="7"/>
        <v>sem descrição</v>
      </c>
      <c r="K47" s="69" t="str">
        <f t="shared" si="11"/>
        <v>informar entrega</v>
      </c>
      <c r="L47" s="69">
        <f t="shared" si="9"/>
        <v>0</v>
      </c>
      <c r="M47" s="69">
        <f t="shared" si="10"/>
        <v>0</v>
      </c>
    </row>
    <row r="48" spans="1:13" s="61" customFormat="1" ht="20.25" hidden="1" customHeight="1" x14ac:dyDescent="0.25">
      <c r="A48" s="67" t="s">
        <v>131</v>
      </c>
      <c r="B48" s="68"/>
      <c r="C48" s="69"/>
      <c r="D48" s="69"/>
      <c r="E48" s="222"/>
      <c r="F48" s="222"/>
      <c r="G48" s="68"/>
      <c r="H48" s="70"/>
      <c r="I48" s="70"/>
      <c r="J48" s="71" t="str">
        <f t="shared" si="7"/>
        <v>sem descrição</v>
      </c>
      <c r="K48" s="69" t="str">
        <f t="shared" si="11"/>
        <v>informar entrega</v>
      </c>
      <c r="L48" s="69">
        <f t="shared" si="9"/>
        <v>0</v>
      </c>
      <c r="M48" s="69">
        <f t="shared" si="10"/>
        <v>0</v>
      </c>
    </row>
    <row r="49" spans="1:13" s="61" customFormat="1" ht="20.25" hidden="1" customHeight="1" x14ac:dyDescent="0.25">
      <c r="A49" s="67" t="s">
        <v>188</v>
      </c>
      <c r="B49" s="68"/>
      <c r="C49" s="69"/>
      <c r="D49" s="69"/>
      <c r="E49" s="222"/>
      <c r="F49" s="222"/>
      <c r="G49" s="68"/>
      <c r="H49" s="70"/>
      <c r="I49" s="70"/>
      <c r="J49" s="71" t="str">
        <f t="shared" si="7"/>
        <v>sem descrição</v>
      </c>
      <c r="K49" s="69" t="str">
        <f t="shared" si="11"/>
        <v>informar entrega</v>
      </c>
      <c r="L49" s="69">
        <f t="shared" si="9"/>
        <v>0</v>
      </c>
      <c r="M49" s="69">
        <f t="shared" si="10"/>
        <v>0</v>
      </c>
    </row>
    <row r="50" spans="1:13" s="61" customFormat="1" ht="20.25" hidden="1" customHeight="1" x14ac:dyDescent="0.25">
      <c r="A50" s="67" t="s">
        <v>192</v>
      </c>
      <c r="B50" s="68"/>
      <c r="C50" s="69"/>
      <c r="D50" s="69"/>
      <c r="E50" s="222"/>
      <c r="F50" s="222"/>
      <c r="G50" s="68"/>
      <c r="H50" s="70"/>
      <c r="I50" s="70"/>
      <c r="J50" s="71" t="str">
        <f t="shared" si="7"/>
        <v>sem descrição</v>
      </c>
      <c r="K50" s="69" t="str">
        <f t="shared" si="11"/>
        <v>informar entrega</v>
      </c>
      <c r="L50" s="69">
        <f t="shared" si="9"/>
        <v>0</v>
      </c>
      <c r="M50" s="69">
        <f t="shared" si="10"/>
        <v>0</v>
      </c>
    </row>
    <row r="51" spans="1:13" s="61" customFormat="1" ht="20.25" hidden="1" customHeight="1" x14ac:dyDescent="0.25">
      <c r="A51" s="67" t="s">
        <v>195</v>
      </c>
      <c r="B51" s="68"/>
      <c r="C51" s="69"/>
      <c r="D51" s="69"/>
      <c r="E51" s="222"/>
      <c r="F51" s="222"/>
      <c r="G51" s="68"/>
      <c r="H51" s="70"/>
      <c r="I51" s="70"/>
      <c r="J51" s="71" t="str">
        <f t="shared" si="7"/>
        <v>sem descrição</v>
      </c>
      <c r="K51" s="69" t="str">
        <f t="shared" si="11"/>
        <v>informar entrega</v>
      </c>
      <c r="L51" s="69">
        <f t="shared" si="9"/>
        <v>0</v>
      </c>
      <c r="M51" s="69">
        <f t="shared" si="10"/>
        <v>0</v>
      </c>
    </row>
    <row r="52" spans="1:13" s="61" customFormat="1" ht="20.25" hidden="1" customHeight="1" x14ac:dyDescent="0.25">
      <c r="A52" s="67" t="s">
        <v>199</v>
      </c>
      <c r="B52" s="68"/>
      <c r="C52" s="69"/>
      <c r="D52" s="69"/>
      <c r="E52" s="222"/>
      <c r="F52" s="222"/>
      <c r="G52" s="68"/>
      <c r="H52" s="70"/>
      <c r="I52" s="70"/>
      <c r="J52" s="71" t="str">
        <f t="shared" si="7"/>
        <v>sem descrição</v>
      </c>
      <c r="K52" s="69" t="str">
        <f>IF(C52="mensal",J52*H52*E52,IF(C52="trimestral",(J52*H52*E52)/3,IF(C52="semestral",(J52*H52*E52)/6,IF(C52="anual",(J52*H52*E52/12),"informar período"))))</f>
        <v>informar período</v>
      </c>
      <c r="L52" s="69">
        <f t="shared" si="9"/>
        <v>0</v>
      </c>
      <c r="M52" s="69">
        <f t="shared" si="10"/>
        <v>0</v>
      </c>
    </row>
    <row r="53" spans="1:13" s="61" customFormat="1" ht="20.25" customHeight="1" x14ac:dyDescent="0.25">
      <c r="A53" s="152" t="s">
        <v>301</v>
      </c>
      <c r="B53" s="147"/>
      <c r="C53" s="147"/>
      <c r="D53" s="147"/>
      <c r="E53" s="147"/>
      <c r="F53" s="147"/>
      <c r="G53" s="147"/>
      <c r="H53" s="147"/>
      <c r="I53" s="139"/>
      <c r="J53" s="155"/>
      <c r="K53" s="156">
        <f>SUM(K36:K52)</f>
        <v>0</v>
      </c>
      <c r="L53" s="157">
        <f>K53*12</f>
        <v>0</v>
      </c>
      <c r="M53" s="158">
        <f>K53*60</f>
        <v>0</v>
      </c>
    </row>
    <row r="54" spans="1:13" s="61" customFormat="1" ht="20.25" customHeight="1" x14ac:dyDescent="0.25">
      <c r="A54" s="152" t="s">
        <v>302</v>
      </c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59">
        <f>K53/SUM(C32:M34)</f>
        <v>0</v>
      </c>
    </row>
    <row r="55" spans="1:13" s="61" customFormat="1" ht="20.25" customHeight="1" x14ac:dyDescent="0.25">
      <c r="A55" s="235" t="s">
        <v>273</v>
      </c>
      <c r="B55" s="143" t="s">
        <v>19</v>
      </c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4"/>
    </row>
    <row r="56" spans="1:13" s="61" customFormat="1" ht="20.25" customHeight="1" x14ac:dyDescent="0.25">
      <c r="A56" s="62">
        <v>1</v>
      </c>
      <c r="B56" s="63" t="s">
        <v>274</v>
      </c>
      <c r="C56" s="216" t="str">
        <f>'[1]planilha - proposta'!C22</f>
        <v>Auxiliar de Cozinha</v>
      </c>
      <c r="D56" s="217"/>
      <c r="E56" s="217"/>
      <c r="F56" s="217"/>
      <c r="G56" s="217"/>
      <c r="H56" s="145"/>
      <c r="I56" s="145"/>
      <c r="J56" s="145"/>
      <c r="K56" s="145"/>
      <c r="L56" s="145"/>
      <c r="M56" s="146"/>
    </row>
    <row r="57" spans="1:13" s="61" customFormat="1" ht="20.25" customHeight="1" x14ac:dyDescent="0.25">
      <c r="A57" s="62">
        <v>2</v>
      </c>
      <c r="B57" s="63" t="str">
        <f>'planilha - proposta'!D22</f>
        <v>Auxiliar de Cozinha - 12x36d</v>
      </c>
      <c r="C57" s="216">
        <f>VLOOKUP(B57,'[1]planilha - proposta'!$D$17:$E$62,2,FALSE)</f>
        <v>8</v>
      </c>
      <c r="D57" s="217"/>
      <c r="E57" s="217"/>
      <c r="F57" s="217"/>
      <c r="G57" s="217"/>
      <c r="H57" s="145"/>
      <c r="I57" s="145"/>
      <c r="J57" s="145"/>
      <c r="K57" s="145"/>
      <c r="L57" s="145"/>
      <c r="M57" s="146"/>
    </row>
    <row r="58" spans="1:13" s="61" customFormat="1" ht="20.25" hidden="1" customHeight="1" x14ac:dyDescent="0.25">
      <c r="A58" s="62">
        <v>3</v>
      </c>
      <c r="B58" s="63" t="str">
        <f>'planilha - proposta'!D23</f>
        <v>Auxiliar de Cozinha - 12x36n</v>
      </c>
      <c r="C58" s="216">
        <f>VLOOKUP(B58,'[1]planilha - proposta'!$D$17:$E$62,2,FALSE)</f>
        <v>0</v>
      </c>
      <c r="D58" s="217"/>
      <c r="E58" s="217"/>
      <c r="F58" s="217"/>
      <c r="G58" s="217"/>
      <c r="H58" s="145"/>
      <c r="I58" s="145"/>
      <c r="J58" s="145"/>
      <c r="K58" s="145"/>
      <c r="L58" s="145"/>
      <c r="M58" s="146"/>
    </row>
    <row r="59" spans="1:13" s="61" customFormat="1" ht="20.25" hidden="1" customHeight="1" x14ac:dyDescent="0.25">
      <c r="A59" s="62">
        <v>4</v>
      </c>
      <c r="B59" s="63" t="str">
        <f>'planilha - proposta'!D24</f>
        <v>Auxiliar de Cozinha - 44h</v>
      </c>
      <c r="C59" s="216">
        <f>VLOOKUP(B59,'[1]planilha - proposta'!$D$17:$E$62,2,FALSE)</f>
        <v>0</v>
      </c>
      <c r="D59" s="217"/>
      <c r="E59" s="217"/>
      <c r="F59" s="217"/>
      <c r="G59" s="217"/>
      <c r="H59" s="145"/>
      <c r="I59" s="145"/>
      <c r="J59" s="145"/>
      <c r="K59" s="145"/>
      <c r="L59" s="145"/>
      <c r="M59" s="146"/>
    </row>
    <row r="60" spans="1:13" s="61" customFormat="1" ht="52.5" customHeight="1" x14ac:dyDescent="0.25">
      <c r="A60" s="64" t="s">
        <v>273</v>
      </c>
      <c r="B60" s="65" t="s">
        <v>275</v>
      </c>
      <c r="C60" s="218" t="s">
        <v>276</v>
      </c>
      <c r="D60" s="218" t="s">
        <v>277</v>
      </c>
      <c r="E60" s="218" t="s">
        <v>278</v>
      </c>
      <c r="F60" s="218" t="s">
        <v>303</v>
      </c>
      <c r="G60" s="223" t="s">
        <v>280</v>
      </c>
      <c r="H60" s="65" t="s">
        <v>304</v>
      </c>
      <c r="I60" s="66" t="s">
        <v>305</v>
      </c>
      <c r="J60" s="66" t="s">
        <v>309</v>
      </c>
      <c r="K60" s="65" t="s">
        <v>284</v>
      </c>
      <c r="L60" s="65" t="s">
        <v>285</v>
      </c>
      <c r="M60" s="66" t="s">
        <v>286</v>
      </c>
    </row>
    <row r="61" spans="1:13" s="61" customFormat="1" ht="20.25" customHeight="1" x14ac:dyDescent="0.25">
      <c r="A61" s="67" t="s">
        <v>108</v>
      </c>
      <c r="B61" s="68" t="s">
        <v>391</v>
      </c>
      <c r="C61" s="69" t="s">
        <v>298</v>
      </c>
      <c r="D61" s="69" t="s">
        <v>310</v>
      </c>
      <c r="E61" s="222">
        <v>0</v>
      </c>
      <c r="F61" s="222">
        <v>2</v>
      </c>
      <c r="G61" s="68" t="s">
        <v>290</v>
      </c>
      <c r="H61" s="70">
        <f>VLOOKUP(B61,custoEPI!$B$6:$E$29,4,FALSE)</f>
        <v>0</v>
      </c>
      <c r="I61" s="71">
        <f t="shared" ref="I61:I69" si="12">SUM($C$57:$M$59)</f>
        <v>8</v>
      </c>
      <c r="J61" s="71">
        <f t="shared" ref="J61:J77" si="13">IF(B61="","sem descrição",IF($C$57&gt;=$C$58,IF($C$59&gt;0,$C$57/2+$C$59,$C$57/2),IF($C$59&gt;0,$C$58/5+$C$59,$C$59)))</f>
        <v>4</v>
      </c>
      <c r="K61" s="69">
        <f>IF(C61="mensal",IF(F61&gt;0,F61*H61,IF(D61="descartável",((SUM($C$57:$C$58)/2)+$C$59)*E61*H61,IF(D61="pessoal",E61*H61*I61,E61*H61*J61))),0)+IF(C61="trimestral",IF(F61&gt;0,F61*H61/3,IF(D61="descartável",(((SUM($C$57:$C$58)/2)+$C$59)*E61*H61)/3,IF(D61="pessoal",(E61*H61*I61)/3,(E61*H61*J61)/3))),0)+IF(C61="semestral",IF(F61&gt;0,F61*H61/6,IF(D61="descartável",(((SUM($C$57:$C$58)/2)+$C$59)*E61*H61)/6,IF(D61="pessoal",(E61*H61*I61)/6,(E61*H61*J61)/6))),0)+IF(C61="anual",IF(F61&gt;0,F61*H61/12,IF(D61="descartável",(((SUM($C$57:$C$58)/2)+$C$59)*E61*H61)/12,IF(D61="pessoal",(E61*H61*I61)/12,(E61*H61*J61)/12))),0)</f>
        <v>0</v>
      </c>
      <c r="L61" s="69">
        <f>IFERROR(K61*12, 0)</f>
        <v>0</v>
      </c>
      <c r="M61" s="69">
        <f>IFERROR(K61*60,0)</f>
        <v>0</v>
      </c>
    </row>
    <row r="62" spans="1:13" s="61" customFormat="1" ht="20.25" customHeight="1" x14ac:dyDescent="0.25">
      <c r="A62" s="67" t="s">
        <v>110</v>
      </c>
      <c r="B62" s="68" t="s">
        <v>311</v>
      </c>
      <c r="C62" s="69" t="s">
        <v>298</v>
      </c>
      <c r="D62" s="69" t="s">
        <v>292</v>
      </c>
      <c r="E62" s="222">
        <v>1</v>
      </c>
      <c r="F62" s="222">
        <v>0</v>
      </c>
      <c r="G62" s="68" t="s">
        <v>290</v>
      </c>
      <c r="H62" s="70">
        <f>VLOOKUP(B62,custoEPI!$B$6:$E$29,4,FALSE)</f>
        <v>0</v>
      </c>
      <c r="I62" s="71">
        <f t="shared" si="12"/>
        <v>8</v>
      </c>
      <c r="J62" s="71">
        <f t="shared" si="13"/>
        <v>4</v>
      </c>
      <c r="K62" s="69">
        <f t="shared" ref="K62:K68" si="14">IF(C62="mensal",IF(F62&gt;0,F62*H62,IF(D62="descartável",((SUM($C$57:$C$58)/2)+$C$59)*E62*H62,IF(D62="pessoal",E62*H62*I62,E62*H62*J62))),0)+IF(C62="trimestral",IF(F62&gt;0,F62*H62/3,IF(D62="descartável",(((SUM($C$57:$C$58)/2)+$C$59)*E62*H62)/3,IF(D62="pessoal",(E62*H62*I62)/3,(E62*H62*J62)/3))),0)+IF(C62="semestral",IF(F62&gt;0,F62*H62/6,IF(D62="descartável",(((SUM($C$57:$C$58)/2)+$C$59)*E62*H62)/6,IF(D62="pessoal",(E62*H62*I62)/6,(E62*H62*J62)/6))),0)+IF(C62="anual",IF(F62&gt;0,F62*H62/12,IF(D62="descartável",(((SUM($C$57:$C$58)/2)+$C$59)*E62*H62)/12,IF(D62="pessoal",(E62*H62*I62)/12,(E62*H62*J62)/12))),0)</f>
        <v>0</v>
      </c>
      <c r="L62" s="69">
        <f t="shared" ref="L62:L77" si="15">IFERROR(K62*12, 0)</f>
        <v>0</v>
      </c>
      <c r="M62" s="69">
        <f t="shared" ref="M62:M77" si="16">IFERROR(K62*60,0)</f>
        <v>0</v>
      </c>
    </row>
    <row r="63" spans="1:13" s="61" customFormat="1" ht="20.25" customHeight="1" x14ac:dyDescent="0.25">
      <c r="A63" s="67" t="s">
        <v>111</v>
      </c>
      <c r="B63" s="68" t="s">
        <v>312</v>
      </c>
      <c r="C63" s="69" t="s">
        <v>300</v>
      </c>
      <c r="D63" s="69" t="s">
        <v>292</v>
      </c>
      <c r="E63" s="222">
        <v>1</v>
      </c>
      <c r="F63" s="222">
        <v>0</v>
      </c>
      <c r="G63" s="68" t="s">
        <v>290</v>
      </c>
      <c r="H63" s="70">
        <f>VLOOKUP(B63,custoEPI!$B$6:$E$29,4,FALSE)</f>
        <v>0</v>
      </c>
      <c r="I63" s="71">
        <f t="shared" si="12"/>
        <v>8</v>
      </c>
      <c r="J63" s="71">
        <f t="shared" si="13"/>
        <v>4</v>
      </c>
      <c r="K63" s="69">
        <f t="shared" si="14"/>
        <v>0</v>
      </c>
      <c r="L63" s="69">
        <f t="shared" si="15"/>
        <v>0</v>
      </c>
      <c r="M63" s="69">
        <f t="shared" si="16"/>
        <v>0</v>
      </c>
    </row>
    <row r="64" spans="1:13" s="61" customFormat="1" ht="20.25" customHeight="1" x14ac:dyDescent="0.25">
      <c r="A64" s="67" t="s">
        <v>113</v>
      </c>
      <c r="B64" s="68" t="s">
        <v>287</v>
      </c>
      <c r="C64" s="69" t="s">
        <v>288</v>
      </c>
      <c r="D64" s="69" t="s">
        <v>289</v>
      </c>
      <c r="E64" s="222">
        <v>90</v>
      </c>
      <c r="F64" s="222">
        <v>0</v>
      </c>
      <c r="G64" s="68" t="s">
        <v>290</v>
      </c>
      <c r="H64" s="70">
        <f>VLOOKUP(B64,custoEPI!$B$6:$E$29,4,FALSE)</f>
        <v>0</v>
      </c>
      <c r="I64" s="71">
        <f t="shared" si="12"/>
        <v>8</v>
      </c>
      <c r="J64" s="71">
        <f t="shared" si="13"/>
        <v>4</v>
      </c>
      <c r="K64" s="69">
        <f t="shared" si="14"/>
        <v>0</v>
      </c>
      <c r="L64" s="69">
        <f t="shared" si="15"/>
        <v>0</v>
      </c>
      <c r="M64" s="69">
        <f t="shared" si="16"/>
        <v>0</v>
      </c>
    </row>
    <row r="65" spans="1:13" s="61" customFormat="1" ht="20.25" customHeight="1" x14ac:dyDescent="0.25">
      <c r="A65" s="67" t="s">
        <v>114</v>
      </c>
      <c r="B65" s="68" t="s">
        <v>294</v>
      </c>
      <c r="C65" s="69" t="s">
        <v>288</v>
      </c>
      <c r="D65" s="69" t="s">
        <v>289</v>
      </c>
      <c r="E65" s="222">
        <f>3*30</f>
        <v>90</v>
      </c>
      <c r="F65" s="222">
        <v>0</v>
      </c>
      <c r="G65" s="68" t="s">
        <v>290</v>
      </c>
      <c r="H65" s="70">
        <f>VLOOKUP(B65,custoEPI!$B$6:$E$29,4,FALSE)</f>
        <v>0</v>
      </c>
      <c r="I65" s="71">
        <f t="shared" si="12"/>
        <v>8</v>
      </c>
      <c r="J65" s="71">
        <f t="shared" si="13"/>
        <v>4</v>
      </c>
      <c r="K65" s="69">
        <f t="shared" si="14"/>
        <v>0</v>
      </c>
      <c r="L65" s="69">
        <f t="shared" si="15"/>
        <v>0</v>
      </c>
      <c r="M65" s="69">
        <f t="shared" si="16"/>
        <v>0</v>
      </c>
    </row>
    <row r="66" spans="1:13" s="61" customFormat="1" ht="20.25" customHeight="1" x14ac:dyDescent="0.25">
      <c r="A66" s="67" t="s">
        <v>115</v>
      </c>
      <c r="B66" s="68" t="s">
        <v>313</v>
      </c>
      <c r="C66" s="69" t="s">
        <v>288</v>
      </c>
      <c r="D66" s="69" t="s">
        <v>289</v>
      </c>
      <c r="E66" s="222">
        <v>48</v>
      </c>
      <c r="F66" s="222">
        <v>0</v>
      </c>
      <c r="G66" s="68" t="s">
        <v>290</v>
      </c>
      <c r="H66" s="70">
        <f>VLOOKUP(B66,custoEPI!$B$6:$E$29,4,FALSE)</f>
        <v>0</v>
      </c>
      <c r="I66" s="71">
        <f t="shared" si="12"/>
        <v>8</v>
      </c>
      <c r="J66" s="71">
        <f t="shared" si="13"/>
        <v>4</v>
      </c>
      <c r="K66" s="69">
        <f t="shared" si="14"/>
        <v>0</v>
      </c>
      <c r="L66" s="69">
        <f t="shared" si="15"/>
        <v>0</v>
      </c>
      <c r="M66" s="69">
        <f t="shared" si="16"/>
        <v>0</v>
      </c>
    </row>
    <row r="67" spans="1:13" s="61" customFormat="1" ht="20.25" customHeight="1" x14ac:dyDescent="0.25">
      <c r="A67" s="67" t="s">
        <v>116</v>
      </c>
      <c r="B67" s="68" t="s">
        <v>314</v>
      </c>
      <c r="C67" s="69" t="s">
        <v>288</v>
      </c>
      <c r="D67" s="69" t="s">
        <v>292</v>
      </c>
      <c r="E67" s="222">
        <v>1</v>
      </c>
      <c r="F67" s="222">
        <v>0</v>
      </c>
      <c r="G67" s="68" t="s">
        <v>315</v>
      </c>
      <c r="H67" s="70">
        <f>VLOOKUP(B67,custoEPI!$B$6:$E$29,4,FALSE)</f>
        <v>0</v>
      </c>
      <c r="I67" s="71">
        <f t="shared" si="12"/>
        <v>8</v>
      </c>
      <c r="J67" s="71">
        <f t="shared" si="13"/>
        <v>4</v>
      </c>
      <c r="K67" s="69">
        <f t="shared" si="14"/>
        <v>0</v>
      </c>
      <c r="L67" s="69">
        <f t="shared" si="15"/>
        <v>0</v>
      </c>
      <c r="M67" s="69">
        <f t="shared" si="16"/>
        <v>0</v>
      </c>
    </row>
    <row r="68" spans="1:13" s="61" customFormat="1" ht="20.25" customHeight="1" x14ac:dyDescent="0.25">
      <c r="A68" s="67" t="s">
        <v>118</v>
      </c>
      <c r="B68" s="68" t="s">
        <v>316</v>
      </c>
      <c r="C68" s="69" t="s">
        <v>300</v>
      </c>
      <c r="D68" s="69" t="s">
        <v>310</v>
      </c>
      <c r="E68" s="222">
        <v>1</v>
      </c>
      <c r="F68" s="222">
        <v>0</v>
      </c>
      <c r="G68" s="68" t="s">
        <v>315</v>
      </c>
      <c r="H68" s="70">
        <f>VLOOKUP(B68,custoEPI!$B$6:$E$29,4,FALSE)</f>
        <v>0</v>
      </c>
      <c r="I68" s="71">
        <f t="shared" si="12"/>
        <v>8</v>
      </c>
      <c r="J68" s="71">
        <f t="shared" si="13"/>
        <v>4</v>
      </c>
      <c r="K68" s="69">
        <f t="shared" si="14"/>
        <v>0</v>
      </c>
      <c r="L68" s="69">
        <f t="shared" si="15"/>
        <v>0</v>
      </c>
      <c r="M68" s="69">
        <f t="shared" si="16"/>
        <v>0</v>
      </c>
    </row>
    <row r="69" spans="1:13" s="61" customFormat="1" ht="20.25" hidden="1" customHeight="1" x14ac:dyDescent="0.25">
      <c r="A69" s="67"/>
      <c r="B69" s="68"/>
      <c r="C69" s="69"/>
      <c r="D69" s="69"/>
      <c r="E69" s="222"/>
      <c r="F69" s="222"/>
      <c r="G69" s="68"/>
      <c r="H69" s="70" t="e">
        <f>VLOOKUP(B69,custoEPI!$B$6:$E$29,4,FALSE)</f>
        <v>#N/A</v>
      </c>
      <c r="I69" s="71">
        <f t="shared" si="12"/>
        <v>8</v>
      </c>
      <c r="J69" s="71" t="str">
        <f t="shared" si="13"/>
        <v>sem descrição</v>
      </c>
      <c r="K69" s="69" t="str">
        <f t="shared" ref="K69:K76" si="17">IF(C69="mensal",J69*H69*E69,IF(C69="trimestral",(J69*H69*E69)/3,IF(C69="semestral",(J69*H69*E69)/6,IF(C69="anual",(J69*H69*E69/12),"informar entrega"))))</f>
        <v>informar entrega</v>
      </c>
      <c r="L69" s="69">
        <f t="shared" si="15"/>
        <v>0</v>
      </c>
      <c r="M69" s="69">
        <f t="shared" si="16"/>
        <v>0</v>
      </c>
    </row>
    <row r="70" spans="1:13" s="61" customFormat="1" ht="20.25" hidden="1" customHeight="1" x14ac:dyDescent="0.25">
      <c r="A70" s="67" t="s">
        <v>125</v>
      </c>
      <c r="B70" s="68"/>
      <c r="C70" s="69"/>
      <c r="D70" s="69"/>
      <c r="E70" s="222"/>
      <c r="F70" s="222"/>
      <c r="G70" s="68"/>
      <c r="H70" s="70" t="e">
        <f>VLOOKUP(B70,custoEPI!$B$6:$E$29,4,FALSE)</f>
        <v>#N/A</v>
      </c>
      <c r="I70" s="70"/>
      <c r="J70" s="71" t="str">
        <f t="shared" si="13"/>
        <v>sem descrição</v>
      </c>
      <c r="K70" s="69" t="str">
        <f t="shared" si="17"/>
        <v>informar entrega</v>
      </c>
      <c r="L70" s="69">
        <f t="shared" si="15"/>
        <v>0</v>
      </c>
      <c r="M70" s="69">
        <f t="shared" si="16"/>
        <v>0</v>
      </c>
    </row>
    <row r="71" spans="1:13" s="61" customFormat="1" ht="20.25" hidden="1" customHeight="1" x14ac:dyDescent="0.25">
      <c r="A71" s="67" t="s">
        <v>127</v>
      </c>
      <c r="B71" s="68"/>
      <c r="C71" s="69"/>
      <c r="D71" s="69"/>
      <c r="E71" s="222"/>
      <c r="F71" s="222"/>
      <c r="G71" s="68"/>
      <c r="H71" s="70"/>
      <c r="I71" s="70"/>
      <c r="J71" s="71" t="str">
        <f t="shared" si="13"/>
        <v>sem descrição</v>
      </c>
      <c r="K71" s="69" t="str">
        <f t="shared" si="17"/>
        <v>informar entrega</v>
      </c>
      <c r="L71" s="69">
        <f t="shared" si="15"/>
        <v>0</v>
      </c>
      <c r="M71" s="69">
        <f t="shared" si="16"/>
        <v>0</v>
      </c>
    </row>
    <row r="72" spans="1:13" s="61" customFormat="1" ht="20.25" hidden="1" customHeight="1" x14ac:dyDescent="0.25">
      <c r="A72" s="67" t="s">
        <v>129</v>
      </c>
      <c r="B72" s="68"/>
      <c r="C72" s="69"/>
      <c r="D72" s="69"/>
      <c r="E72" s="222"/>
      <c r="F72" s="222"/>
      <c r="G72" s="68"/>
      <c r="H72" s="70"/>
      <c r="I72" s="70"/>
      <c r="J72" s="71" t="str">
        <f t="shared" si="13"/>
        <v>sem descrição</v>
      </c>
      <c r="K72" s="69" t="str">
        <f t="shared" si="17"/>
        <v>informar entrega</v>
      </c>
      <c r="L72" s="69">
        <f t="shared" si="15"/>
        <v>0</v>
      </c>
      <c r="M72" s="69">
        <f t="shared" si="16"/>
        <v>0</v>
      </c>
    </row>
    <row r="73" spans="1:13" s="61" customFormat="1" ht="20.25" hidden="1" customHeight="1" x14ac:dyDescent="0.25">
      <c r="A73" s="67" t="s">
        <v>131</v>
      </c>
      <c r="B73" s="68"/>
      <c r="C73" s="69"/>
      <c r="D73" s="69"/>
      <c r="E73" s="222"/>
      <c r="F73" s="222"/>
      <c r="G73" s="68"/>
      <c r="H73" s="70"/>
      <c r="I73" s="70"/>
      <c r="J73" s="71" t="str">
        <f t="shared" si="13"/>
        <v>sem descrição</v>
      </c>
      <c r="K73" s="69" t="str">
        <f t="shared" si="17"/>
        <v>informar entrega</v>
      </c>
      <c r="L73" s="69">
        <f t="shared" si="15"/>
        <v>0</v>
      </c>
      <c r="M73" s="69">
        <f t="shared" si="16"/>
        <v>0</v>
      </c>
    </row>
    <row r="74" spans="1:13" s="61" customFormat="1" ht="20.25" hidden="1" customHeight="1" x14ac:dyDescent="0.25">
      <c r="A74" s="67" t="s">
        <v>188</v>
      </c>
      <c r="B74" s="68"/>
      <c r="C74" s="69"/>
      <c r="D74" s="69"/>
      <c r="E74" s="222"/>
      <c r="F74" s="222"/>
      <c r="G74" s="68"/>
      <c r="H74" s="70"/>
      <c r="I74" s="70"/>
      <c r="J74" s="71" t="str">
        <f t="shared" si="13"/>
        <v>sem descrição</v>
      </c>
      <c r="K74" s="69" t="str">
        <f t="shared" si="17"/>
        <v>informar entrega</v>
      </c>
      <c r="L74" s="69">
        <f t="shared" si="15"/>
        <v>0</v>
      </c>
      <c r="M74" s="69">
        <f t="shared" si="16"/>
        <v>0</v>
      </c>
    </row>
    <row r="75" spans="1:13" s="61" customFormat="1" ht="20.25" hidden="1" customHeight="1" x14ac:dyDescent="0.25">
      <c r="A75" s="67" t="s">
        <v>192</v>
      </c>
      <c r="B75" s="68"/>
      <c r="C75" s="69"/>
      <c r="D75" s="69"/>
      <c r="E75" s="222"/>
      <c r="F75" s="222"/>
      <c r="G75" s="68"/>
      <c r="H75" s="70"/>
      <c r="I75" s="70"/>
      <c r="J75" s="71" t="str">
        <f t="shared" si="13"/>
        <v>sem descrição</v>
      </c>
      <c r="K75" s="69" t="str">
        <f t="shared" si="17"/>
        <v>informar entrega</v>
      </c>
      <c r="L75" s="69">
        <f t="shared" si="15"/>
        <v>0</v>
      </c>
      <c r="M75" s="69">
        <f t="shared" si="16"/>
        <v>0</v>
      </c>
    </row>
    <row r="76" spans="1:13" s="61" customFormat="1" ht="20.25" hidden="1" customHeight="1" x14ac:dyDescent="0.25">
      <c r="A76" s="67" t="s">
        <v>195</v>
      </c>
      <c r="B76" s="68"/>
      <c r="C76" s="69"/>
      <c r="D76" s="69"/>
      <c r="E76" s="222"/>
      <c r="F76" s="222"/>
      <c r="G76" s="68"/>
      <c r="H76" s="70"/>
      <c r="I76" s="70"/>
      <c r="J76" s="71" t="str">
        <f t="shared" si="13"/>
        <v>sem descrição</v>
      </c>
      <c r="K76" s="69" t="str">
        <f t="shared" si="17"/>
        <v>informar entrega</v>
      </c>
      <c r="L76" s="69">
        <f t="shared" si="15"/>
        <v>0</v>
      </c>
      <c r="M76" s="69">
        <f t="shared" si="16"/>
        <v>0</v>
      </c>
    </row>
    <row r="77" spans="1:13" s="61" customFormat="1" ht="20.25" hidden="1" customHeight="1" x14ac:dyDescent="0.25">
      <c r="A77" s="67" t="s">
        <v>199</v>
      </c>
      <c r="B77" s="68"/>
      <c r="C77" s="69"/>
      <c r="D77" s="69"/>
      <c r="E77" s="222"/>
      <c r="F77" s="222"/>
      <c r="G77" s="68"/>
      <c r="H77" s="70"/>
      <c r="I77" s="70"/>
      <c r="J77" s="71" t="str">
        <f t="shared" si="13"/>
        <v>sem descrição</v>
      </c>
      <c r="K77" s="69" t="str">
        <f>IF(C77="mensal",J77*H77*E77,IF(C77="trimestral",(J77*H77*E77)/3,IF(C77="semestral",(J77*H77*E77)/6,IF(C77="anual",(J77*H77*E77/12),"informar período"))))</f>
        <v>informar período</v>
      </c>
      <c r="L77" s="69">
        <f t="shared" si="15"/>
        <v>0</v>
      </c>
      <c r="M77" s="69">
        <f t="shared" si="16"/>
        <v>0</v>
      </c>
    </row>
    <row r="78" spans="1:13" s="61" customFormat="1" ht="20.25" customHeight="1" x14ac:dyDescent="0.25">
      <c r="A78" s="152" t="s">
        <v>320</v>
      </c>
      <c r="B78" s="147"/>
      <c r="C78" s="147"/>
      <c r="D78" s="147"/>
      <c r="E78" s="147"/>
      <c r="F78" s="147"/>
      <c r="G78" s="147"/>
      <c r="H78" s="147"/>
      <c r="I78" s="139"/>
      <c r="J78" s="155"/>
      <c r="K78" s="156">
        <f>SUM(K61:K77)</f>
        <v>0</v>
      </c>
      <c r="L78" s="157">
        <f>K78*12</f>
        <v>0</v>
      </c>
      <c r="M78" s="158">
        <f>K78*60</f>
        <v>0</v>
      </c>
    </row>
    <row r="79" spans="1:13" s="61" customFormat="1" ht="20.25" customHeight="1" x14ac:dyDescent="0.25">
      <c r="A79" s="152" t="s">
        <v>302</v>
      </c>
      <c r="B79" s="147"/>
      <c r="C79" s="147"/>
      <c r="D79" s="147"/>
      <c r="E79" s="147"/>
      <c r="F79" s="147"/>
      <c r="G79" s="147"/>
      <c r="H79" s="147"/>
      <c r="I79" s="139"/>
      <c r="J79" s="155"/>
      <c r="K79" s="156"/>
      <c r="L79" s="157"/>
      <c r="M79" s="158">
        <f>K78/SUM(C57:M59)</f>
        <v>0</v>
      </c>
    </row>
    <row r="80" spans="1:13" s="61" customFormat="1" ht="20.25" customHeight="1" x14ac:dyDescent="0.25">
      <c r="A80" s="235" t="s">
        <v>273</v>
      </c>
      <c r="B80" s="143" t="s">
        <v>19</v>
      </c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4"/>
    </row>
    <row r="81" spans="1:13" s="61" customFormat="1" ht="20.25" customHeight="1" x14ac:dyDescent="0.25">
      <c r="A81" s="62">
        <v>1</v>
      </c>
      <c r="B81" s="63" t="s">
        <v>274</v>
      </c>
      <c r="C81" s="216" t="str">
        <f>'[1]planilha - proposta'!C25</f>
        <v>Auxiliar de Nutrição</v>
      </c>
      <c r="D81" s="217"/>
      <c r="E81" s="217"/>
      <c r="F81" s="217"/>
      <c r="G81" s="217"/>
      <c r="H81" s="145"/>
      <c r="I81" s="145"/>
      <c r="J81" s="145"/>
      <c r="K81" s="145"/>
      <c r="L81" s="145"/>
      <c r="M81" s="146"/>
    </row>
    <row r="82" spans="1:13" s="61" customFormat="1" ht="20.25" customHeight="1" x14ac:dyDescent="0.25">
      <c r="A82" s="62">
        <v>2</v>
      </c>
      <c r="B82" s="63" t="str">
        <f>'planilha - proposta'!D25</f>
        <v>Auxiliar de Nutrição - 12x36d</v>
      </c>
      <c r="C82" s="216">
        <f>VLOOKUP(B82,'[1]planilha - proposta'!$D$17:$E$62,2,FALSE)</f>
        <v>4</v>
      </c>
      <c r="D82" s="217"/>
      <c r="E82" s="217"/>
      <c r="F82" s="217"/>
      <c r="G82" s="217"/>
      <c r="H82" s="145"/>
      <c r="I82" s="145"/>
      <c r="J82" s="145"/>
      <c r="K82" s="145"/>
      <c r="L82" s="145"/>
      <c r="M82" s="146"/>
    </row>
    <row r="83" spans="1:13" s="61" customFormat="1" ht="20.25" customHeight="1" x14ac:dyDescent="0.25">
      <c r="A83" s="62">
        <v>3</v>
      </c>
      <c r="B83" s="63" t="str">
        <f>'planilha - proposta'!D26</f>
        <v>Auxiliar de Nutrição - 12x36n</v>
      </c>
      <c r="C83" s="216">
        <f>VLOOKUP(B83,'[1]planilha - proposta'!$D$17:$E$62,2,FALSE)</f>
        <v>4</v>
      </c>
      <c r="D83" s="217"/>
      <c r="E83" s="217"/>
      <c r="F83" s="217"/>
      <c r="G83" s="217"/>
      <c r="H83" s="145"/>
      <c r="I83" s="145"/>
      <c r="J83" s="145"/>
      <c r="K83" s="145"/>
      <c r="L83" s="145"/>
      <c r="M83" s="146"/>
    </row>
    <row r="84" spans="1:13" s="61" customFormat="1" ht="20.25" customHeight="1" x14ac:dyDescent="0.25">
      <c r="A84" s="62">
        <v>4</v>
      </c>
      <c r="B84" s="63" t="str">
        <f>'planilha - proposta'!D27</f>
        <v>Auxiliar de Nutrição - 44h</v>
      </c>
      <c r="C84" s="216">
        <f>VLOOKUP(B84,'[1]planilha - proposta'!$D$17:$E$62,2,FALSE)</f>
        <v>5</v>
      </c>
      <c r="D84" s="217"/>
      <c r="E84" s="217"/>
      <c r="F84" s="217"/>
      <c r="G84" s="217"/>
      <c r="H84" s="145"/>
      <c r="I84" s="145"/>
      <c r="J84" s="145"/>
      <c r="K84" s="145"/>
      <c r="L84" s="145"/>
      <c r="M84" s="146"/>
    </row>
    <row r="85" spans="1:13" s="61" customFormat="1" ht="52.5" customHeight="1" x14ac:dyDescent="0.25">
      <c r="A85" s="64" t="s">
        <v>273</v>
      </c>
      <c r="B85" s="65" t="s">
        <v>275</v>
      </c>
      <c r="C85" s="218" t="s">
        <v>276</v>
      </c>
      <c r="D85" s="218" t="s">
        <v>277</v>
      </c>
      <c r="E85" s="218" t="s">
        <v>278</v>
      </c>
      <c r="F85" s="218" t="s">
        <v>303</v>
      </c>
      <c r="G85" s="223" t="s">
        <v>280</v>
      </c>
      <c r="H85" s="65" t="s">
        <v>304</v>
      </c>
      <c r="I85" s="66" t="s">
        <v>305</v>
      </c>
      <c r="J85" s="66" t="s">
        <v>318</v>
      </c>
      <c r="K85" s="65" t="s">
        <v>284</v>
      </c>
      <c r="L85" s="65" t="s">
        <v>285</v>
      </c>
      <c r="M85" s="66" t="s">
        <v>286</v>
      </c>
    </row>
    <row r="86" spans="1:13" s="61" customFormat="1" ht="20.25" hidden="1" customHeight="1" x14ac:dyDescent="0.25">
      <c r="A86" s="67"/>
      <c r="B86" s="68"/>
      <c r="C86" s="69"/>
      <c r="D86" s="69"/>
      <c r="E86" s="222"/>
      <c r="F86" s="222"/>
      <c r="G86" s="68"/>
      <c r="H86" s="70"/>
      <c r="I86" s="71">
        <f t="shared" ref="I86:I92" si="18">SUM($C$82:$M$84)</f>
        <v>13</v>
      </c>
      <c r="J86" s="71" t="str">
        <f t="shared" ref="J86:J101" si="19">IF(B86="","sem descrição",IF($C$82&gt;=$C$83,IF($C$84&gt;0,$C$82/2+$C$84,$C$82/2),IF($C$84&gt;0,$C$83/5+$C$84,$C$84)))</f>
        <v>sem descrição</v>
      </c>
      <c r="K86" s="69">
        <f>IF(C86="mensal",IF(F86&gt;0,F86*H86,IF(D86="descartável",((SUM($C$82:$C$83)/2)+$C$84)*E86*H86,IF(D86="pessoal",E86*H86*I86,E86*H86*J86))),0)+IF(C86="trimestral",IF(F86&gt;0,F86*H86/3,IF(D86="descartável",(((SUM($C$82:$C$83)/2)+$C$84)*E86*H86)/3,IF(D86="pessoal",(E86*H86*I86)/3,(E86*H86*J86)/3))),0)+IF(C86="semestral",IF(F86&gt;0,F86*H86/6,IF(D86="descartável",(((SUM($C$82:$C$83)/2)+$C$84)*E86*H86)/6,IF(D86="pessoal",(E86*H86*I86)/6,(E86*H86*J86)/6))),0)+IF(C86="anual",IF(F86&gt;0,F86*H86/12,IF(D86="descartável",(((SUM($C$82:$C$83)/2)+$C$84)*E86*H86)/12,IF(D86="pessoal",(E86*H86*I86)/12,(E86*H86*J86)/12))),0)</f>
        <v>0</v>
      </c>
      <c r="L86" s="69">
        <f>IFERROR(K86*12, 0)</f>
        <v>0</v>
      </c>
      <c r="M86" s="69">
        <f>IFERROR(K86*60,0)</f>
        <v>0</v>
      </c>
    </row>
    <row r="87" spans="1:13" s="61" customFormat="1" ht="20.25" customHeight="1" x14ac:dyDescent="0.25">
      <c r="A87" s="67" t="s">
        <v>108</v>
      </c>
      <c r="B87" s="68" t="s">
        <v>294</v>
      </c>
      <c r="C87" s="69" t="s">
        <v>288</v>
      </c>
      <c r="D87" s="69" t="s">
        <v>289</v>
      </c>
      <c r="E87" s="222">
        <v>90</v>
      </c>
      <c r="F87" s="222">
        <v>0</v>
      </c>
      <c r="G87" s="68" t="s">
        <v>290</v>
      </c>
      <c r="H87" s="70">
        <f>VLOOKUP(B87,custoEPI!$B$6:$E$29,4,FALSE)</f>
        <v>0</v>
      </c>
      <c r="I87" s="71">
        <f t="shared" si="18"/>
        <v>13</v>
      </c>
      <c r="J87" s="71">
        <f t="shared" si="19"/>
        <v>7</v>
      </c>
      <c r="K87" s="69">
        <f t="shared" ref="K87:K92" si="20">IF(C87="mensal",IF(F87&gt;0,F87*H87,IF(D87="descartável",((SUM($C$82:$C$83)/2)+$C$84)*E87*H87,IF(D87="pessoal",E87*H87*I87,E87*H87*J87))),0)+IF(C87="trimestral",IF(F87&gt;0,F87*H87/3,IF(D87="descartável",(((SUM($C$82:$C$83)/2)+$C$84)*E87*H87)/3,IF(D87="pessoal",(E87*H87*I87)/3,(E87*H87*J87)/3))),0)+IF(C87="semestral",IF(F87&gt;0,F87*H87/6,IF(D87="descartável",(((SUM($C$82:$C$83)/2)+$C$84)*E87*H87)/6,IF(D87="pessoal",(E87*H87*I87)/6,(E87*H87*J87)/6))),0)+IF(C87="anual",IF(F87&gt;0,F87*H87/12,IF(D87="descartável",(((SUM($C$82:$C$83)/2)+$C$84)*E87*H87)/12,IF(D87="pessoal",(E87*H87*I87)/12,(E87*H87*J87)/12))),0)</f>
        <v>0</v>
      </c>
      <c r="L87" s="69">
        <f t="shared" ref="L87:L102" si="21">IFERROR(K87*12, 0)</f>
        <v>0</v>
      </c>
      <c r="M87" s="69">
        <f t="shared" ref="M87:M102" si="22">IFERROR(K87*60,0)</f>
        <v>0</v>
      </c>
    </row>
    <row r="88" spans="1:13" s="61" customFormat="1" ht="20.25" customHeight="1" x14ac:dyDescent="0.25">
      <c r="A88" s="67" t="s">
        <v>110</v>
      </c>
      <c r="B88" s="68" t="s">
        <v>287</v>
      </c>
      <c r="C88" s="69" t="s">
        <v>288</v>
      </c>
      <c r="D88" s="69" t="s">
        <v>289</v>
      </c>
      <c r="E88" s="222">
        <f>3*30</f>
        <v>90</v>
      </c>
      <c r="F88" s="222">
        <v>0</v>
      </c>
      <c r="G88" s="68" t="s">
        <v>290</v>
      </c>
      <c r="H88" s="70">
        <f>VLOOKUP(B88,custoEPI!$B$6:$E$29,4,FALSE)</f>
        <v>0</v>
      </c>
      <c r="I88" s="71">
        <f t="shared" si="18"/>
        <v>13</v>
      </c>
      <c r="J88" s="71">
        <f t="shared" si="19"/>
        <v>7</v>
      </c>
      <c r="K88" s="69">
        <f t="shared" si="20"/>
        <v>0</v>
      </c>
      <c r="L88" s="69">
        <f t="shared" si="21"/>
        <v>0</v>
      </c>
      <c r="M88" s="69">
        <f t="shared" si="22"/>
        <v>0</v>
      </c>
    </row>
    <row r="89" spans="1:13" s="61" customFormat="1" ht="20.25" customHeight="1" x14ac:dyDescent="0.25">
      <c r="A89" s="67" t="s">
        <v>111</v>
      </c>
      <c r="B89" s="68" t="s">
        <v>313</v>
      </c>
      <c r="C89" s="69" t="s">
        <v>288</v>
      </c>
      <c r="D89" s="69" t="s">
        <v>289</v>
      </c>
      <c r="E89" s="222">
        <v>48</v>
      </c>
      <c r="F89" s="222">
        <v>0</v>
      </c>
      <c r="G89" s="68" t="s">
        <v>290</v>
      </c>
      <c r="H89" s="70">
        <f>VLOOKUP(B89,custoEPI!$B$6:$E$29,4,FALSE)</f>
        <v>0</v>
      </c>
      <c r="I89" s="71">
        <f t="shared" si="18"/>
        <v>13</v>
      </c>
      <c r="J89" s="71">
        <f t="shared" si="19"/>
        <v>7</v>
      </c>
      <c r="K89" s="69">
        <f t="shared" si="20"/>
        <v>0</v>
      </c>
      <c r="L89" s="69">
        <f t="shared" si="21"/>
        <v>0</v>
      </c>
      <c r="M89" s="69">
        <f t="shared" si="22"/>
        <v>0</v>
      </c>
    </row>
    <row r="90" spans="1:13" s="61" customFormat="1" ht="20.25" customHeight="1" x14ac:dyDescent="0.25">
      <c r="A90" s="67" t="s">
        <v>113</v>
      </c>
      <c r="B90" s="68" t="s">
        <v>319</v>
      </c>
      <c r="C90" s="69" t="s">
        <v>288</v>
      </c>
      <c r="D90" s="69" t="s">
        <v>289</v>
      </c>
      <c r="E90" s="222">
        <f>(100*12)/8</f>
        <v>150</v>
      </c>
      <c r="F90" s="222">
        <v>0</v>
      </c>
      <c r="G90" s="68" t="s">
        <v>290</v>
      </c>
      <c r="H90" s="70">
        <f>VLOOKUP(B90,custoEPI!$B$6:$E$29,4,FALSE)</f>
        <v>0</v>
      </c>
      <c r="I90" s="71">
        <f t="shared" si="18"/>
        <v>13</v>
      </c>
      <c r="J90" s="71">
        <f t="shared" si="19"/>
        <v>7</v>
      </c>
      <c r="K90" s="69">
        <f t="shared" si="20"/>
        <v>0</v>
      </c>
      <c r="L90" s="69">
        <f t="shared" si="21"/>
        <v>0</v>
      </c>
      <c r="M90" s="69">
        <f t="shared" si="22"/>
        <v>0</v>
      </c>
    </row>
    <row r="91" spans="1:13" s="61" customFormat="1" ht="20.25" customHeight="1" x14ac:dyDescent="0.25">
      <c r="A91" s="67" t="s">
        <v>114</v>
      </c>
      <c r="B91" s="68" t="s">
        <v>299</v>
      </c>
      <c r="C91" s="69" t="s">
        <v>300</v>
      </c>
      <c r="D91" s="69" t="s">
        <v>292</v>
      </c>
      <c r="E91" s="222">
        <v>2</v>
      </c>
      <c r="F91" s="222">
        <v>0</v>
      </c>
      <c r="G91" s="68" t="s">
        <v>290</v>
      </c>
      <c r="H91" s="70">
        <f>VLOOKUP(B91,custoEPI!$B$6:$E$29,4,FALSE)</f>
        <v>0</v>
      </c>
      <c r="I91" s="71">
        <f t="shared" si="18"/>
        <v>13</v>
      </c>
      <c r="J91" s="71">
        <f t="shared" si="19"/>
        <v>7</v>
      </c>
      <c r="K91" s="69">
        <f t="shared" si="20"/>
        <v>0</v>
      </c>
      <c r="L91" s="69">
        <f t="shared" si="21"/>
        <v>0</v>
      </c>
      <c r="M91" s="69">
        <f t="shared" si="22"/>
        <v>0</v>
      </c>
    </row>
    <row r="92" spans="1:13" s="61" customFormat="1" ht="20.25" customHeight="1" x14ac:dyDescent="0.25">
      <c r="A92" s="67" t="s">
        <v>115</v>
      </c>
      <c r="B92" s="68" t="s">
        <v>295</v>
      </c>
      <c r="C92" s="69" t="s">
        <v>296</v>
      </c>
      <c r="D92" s="69" t="s">
        <v>292</v>
      </c>
      <c r="E92" s="222">
        <v>1</v>
      </c>
      <c r="F92" s="222">
        <v>0</v>
      </c>
      <c r="G92" s="68" t="s">
        <v>290</v>
      </c>
      <c r="H92" s="70">
        <f>VLOOKUP(B92,custoEPI!$B$6:$E$29,4,FALSE)</f>
        <v>0</v>
      </c>
      <c r="I92" s="71">
        <f t="shared" si="18"/>
        <v>13</v>
      </c>
      <c r="J92" s="71">
        <f t="shared" si="19"/>
        <v>7</v>
      </c>
      <c r="K92" s="69">
        <f t="shared" si="20"/>
        <v>0</v>
      </c>
      <c r="L92" s="69">
        <f t="shared" si="21"/>
        <v>0</v>
      </c>
      <c r="M92" s="69">
        <f t="shared" si="22"/>
        <v>0</v>
      </c>
    </row>
    <row r="93" spans="1:13" s="61" customFormat="1" ht="20.25" hidden="1" customHeight="1" x14ac:dyDescent="0.25">
      <c r="A93" s="67" t="s">
        <v>118</v>
      </c>
      <c r="B93" s="68"/>
      <c r="C93" s="69"/>
      <c r="D93" s="69"/>
      <c r="E93" s="222"/>
      <c r="F93" s="222"/>
      <c r="G93" s="68"/>
      <c r="H93" s="70" t="e">
        <f>VLOOKUP(B93,custoEPI!$B$6:$E$29,4,FALSE)</f>
        <v>#N/A</v>
      </c>
      <c r="I93" s="71"/>
      <c r="J93" s="71" t="str">
        <f t="shared" si="19"/>
        <v>sem descrição</v>
      </c>
      <c r="K93" s="69" t="str">
        <f t="shared" ref="K93:K101" si="23">IF(C93="mensal",J93*H93*E93,IF(C93="trimestral",(J93*H93*E93)/3,IF(C93="semestral",(J93*H93*E93)/6,IF(C93="anual",(J93*H93*E93/12),"informar entrega"))))</f>
        <v>informar entrega</v>
      </c>
      <c r="L93" s="69">
        <f t="shared" si="21"/>
        <v>0</v>
      </c>
      <c r="M93" s="69">
        <f t="shared" si="22"/>
        <v>0</v>
      </c>
    </row>
    <row r="94" spans="1:13" s="61" customFormat="1" ht="20.25" hidden="1" customHeight="1" x14ac:dyDescent="0.25">
      <c r="A94" s="67" t="s">
        <v>121</v>
      </c>
      <c r="B94" s="68"/>
      <c r="C94" s="69"/>
      <c r="D94" s="69"/>
      <c r="E94" s="222"/>
      <c r="F94" s="222"/>
      <c r="G94" s="68"/>
      <c r="H94" s="70" t="e">
        <f>VLOOKUP(B94,custoEPI!$B$6:$E$29,4,FALSE)</f>
        <v>#N/A</v>
      </c>
      <c r="I94" s="71"/>
      <c r="J94" s="71" t="str">
        <f t="shared" si="19"/>
        <v>sem descrição</v>
      </c>
      <c r="K94" s="69" t="str">
        <f t="shared" si="23"/>
        <v>informar entrega</v>
      </c>
      <c r="L94" s="69">
        <f t="shared" si="21"/>
        <v>0</v>
      </c>
      <c r="M94" s="69">
        <f t="shared" si="22"/>
        <v>0</v>
      </c>
    </row>
    <row r="95" spans="1:13" s="61" customFormat="1" ht="20.25" hidden="1" customHeight="1" x14ac:dyDescent="0.25">
      <c r="A95" s="67" t="s">
        <v>125</v>
      </c>
      <c r="B95" s="68"/>
      <c r="C95" s="69"/>
      <c r="D95" s="69"/>
      <c r="E95" s="222"/>
      <c r="F95" s="222"/>
      <c r="G95" s="68"/>
      <c r="H95" s="70"/>
      <c r="I95" s="71"/>
      <c r="J95" s="71" t="str">
        <f t="shared" si="19"/>
        <v>sem descrição</v>
      </c>
      <c r="K95" s="69" t="str">
        <f t="shared" si="23"/>
        <v>informar entrega</v>
      </c>
      <c r="L95" s="69">
        <f t="shared" si="21"/>
        <v>0</v>
      </c>
      <c r="M95" s="69">
        <f t="shared" si="22"/>
        <v>0</v>
      </c>
    </row>
    <row r="96" spans="1:13" s="61" customFormat="1" ht="20.25" hidden="1" customHeight="1" x14ac:dyDescent="0.25">
      <c r="A96" s="67" t="s">
        <v>127</v>
      </c>
      <c r="B96" s="68"/>
      <c r="C96" s="69"/>
      <c r="D96" s="69"/>
      <c r="E96" s="222"/>
      <c r="F96" s="222"/>
      <c r="G96" s="68"/>
      <c r="H96" s="70"/>
      <c r="I96" s="70"/>
      <c r="J96" s="71" t="str">
        <f t="shared" si="19"/>
        <v>sem descrição</v>
      </c>
      <c r="K96" s="69" t="str">
        <f t="shared" si="23"/>
        <v>informar entrega</v>
      </c>
      <c r="L96" s="69">
        <f t="shared" si="21"/>
        <v>0</v>
      </c>
      <c r="M96" s="69">
        <f t="shared" si="22"/>
        <v>0</v>
      </c>
    </row>
    <row r="97" spans="1:13" s="61" customFormat="1" ht="20.25" hidden="1" customHeight="1" x14ac:dyDescent="0.25">
      <c r="A97" s="67" t="s">
        <v>129</v>
      </c>
      <c r="B97" s="68"/>
      <c r="C97" s="69"/>
      <c r="D97" s="69"/>
      <c r="E97" s="222"/>
      <c r="F97" s="222"/>
      <c r="G97" s="68"/>
      <c r="H97" s="70"/>
      <c r="I97" s="70"/>
      <c r="J97" s="71" t="str">
        <f t="shared" si="19"/>
        <v>sem descrição</v>
      </c>
      <c r="K97" s="69" t="str">
        <f t="shared" si="23"/>
        <v>informar entrega</v>
      </c>
      <c r="L97" s="69">
        <f t="shared" si="21"/>
        <v>0</v>
      </c>
      <c r="M97" s="69">
        <f t="shared" si="22"/>
        <v>0</v>
      </c>
    </row>
    <row r="98" spans="1:13" s="61" customFormat="1" ht="20.25" hidden="1" customHeight="1" x14ac:dyDescent="0.25">
      <c r="A98" s="67" t="s">
        <v>131</v>
      </c>
      <c r="B98" s="68"/>
      <c r="C98" s="69"/>
      <c r="D98" s="69"/>
      <c r="E98" s="222"/>
      <c r="F98" s="222"/>
      <c r="G98" s="68"/>
      <c r="H98" s="70"/>
      <c r="I98" s="70"/>
      <c r="J98" s="71" t="str">
        <f t="shared" si="19"/>
        <v>sem descrição</v>
      </c>
      <c r="K98" s="69" t="str">
        <f t="shared" si="23"/>
        <v>informar entrega</v>
      </c>
      <c r="L98" s="69">
        <f t="shared" si="21"/>
        <v>0</v>
      </c>
      <c r="M98" s="69">
        <f t="shared" si="22"/>
        <v>0</v>
      </c>
    </row>
    <row r="99" spans="1:13" s="61" customFormat="1" ht="20.25" hidden="1" customHeight="1" x14ac:dyDescent="0.25">
      <c r="A99" s="67" t="s">
        <v>188</v>
      </c>
      <c r="B99" s="68"/>
      <c r="C99" s="69"/>
      <c r="D99" s="69"/>
      <c r="E99" s="222"/>
      <c r="F99" s="222"/>
      <c r="G99" s="68"/>
      <c r="H99" s="70"/>
      <c r="I99" s="70"/>
      <c r="J99" s="71" t="str">
        <f t="shared" si="19"/>
        <v>sem descrição</v>
      </c>
      <c r="K99" s="69" t="str">
        <f t="shared" si="23"/>
        <v>informar entrega</v>
      </c>
      <c r="L99" s="69">
        <f t="shared" si="21"/>
        <v>0</v>
      </c>
      <c r="M99" s="69">
        <f t="shared" si="22"/>
        <v>0</v>
      </c>
    </row>
    <row r="100" spans="1:13" s="61" customFormat="1" ht="20.25" hidden="1" customHeight="1" x14ac:dyDescent="0.25">
      <c r="A100" s="67" t="s">
        <v>192</v>
      </c>
      <c r="B100" s="68"/>
      <c r="C100" s="69"/>
      <c r="D100" s="69"/>
      <c r="E100" s="222"/>
      <c r="F100" s="222"/>
      <c r="G100" s="68"/>
      <c r="H100" s="70"/>
      <c r="I100" s="70"/>
      <c r="J100" s="71" t="str">
        <f t="shared" si="19"/>
        <v>sem descrição</v>
      </c>
      <c r="K100" s="69" t="str">
        <f t="shared" si="23"/>
        <v>informar entrega</v>
      </c>
      <c r="L100" s="69">
        <f t="shared" si="21"/>
        <v>0</v>
      </c>
      <c r="M100" s="69">
        <f t="shared" si="22"/>
        <v>0</v>
      </c>
    </row>
    <row r="101" spans="1:13" s="61" customFormat="1" ht="20.25" hidden="1" customHeight="1" x14ac:dyDescent="0.25">
      <c r="A101" s="67" t="s">
        <v>195</v>
      </c>
      <c r="B101" s="68"/>
      <c r="C101" s="69"/>
      <c r="D101" s="69"/>
      <c r="E101" s="222"/>
      <c r="F101" s="222"/>
      <c r="G101" s="68"/>
      <c r="H101" s="70"/>
      <c r="I101" s="70"/>
      <c r="J101" s="71" t="str">
        <f t="shared" si="19"/>
        <v>sem descrição</v>
      </c>
      <c r="K101" s="69" t="str">
        <f t="shared" si="23"/>
        <v>informar entrega</v>
      </c>
      <c r="L101" s="69">
        <f t="shared" si="21"/>
        <v>0</v>
      </c>
      <c r="M101" s="69">
        <f t="shared" si="22"/>
        <v>0</v>
      </c>
    </row>
    <row r="102" spans="1:13" s="61" customFormat="1" ht="20.25" hidden="1" customHeight="1" x14ac:dyDescent="0.25">
      <c r="A102" s="67" t="s">
        <v>199</v>
      </c>
      <c r="B102" s="68"/>
      <c r="C102" s="69"/>
      <c r="D102" s="69"/>
      <c r="E102" s="222"/>
      <c r="F102" s="222"/>
      <c r="G102" s="68"/>
      <c r="H102" s="70"/>
      <c r="I102" s="70"/>
      <c r="J102" s="71" t="str">
        <f>IF(B102="","sem descrição",$C$84)</f>
        <v>sem descrição</v>
      </c>
      <c r="K102" s="69" t="str">
        <f>IF(C102="mensal",J102*H102*E102,IF(C102="trimestral",(J102*H102*E102)/3,IF(C102="semestral",(J102*H102*E102)/6,IF(C102="anual",(J102*H102*E102/12),"informar período"))))</f>
        <v>informar período</v>
      </c>
      <c r="L102" s="69">
        <f t="shared" si="21"/>
        <v>0</v>
      </c>
      <c r="M102" s="69">
        <f t="shared" si="22"/>
        <v>0</v>
      </c>
    </row>
    <row r="103" spans="1:13" s="61" customFormat="1" ht="20.25" customHeight="1" x14ac:dyDescent="0.25">
      <c r="A103" s="152" t="s">
        <v>308</v>
      </c>
      <c r="B103" s="147"/>
      <c r="C103" s="147"/>
      <c r="D103" s="147"/>
      <c r="E103" s="147"/>
      <c r="F103" s="147"/>
      <c r="G103" s="147"/>
      <c r="H103" s="147"/>
      <c r="I103" s="139"/>
      <c r="J103" s="155"/>
      <c r="K103" s="156">
        <f>SUM(K86:K102)</f>
        <v>0</v>
      </c>
      <c r="L103" s="157">
        <f>K103*12</f>
        <v>0</v>
      </c>
      <c r="M103" s="158">
        <f>K103*60</f>
        <v>0</v>
      </c>
    </row>
    <row r="104" spans="1:13" s="61" customFormat="1" ht="20.25" customHeight="1" x14ac:dyDescent="0.25">
      <c r="A104" s="152" t="s">
        <v>302</v>
      </c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59">
        <f>K103/SUM(C82:M84)</f>
        <v>0</v>
      </c>
    </row>
    <row r="105" spans="1:13" s="61" customFormat="1" ht="20.25" hidden="1" customHeight="1" x14ac:dyDescent="0.25">
      <c r="A105" s="235" t="s">
        <v>273</v>
      </c>
      <c r="B105" s="143" t="s">
        <v>19</v>
      </c>
      <c r="C105" s="23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4"/>
    </row>
    <row r="106" spans="1:13" s="61" customFormat="1" ht="20.25" hidden="1" customHeight="1" x14ac:dyDescent="0.25">
      <c r="A106" s="62">
        <v>1</v>
      </c>
      <c r="B106" s="63" t="s">
        <v>274</v>
      </c>
      <c r="C106" s="216" t="str">
        <f>'[1]planilha - proposta'!C28</f>
        <v>Açougueiro</v>
      </c>
      <c r="D106" s="217"/>
      <c r="E106" s="217"/>
      <c r="F106" s="217"/>
      <c r="G106" s="217"/>
      <c r="H106" s="145"/>
      <c r="I106" s="145"/>
      <c r="J106" s="145"/>
      <c r="K106" s="145"/>
      <c r="L106" s="145"/>
      <c r="M106" s="146"/>
    </row>
    <row r="107" spans="1:13" s="61" customFormat="1" ht="20.25" hidden="1" customHeight="1" x14ac:dyDescent="0.25">
      <c r="A107" s="62">
        <v>2</v>
      </c>
      <c r="B107" s="63" t="str">
        <f>'planilha - proposta'!D28</f>
        <v>Açougueiro - 12x36d</v>
      </c>
      <c r="C107" s="216">
        <f>VLOOKUP(B107,'[1]planilha - proposta'!$D$17:$E$62,2,FALSE)</f>
        <v>0</v>
      </c>
      <c r="D107" s="217"/>
      <c r="E107" s="217"/>
      <c r="F107" s="217"/>
      <c r="G107" s="217"/>
      <c r="H107" s="145"/>
      <c r="I107" s="145"/>
      <c r="J107" s="145"/>
      <c r="K107" s="145"/>
      <c r="L107" s="145"/>
      <c r="M107" s="146"/>
    </row>
    <row r="108" spans="1:13" s="61" customFormat="1" ht="20.25" hidden="1" customHeight="1" x14ac:dyDescent="0.25">
      <c r="A108" s="62"/>
      <c r="B108" s="63"/>
      <c r="C108" s="216">
        <v>0</v>
      </c>
      <c r="D108" s="217"/>
      <c r="E108" s="217"/>
      <c r="F108" s="217"/>
      <c r="G108" s="217"/>
      <c r="H108" s="145"/>
      <c r="I108" s="145"/>
      <c r="J108" s="145"/>
      <c r="K108" s="145"/>
      <c r="L108" s="145"/>
      <c r="M108" s="146"/>
    </row>
    <row r="109" spans="1:13" s="61" customFormat="1" ht="20.25" hidden="1" customHeight="1" x14ac:dyDescent="0.25">
      <c r="A109" s="62">
        <v>3</v>
      </c>
      <c r="B109" s="63" t="str">
        <f>'planilha - proposta'!D29</f>
        <v>Açougueiro - 44h</v>
      </c>
      <c r="C109" s="216">
        <f>VLOOKUP(B109,'[1]planilha - proposta'!$D$17:$E$62,2,FALSE)</f>
        <v>0</v>
      </c>
      <c r="D109" s="217"/>
      <c r="E109" s="217"/>
      <c r="F109" s="217"/>
      <c r="G109" s="217"/>
      <c r="H109" s="145"/>
      <c r="I109" s="145"/>
      <c r="J109" s="145"/>
      <c r="K109" s="145"/>
      <c r="L109" s="145"/>
      <c r="M109" s="146"/>
    </row>
    <row r="110" spans="1:13" s="61" customFormat="1" ht="52.5" hidden="1" customHeight="1" x14ac:dyDescent="0.25">
      <c r="A110" s="64" t="s">
        <v>273</v>
      </c>
      <c r="B110" s="65" t="s">
        <v>275</v>
      </c>
      <c r="C110" s="218" t="s">
        <v>276</v>
      </c>
      <c r="D110" s="218" t="s">
        <v>277</v>
      </c>
      <c r="E110" s="218" t="s">
        <v>278</v>
      </c>
      <c r="F110" s="218" t="s">
        <v>303</v>
      </c>
      <c r="G110" s="223" t="s">
        <v>280</v>
      </c>
      <c r="H110" s="65" t="s">
        <v>304</v>
      </c>
      <c r="I110" s="66" t="s">
        <v>305</v>
      </c>
      <c r="J110" s="66" t="s">
        <v>318</v>
      </c>
      <c r="K110" s="65" t="s">
        <v>284</v>
      </c>
      <c r="L110" s="65" t="s">
        <v>285</v>
      </c>
      <c r="M110" s="66" t="s">
        <v>286</v>
      </c>
    </row>
    <row r="111" spans="1:13" s="61" customFormat="1" ht="20.25" hidden="1" customHeight="1" x14ac:dyDescent="0.25">
      <c r="A111" s="67" t="s">
        <v>108</v>
      </c>
      <c r="B111" s="68" t="s">
        <v>391</v>
      </c>
      <c r="C111" s="69" t="s">
        <v>298</v>
      </c>
      <c r="D111" s="69" t="s">
        <v>310</v>
      </c>
      <c r="E111" s="222">
        <v>0</v>
      </c>
      <c r="F111" s="222">
        <v>2</v>
      </c>
      <c r="G111" s="68" t="s">
        <v>290</v>
      </c>
      <c r="H111" s="70">
        <f>VLOOKUP(B111,custoEPI!$B$6:$E$29,4,FALSE)</f>
        <v>0</v>
      </c>
      <c r="I111" s="71">
        <f t="shared" ref="I111:I118" si="24">SUM($C$107:$M$109)</f>
        <v>0</v>
      </c>
      <c r="J111" s="71">
        <f t="shared" ref="J111:J127" si="25">IF(B111="","sem descrição",IF($C$107&gt;=$C$108,IF($C$109&gt;0,$C$107/2+$C$109,$C$107/2),IF($C$109&gt;0,$C$108/5+$C$109,$C$109)))</f>
        <v>0</v>
      </c>
      <c r="K111" s="69">
        <f>IF(C111="mensal",IF(F111&gt;0,F111*H111,IF(D111="descartável",((SUM($C$107:$C$108)/2)+$C$109)*E111*H111,IF(D111="pessoal",E111*H111*I111,E111*H111*J111))),0)+IF(C111="trimestral",IF(F111&gt;0,F111*H111/3,IF(D111="descartável",(((SUM($C$107:$C$108)/2)+$C$109)*E111*H111)/3,IF(D111="pessoal",(E111*H111*I111)/3,(E111*H111*J111)/3))),0)+IF(C111="semestral",IF(F111&gt;0,F111*H111/6,IF(D111="descartável",(((SUM($C$107:$C$108)/2)+$C$109)*E111*H111)/6,IF(D111="pessoal",(E111*H111*I111)/6,(E111*H111*J111)/6))),0)+IF(C111="anual",IF(F111&gt;0,F111*H111/12,IF(D111="descartável",(((SUM($C$107:$C$108)/2)+$C$109)*E111*H111)/12,IF(D111="pessoal",(E111*H111*I111)/12,(E111*H111*J111)/12))),0)</f>
        <v>0</v>
      </c>
      <c r="L111" s="69">
        <f>IFERROR(K111*12, 0)</f>
        <v>0</v>
      </c>
      <c r="M111" s="69">
        <f>IFERROR(K111*60,0)</f>
        <v>0</v>
      </c>
    </row>
    <row r="112" spans="1:13" s="61" customFormat="1" ht="20.25" hidden="1" customHeight="1" x14ac:dyDescent="0.25">
      <c r="A112" s="67" t="s">
        <v>110</v>
      </c>
      <c r="B112" s="68" t="s">
        <v>312</v>
      </c>
      <c r="C112" s="69" t="s">
        <v>300</v>
      </c>
      <c r="D112" s="69" t="s">
        <v>292</v>
      </c>
      <c r="E112" s="222">
        <v>1</v>
      </c>
      <c r="F112" s="222">
        <v>0</v>
      </c>
      <c r="G112" s="68" t="s">
        <v>290</v>
      </c>
      <c r="H112" s="70">
        <f>VLOOKUP(B112,custoEPI!$B$6:$E$29,4,FALSE)</f>
        <v>0</v>
      </c>
      <c r="I112" s="71">
        <f t="shared" si="24"/>
        <v>0</v>
      </c>
      <c r="J112" s="71">
        <f t="shared" si="25"/>
        <v>0</v>
      </c>
      <c r="K112" s="69">
        <f t="shared" ref="K112:K118" si="26">IF(C112="mensal",IF(F112&gt;0,F112*H112,IF(D112="descartável",((SUM($C$107:$C$108)/2)+$C$109)*E112*H112,IF(D112="pessoal",E112*H112*I112,E112*H112*J112))),0)+IF(C112="trimestral",IF(F112&gt;0,F112*H112/3,IF(D112="descartável",(((SUM($C$107:$C$108)/2)+$C$109)*E112*H112)/3,IF(D112="pessoal",(E112*H112*I112)/3,(E112*H112*J112)/3))),0)+IF(C112="semestral",IF(F112&gt;0,F112*H112/6,IF(D112="descartável",(((SUM($C$107:$C$108)/2)+$C$109)*E112*H112)/6,IF(D112="pessoal",(E112*H112*I112)/6,(E112*H112*J112)/6))),0)+IF(C112="anual",IF(F112&gt;0,F112*H112/12,IF(D112="descartável",(((SUM($C$107:$C$108)/2)+$C$109)*E112*H112)/12,IF(D112="pessoal",(E112*H112*I112)/12,(E112*H112*J112)/12))),0)</f>
        <v>0</v>
      </c>
      <c r="L112" s="69">
        <f t="shared" ref="L112:L127" si="27">IFERROR(K112*12, 0)</f>
        <v>0</v>
      </c>
      <c r="M112" s="69">
        <f t="shared" ref="M112:M127" si="28">IFERROR(K112*60,0)</f>
        <v>0</v>
      </c>
    </row>
    <row r="113" spans="1:13" s="61" customFormat="1" ht="20.25" hidden="1" customHeight="1" x14ac:dyDescent="0.25">
      <c r="A113" s="67" t="s">
        <v>111</v>
      </c>
      <c r="B113" s="68" t="s">
        <v>294</v>
      </c>
      <c r="C113" s="69" t="s">
        <v>288</v>
      </c>
      <c r="D113" s="69" t="s">
        <v>289</v>
      </c>
      <c r="E113" s="222">
        <f>3*26</f>
        <v>78</v>
      </c>
      <c r="F113" s="222">
        <v>0</v>
      </c>
      <c r="G113" s="68" t="s">
        <v>290</v>
      </c>
      <c r="H113" s="70">
        <f>VLOOKUP(B113,custoEPI!$B$6:$E$29,4,FALSE)</f>
        <v>0</v>
      </c>
      <c r="I113" s="71">
        <f t="shared" si="24"/>
        <v>0</v>
      </c>
      <c r="J113" s="71">
        <f t="shared" si="25"/>
        <v>0</v>
      </c>
      <c r="K113" s="69">
        <f t="shared" si="26"/>
        <v>0</v>
      </c>
      <c r="L113" s="69">
        <f t="shared" si="27"/>
        <v>0</v>
      </c>
      <c r="M113" s="69">
        <f t="shared" si="28"/>
        <v>0</v>
      </c>
    </row>
    <row r="114" spans="1:13" s="61" customFormat="1" ht="20.25" hidden="1" customHeight="1" x14ac:dyDescent="0.25">
      <c r="A114" s="67" t="s">
        <v>113</v>
      </c>
      <c r="B114" s="68" t="s">
        <v>287</v>
      </c>
      <c r="C114" s="69" t="s">
        <v>288</v>
      </c>
      <c r="D114" s="69" t="s">
        <v>289</v>
      </c>
      <c r="E114" s="222">
        <f>3*26</f>
        <v>78</v>
      </c>
      <c r="F114" s="222">
        <v>0</v>
      </c>
      <c r="G114" s="68" t="s">
        <v>290</v>
      </c>
      <c r="H114" s="70">
        <f>VLOOKUP(B114,custoEPI!$B$6:$E$29,4,FALSE)</f>
        <v>0</v>
      </c>
      <c r="I114" s="71">
        <f t="shared" si="24"/>
        <v>0</v>
      </c>
      <c r="J114" s="71">
        <f t="shared" si="25"/>
        <v>0</v>
      </c>
      <c r="K114" s="69">
        <f t="shared" si="26"/>
        <v>0</v>
      </c>
      <c r="L114" s="69">
        <f t="shared" si="27"/>
        <v>0</v>
      </c>
      <c r="M114" s="69">
        <f t="shared" si="28"/>
        <v>0</v>
      </c>
    </row>
    <row r="115" spans="1:13" s="61" customFormat="1" ht="20.25" hidden="1" customHeight="1" x14ac:dyDescent="0.25">
      <c r="A115" s="67" t="s">
        <v>114</v>
      </c>
      <c r="B115" s="68" t="s">
        <v>313</v>
      </c>
      <c r="C115" s="69" t="s">
        <v>288</v>
      </c>
      <c r="D115" s="69" t="s">
        <v>289</v>
      </c>
      <c r="E115" s="222">
        <v>48</v>
      </c>
      <c r="F115" s="222">
        <v>0</v>
      </c>
      <c r="G115" s="68" t="s">
        <v>290</v>
      </c>
      <c r="H115" s="70">
        <f>VLOOKUP(B115,custoEPI!$B$6:$E$29,4,FALSE)</f>
        <v>0</v>
      </c>
      <c r="I115" s="71">
        <f t="shared" si="24"/>
        <v>0</v>
      </c>
      <c r="J115" s="71">
        <f t="shared" si="25"/>
        <v>0</v>
      </c>
      <c r="K115" s="69">
        <f t="shared" si="26"/>
        <v>0</v>
      </c>
      <c r="L115" s="69">
        <f t="shared" si="27"/>
        <v>0</v>
      </c>
      <c r="M115" s="69">
        <f t="shared" si="28"/>
        <v>0</v>
      </c>
    </row>
    <row r="116" spans="1:13" s="61" customFormat="1" ht="20.25" hidden="1" customHeight="1" x14ac:dyDescent="0.25">
      <c r="A116" s="67"/>
      <c r="B116" s="68"/>
      <c r="C116" s="69"/>
      <c r="D116" s="69"/>
      <c r="E116" s="222"/>
      <c r="F116" s="222"/>
      <c r="G116" s="68"/>
      <c r="H116" s="70" t="e">
        <f>VLOOKUP(B116,custoEPI!$B$6:$E$29,4,FALSE)</f>
        <v>#N/A</v>
      </c>
      <c r="I116" s="71">
        <f t="shared" si="24"/>
        <v>0</v>
      </c>
      <c r="J116" s="71" t="str">
        <f t="shared" si="25"/>
        <v>sem descrição</v>
      </c>
      <c r="K116" s="69">
        <f t="shared" si="26"/>
        <v>0</v>
      </c>
      <c r="L116" s="69">
        <f t="shared" si="27"/>
        <v>0</v>
      </c>
      <c r="M116" s="69">
        <f t="shared" si="28"/>
        <v>0</v>
      </c>
    </row>
    <row r="117" spans="1:13" s="61" customFormat="1" ht="20.25" hidden="1" customHeight="1" x14ac:dyDescent="0.25">
      <c r="A117" s="67"/>
      <c r="B117" s="68"/>
      <c r="C117" s="69"/>
      <c r="D117" s="69"/>
      <c r="E117" s="222"/>
      <c r="F117" s="222"/>
      <c r="G117" s="68"/>
      <c r="H117" s="70" t="e">
        <f>VLOOKUP(B117,custoEPI!$B$6:$E$29,4,FALSE)</f>
        <v>#N/A</v>
      </c>
      <c r="I117" s="71">
        <f t="shared" si="24"/>
        <v>0</v>
      </c>
      <c r="J117" s="71" t="str">
        <f t="shared" si="25"/>
        <v>sem descrição</v>
      </c>
      <c r="K117" s="69">
        <f t="shared" si="26"/>
        <v>0</v>
      </c>
      <c r="L117" s="69">
        <f t="shared" si="27"/>
        <v>0</v>
      </c>
      <c r="M117" s="69">
        <f t="shared" si="28"/>
        <v>0</v>
      </c>
    </row>
    <row r="118" spans="1:13" s="61" customFormat="1" ht="20.25" hidden="1" customHeight="1" x14ac:dyDescent="0.25">
      <c r="A118" s="67" t="s">
        <v>115</v>
      </c>
      <c r="B118" s="68" t="s">
        <v>307</v>
      </c>
      <c r="C118" s="69" t="s">
        <v>300</v>
      </c>
      <c r="D118" s="69" t="s">
        <v>292</v>
      </c>
      <c r="E118" s="222">
        <v>1</v>
      </c>
      <c r="F118" s="222">
        <v>0</v>
      </c>
      <c r="G118" s="68" t="s">
        <v>290</v>
      </c>
      <c r="H118" s="70">
        <f>VLOOKUP(B118,custoEPI!$B$6:$E$29,4,FALSE)</f>
        <v>0</v>
      </c>
      <c r="I118" s="71">
        <f t="shared" si="24"/>
        <v>0</v>
      </c>
      <c r="J118" s="71">
        <f t="shared" si="25"/>
        <v>0</v>
      </c>
      <c r="K118" s="69">
        <f t="shared" si="26"/>
        <v>0</v>
      </c>
      <c r="L118" s="69">
        <f t="shared" si="27"/>
        <v>0</v>
      </c>
      <c r="M118" s="69">
        <f t="shared" si="28"/>
        <v>0</v>
      </c>
    </row>
    <row r="119" spans="1:13" s="61" customFormat="1" ht="20.25" hidden="1" customHeight="1" x14ac:dyDescent="0.25">
      <c r="A119" s="67" t="s">
        <v>121</v>
      </c>
      <c r="B119" s="68"/>
      <c r="C119" s="69"/>
      <c r="D119" s="69"/>
      <c r="E119" s="222"/>
      <c r="F119" s="222"/>
      <c r="G119" s="68"/>
      <c r="H119" s="70"/>
      <c r="I119" s="71"/>
      <c r="J119" s="71" t="str">
        <f t="shared" si="25"/>
        <v>sem descrição</v>
      </c>
      <c r="K119" s="69" t="str">
        <f t="shared" ref="K119:K126" si="29">IF(C119="mensal",J119*H119*E119,IF(C119="trimestral",(J119*H119*E119)/3,IF(C119="semestral",(J119*H119*E119)/6,IF(C119="anual",(J119*H119*E119/12),"informar entrega"))))</f>
        <v>informar entrega</v>
      </c>
      <c r="L119" s="69">
        <f t="shared" si="27"/>
        <v>0</v>
      </c>
      <c r="M119" s="69">
        <f t="shared" si="28"/>
        <v>0</v>
      </c>
    </row>
    <row r="120" spans="1:13" s="61" customFormat="1" ht="20.25" hidden="1" customHeight="1" x14ac:dyDescent="0.25">
      <c r="A120" s="67" t="s">
        <v>125</v>
      </c>
      <c r="B120" s="68"/>
      <c r="C120" s="69"/>
      <c r="D120" s="69"/>
      <c r="E120" s="222"/>
      <c r="F120" s="222"/>
      <c r="G120" s="68"/>
      <c r="H120" s="70"/>
      <c r="I120" s="71"/>
      <c r="J120" s="71" t="str">
        <f t="shared" si="25"/>
        <v>sem descrição</v>
      </c>
      <c r="K120" s="69" t="str">
        <f t="shared" si="29"/>
        <v>informar entrega</v>
      </c>
      <c r="L120" s="69">
        <f t="shared" si="27"/>
        <v>0</v>
      </c>
      <c r="M120" s="69">
        <f t="shared" si="28"/>
        <v>0</v>
      </c>
    </row>
    <row r="121" spans="1:13" s="61" customFormat="1" ht="20.25" hidden="1" customHeight="1" x14ac:dyDescent="0.25">
      <c r="A121" s="67" t="s">
        <v>127</v>
      </c>
      <c r="B121" s="68"/>
      <c r="C121" s="69"/>
      <c r="D121" s="69"/>
      <c r="E121" s="222"/>
      <c r="F121" s="222"/>
      <c r="G121" s="68"/>
      <c r="H121" s="70"/>
      <c r="I121" s="70"/>
      <c r="J121" s="71" t="str">
        <f t="shared" si="25"/>
        <v>sem descrição</v>
      </c>
      <c r="K121" s="69" t="str">
        <f t="shared" si="29"/>
        <v>informar entrega</v>
      </c>
      <c r="L121" s="69">
        <f t="shared" si="27"/>
        <v>0</v>
      </c>
      <c r="M121" s="69">
        <f t="shared" si="28"/>
        <v>0</v>
      </c>
    </row>
    <row r="122" spans="1:13" s="61" customFormat="1" ht="20.25" hidden="1" customHeight="1" x14ac:dyDescent="0.25">
      <c r="A122" s="67" t="s">
        <v>129</v>
      </c>
      <c r="B122" s="68"/>
      <c r="C122" s="69"/>
      <c r="D122" s="69"/>
      <c r="E122" s="222"/>
      <c r="F122" s="222"/>
      <c r="G122" s="68"/>
      <c r="H122" s="70"/>
      <c r="I122" s="70"/>
      <c r="J122" s="71" t="str">
        <f t="shared" si="25"/>
        <v>sem descrição</v>
      </c>
      <c r="K122" s="69" t="str">
        <f t="shared" si="29"/>
        <v>informar entrega</v>
      </c>
      <c r="L122" s="69">
        <f t="shared" si="27"/>
        <v>0</v>
      </c>
      <c r="M122" s="69">
        <f t="shared" si="28"/>
        <v>0</v>
      </c>
    </row>
    <row r="123" spans="1:13" s="61" customFormat="1" ht="20.25" hidden="1" customHeight="1" x14ac:dyDescent="0.25">
      <c r="A123" s="67" t="s">
        <v>131</v>
      </c>
      <c r="B123" s="68"/>
      <c r="C123" s="69"/>
      <c r="D123" s="69"/>
      <c r="E123" s="222"/>
      <c r="F123" s="222"/>
      <c r="G123" s="68"/>
      <c r="H123" s="70"/>
      <c r="I123" s="70"/>
      <c r="J123" s="71" t="str">
        <f t="shared" si="25"/>
        <v>sem descrição</v>
      </c>
      <c r="K123" s="69" t="str">
        <f t="shared" si="29"/>
        <v>informar entrega</v>
      </c>
      <c r="L123" s="69">
        <f t="shared" si="27"/>
        <v>0</v>
      </c>
      <c r="M123" s="69">
        <f t="shared" si="28"/>
        <v>0</v>
      </c>
    </row>
    <row r="124" spans="1:13" s="61" customFormat="1" ht="20.25" hidden="1" customHeight="1" x14ac:dyDescent="0.25">
      <c r="A124" s="67" t="s">
        <v>188</v>
      </c>
      <c r="B124" s="68"/>
      <c r="C124" s="69"/>
      <c r="D124" s="69"/>
      <c r="E124" s="222"/>
      <c r="F124" s="222"/>
      <c r="G124" s="68"/>
      <c r="H124" s="70"/>
      <c r="I124" s="70"/>
      <c r="J124" s="71" t="str">
        <f t="shared" si="25"/>
        <v>sem descrição</v>
      </c>
      <c r="K124" s="69" t="str">
        <f t="shared" si="29"/>
        <v>informar entrega</v>
      </c>
      <c r="L124" s="69">
        <f t="shared" si="27"/>
        <v>0</v>
      </c>
      <c r="M124" s="69">
        <f t="shared" si="28"/>
        <v>0</v>
      </c>
    </row>
    <row r="125" spans="1:13" s="61" customFormat="1" ht="20.25" hidden="1" customHeight="1" x14ac:dyDescent="0.25">
      <c r="A125" s="67" t="s">
        <v>192</v>
      </c>
      <c r="B125" s="68"/>
      <c r="C125" s="69"/>
      <c r="D125" s="69"/>
      <c r="E125" s="222"/>
      <c r="F125" s="222"/>
      <c r="G125" s="68"/>
      <c r="H125" s="70"/>
      <c r="I125" s="70"/>
      <c r="J125" s="71" t="str">
        <f t="shared" si="25"/>
        <v>sem descrição</v>
      </c>
      <c r="K125" s="69" t="str">
        <f t="shared" si="29"/>
        <v>informar entrega</v>
      </c>
      <c r="L125" s="69">
        <f t="shared" si="27"/>
        <v>0</v>
      </c>
      <c r="M125" s="69">
        <f t="shared" si="28"/>
        <v>0</v>
      </c>
    </row>
    <row r="126" spans="1:13" s="61" customFormat="1" ht="20.25" hidden="1" customHeight="1" x14ac:dyDescent="0.25">
      <c r="A126" s="67" t="s">
        <v>195</v>
      </c>
      <c r="B126" s="68"/>
      <c r="C126" s="69"/>
      <c r="D126" s="69"/>
      <c r="E126" s="222"/>
      <c r="F126" s="222"/>
      <c r="G126" s="68"/>
      <c r="H126" s="70"/>
      <c r="I126" s="70"/>
      <c r="J126" s="71" t="str">
        <f t="shared" si="25"/>
        <v>sem descrição</v>
      </c>
      <c r="K126" s="69" t="str">
        <f t="shared" si="29"/>
        <v>informar entrega</v>
      </c>
      <c r="L126" s="69">
        <f t="shared" si="27"/>
        <v>0</v>
      </c>
      <c r="M126" s="69">
        <f t="shared" si="28"/>
        <v>0</v>
      </c>
    </row>
    <row r="127" spans="1:13" s="61" customFormat="1" ht="20.25" hidden="1" customHeight="1" x14ac:dyDescent="0.25">
      <c r="A127" s="67" t="s">
        <v>199</v>
      </c>
      <c r="B127" s="68"/>
      <c r="C127" s="69"/>
      <c r="D127" s="69"/>
      <c r="E127" s="222"/>
      <c r="F127" s="222"/>
      <c r="G127" s="68"/>
      <c r="H127" s="70"/>
      <c r="I127" s="70"/>
      <c r="J127" s="71" t="str">
        <f t="shared" si="25"/>
        <v>sem descrição</v>
      </c>
      <c r="K127" s="69" t="str">
        <f>IF(C127="mensal",J127*H127*E127,IF(C127="trimestral",(J127*H127*E127)/3,IF(C127="semestral",(J127*H127*E127)/6,IF(C127="anual",(J127*H127*E127/12),"informar período"))))</f>
        <v>informar período</v>
      </c>
      <c r="L127" s="69">
        <f t="shared" si="27"/>
        <v>0</v>
      </c>
      <c r="M127" s="69">
        <f t="shared" si="28"/>
        <v>0</v>
      </c>
    </row>
    <row r="128" spans="1:13" s="61" customFormat="1" ht="20.25" hidden="1" customHeight="1" x14ac:dyDescent="0.25">
      <c r="A128" s="152" t="s">
        <v>308</v>
      </c>
      <c r="B128" s="147"/>
      <c r="C128" s="234"/>
      <c r="D128" s="147"/>
      <c r="E128" s="147"/>
      <c r="F128" s="147"/>
      <c r="G128" s="147"/>
      <c r="H128" s="147"/>
      <c r="I128" s="139"/>
      <c r="J128" s="155"/>
      <c r="K128" s="156">
        <f>SUM(K111:K127)</f>
        <v>0</v>
      </c>
      <c r="L128" s="157">
        <f>K128*12</f>
        <v>0</v>
      </c>
      <c r="M128" s="158">
        <f>K128*60</f>
        <v>0</v>
      </c>
    </row>
    <row r="129" spans="1:13" s="61" customFormat="1" ht="20.25" hidden="1" customHeight="1" x14ac:dyDescent="0.25">
      <c r="A129" s="152" t="s">
        <v>302</v>
      </c>
      <c r="B129" s="147"/>
      <c r="C129" s="234"/>
      <c r="D129" s="147"/>
      <c r="E129" s="147"/>
      <c r="F129" s="147"/>
      <c r="G129" s="147"/>
      <c r="H129" s="147"/>
      <c r="I129" s="147"/>
      <c r="J129" s="147"/>
      <c r="K129" s="147"/>
      <c r="L129" s="147"/>
      <c r="M129" s="159" t="e">
        <f>K128/SUM(C107:M109)</f>
        <v>#DIV/0!</v>
      </c>
    </row>
    <row r="130" spans="1:13" s="61" customFormat="1" ht="20.25" hidden="1" customHeight="1" x14ac:dyDescent="0.25">
      <c r="A130" s="235" t="s">
        <v>273</v>
      </c>
      <c r="B130" s="143" t="s">
        <v>19</v>
      </c>
      <c r="C130" s="23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4"/>
    </row>
    <row r="131" spans="1:13" s="61" customFormat="1" ht="20.25" hidden="1" customHeight="1" x14ac:dyDescent="0.25">
      <c r="A131" s="62">
        <v>1</v>
      </c>
      <c r="B131" s="63" t="s">
        <v>274</v>
      </c>
      <c r="C131" s="216" t="str">
        <f>'[1]planilha - proposta'!C30</f>
        <v>Camareira</v>
      </c>
      <c r="D131" s="217"/>
      <c r="E131" s="217"/>
      <c r="F131" s="217"/>
      <c r="G131" s="217"/>
      <c r="H131" s="145"/>
      <c r="I131" s="145"/>
      <c r="J131" s="145"/>
      <c r="K131" s="145"/>
      <c r="L131" s="145"/>
      <c r="M131" s="146"/>
    </row>
    <row r="132" spans="1:13" s="61" customFormat="1" ht="20.25" hidden="1" customHeight="1" x14ac:dyDescent="0.25">
      <c r="A132" s="62">
        <v>2</v>
      </c>
      <c r="B132" s="63" t="str">
        <f>'planilha - proposta'!D30</f>
        <v>Camareira - 12x36d</v>
      </c>
      <c r="C132" s="216">
        <f>VLOOKUP(B132,'[1]planilha - proposta'!$D$17:$E$62,2,FALSE)</f>
        <v>0</v>
      </c>
      <c r="D132" s="217"/>
      <c r="E132" s="217"/>
      <c r="F132" s="217"/>
      <c r="G132" s="217"/>
      <c r="H132" s="145"/>
      <c r="I132" s="145"/>
      <c r="J132" s="145"/>
      <c r="K132" s="145"/>
      <c r="L132" s="145"/>
      <c r="M132" s="146"/>
    </row>
    <row r="133" spans="1:13" s="61" customFormat="1" ht="20.25" hidden="1" customHeight="1" x14ac:dyDescent="0.25">
      <c r="A133" s="62">
        <v>3</v>
      </c>
      <c r="B133" s="63" t="str">
        <f>'planilha - proposta'!D31</f>
        <v>Camareira - 12x36n</v>
      </c>
      <c r="C133" s="216">
        <f>VLOOKUP(B133,'[1]planilha - proposta'!$D$17:$E$62,2,FALSE)</f>
        <v>0</v>
      </c>
      <c r="D133" s="217"/>
      <c r="E133" s="217"/>
      <c r="F133" s="217"/>
      <c r="G133" s="217"/>
      <c r="H133" s="145"/>
      <c r="I133" s="145"/>
      <c r="J133" s="145"/>
      <c r="K133" s="145"/>
      <c r="L133" s="145"/>
      <c r="M133" s="146"/>
    </row>
    <row r="134" spans="1:13" s="61" customFormat="1" ht="20.25" hidden="1" customHeight="1" x14ac:dyDescent="0.25">
      <c r="A134" s="62">
        <v>4</v>
      </c>
      <c r="B134" s="63" t="str">
        <f>'planilha - proposta'!D32</f>
        <v>Camareira - 44h</v>
      </c>
      <c r="C134" s="216">
        <f>VLOOKUP(B134,'[1]planilha - proposta'!$D$17:$E$62,2,FALSE)</f>
        <v>0</v>
      </c>
      <c r="D134" s="217"/>
      <c r="E134" s="217"/>
      <c r="F134" s="217"/>
      <c r="G134" s="217"/>
      <c r="H134" s="145"/>
      <c r="I134" s="145"/>
      <c r="J134" s="145"/>
      <c r="K134" s="145"/>
      <c r="L134" s="145"/>
      <c r="M134" s="146"/>
    </row>
    <row r="135" spans="1:13" s="61" customFormat="1" ht="52.5" hidden="1" customHeight="1" x14ac:dyDescent="0.25">
      <c r="A135" s="64" t="s">
        <v>273</v>
      </c>
      <c r="B135" s="65" t="s">
        <v>275</v>
      </c>
      <c r="C135" s="218" t="s">
        <v>276</v>
      </c>
      <c r="D135" s="218" t="s">
        <v>277</v>
      </c>
      <c r="E135" s="218" t="s">
        <v>278</v>
      </c>
      <c r="F135" s="218" t="s">
        <v>303</v>
      </c>
      <c r="G135" s="223" t="s">
        <v>280</v>
      </c>
      <c r="H135" s="65" t="s">
        <v>304</v>
      </c>
      <c r="I135" s="66" t="s">
        <v>305</v>
      </c>
      <c r="J135" s="66" t="s">
        <v>318</v>
      </c>
      <c r="K135" s="65" t="s">
        <v>284</v>
      </c>
      <c r="L135" s="65" t="s">
        <v>285</v>
      </c>
      <c r="M135" s="66" t="s">
        <v>286</v>
      </c>
    </row>
    <row r="136" spans="1:13" s="61" customFormat="1" ht="20.25" hidden="1" customHeight="1" x14ac:dyDescent="0.25">
      <c r="A136" s="67" t="s">
        <v>108</v>
      </c>
      <c r="B136" s="68" t="s">
        <v>293</v>
      </c>
      <c r="C136" s="69" t="s">
        <v>288</v>
      </c>
      <c r="D136" s="69" t="s">
        <v>289</v>
      </c>
      <c r="E136" s="222">
        <v>180</v>
      </c>
      <c r="F136" s="222">
        <v>0</v>
      </c>
      <c r="G136" s="68" t="s">
        <v>290</v>
      </c>
      <c r="H136" s="70">
        <f>VLOOKUP(B136,custoEPI!$B$6:$E$29,4,FALSE)</f>
        <v>0</v>
      </c>
      <c r="I136" s="71">
        <f t="shared" ref="I136:I142" si="30">SUM($C$132:$M$134)</f>
        <v>0</v>
      </c>
      <c r="J136" s="71">
        <f t="shared" ref="J136:J152" si="31">IF(B136="","sem descrição",IF($C$132&gt;=$C$133,IF($C$134&gt;0,$C$132/2+$C$134,$C$132/2),IF($C$134&gt;0,$C$133/5+$C$134,$C$134)))</f>
        <v>0</v>
      </c>
      <c r="K136" s="69">
        <f>IF(C136="mensal",IF(F136&gt;0,F136*H136,IF(D136="descartável",((SUM($C$132:$C$133)/2)+$C$134)*E136*H136,IF(D136="pessoal",E136*H136*I136,E136*H136*J136))),0)+IF(C136="trimestral",IF(F136&gt;0,F136*H136/3,IF(D136="descartável",(((SUM($C$132:$C$133)/2)+$C$134)*E136*H136)/3,IF(D136="pessoal",(E136*H136*I136)/3,(E136*H136*J136)/3))),0)+IF(C136="semestral",IF(F136&gt;0,F136*H136/6,IF(D136="descartável",(((SUM($C$132:$C$133)/2)+$C$134)*E136*H136)/6,IF(D136="pessoal",(E136*H136*I136)/6,(E136*H136*J136)/6))),0)+IF(C136="anual",IF(F136&gt;0,F136*H136/12,IF(D136="descartável",(((SUM($C$132:$C$133)/2)+$C$134)*E136*H136)/12,IF(D136="pessoal",(E136*H136*I136)/12,(E136*H136*J136)/12))),0)</f>
        <v>0</v>
      </c>
      <c r="L136" s="69">
        <f>IFERROR(K136*12, 0)</f>
        <v>0</v>
      </c>
      <c r="M136" s="69">
        <f>IFERROR(K136*60,0)</f>
        <v>0</v>
      </c>
    </row>
    <row r="137" spans="1:13" s="61" customFormat="1" ht="20.25" hidden="1" customHeight="1" x14ac:dyDescent="0.25">
      <c r="A137" s="67" t="s">
        <v>110</v>
      </c>
      <c r="B137" s="68" t="s">
        <v>287</v>
      </c>
      <c r="C137" s="69" t="s">
        <v>288</v>
      </c>
      <c r="D137" s="69" t="s">
        <v>289</v>
      </c>
      <c r="E137" s="222">
        <f>3*30</f>
        <v>90</v>
      </c>
      <c r="F137" s="222">
        <v>0</v>
      </c>
      <c r="G137" s="68" t="s">
        <v>290</v>
      </c>
      <c r="H137" s="70">
        <f>VLOOKUP(B137,custoEPI!$B$6:$E$29,4,FALSE)</f>
        <v>0</v>
      </c>
      <c r="I137" s="71">
        <f t="shared" si="30"/>
        <v>0</v>
      </c>
      <c r="J137" s="71">
        <f t="shared" si="31"/>
        <v>0</v>
      </c>
      <c r="K137" s="69">
        <f t="shared" ref="K137:K140" si="32">IF(C137="mensal",IF(F137&gt;0,F137*H137,IF(D137="descartável",((SUM($C$132:$C$133)/2)+$C$134)*E137*H137,IF(D137="pessoal",E137*H137*I137,E137*H137*J137))),0)+IF(C137="trimestral",IF(F137&gt;0,F137*H137/3,IF(D137="descartável",(((SUM($C$132:$C$133)/2)+$C$134)*E137*H137)/3,IF(D137="pessoal",(E137*H137*I137)/3,(E137*H137*J137)/3))),0)+IF(C137="semestral",IF(F137&gt;0,F137*H137/6,IF(D137="descartável",(((SUM($C$132:$C$133)/2)+$C$134)*E137*H137)/6,IF(D137="pessoal",(E137*H137*I137)/6,(E137*H137*J137)/6))),0)+IF(C137="anual",IF(F137&gt;0,F137*H137/12,IF(D137="descartável",(((SUM($C$132:$C$133)/2)+$C$134)*E137*H137)/12,IF(D137="pessoal",(E137*H137*I137)/12,(E137*H137*J137)/12))),0)</f>
        <v>0</v>
      </c>
      <c r="L137" s="69">
        <f t="shared" ref="L137:L152" si="33">IFERROR(K137*12, 0)</f>
        <v>0</v>
      </c>
      <c r="M137" s="69">
        <f t="shared" ref="M137:M152" si="34">IFERROR(K137*60,0)</f>
        <v>0</v>
      </c>
    </row>
    <row r="138" spans="1:13" s="61" customFormat="1" ht="20.25" hidden="1" customHeight="1" x14ac:dyDescent="0.25">
      <c r="A138" s="67" t="s">
        <v>111</v>
      </c>
      <c r="B138" s="68" t="s">
        <v>294</v>
      </c>
      <c r="C138" s="69" t="s">
        <v>288</v>
      </c>
      <c r="D138" s="69" t="s">
        <v>289</v>
      </c>
      <c r="E138" s="222">
        <v>27</v>
      </c>
      <c r="F138" s="222">
        <v>0</v>
      </c>
      <c r="G138" s="68" t="s">
        <v>290</v>
      </c>
      <c r="H138" s="70">
        <f>VLOOKUP(B138,custoEPI!$B$6:$E$29,4,FALSE)</f>
        <v>0</v>
      </c>
      <c r="I138" s="71">
        <f t="shared" si="30"/>
        <v>0</v>
      </c>
      <c r="J138" s="71">
        <f t="shared" si="31"/>
        <v>0</v>
      </c>
      <c r="K138" s="69">
        <f t="shared" si="32"/>
        <v>0</v>
      </c>
      <c r="L138" s="69">
        <f t="shared" si="33"/>
        <v>0</v>
      </c>
      <c r="M138" s="69">
        <f t="shared" si="34"/>
        <v>0</v>
      </c>
    </row>
    <row r="139" spans="1:13" s="61" customFormat="1" ht="20.25" hidden="1" customHeight="1" x14ac:dyDescent="0.25">
      <c r="A139" s="67"/>
      <c r="B139" s="68"/>
      <c r="C139" s="69"/>
      <c r="D139" s="69"/>
      <c r="E139" s="222"/>
      <c r="F139" s="222"/>
      <c r="G139" s="68"/>
      <c r="H139" s="70" t="e">
        <f>VLOOKUP(B139,custoEPI!$B$6:$E$29,4,FALSE)</f>
        <v>#N/A</v>
      </c>
      <c r="I139" s="71">
        <f t="shared" si="30"/>
        <v>0</v>
      </c>
      <c r="J139" s="71" t="str">
        <f t="shared" si="31"/>
        <v>sem descrição</v>
      </c>
      <c r="K139" s="69">
        <f t="shared" si="32"/>
        <v>0</v>
      </c>
      <c r="L139" s="69">
        <f t="shared" si="33"/>
        <v>0</v>
      </c>
      <c r="M139" s="69">
        <f t="shared" si="34"/>
        <v>0</v>
      </c>
    </row>
    <row r="140" spans="1:13" s="61" customFormat="1" ht="20.25" hidden="1" customHeight="1" x14ac:dyDescent="0.25">
      <c r="A140" s="67" t="s">
        <v>113</v>
      </c>
      <c r="B140" s="68" t="s">
        <v>307</v>
      </c>
      <c r="C140" s="69" t="s">
        <v>300</v>
      </c>
      <c r="D140" s="69" t="s">
        <v>292</v>
      </c>
      <c r="E140" s="222">
        <v>1</v>
      </c>
      <c r="F140" s="222">
        <v>0</v>
      </c>
      <c r="G140" s="68" t="s">
        <v>290</v>
      </c>
      <c r="H140" s="70">
        <f>VLOOKUP(B140,custoEPI!$B$6:$E$29,4,FALSE)</f>
        <v>0</v>
      </c>
      <c r="I140" s="71">
        <f t="shared" si="30"/>
        <v>0</v>
      </c>
      <c r="J140" s="71">
        <f t="shared" si="31"/>
        <v>0</v>
      </c>
      <c r="K140" s="69">
        <f t="shared" si="32"/>
        <v>0</v>
      </c>
      <c r="L140" s="69">
        <f t="shared" si="33"/>
        <v>0</v>
      </c>
      <c r="M140" s="69">
        <f t="shared" si="34"/>
        <v>0</v>
      </c>
    </row>
    <row r="141" spans="1:13" s="61" customFormat="1" ht="20.25" hidden="1" customHeight="1" x14ac:dyDescent="0.25">
      <c r="A141" s="67"/>
      <c r="B141" s="68"/>
      <c r="C141" s="69"/>
      <c r="D141" s="69"/>
      <c r="E141" s="222"/>
      <c r="F141" s="222"/>
      <c r="G141" s="68"/>
      <c r="H141" s="70" t="e">
        <f>VLOOKUP(B141,custoEPI!$B$6:$E$29,4,FALSE)</f>
        <v>#N/A</v>
      </c>
      <c r="I141" s="71">
        <f t="shared" si="30"/>
        <v>0</v>
      </c>
      <c r="J141" s="71" t="str">
        <f t="shared" si="31"/>
        <v>sem descrição</v>
      </c>
      <c r="K141" s="69" t="str">
        <f t="shared" ref="K141:K151" si="35">IF(C141="mensal",J141*H141*E141,IF(C141="trimestral",(J141*H141*E141)/3,IF(C141="semestral",(J141*H141*E141)/6,IF(C141="anual",(J141*H141*E141/12),"informar entrega"))))</f>
        <v>informar entrega</v>
      </c>
      <c r="L141" s="69">
        <f t="shared" si="33"/>
        <v>0</v>
      </c>
      <c r="M141" s="69">
        <f t="shared" si="34"/>
        <v>0</v>
      </c>
    </row>
    <row r="142" spans="1:13" s="61" customFormat="1" ht="20.25" hidden="1" customHeight="1" x14ac:dyDescent="0.25">
      <c r="A142" s="67"/>
      <c r="B142" s="68"/>
      <c r="C142" s="69"/>
      <c r="D142" s="69"/>
      <c r="E142" s="222"/>
      <c r="F142" s="222"/>
      <c r="G142" s="68"/>
      <c r="H142" s="70" t="e">
        <f>VLOOKUP(B142,custoEPI!$B$6:$E$29,4,FALSE)</f>
        <v>#N/A</v>
      </c>
      <c r="I142" s="71">
        <f t="shared" si="30"/>
        <v>0</v>
      </c>
      <c r="J142" s="71" t="str">
        <f t="shared" si="31"/>
        <v>sem descrição</v>
      </c>
      <c r="K142" s="69" t="str">
        <f t="shared" si="35"/>
        <v>informar entrega</v>
      </c>
      <c r="L142" s="69">
        <f t="shared" si="33"/>
        <v>0</v>
      </c>
      <c r="M142" s="69">
        <f t="shared" si="34"/>
        <v>0</v>
      </c>
    </row>
    <row r="143" spans="1:13" s="61" customFormat="1" ht="20.25" hidden="1" customHeight="1" x14ac:dyDescent="0.25">
      <c r="A143" s="67"/>
      <c r="B143" s="68"/>
      <c r="C143" s="69"/>
      <c r="D143" s="69"/>
      <c r="E143" s="222"/>
      <c r="F143" s="222"/>
      <c r="G143" s="68" t="s">
        <v>290</v>
      </c>
      <c r="H143" s="70" t="e">
        <f>VLOOKUP(B143,custoEPI!$B$6:$E$29,4,FALSE)</f>
        <v>#N/A</v>
      </c>
      <c r="I143" s="71"/>
      <c r="J143" s="71" t="str">
        <f t="shared" si="31"/>
        <v>sem descrição</v>
      </c>
      <c r="K143" s="69" t="str">
        <f t="shared" si="35"/>
        <v>informar entrega</v>
      </c>
      <c r="L143" s="69">
        <f t="shared" si="33"/>
        <v>0</v>
      </c>
      <c r="M143" s="69">
        <f t="shared" si="34"/>
        <v>0</v>
      </c>
    </row>
    <row r="144" spans="1:13" s="61" customFormat="1" ht="20.25" hidden="1" customHeight="1" x14ac:dyDescent="0.25">
      <c r="A144" s="67" t="s">
        <v>121</v>
      </c>
      <c r="B144" s="68"/>
      <c r="C144" s="69"/>
      <c r="D144" s="69"/>
      <c r="E144" s="222"/>
      <c r="F144" s="222"/>
      <c r="G144" s="68"/>
      <c r="H144" s="70"/>
      <c r="I144" s="71"/>
      <c r="J144" s="71" t="str">
        <f t="shared" si="31"/>
        <v>sem descrição</v>
      </c>
      <c r="K144" s="69" t="str">
        <f t="shared" si="35"/>
        <v>informar entrega</v>
      </c>
      <c r="L144" s="69">
        <f t="shared" si="33"/>
        <v>0</v>
      </c>
      <c r="M144" s="69">
        <f t="shared" si="34"/>
        <v>0</v>
      </c>
    </row>
    <row r="145" spans="1:13" s="61" customFormat="1" ht="20.25" hidden="1" customHeight="1" x14ac:dyDescent="0.25">
      <c r="A145" s="67" t="s">
        <v>125</v>
      </c>
      <c r="B145" s="68"/>
      <c r="C145" s="69"/>
      <c r="D145" s="69"/>
      <c r="E145" s="222"/>
      <c r="F145" s="222"/>
      <c r="G145" s="68"/>
      <c r="H145" s="70"/>
      <c r="I145" s="71"/>
      <c r="J145" s="71" t="str">
        <f t="shared" si="31"/>
        <v>sem descrição</v>
      </c>
      <c r="K145" s="69" t="str">
        <f t="shared" si="35"/>
        <v>informar entrega</v>
      </c>
      <c r="L145" s="69">
        <f t="shared" si="33"/>
        <v>0</v>
      </c>
      <c r="M145" s="69">
        <f t="shared" si="34"/>
        <v>0</v>
      </c>
    </row>
    <row r="146" spans="1:13" s="61" customFormat="1" ht="20.25" hidden="1" customHeight="1" x14ac:dyDescent="0.25">
      <c r="A146" s="67" t="s">
        <v>127</v>
      </c>
      <c r="B146" s="68"/>
      <c r="C146" s="69"/>
      <c r="D146" s="69"/>
      <c r="E146" s="222"/>
      <c r="F146" s="222"/>
      <c r="G146" s="68"/>
      <c r="H146" s="70"/>
      <c r="I146" s="70"/>
      <c r="J146" s="71" t="str">
        <f t="shared" si="31"/>
        <v>sem descrição</v>
      </c>
      <c r="K146" s="69" t="str">
        <f t="shared" si="35"/>
        <v>informar entrega</v>
      </c>
      <c r="L146" s="69">
        <f t="shared" si="33"/>
        <v>0</v>
      </c>
      <c r="M146" s="69">
        <f t="shared" si="34"/>
        <v>0</v>
      </c>
    </row>
    <row r="147" spans="1:13" s="61" customFormat="1" ht="20.25" hidden="1" customHeight="1" x14ac:dyDescent="0.25">
      <c r="A147" s="67" t="s">
        <v>129</v>
      </c>
      <c r="B147" s="68"/>
      <c r="C147" s="69"/>
      <c r="D147" s="69"/>
      <c r="E147" s="222"/>
      <c r="F147" s="222"/>
      <c r="G147" s="68"/>
      <c r="H147" s="70"/>
      <c r="I147" s="70"/>
      <c r="J147" s="71" t="str">
        <f t="shared" si="31"/>
        <v>sem descrição</v>
      </c>
      <c r="K147" s="69" t="str">
        <f t="shared" si="35"/>
        <v>informar entrega</v>
      </c>
      <c r="L147" s="69">
        <f t="shared" si="33"/>
        <v>0</v>
      </c>
      <c r="M147" s="69">
        <f t="shared" si="34"/>
        <v>0</v>
      </c>
    </row>
    <row r="148" spans="1:13" s="61" customFormat="1" ht="20.25" hidden="1" customHeight="1" x14ac:dyDescent="0.25">
      <c r="A148" s="67" t="s">
        <v>131</v>
      </c>
      <c r="B148" s="68"/>
      <c r="C148" s="69"/>
      <c r="D148" s="69"/>
      <c r="E148" s="222"/>
      <c r="F148" s="222"/>
      <c r="G148" s="68"/>
      <c r="H148" s="70"/>
      <c r="I148" s="70"/>
      <c r="J148" s="71" t="str">
        <f t="shared" si="31"/>
        <v>sem descrição</v>
      </c>
      <c r="K148" s="69" t="str">
        <f t="shared" si="35"/>
        <v>informar entrega</v>
      </c>
      <c r="L148" s="69">
        <f t="shared" si="33"/>
        <v>0</v>
      </c>
      <c r="M148" s="69">
        <f t="shared" si="34"/>
        <v>0</v>
      </c>
    </row>
    <row r="149" spans="1:13" s="61" customFormat="1" ht="20.25" hidden="1" customHeight="1" x14ac:dyDescent="0.25">
      <c r="A149" s="67" t="s">
        <v>188</v>
      </c>
      <c r="B149" s="68"/>
      <c r="C149" s="69"/>
      <c r="D149" s="69"/>
      <c r="E149" s="222"/>
      <c r="F149" s="222"/>
      <c r="G149" s="68"/>
      <c r="H149" s="70"/>
      <c r="I149" s="70"/>
      <c r="J149" s="71" t="str">
        <f t="shared" si="31"/>
        <v>sem descrição</v>
      </c>
      <c r="K149" s="69" t="str">
        <f t="shared" si="35"/>
        <v>informar entrega</v>
      </c>
      <c r="L149" s="69">
        <f t="shared" si="33"/>
        <v>0</v>
      </c>
      <c r="M149" s="69">
        <f t="shared" si="34"/>
        <v>0</v>
      </c>
    </row>
    <row r="150" spans="1:13" s="61" customFormat="1" ht="20.25" hidden="1" customHeight="1" x14ac:dyDescent="0.25">
      <c r="A150" s="67" t="s">
        <v>192</v>
      </c>
      <c r="B150" s="68"/>
      <c r="C150" s="69"/>
      <c r="D150" s="69"/>
      <c r="E150" s="222"/>
      <c r="F150" s="222"/>
      <c r="G150" s="68"/>
      <c r="H150" s="70"/>
      <c r="I150" s="70"/>
      <c r="J150" s="71" t="str">
        <f t="shared" si="31"/>
        <v>sem descrição</v>
      </c>
      <c r="K150" s="69" t="str">
        <f t="shared" si="35"/>
        <v>informar entrega</v>
      </c>
      <c r="L150" s="69">
        <f t="shared" si="33"/>
        <v>0</v>
      </c>
      <c r="M150" s="69">
        <f t="shared" si="34"/>
        <v>0</v>
      </c>
    </row>
    <row r="151" spans="1:13" s="61" customFormat="1" ht="20.25" hidden="1" customHeight="1" x14ac:dyDescent="0.25">
      <c r="A151" s="67" t="s">
        <v>195</v>
      </c>
      <c r="B151" s="68"/>
      <c r="C151" s="69"/>
      <c r="D151" s="69"/>
      <c r="E151" s="222"/>
      <c r="F151" s="222"/>
      <c r="G151" s="68"/>
      <c r="H151" s="70"/>
      <c r="I151" s="70"/>
      <c r="J151" s="71" t="str">
        <f t="shared" si="31"/>
        <v>sem descrição</v>
      </c>
      <c r="K151" s="69" t="str">
        <f t="shared" si="35"/>
        <v>informar entrega</v>
      </c>
      <c r="L151" s="69">
        <f t="shared" si="33"/>
        <v>0</v>
      </c>
      <c r="M151" s="69">
        <f t="shared" si="34"/>
        <v>0</v>
      </c>
    </row>
    <row r="152" spans="1:13" s="61" customFormat="1" ht="20.25" hidden="1" customHeight="1" x14ac:dyDescent="0.25">
      <c r="A152" s="67" t="s">
        <v>199</v>
      </c>
      <c r="B152" s="68"/>
      <c r="C152" s="69"/>
      <c r="D152" s="69"/>
      <c r="E152" s="222"/>
      <c r="F152" s="222"/>
      <c r="G152" s="68"/>
      <c r="H152" s="70"/>
      <c r="I152" s="70"/>
      <c r="J152" s="71" t="str">
        <f t="shared" si="31"/>
        <v>sem descrição</v>
      </c>
      <c r="K152" s="69" t="str">
        <f>IF(C152="mensal",J152*H152*E152,IF(C152="trimestral",(J152*H152*E152)/3,IF(C152="semestral",(J152*H152*E152)/6,IF(C152="anual",(J152*H152*E152/12),"informar período"))))</f>
        <v>informar período</v>
      </c>
      <c r="L152" s="69">
        <f t="shared" si="33"/>
        <v>0</v>
      </c>
      <c r="M152" s="69">
        <f t="shared" si="34"/>
        <v>0</v>
      </c>
    </row>
    <row r="153" spans="1:13" s="61" customFormat="1" ht="20.25" hidden="1" customHeight="1" x14ac:dyDescent="0.25">
      <c r="A153" s="152" t="s">
        <v>328</v>
      </c>
      <c r="B153" s="147"/>
      <c r="C153" s="234"/>
      <c r="D153" s="147"/>
      <c r="E153" s="147"/>
      <c r="F153" s="147"/>
      <c r="G153" s="147"/>
      <c r="H153" s="147"/>
      <c r="I153" s="139"/>
      <c r="J153" s="155"/>
      <c r="K153" s="156">
        <f>SUM(K136:K152)</f>
        <v>0</v>
      </c>
      <c r="L153" s="157">
        <f>K153*12</f>
        <v>0</v>
      </c>
      <c r="M153" s="158">
        <f>K153*60</f>
        <v>0</v>
      </c>
    </row>
    <row r="154" spans="1:13" s="61" customFormat="1" ht="20.25" hidden="1" customHeight="1" x14ac:dyDescent="0.25">
      <c r="A154" s="152" t="s">
        <v>302</v>
      </c>
      <c r="B154" s="147"/>
      <c r="C154" s="234"/>
      <c r="D154" s="147"/>
      <c r="E154" s="147"/>
      <c r="F154" s="147"/>
      <c r="G154" s="147"/>
      <c r="H154" s="147"/>
      <c r="I154" s="147"/>
      <c r="J154" s="147"/>
      <c r="K154" s="147"/>
      <c r="L154" s="147"/>
      <c r="M154" s="159" t="e">
        <f>K153/SUM(C132:M134)</f>
        <v>#DIV/0!</v>
      </c>
    </row>
    <row r="155" spans="1:13" s="61" customFormat="1" ht="20.25" customHeight="1" x14ac:dyDescent="0.25">
      <c r="A155" s="235" t="s">
        <v>273</v>
      </c>
      <c r="B155" s="143" t="s">
        <v>19</v>
      </c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  <c r="M155" s="154"/>
    </row>
    <row r="156" spans="1:13" s="61" customFormat="1" ht="20.25" customHeight="1" x14ac:dyDescent="0.25">
      <c r="A156" s="62">
        <v>1</v>
      </c>
      <c r="B156" s="63" t="s">
        <v>274</v>
      </c>
      <c r="C156" s="216" t="str">
        <f>'[1]planilha - proposta'!C33</f>
        <v>Copeiro Hospitalar</v>
      </c>
      <c r="D156" s="217"/>
      <c r="E156" s="217"/>
      <c r="F156" s="217"/>
      <c r="G156" s="217"/>
      <c r="H156" s="145"/>
      <c r="I156" s="145"/>
      <c r="J156" s="145"/>
      <c r="K156" s="145"/>
      <c r="L156" s="145"/>
      <c r="M156" s="146"/>
    </row>
    <row r="157" spans="1:13" s="61" customFormat="1" ht="20.25" customHeight="1" x14ac:dyDescent="0.25">
      <c r="A157" s="62">
        <v>2</v>
      </c>
      <c r="B157" s="63" t="str">
        <f>'planilha - proposta'!D33</f>
        <v>Copeiro Hospitalar - 12x36d</v>
      </c>
      <c r="C157" s="216">
        <f>VLOOKUP(B157,'[1]planilha - proposta'!$D$17:$E$62,2,FALSE)</f>
        <v>14</v>
      </c>
      <c r="D157" s="217"/>
      <c r="E157" s="217"/>
      <c r="F157" s="217"/>
      <c r="G157" s="217"/>
      <c r="H157" s="145"/>
      <c r="I157" s="145"/>
      <c r="J157" s="145"/>
      <c r="K157" s="145"/>
      <c r="L157" s="145"/>
      <c r="M157" s="146"/>
    </row>
    <row r="158" spans="1:13" s="61" customFormat="1" ht="20.25" customHeight="1" x14ac:dyDescent="0.25">
      <c r="A158" s="62">
        <v>3</v>
      </c>
      <c r="B158" s="63" t="str">
        <f>'planilha - proposta'!D34</f>
        <v>Copeiro Hospitalar - 12x36n</v>
      </c>
      <c r="C158" s="216">
        <f>VLOOKUP(B158,'[1]planilha - proposta'!$D$17:$E$62,2,FALSE)</f>
        <v>4</v>
      </c>
      <c r="D158" s="217"/>
      <c r="E158" s="217"/>
      <c r="F158" s="217"/>
      <c r="G158" s="217"/>
      <c r="H158" s="145"/>
      <c r="I158" s="145"/>
      <c r="J158" s="145"/>
      <c r="K158" s="145"/>
      <c r="L158" s="145"/>
      <c r="M158" s="146"/>
    </row>
    <row r="159" spans="1:13" s="61" customFormat="1" ht="20.25" customHeight="1" x14ac:dyDescent="0.25">
      <c r="A159" s="62">
        <v>4</v>
      </c>
      <c r="B159" s="63" t="str">
        <f>'planilha - proposta'!D35</f>
        <v>Copeiro Hospitalar - 44h</v>
      </c>
      <c r="C159" s="216">
        <f>VLOOKUP(B159,'[1]planilha - proposta'!$D$17:$E$62,2,FALSE)</f>
        <v>1</v>
      </c>
      <c r="D159" s="217"/>
      <c r="E159" s="217"/>
      <c r="F159" s="217"/>
      <c r="G159" s="217"/>
      <c r="H159" s="145"/>
      <c r="I159" s="145"/>
      <c r="J159" s="145"/>
      <c r="K159" s="145"/>
      <c r="L159" s="145"/>
      <c r="M159" s="146"/>
    </row>
    <row r="160" spans="1:13" s="61" customFormat="1" ht="52.5" customHeight="1" x14ac:dyDescent="0.25">
      <c r="A160" s="64" t="s">
        <v>273</v>
      </c>
      <c r="B160" s="65" t="s">
        <v>275</v>
      </c>
      <c r="C160" s="218" t="s">
        <v>276</v>
      </c>
      <c r="D160" s="218" t="s">
        <v>277</v>
      </c>
      <c r="E160" s="218" t="s">
        <v>278</v>
      </c>
      <c r="F160" s="218" t="s">
        <v>303</v>
      </c>
      <c r="G160" s="223" t="s">
        <v>280</v>
      </c>
      <c r="H160" s="65" t="s">
        <v>304</v>
      </c>
      <c r="I160" s="66" t="s">
        <v>305</v>
      </c>
      <c r="J160" s="66" t="s">
        <v>318</v>
      </c>
      <c r="K160" s="65" t="s">
        <v>284</v>
      </c>
      <c r="L160" s="65" t="s">
        <v>285</v>
      </c>
      <c r="M160" s="66" t="s">
        <v>286</v>
      </c>
    </row>
    <row r="161" spans="1:13" s="61" customFormat="1" ht="20.25" customHeight="1" x14ac:dyDescent="0.25">
      <c r="A161" s="67" t="s">
        <v>108</v>
      </c>
      <c r="B161" s="68" t="s">
        <v>312</v>
      </c>
      <c r="C161" s="69" t="s">
        <v>300</v>
      </c>
      <c r="D161" s="69" t="s">
        <v>292</v>
      </c>
      <c r="E161" s="222">
        <v>1</v>
      </c>
      <c r="F161" s="222">
        <v>0</v>
      </c>
      <c r="G161" s="68" t="s">
        <v>290</v>
      </c>
      <c r="H161" s="70">
        <f>VLOOKUP(B161,custoEPI!$B$6:$E$29,4,FALSE)</f>
        <v>0</v>
      </c>
      <c r="I161" s="71">
        <f t="shared" ref="I161:I177" si="36">SUM($C$157:$M$159)</f>
        <v>19</v>
      </c>
      <c r="J161" s="71">
        <f t="shared" ref="J161:J177" si="37">IF(B161="","sem descrição",IF($C$157&gt;=$C$158,IF($C$159&gt;0,$C$157/2+$C$159,$C$157/2),IF($C$159&gt;0,$C$158/5+$C$159,$C$159)))</f>
        <v>8</v>
      </c>
      <c r="K161" s="69">
        <f>IF(C161="mensal",IF(F161&gt;0,F161*H161,IF(D161="descartável",((SUM($C$157:$C$158)/2)+$C$159)*E161*H161,IF(D161="pessoal",E161*H161*I161,E161*H161*J161))),0)+IF(C161="trimestral",IF(F161&gt;0,F161*H161/3,IF(D161="descartável",(((SUM($C$157:$C$158)/2)+$C$159)*E161*H161)/3,IF(D161="pessoal",(E161*H161*I161)/3,(E161*H161*J161)/3))),0)+IF(C161="semestral",IF(F161&gt;0,F161*H161/6,IF(D161="descartável",(((SUM($C$157:$C$158)/2)+$C$159)*E161*H161)/6,IF(D161="pessoal",(E161*H161*I161)/6,(E161*H161*J161)/6))),0)+IF(C161="anual",IF(F161&gt;0,F161*H161/12,IF(D161="descartável",(((SUM($C$157:$C$158)/2)+$C$159)*E161*H161)/12,IF(D161="pessoal",(E161*H161*I161)/12,(E161*H161*J161)/12))),0)</f>
        <v>0</v>
      </c>
      <c r="L161" s="69">
        <f>IFERROR(K161*12, 0)</f>
        <v>0</v>
      </c>
      <c r="M161" s="69">
        <f>IFERROR(K161*60,0)</f>
        <v>0</v>
      </c>
    </row>
    <row r="162" spans="1:13" s="61" customFormat="1" ht="20.25" customHeight="1" x14ac:dyDescent="0.25">
      <c r="A162" s="67" t="s">
        <v>110</v>
      </c>
      <c r="B162" s="68" t="s">
        <v>287</v>
      </c>
      <c r="C162" s="69" t="s">
        <v>288</v>
      </c>
      <c r="D162" s="69" t="s">
        <v>289</v>
      </c>
      <c r="E162" s="222">
        <v>90</v>
      </c>
      <c r="F162" s="222">
        <v>0</v>
      </c>
      <c r="G162" s="68" t="s">
        <v>290</v>
      </c>
      <c r="H162" s="70">
        <f>VLOOKUP(B162,custoEPI!$B$6:$E$29,4,FALSE)</f>
        <v>0</v>
      </c>
      <c r="I162" s="71">
        <f t="shared" si="36"/>
        <v>19</v>
      </c>
      <c r="J162" s="71">
        <f t="shared" si="37"/>
        <v>8</v>
      </c>
      <c r="K162" s="69">
        <f t="shared" ref="K162:K167" si="38">IF(C162="mensal",IF(F162&gt;0,F162*H162,IF(D162="descartável",((SUM($C$157:$C$158)/2)+$C$159)*E162*H162,IF(D162="pessoal",E162*H162*I162,E162*H162*J162))),0)+IF(C162="trimestral",IF(F162&gt;0,F162*H162/3,IF(D162="descartável",(((SUM($C$157:$C$158)/2)+$C$159)*E162*H162)/3,IF(D162="pessoal",(E162*H162*I162)/3,(E162*H162*J162)/3))),0)+IF(C162="semestral",IF(F162&gt;0,F162*H162/6,IF(D162="descartável",(((SUM($C$157:$C$158)/2)+$C$159)*E162*H162)/6,IF(D162="pessoal",(E162*H162*I162)/6,(E162*H162*J162)/6))),0)+IF(C162="anual",IF(F162&gt;0,F162*H162/12,IF(D162="descartável",(((SUM($C$157:$C$158)/2)+$C$159)*E162*H162)/12,IF(D162="pessoal",(E162*H162*I162)/12,(E162*H162*J162)/12))),0)</f>
        <v>0</v>
      </c>
      <c r="L162" s="69">
        <f t="shared" ref="L162:L177" si="39">IFERROR(K162*12, 0)</f>
        <v>0</v>
      </c>
      <c r="M162" s="69">
        <f t="shared" ref="M162:M177" si="40">IFERROR(K162*60,0)</f>
        <v>0</v>
      </c>
    </row>
    <row r="163" spans="1:13" s="61" customFormat="1" ht="20.25" customHeight="1" x14ac:dyDescent="0.25">
      <c r="A163" s="67" t="s">
        <v>111</v>
      </c>
      <c r="B163" s="68" t="s">
        <v>294</v>
      </c>
      <c r="C163" s="69" t="s">
        <v>288</v>
      </c>
      <c r="D163" s="69" t="s">
        <v>289</v>
      </c>
      <c r="E163" s="222">
        <f>3*30</f>
        <v>90</v>
      </c>
      <c r="F163" s="222">
        <v>0</v>
      </c>
      <c r="G163" s="68" t="s">
        <v>290</v>
      </c>
      <c r="H163" s="70">
        <f>VLOOKUP(B163,custoEPI!$B$6:$E$29,4,FALSE)</f>
        <v>0</v>
      </c>
      <c r="I163" s="71">
        <f t="shared" si="36"/>
        <v>19</v>
      </c>
      <c r="J163" s="71">
        <f t="shared" si="37"/>
        <v>8</v>
      </c>
      <c r="K163" s="69">
        <f t="shared" si="38"/>
        <v>0</v>
      </c>
      <c r="L163" s="69">
        <f t="shared" si="39"/>
        <v>0</v>
      </c>
      <c r="M163" s="69">
        <f t="shared" si="40"/>
        <v>0</v>
      </c>
    </row>
    <row r="164" spans="1:13" s="61" customFormat="1" ht="20.25" customHeight="1" x14ac:dyDescent="0.25">
      <c r="A164" s="67" t="s">
        <v>113</v>
      </c>
      <c r="B164" s="68" t="s">
        <v>313</v>
      </c>
      <c r="C164" s="69" t="s">
        <v>288</v>
      </c>
      <c r="D164" s="69" t="s">
        <v>289</v>
      </c>
      <c r="E164" s="222">
        <v>48</v>
      </c>
      <c r="F164" s="222">
        <v>0</v>
      </c>
      <c r="G164" s="68" t="s">
        <v>290</v>
      </c>
      <c r="H164" s="70">
        <f>VLOOKUP(B164,custoEPI!$B$6:$E$29,4,FALSE)</f>
        <v>0</v>
      </c>
      <c r="I164" s="71">
        <f t="shared" si="36"/>
        <v>19</v>
      </c>
      <c r="J164" s="71">
        <f t="shared" si="37"/>
        <v>8</v>
      </c>
      <c r="K164" s="69">
        <f t="shared" si="38"/>
        <v>0</v>
      </c>
      <c r="L164" s="69">
        <f t="shared" si="39"/>
        <v>0</v>
      </c>
      <c r="M164" s="69">
        <f t="shared" si="40"/>
        <v>0</v>
      </c>
    </row>
    <row r="165" spans="1:13" s="61" customFormat="1" ht="20.25" customHeight="1" x14ac:dyDescent="0.25">
      <c r="A165" s="67" t="s">
        <v>114</v>
      </c>
      <c r="B165" s="68" t="s">
        <v>314</v>
      </c>
      <c r="C165" s="69" t="s">
        <v>300</v>
      </c>
      <c r="D165" s="69" t="s">
        <v>292</v>
      </c>
      <c r="E165" s="222">
        <v>1</v>
      </c>
      <c r="F165" s="222">
        <v>0</v>
      </c>
      <c r="G165" s="68" t="s">
        <v>315</v>
      </c>
      <c r="H165" s="70">
        <f>VLOOKUP(B165,custoEPI!$B$6:$E$29,4,FALSE)</f>
        <v>0</v>
      </c>
      <c r="I165" s="71">
        <f t="shared" si="36"/>
        <v>19</v>
      </c>
      <c r="J165" s="71">
        <f t="shared" si="37"/>
        <v>8</v>
      </c>
      <c r="K165" s="69">
        <f t="shared" si="38"/>
        <v>0</v>
      </c>
      <c r="L165" s="69">
        <f t="shared" si="39"/>
        <v>0</v>
      </c>
      <c r="M165" s="69">
        <f t="shared" si="40"/>
        <v>0</v>
      </c>
    </row>
    <row r="166" spans="1:13" s="61" customFormat="1" ht="20.25" customHeight="1" x14ac:dyDescent="0.25">
      <c r="A166" s="67" t="s">
        <v>115</v>
      </c>
      <c r="B166" s="68" t="s">
        <v>307</v>
      </c>
      <c r="C166" s="69" t="s">
        <v>300</v>
      </c>
      <c r="D166" s="69" t="s">
        <v>292</v>
      </c>
      <c r="E166" s="222">
        <v>1</v>
      </c>
      <c r="F166" s="222">
        <v>0</v>
      </c>
      <c r="G166" s="68" t="s">
        <v>290</v>
      </c>
      <c r="H166" s="70">
        <f>VLOOKUP(B166,custoEPI!$B$6:$E$29,4,FALSE)</f>
        <v>0</v>
      </c>
      <c r="I166" s="71">
        <f t="shared" si="36"/>
        <v>19</v>
      </c>
      <c r="J166" s="71">
        <f t="shared" si="37"/>
        <v>8</v>
      </c>
      <c r="K166" s="69">
        <f t="shared" si="38"/>
        <v>0</v>
      </c>
      <c r="L166" s="69">
        <f t="shared" si="39"/>
        <v>0</v>
      </c>
      <c r="M166" s="69">
        <f t="shared" si="40"/>
        <v>0</v>
      </c>
    </row>
    <row r="167" spans="1:13" s="61" customFormat="1" ht="20.25" customHeight="1" x14ac:dyDescent="0.25">
      <c r="A167" s="67" t="s">
        <v>116</v>
      </c>
      <c r="B167" s="68" t="s">
        <v>291</v>
      </c>
      <c r="C167" s="69" t="s">
        <v>288</v>
      </c>
      <c r="D167" s="69" t="s">
        <v>292</v>
      </c>
      <c r="E167" s="222">
        <v>2</v>
      </c>
      <c r="F167" s="222">
        <v>0</v>
      </c>
      <c r="G167" s="68" t="s">
        <v>290</v>
      </c>
      <c r="H167" s="70">
        <f>VLOOKUP(B167,custoEPI!$B$6:$E$29,4,FALSE)</f>
        <v>0</v>
      </c>
      <c r="I167" s="71">
        <f t="shared" si="36"/>
        <v>19</v>
      </c>
      <c r="J167" s="71">
        <f t="shared" si="37"/>
        <v>8</v>
      </c>
      <c r="K167" s="69">
        <f t="shared" si="38"/>
        <v>0</v>
      </c>
      <c r="L167" s="69">
        <f t="shared" si="39"/>
        <v>0</v>
      </c>
      <c r="M167" s="69">
        <f t="shared" si="40"/>
        <v>0</v>
      </c>
    </row>
    <row r="168" spans="1:13" s="61" customFormat="1" ht="20.25" hidden="1" customHeight="1" x14ac:dyDescent="0.25">
      <c r="A168" s="67" t="s">
        <v>118</v>
      </c>
      <c r="B168" s="68"/>
      <c r="C168" s="69"/>
      <c r="D168" s="69"/>
      <c r="E168" s="222"/>
      <c r="F168" s="222"/>
      <c r="G168" s="68"/>
      <c r="H168" s="70" t="e">
        <f>VLOOKUP(B168,custoEPI!$B$6:$E$29,4,FALSE)</f>
        <v>#N/A</v>
      </c>
      <c r="I168" s="71">
        <f t="shared" si="36"/>
        <v>19</v>
      </c>
      <c r="J168" s="71" t="str">
        <f t="shared" si="37"/>
        <v>sem descrição</v>
      </c>
      <c r="K168" s="69" t="str">
        <f t="shared" ref="K168:K176" si="41">IF(C168="mensal",J168*H168*E168,IF(C168="trimestral",(J168*H168*E168)/3,IF(C168="semestral",(J168*H168*E168)/6,IF(C168="anual",(J168*H168*E168/12),"informar entrega"))))</f>
        <v>informar entrega</v>
      </c>
      <c r="L168" s="69">
        <f t="shared" si="39"/>
        <v>0</v>
      </c>
      <c r="M168" s="69">
        <f t="shared" si="40"/>
        <v>0</v>
      </c>
    </row>
    <row r="169" spans="1:13" s="61" customFormat="1" ht="20.25" hidden="1" customHeight="1" x14ac:dyDescent="0.25">
      <c r="A169" s="67" t="s">
        <v>121</v>
      </c>
      <c r="B169" s="68"/>
      <c r="C169" s="69"/>
      <c r="D169" s="69"/>
      <c r="E169" s="222"/>
      <c r="F169" s="222"/>
      <c r="G169" s="68"/>
      <c r="H169" s="70"/>
      <c r="I169" s="71">
        <f t="shared" si="36"/>
        <v>19</v>
      </c>
      <c r="J169" s="71" t="str">
        <f t="shared" si="37"/>
        <v>sem descrição</v>
      </c>
      <c r="K169" s="69" t="str">
        <f t="shared" si="41"/>
        <v>informar entrega</v>
      </c>
      <c r="L169" s="69">
        <f t="shared" si="39"/>
        <v>0</v>
      </c>
      <c r="M169" s="69">
        <f t="shared" si="40"/>
        <v>0</v>
      </c>
    </row>
    <row r="170" spans="1:13" s="61" customFormat="1" ht="20.25" hidden="1" customHeight="1" x14ac:dyDescent="0.25">
      <c r="A170" s="67" t="s">
        <v>125</v>
      </c>
      <c r="B170" s="68"/>
      <c r="C170" s="69"/>
      <c r="D170" s="69"/>
      <c r="E170" s="222"/>
      <c r="F170" s="222"/>
      <c r="G170" s="68"/>
      <c r="H170" s="70"/>
      <c r="I170" s="71">
        <f t="shared" si="36"/>
        <v>19</v>
      </c>
      <c r="J170" s="71" t="str">
        <f t="shared" si="37"/>
        <v>sem descrição</v>
      </c>
      <c r="K170" s="69" t="str">
        <f t="shared" si="41"/>
        <v>informar entrega</v>
      </c>
      <c r="L170" s="69">
        <f t="shared" si="39"/>
        <v>0</v>
      </c>
      <c r="M170" s="69">
        <f t="shared" si="40"/>
        <v>0</v>
      </c>
    </row>
    <row r="171" spans="1:13" s="61" customFormat="1" ht="20.25" hidden="1" customHeight="1" x14ac:dyDescent="0.25">
      <c r="A171" s="67" t="s">
        <v>127</v>
      </c>
      <c r="B171" s="68"/>
      <c r="C171" s="69"/>
      <c r="D171" s="69"/>
      <c r="E171" s="222"/>
      <c r="F171" s="222"/>
      <c r="G171" s="68"/>
      <c r="H171" s="70"/>
      <c r="I171" s="71">
        <f t="shared" si="36"/>
        <v>19</v>
      </c>
      <c r="J171" s="71" t="str">
        <f t="shared" si="37"/>
        <v>sem descrição</v>
      </c>
      <c r="K171" s="69" t="str">
        <f t="shared" si="41"/>
        <v>informar entrega</v>
      </c>
      <c r="L171" s="69">
        <f t="shared" si="39"/>
        <v>0</v>
      </c>
      <c r="M171" s="69">
        <f t="shared" si="40"/>
        <v>0</v>
      </c>
    </row>
    <row r="172" spans="1:13" s="61" customFormat="1" ht="20.25" hidden="1" customHeight="1" x14ac:dyDescent="0.25">
      <c r="A172" s="67" t="s">
        <v>129</v>
      </c>
      <c r="B172" s="68"/>
      <c r="C172" s="69"/>
      <c r="D172" s="69"/>
      <c r="E172" s="222"/>
      <c r="F172" s="222"/>
      <c r="G172" s="68"/>
      <c r="H172" s="70"/>
      <c r="I172" s="71">
        <f t="shared" si="36"/>
        <v>19</v>
      </c>
      <c r="J172" s="71" t="str">
        <f t="shared" si="37"/>
        <v>sem descrição</v>
      </c>
      <c r="K172" s="69" t="str">
        <f t="shared" si="41"/>
        <v>informar entrega</v>
      </c>
      <c r="L172" s="69">
        <f t="shared" si="39"/>
        <v>0</v>
      </c>
      <c r="M172" s="69">
        <f t="shared" si="40"/>
        <v>0</v>
      </c>
    </row>
    <row r="173" spans="1:13" s="61" customFormat="1" ht="20.25" hidden="1" customHeight="1" x14ac:dyDescent="0.25">
      <c r="A173" s="67" t="s">
        <v>131</v>
      </c>
      <c r="B173" s="68"/>
      <c r="C173" s="69"/>
      <c r="D173" s="69"/>
      <c r="E173" s="222"/>
      <c r="F173" s="222"/>
      <c r="G173" s="68"/>
      <c r="H173" s="70"/>
      <c r="I173" s="71">
        <f t="shared" si="36"/>
        <v>19</v>
      </c>
      <c r="J173" s="71" t="str">
        <f t="shared" si="37"/>
        <v>sem descrição</v>
      </c>
      <c r="K173" s="69" t="str">
        <f t="shared" si="41"/>
        <v>informar entrega</v>
      </c>
      <c r="L173" s="69">
        <f t="shared" si="39"/>
        <v>0</v>
      </c>
      <c r="M173" s="69">
        <f t="shared" si="40"/>
        <v>0</v>
      </c>
    </row>
    <row r="174" spans="1:13" s="61" customFormat="1" ht="20.25" hidden="1" customHeight="1" x14ac:dyDescent="0.25">
      <c r="A174" s="67" t="s">
        <v>188</v>
      </c>
      <c r="B174" s="68"/>
      <c r="C174" s="69"/>
      <c r="D174" s="69"/>
      <c r="E174" s="222"/>
      <c r="F174" s="222"/>
      <c r="G174" s="68"/>
      <c r="H174" s="70"/>
      <c r="I174" s="71">
        <f t="shared" si="36"/>
        <v>19</v>
      </c>
      <c r="J174" s="71" t="str">
        <f t="shared" si="37"/>
        <v>sem descrição</v>
      </c>
      <c r="K174" s="69" t="str">
        <f t="shared" si="41"/>
        <v>informar entrega</v>
      </c>
      <c r="L174" s="69">
        <f t="shared" si="39"/>
        <v>0</v>
      </c>
      <c r="M174" s="69">
        <f t="shared" si="40"/>
        <v>0</v>
      </c>
    </row>
    <row r="175" spans="1:13" s="61" customFormat="1" ht="20.25" hidden="1" customHeight="1" x14ac:dyDescent="0.25">
      <c r="A175" s="67" t="s">
        <v>192</v>
      </c>
      <c r="B175" s="68"/>
      <c r="C175" s="69"/>
      <c r="D175" s="69"/>
      <c r="E175" s="222"/>
      <c r="F175" s="222"/>
      <c r="G175" s="68"/>
      <c r="H175" s="70"/>
      <c r="I175" s="71">
        <f t="shared" si="36"/>
        <v>19</v>
      </c>
      <c r="J175" s="71" t="str">
        <f t="shared" si="37"/>
        <v>sem descrição</v>
      </c>
      <c r="K175" s="69" t="str">
        <f t="shared" si="41"/>
        <v>informar entrega</v>
      </c>
      <c r="L175" s="69">
        <f t="shared" si="39"/>
        <v>0</v>
      </c>
      <c r="M175" s="69">
        <f t="shared" si="40"/>
        <v>0</v>
      </c>
    </row>
    <row r="176" spans="1:13" s="61" customFormat="1" ht="20.25" hidden="1" customHeight="1" x14ac:dyDescent="0.25">
      <c r="A176" s="67" t="s">
        <v>195</v>
      </c>
      <c r="B176" s="68"/>
      <c r="C176" s="69"/>
      <c r="D176" s="69"/>
      <c r="E176" s="222"/>
      <c r="F176" s="222"/>
      <c r="G176" s="68"/>
      <c r="H176" s="70"/>
      <c r="I176" s="71">
        <f t="shared" si="36"/>
        <v>19</v>
      </c>
      <c r="J176" s="71" t="str">
        <f t="shared" si="37"/>
        <v>sem descrição</v>
      </c>
      <c r="K176" s="69" t="str">
        <f t="shared" si="41"/>
        <v>informar entrega</v>
      </c>
      <c r="L176" s="69">
        <f t="shared" si="39"/>
        <v>0</v>
      </c>
      <c r="M176" s="69">
        <f t="shared" si="40"/>
        <v>0</v>
      </c>
    </row>
    <row r="177" spans="1:13" s="61" customFormat="1" ht="20.25" hidden="1" customHeight="1" x14ac:dyDescent="0.25">
      <c r="A177" s="67" t="s">
        <v>199</v>
      </c>
      <c r="B177" s="68"/>
      <c r="C177" s="69"/>
      <c r="D177" s="69"/>
      <c r="E177" s="222"/>
      <c r="F177" s="222"/>
      <c r="G177" s="68"/>
      <c r="H177" s="70"/>
      <c r="I177" s="71">
        <f t="shared" si="36"/>
        <v>19</v>
      </c>
      <c r="J177" s="71" t="str">
        <f t="shared" si="37"/>
        <v>sem descrição</v>
      </c>
      <c r="K177" s="69" t="str">
        <f>IF(C177="mensal",J177*H177*E177,IF(C177="trimestral",(J177*H177*E177)/3,IF(C177="semestral",(J177*H177*E177)/6,IF(C177="anual",(J177*H177*E177/12),"informar período"))))</f>
        <v>informar período</v>
      </c>
      <c r="L177" s="69">
        <f t="shared" si="39"/>
        <v>0</v>
      </c>
      <c r="M177" s="69">
        <f t="shared" si="40"/>
        <v>0</v>
      </c>
    </row>
    <row r="178" spans="1:13" s="61" customFormat="1" ht="20.25" customHeight="1" x14ac:dyDescent="0.25">
      <c r="A178" s="152" t="s">
        <v>301</v>
      </c>
      <c r="B178" s="147"/>
      <c r="C178" s="147"/>
      <c r="D178" s="147"/>
      <c r="E178" s="147"/>
      <c r="F178" s="147"/>
      <c r="G178" s="147"/>
      <c r="H178" s="147"/>
      <c r="I178" s="139"/>
      <c r="J178" s="155"/>
      <c r="K178" s="156">
        <f>SUM(K161:K177)</f>
        <v>0</v>
      </c>
      <c r="L178" s="157">
        <f>K178*12</f>
        <v>0</v>
      </c>
      <c r="M178" s="158">
        <f>K178*60</f>
        <v>0</v>
      </c>
    </row>
    <row r="179" spans="1:13" s="61" customFormat="1" ht="20.25" customHeight="1" x14ac:dyDescent="0.25">
      <c r="A179" s="152" t="s">
        <v>302</v>
      </c>
      <c r="B179" s="147"/>
      <c r="C179" s="147"/>
      <c r="D179" s="147"/>
      <c r="E179" s="147"/>
      <c r="F179" s="147"/>
      <c r="G179" s="147"/>
      <c r="H179" s="147"/>
      <c r="I179" s="147"/>
      <c r="J179" s="147"/>
      <c r="K179" s="147"/>
      <c r="L179" s="147"/>
      <c r="M179" s="159">
        <f>K178/SUM(C157:M159)</f>
        <v>0</v>
      </c>
    </row>
    <row r="180" spans="1:13" s="61" customFormat="1" ht="20.25" hidden="1" customHeight="1" x14ac:dyDescent="0.25">
      <c r="A180" s="235" t="s">
        <v>273</v>
      </c>
      <c r="B180" s="143" t="s">
        <v>19</v>
      </c>
      <c r="C180" s="233"/>
      <c r="D180" s="153"/>
      <c r="E180" s="153"/>
      <c r="F180" s="153"/>
      <c r="G180" s="153"/>
      <c r="H180" s="153"/>
      <c r="I180" s="153"/>
      <c r="J180" s="153"/>
      <c r="K180" s="153"/>
      <c r="L180" s="153"/>
      <c r="M180" s="154"/>
    </row>
    <row r="181" spans="1:13" s="61" customFormat="1" ht="20.25" hidden="1" customHeight="1" x14ac:dyDescent="0.25">
      <c r="A181" s="62">
        <v>1</v>
      </c>
      <c r="B181" s="63" t="s">
        <v>274</v>
      </c>
      <c r="C181" s="216" t="str">
        <f>'[1]planilha - proposta'!C36</f>
        <v>Costureiro</v>
      </c>
      <c r="D181" s="217"/>
      <c r="E181" s="217"/>
      <c r="F181" s="217"/>
      <c r="G181" s="217"/>
      <c r="H181" s="145"/>
      <c r="I181" s="145"/>
      <c r="J181" s="145"/>
      <c r="K181" s="145"/>
      <c r="L181" s="145"/>
      <c r="M181" s="146"/>
    </row>
    <row r="182" spans="1:13" s="61" customFormat="1" ht="20.25" hidden="1" customHeight="1" x14ac:dyDescent="0.25">
      <c r="A182" s="62"/>
      <c r="B182" s="63"/>
      <c r="C182" s="216">
        <v>0</v>
      </c>
      <c r="D182" s="217"/>
      <c r="E182" s="217"/>
      <c r="F182" s="217"/>
      <c r="G182" s="217"/>
      <c r="H182" s="145"/>
      <c r="I182" s="145"/>
      <c r="J182" s="145"/>
      <c r="K182" s="145"/>
      <c r="L182" s="145"/>
      <c r="M182" s="146"/>
    </row>
    <row r="183" spans="1:13" s="61" customFormat="1" ht="20.25" hidden="1" customHeight="1" x14ac:dyDescent="0.25">
      <c r="A183" s="62"/>
      <c r="B183" s="63"/>
      <c r="C183" s="213">
        <v>0</v>
      </c>
      <c r="D183" s="214"/>
      <c r="E183" s="214"/>
      <c r="F183" s="214"/>
      <c r="G183" s="214"/>
      <c r="H183" s="148"/>
      <c r="I183" s="148"/>
      <c r="J183" s="148"/>
      <c r="K183" s="148"/>
      <c r="L183" s="148"/>
      <c r="M183" s="149"/>
    </row>
    <row r="184" spans="1:13" s="61" customFormat="1" ht="20.25" hidden="1" customHeight="1" x14ac:dyDescent="0.25">
      <c r="A184" s="62">
        <v>2</v>
      </c>
      <c r="B184" s="63" t="str">
        <f>'planilha - proposta'!D36</f>
        <v>Costureiro - 44h</v>
      </c>
      <c r="C184" s="216">
        <f>VLOOKUP(B184,'[1]planilha - proposta'!$D$17:$E$62,2,FALSE)</f>
        <v>0</v>
      </c>
      <c r="D184" s="217"/>
      <c r="E184" s="217"/>
      <c r="F184" s="217"/>
      <c r="G184" s="217"/>
      <c r="H184" s="145"/>
      <c r="I184" s="145"/>
      <c r="J184" s="145"/>
      <c r="K184" s="145"/>
      <c r="L184" s="145"/>
      <c r="M184" s="146"/>
    </row>
    <row r="185" spans="1:13" s="61" customFormat="1" ht="52.5" hidden="1" customHeight="1" x14ac:dyDescent="0.25">
      <c r="A185" s="64" t="s">
        <v>273</v>
      </c>
      <c r="B185" s="65" t="s">
        <v>275</v>
      </c>
      <c r="C185" s="218" t="s">
        <v>276</v>
      </c>
      <c r="D185" s="218" t="s">
        <v>277</v>
      </c>
      <c r="E185" s="218" t="s">
        <v>278</v>
      </c>
      <c r="F185" s="218" t="s">
        <v>303</v>
      </c>
      <c r="G185" s="223" t="s">
        <v>280</v>
      </c>
      <c r="H185" s="65" t="s">
        <v>304</v>
      </c>
      <c r="I185" s="66" t="s">
        <v>305</v>
      </c>
      <c r="J185" s="66" t="s">
        <v>318</v>
      </c>
      <c r="K185" s="65" t="s">
        <v>284</v>
      </c>
      <c r="L185" s="65" t="s">
        <v>285</v>
      </c>
      <c r="M185" s="66" t="s">
        <v>286</v>
      </c>
    </row>
    <row r="186" spans="1:13" s="61" customFormat="1" ht="20.25" hidden="1" customHeight="1" x14ac:dyDescent="0.25">
      <c r="A186" s="67" t="s">
        <v>108</v>
      </c>
      <c r="B186" s="68" t="s">
        <v>287</v>
      </c>
      <c r="C186" s="69" t="s">
        <v>288</v>
      </c>
      <c r="D186" s="69" t="s">
        <v>289</v>
      </c>
      <c r="E186" s="222">
        <f>3*26</f>
        <v>78</v>
      </c>
      <c r="F186" s="222">
        <v>0</v>
      </c>
      <c r="G186" s="68" t="s">
        <v>290</v>
      </c>
      <c r="H186" s="70">
        <f>VLOOKUP(B186,custoEPI!$B$6:$E$29,4,FALSE)</f>
        <v>0</v>
      </c>
      <c r="I186" s="71">
        <f>SUM($C$182:$M$184)</f>
        <v>0</v>
      </c>
      <c r="J186" s="71">
        <f t="shared" ref="J186:J202" si="42">IF(B186="","sem descrição",IF($C$182&gt;=$C$183,IF($C$184&gt;0,$C$182/2+$C$184,$C$182/2),IF($C$184&gt;0,$C$183/5+$C$184,$C$184)))</f>
        <v>0</v>
      </c>
      <c r="K186" s="69">
        <f>IF(C186="mensal",IF(F186&gt;0,F186*H186,IF(D186="descartável",((SUM($C$182:$C$183)/2)+$C$184)*E186*H186,IF(D186="pessoal",E186*H186*I186,E186*H186*J186))),0)+IF(C186="trimestral",IF(F186&gt;0,F186*H186/3,IF(D186="descartável",(((SUM($C$182:$C$183)/2)+$C$184)*E186*H186)/3,IF(D186="pessoal",(E186*H186*I186)/3,(E186*H186*J186)/3))),0)+IF(C186="semestral",IF(F186&gt;0,F186*H186/6,IF(D186="descartável",(((SUM($C$182:$C$183)/2)+$C$184)*E186*H186)/6,IF(D186="pessoal",(E186*H186*I186)/6,(E186*H186*J186)/6))),0)+IF(C186="anual",IF(F186&gt;0,F186*H186/12,IF(D186="descartável",(((SUM($C$182:$C$183)/2)+$C$159)*E186*H186)/12,IF(D186="pessoal",(E186*H186*I186)/12,(E186*H186*J186)/12))),0)</f>
        <v>0</v>
      </c>
      <c r="L186" s="69">
        <f>IFERROR(K186*12, 0)</f>
        <v>0</v>
      </c>
      <c r="M186" s="69">
        <f>IFERROR(K186*60,0)</f>
        <v>0</v>
      </c>
    </row>
    <row r="187" spans="1:13" s="61" customFormat="1" ht="20.25" hidden="1" customHeight="1" x14ac:dyDescent="0.25">
      <c r="A187" s="67"/>
      <c r="B187" s="68"/>
      <c r="C187" s="69"/>
      <c r="D187" s="69"/>
      <c r="E187" s="222"/>
      <c r="F187" s="222"/>
      <c r="G187" s="68"/>
      <c r="H187" s="70" t="e">
        <f>VLOOKUP(B187,custoEPI!$B$6:$E$29,4,FALSE)</f>
        <v>#N/A</v>
      </c>
      <c r="I187" s="71">
        <f>SUM($C$182:$M$184)</f>
        <v>0</v>
      </c>
      <c r="J187" s="71" t="str">
        <f t="shared" si="42"/>
        <v>sem descrição</v>
      </c>
      <c r="K187" s="69" t="str">
        <f t="shared" ref="K187:K201" si="43">IF(C187="mensal",J187*H187*E187,IF(C187="trimestral",(J187*H187*E187)/3,IF(C187="semestral",(J187*H187*E187)/6,IF(C187="anual",(J187*H187*E187/12),"informar entrega"))))</f>
        <v>informar entrega</v>
      </c>
      <c r="L187" s="69">
        <f t="shared" ref="L187:L202" si="44">IFERROR(K187*12, 0)</f>
        <v>0</v>
      </c>
      <c r="M187" s="69">
        <f t="shared" ref="M187:M202" si="45">IFERROR(K187*60,0)</f>
        <v>0</v>
      </c>
    </row>
    <row r="188" spans="1:13" s="61" customFormat="1" ht="20.25" hidden="1" customHeight="1" x14ac:dyDescent="0.25">
      <c r="A188" s="67"/>
      <c r="B188" s="68"/>
      <c r="C188" s="69"/>
      <c r="D188" s="69"/>
      <c r="E188" s="222"/>
      <c r="F188" s="222"/>
      <c r="G188" s="68"/>
      <c r="H188" s="70" t="e">
        <f>VLOOKUP(B188,custoEPI!$B$6:$E$29,4,FALSE)</f>
        <v>#N/A</v>
      </c>
      <c r="I188" s="71">
        <f>SUM($C$182:$M$184)</f>
        <v>0</v>
      </c>
      <c r="J188" s="71" t="str">
        <f t="shared" si="42"/>
        <v>sem descrição</v>
      </c>
      <c r="K188" s="69" t="str">
        <f t="shared" si="43"/>
        <v>informar entrega</v>
      </c>
      <c r="L188" s="69">
        <f t="shared" si="44"/>
        <v>0</v>
      </c>
      <c r="M188" s="69">
        <f t="shared" si="45"/>
        <v>0</v>
      </c>
    </row>
    <row r="189" spans="1:13" s="61" customFormat="1" ht="20.25" hidden="1" customHeight="1" x14ac:dyDescent="0.25">
      <c r="A189" s="67" t="s">
        <v>113</v>
      </c>
      <c r="B189" s="68"/>
      <c r="C189" s="69"/>
      <c r="D189" s="69"/>
      <c r="E189" s="222"/>
      <c r="F189" s="222"/>
      <c r="G189" s="68" t="s">
        <v>290</v>
      </c>
      <c r="H189" s="70" t="e">
        <f>VLOOKUP(B189,custoEPI!$B$6:$E$29,4,FALSE)</f>
        <v>#N/A</v>
      </c>
      <c r="I189" s="71"/>
      <c r="J189" s="71" t="str">
        <f t="shared" si="42"/>
        <v>sem descrição</v>
      </c>
      <c r="K189" s="69" t="str">
        <f t="shared" si="43"/>
        <v>informar entrega</v>
      </c>
      <c r="L189" s="69">
        <f t="shared" si="44"/>
        <v>0</v>
      </c>
      <c r="M189" s="69">
        <f t="shared" si="45"/>
        <v>0</v>
      </c>
    </row>
    <row r="190" spans="1:13" s="61" customFormat="1" ht="20.25" hidden="1" customHeight="1" x14ac:dyDescent="0.25">
      <c r="A190" s="67" t="s">
        <v>114</v>
      </c>
      <c r="B190" s="68"/>
      <c r="C190" s="69"/>
      <c r="D190" s="69"/>
      <c r="E190" s="222"/>
      <c r="F190" s="222"/>
      <c r="G190" s="68" t="s">
        <v>290</v>
      </c>
      <c r="H190" s="70" t="e">
        <f>VLOOKUP(B190,custoEPI!$B$6:$E$29,4,FALSE)</f>
        <v>#N/A</v>
      </c>
      <c r="I190" s="71"/>
      <c r="J190" s="71" t="str">
        <f t="shared" si="42"/>
        <v>sem descrição</v>
      </c>
      <c r="K190" s="69" t="str">
        <f t="shared" si="43"/>
        <v>informar entrega</v>
      </c>
      <c r="L190" s="69">
        <f t="shared" si="44"/>
        <v>0</v>
      </c>
      <c r="M190" s="69">
        <f t="shared" si="45"/>
        <v>0</v>
      </c>
    </row>
    <row r="191" spans="1:13" s="61" customFormat="1" ht="20.25" hidden="1" customHeight="1" x14ac:dyDescent="0.25">
      <c r="A191" s="67" t="s">
        <v>115</v>
      </c>
      <c r="B191" s="68"/>
      <c r="C191" s="69"/>
      <c r="D191" s="69"/>
      <c r="E191" s="222"/>
      <c r="F191" s="222"/>
      <c r="G191" s="68" t="s">
        <v>290</v>
      </c>
      <c r="H191" s="70" t="e">
        <f>VLOOKUP(B191,custoEPI!$B$6:$E$29,4,FALSE)</f>
        <v>#N/A</v>
      </c>
      <c r="I191" s="71"/>
      <c r="J191" s="71" t="str">
        <f t="shared" si="42"/>
        <v>sem descrição</v>
      </c>
      <c r="K191" s="69" t="str">
        <f t="shared" si="43"/>
        <v>informar entrega</v>
      </c>
      <c r="L191" s="69">
        <f t="shared" si="44"/>
        <v>0</v>
      </c>
      <c r="M191" s="69">
        <f t="shared" si="45"/>
        <v>0</v>
      </c>
    </row>
    <row r="192" spans="1:13" s="61" customFormat="1" ht="20.25" hidden="1" customHeight="1" x14ac:dyDescent="0.25">
      <c r="A192" s="67" t="s">
        <v>116</v>
      </c>
      <c r="B192" s="68"/>
      <c r="C192" s="69"/>
      <c r="D192" s="69"/>
      <c r="E192" s="222"/>
      <c r="F192" s="222"/>
      <c r="G192" s="68" t="s">
        <v>290</v>
      </c>
      <c r="H192" s="70" t="e">
        <f>VLOOKUP(B192,custoEPI!$B$6:$E$29,4,FALSE)</f>
        <v>#N/A</v>
      </c>
      <c r="I192" s="71"/>
      <c r="J192" s="71" t="str">
        <f t="shared" si="42"/>
        <v>sem descrição</v>
      </c>
      <c r="K192" s="69" t="str">
        <f t="shared" si="43"/>
        <v>informar entrega</v>
      </c>
      <c r="L192" s="69">
        <f t="shared" si="44"/>
        <v>0</v>
      </c>
      <c r="M192" s="69">
        <f t="shared" si="45"/>
        <v>0</v>
      </c>
    </row>
    <row r="193" spans="1:13" s="61" customFormat="1" ht="20.25" hidden="1" customHeight="1" x14ac:dyDescent="0.25">
      <c r="A193" s="67" t="s">
        <v>118</v>
      </c>
      <c r="B193" s="68"/>
      <c r="C193" s="69"/>
      <c r="D193" s="69"/>
      <c r="E193" s="222"/>
      <c r="F193" s="222"/>
      <c r="G193" s="68" t="s">
        <v>290</v>
      </c>
      <c r="H193" s="70" t="e">
        <f>VLOOKUP(B193,custoEPI!$B$6:$E$29,4,FALSE)</f>
        <v>#N/A</v>
      </c>
      <c r="I193" s="71"/>
      <c r="J193" s="71" t="str">
        <f t="shared" si="42"/>
        <v>sem descrição</v>
      </c>
      <c r="K193" s="69" t="str">
        <f t="shared" si="43"/>
        <v>informar entrega</v>
      </c>
      <c r="L193" s="69">
        <f t="shared" si="44"/>
        <v>0</v>
      </c>
      <c r="M193" s="69">
        <f t="shared" si="45"/>
        <v>0</v>
      </c>
    </row>
    <row r="194" spans="1:13" s="61" customFormat="1" ht="20.25" hidden="1" customHeight="1" x14ac:dyDescent="0.25">
      <c r="A194" s="67" t="s">
        <v>121</v>
      </c>
      <c r="B194" s="68"/>
      <c r="C194" s="69"/>
      <c r="D194" s="69"/>
      <c r="E194" s="222"/>
      <c r="F194" s="222"/>
      <c r="G194" s="68"/>
      <c r="H194" s="70"/>
      <c r="I194" s="71"/>
      <c r="J194" s="71" t="str">
        <f t="shared" si="42"/>
        <v>sem descrição</v>
      </c>
      <c r="K194" s="69" t="str">
        <f t="shared" si="43"/>
        <v>informar entrega</v>
      </c>
      <c r="L194" s="69">
        <f t="shared" si="44"/>
        <v>0</v>
      </c>
      <c r="M194" s="69">
        <f t="shared" si="45"/>
        <v>0</v>
      </c>
    </row>
    <row r="195" spans="1:13" s="61" customFormat="1" ht="20.25" hidden="1" customHeight="1" x14ac:dyDescent="0.25">
      <c r="A195" s="67" t="s">
        <v>125</v>
      </c>
      <c r="B195" s="68"/>
      <c r="C195" s="69"/>
      <c r="D195" s="69"/>
      <c r="E195" s="222"/>
      <c r="F195" s="222"/>
      <c r="G195" s="68"/>
      <c r="H195" s="70"/>
      <c r="I195" s="71"/>
      <c r="J195" s="71" t="str">
        <f t="shared" si="42"/>
        <v>sem descrição</v>
      </c>
      <c r="K195" s="69" t="str">
        <f t="shared" si="43"/>
        <v>informar entrega</v>
      </c>
      <c r="L195" s="69">
        <f t="shared" si="44"/>
        <v>0</v>
      </c>
      <c r="M195" s="69">
        <f t="shared" si="45"/>
        <v>0</v>
      </c>
    </row>
    <row r="196" spans="1:13" s="61" customFormat="1" ht="20.25" hidden="1" customHeight="1" x14ac:dyDescent="0.25">
      <c r="A196" s="67" t="s">
        <v>127</v>
      </c>
      <c r="B196" s="68"/>
      <c r="C196" s="69"/>
      <c r="D196" s="69"/>
      <c r="E196" s="222"/>
      <c r="F196" s="222"/>
      <c r="G196" s="68"/>
      <c r="H196" s="70"/>
      <c r="I196" s="70"/>
      <c r="J196" s="71" t="str">
        <f t="shared" si="42"/>
        <v>sem descrição</v>
      </c>
      <c r="K196" s="69" t="str">
        <f t="shared" si="43"/>
        <v>informar entrega</v>
      </c>
      <c r="L196" s="69">
        <f t="shared" si="44"/>
        <v>0</v>
      </c>
      <c r="M196" s="69">
        <f t="shared" si="45"/>
        <v>0</v>
      </c>
    </row>
    <row r="197" spans="1:13" s="61" customFormat="1" ht="20.25" hidden="1" customHeight="1" x14ac:dyDescent="0.25">
      <c r="A197" s="67" t="s">
        <v>129</v>
      </c>
      <c r="B197" s="68"/>
      <c r="C197" s="69"/>
      <c r="D197" s="69"/>
      <c r="E197" s="222"/>
      <c r="F197" s="222"/>
      <c r="G197" s="68"/>
      <c r="H197" s="70"/>
      <c r="I197" s="70"/>
      <c r="J197" s="71" t="str">
        <f t="shared" si="42"/>
        <v>sem descrição</v>
      </c>
      <c r="K197" s="69" t="str">
        <f t="shared" si="43"/>
        <v>informar entrega</v>
      </c>
      <c r="L197" s="69">
        <f t="shared" si="44"/>
        <v>0</v>
      </c>
      <c r="M197" s="69">
        <f t="shared" si="45"/>
        <v>0</v>
      </c>
    </row>
    <row r="198" spans="1:13" s="61" customFormat="1" ht="20.25" hidden="1" customHeight="1" x14ac:dyDescent="0.25">
      <c r="A198" s="67" t="s">
        <v>131</v>
      </c>
      <c r="B198" s="68"/>
      <c r="C198" s="69"/>
      <c r="D198" s="69"/>
      <c r="E198" s="222"/>
      <c r="F198" s="222"/>
      <c r="G198" s="68"/>
      <c r="H198" s="70"/>
      <c r="I198" s="70"/>
      <c r="J198" s="71" t="str">
        <f t="shared" si="42"/>
        <v>sem descrição</v>
      </c>
      <c r="K198" s="69" t="str">
        <f t="shared" si="43"/>
        <v>informar entrega</v>
      </c>
      <c r="L198" s="69">
        <f t="shared" si="44"/>
        <v>0</v>
      </c>
      <c r="M198" s="69">
        <f t="shared" si="45"/>
        <v>0</v>
      </c>
    </row>
    <row r="199" spans="1:13" s="61" customFormat="1" ht="20.25" hidden="1" customHeight="1" x14ac:dyDescent="0.25">
      <c r="A199" s="67" t="s">
        <v>188</v>
      </c>
      <c r="B199" s="68"/>
      <c r="C199" s="69"/>
      <c r="D199" s="69"/>
      <c r="E199" s="222"/>
      <c r="F199" s="222"/>
      <c r="G199" s="68"/>
      <c r="H199" s="70"/>
      <c r="I199" s="70"/>
      <c r="J199" s="71" t="str">
        <f t="shared" si="42"/>
        <v>sem descrição</v>
      </c>
      <c r="K199" s="69" t="str">
        <f t="shared" si="43"/>
        <v>informar entrega</v>
      </c>
      <c r="L199" s="69">
        <f t="shared" si="44"/>
        <v>0</v>
      </c>
      <c r="M199" s="69">
        <f t="shared" si="45"/>
        <v>0</v>
      </c>
    </row>
    <row r="200" spans="1:13" s="61" customFormat="1" ht="20.25" hidden="1" customHeight="1" x14ac:dyDescent="0.25">
      <c r="A200" s="67" t="s">
        <v>192</v>
      </c>
      <c r="B200" s="68"/>
      <c r="C200" s="69"/>
      <c r="D200" s="69"/>
      <c r="E200" s="222"/>
      <c r="F200" s="222"/>
      <c r="G200" s="68"/>
      <c r="H200" s="70"/>
      <c r="I200" s="70"/>
      <c r="J200" s="71" t="str">
        <f t="shared" si="42"/>
        <v>sem descrição</v>
      </c>
      <c r="K200" s="69" t="str">
        <f t="shared" si="43"/>
        <v>informar entrega</v>
      </c>
      <c r="L200" s="69">
        <f t="shared" si="44"/>
        <v>0</v>
      </c>
      <c r="M200" s="69">
        <f t="shared" si="45"/>
        <v>0</v>
      </c>
    </row>
    <row r="201" spans="1:13" s="61" customFormat="1" ht="20.25" hidden="1" customHeight="1" x14ac:dyDescent="0.25">
      <c r="A201" s="67" t="s">
        <v>195</v>
      </c>
      <c r="B201" s="68"/>
      <c r="C201" s="69"/>
      <c r="D201" s="69"/>
      <c r="E201" s="222"/>
      <c r="F201" s="222"/>
      <c r="G201" s="68"/>
      <c r="H201" s="70"/>
      <c r="I201" s="70"/>
      <c r="J201" s="71" t="str">
        <f t="shared" si="42"/>
        <v>sem descrição</v>
      </c>
      <c r="K201" s="69" t="str">
        <f t="shared" si="43"/>
        <v>informar entrega</v>
      </c>
      <c r="L201" s="69">
        <f t="shared" si="44"/>
        <v>0</v>
      </c>
      <c r="M201" s="69">
        <f t="shared" si="45"/>
        <v>0</v>
      </c>
    </row>
    <row r="202" spans="1:13" s="61" customFormat="1" ht="20.25" hidden="1" customHeight="1" x14ac:dyDescent="0.25">
      <c r="A202" s="67" t="s">
        <v>199</v>
      </c>
      <c r="B202" s="68"/>
      <c r="C202" s="69"/>
      <c r="D202" s="69"/>
      <c r="E202" s="222"/>
      <c r="F202" s="222"/>
      <c r="G202" s="68"/>
      <c r="H202" s="70"/>
      <c r="I202" s="70"/>
      <c r="J202" s="71" t="str">
        <f t="shared" si="42"/>
        <v>sem descrição</v>
      </c>
      <c r="K202" s="69" t="str">
        <f>IF(C202="mensal",J202*H202*E202,IF(C202="trimestral",(J202*H202*E202)/3,IF(C202="semestral",(J202*H202*E202)/6,IF(C202="anual",(J202*H202*E202/12),"informar período"))))</f>
        <v>informar período</v>
      </c>
      <c r="L202" s="69">
        <f t="shared" si="44"/>
        <v>0</v>
      </c>
      <c r="M202" s="69">
        <f t="shared" si="45"/>
        <v>0</v>
      </c>
    </row>
    <row r="203" spans="1:13" s="61" customFormat="1" ht="20.25" hidden="1" customHeight="1" x14ac:dyDescent="0.25">
      <c r="A203" s="152" t="s">
        <v>330</v>
      </c>
      <c r="B203" s="147"/>
      <c r="C203" s="234"/>
      <c r="D203" s="147"/>
      <c r="E203" s="147"/>
      <c r="F203" s="147"/>
      <c r="G203" s="147"/>
      <c r="H203" s="147"/>
      <c r="I203" s="139"/>
      <c r="J203" s="155"/>
      <c r="K203" s="156">
        <f>SUM(K186:K202)</f>
        <v>0</v>
      </c>
      <c r="L203" s="157">
        <f>K203*12</f>
        <v>0</v>
      </c>
      <c r="M203" s="158">
        <f>K203*60</f>
        <v>0</v>
      </c>
    </row>
    <row r="204" spans="1:13" s="61" customFormat="1" ht="20.25" hidden="1" customHeight="1" x14ac:dyDescent="0.25">
      <c r="A204" s="152" t="s">
        <v>302</v>
      </c>
      <c r="B204" s="147"/>
      <c r="C204" s="234"/>
      <c r="D204" s="147"/>
      <c r="E204" s="147"/>
      <c r="F204" s="147"/>
      <c r="G204" s="147"/>
      <c r="H204" s="147"/>
      <c r="I204" s="147"/>
      <c r="J204" s="147"/>
      <c r="K204" s="147"/>
      <c r="L204" s="147"/>
      <c r="M204" s="159" t="e">
        <f>K203/SUM(C182:M184)</f>
        <v>#DIV/0!</v>
      </c>
    </row>
    <row r="205" spans="1:13" s="61" customFormat="1" ht="20.25" customHeight="1" x14ac:dyDescent="0.25">
      <c r="A205" s="235" t="s">
        <v>273</v>
      </c>
      <c r="B205" s="143" t="s">
        <v>19</v>
      </c>
      <c r="C205" s="153"/>
      <c r="D205" s="153"/>
      <c r="E205" s="153"/>
      <c r="F205" s="153"/>
      <c r="G205" s="153"/>
      <c r="H205" s="153"/>
      <c r="I205" s="153"/>
      <c r="J205" s="153"/>
      <c r="K205" s="153"/>
      <c r="L205" s="153"/>
      <c r="M205" s="154"/>
    </row>
    <row r="206" spans="1:13" s="61" customFormat="1" ht="20.25" customHeight="1" x14ac:dyDescent="0.25">
      <c r="A206" s="62">
        <v>1</v>
      </c>
      <c r="B206" s="63" t="s">
        <v>274</v>
      </c>
      <c r="C206" s="216" t="str">
        <f>'[1]planilha - proposta'!C37</f>
        <v>Cozinheiro Hospitalar</v>
      </c>
      <c r="D206" s="217"/>
      <c r="E206" s="217"/>
      <c r="F206" s="217"/>
      <c r="G206" s="217"/>
      <c r="H206" s="145"/>
      <c r="I206" s="145"/>
      <c r="J206" s="145"/>
      <c r="K206" s="145"/>
      <c r="L206" s="145"/>
      <c r="M206" s="146"/>
    </row>
    <row r="207" spans="1:13" s="61" customFormat="1" ht="20.25" customHeight="1" x14ac:dyDescent="0.25">
      <c r="A207" s="62">
        <v>2</v>
      </c>
      <c r="B207" s="63" t="str">
        <f>'planilha - proposta'!D37</f>
        <v>Cozinheiro Hospitalar - 12x36d</v>
      </c>
      <c r="C207" s="216">
        <f>VLOOKUP(B207,'[1]planilha - proposta'!$D$17:$E$62,2,FALSE)</f>
        <v>8</v>
      </c>
      <c r="D207" s="217"/>
      <c r="E207" s="217"/>
      <c r="F207" s="217"/>
      <c r="G207" s="217"/>
      <c r="H207" s="145"/>
      <c r="I207" s="145"/>
      <c r="J207" s="145"/>
      <c r="K207" s="145"/>
      <c r="L207" s="145"/>
      <c r="M207" s="146"/>
    </row>
    <row r="208" spans="1:13" s="61" customFormat="1" ht="20.25" customHeight="1" x14ac:dyDescent="0.25">
      <c r="A208" s="62">
        <v>3</v>
      </c>
      <c r="B208" s="63" t="str">
        <f>'planilha - proposta'!D38</f>
        <v>Cozinheiro Hospitalar - 12x36n</v>
      </c>
      <c r="C208" s="216">
        <f>VLOOKUP(B208,'[1]planilha - proposta'!$D$17:$E$62,2,FALSE)</f>
        <v>2</v>
      </c>
      <c r="D208" s="217"/>
      <c r="E208" s="217"/>
      <c r="F208" s="217"/>
      <c r="G208" s="217"/>
      <c r="H208" s="145"/>
      <c r="I208" s="145"/>
      <c r="J208" s="145"/>
      <c r="K208" s="145"/>
      <c r="L208" s="145"/>
      <c r="M208" s="146"/>
    </row>
    <row r="209" spans="1:13" s="61" customFormat="1" ht="20.25" customHeight="1" x14ac:dyDescent="0.25">
      <c r="A209" s="62">
        <v>4</v>
      </c>
      <c r="B209" s="63" t="str">
        <f>'planilha - proposta'!D39</f>
        <v>Cozinheiro Hospitalar - 44h</v>
      </c>
      <c r="C209" s="216">
        <f>VLOOKUP(B209,'[1]planilha - proposta'!$D$17:$E$62,2,FALSE)</f>
        <v>1</v>
      </c>
      <c r="D209" s="217"/>
      <c r="E209" s="217"/>
      <c r="F209" s="217"/>
      <c r="G209" s="217"/>
      <c r="H209" s="145"/>
      <c r="I209" s="145"/>
      <c r="J209" s="145"/>
      <c r="K209" s="145"/>
      <c r="L209" s="145"/>
      <c r="M209" s="146"/>
    </row>
    <row r="210" spans="1:13" s="61" customFormat="1" ht="52.5" customHeight="1" x14ac:dyDescent="0.25">
      <c r="A210" s="64" t="s">
        <v>273</v>
      </c>
      <c r="B210" s="65" t="s">
        <v>275</v>
      </c>
      <c r="C210" s="218" t="s">
        <v>276</v>
      </c>
      <c r="D210" s="218" t="s">
        <v>277</v>
      </c>
      <c r="E210" s="218" t="s">
        <v>278</v>
      </c>
      <c r="F210" s="218" t="s">
        <v>303</v>
      </c>
      <c r="G210" s="223" t="s">
        <v>280</v>
      </c>
      <c r="H210" s="65" t="s">
        <v>304</v>
      </c>
      <c r="I210" s="66" t="s">
        <v>305</v>
      </c>
      <c r="J210" s="66" t="s">
        <v>318</v>
      </c>
      <c r="K210" s="65" t="s">
        <v>284</v>
      </c>
      <c r="L210" s="65" t="s">
        <v>285</v>
      </c>
      <c r="M210" s="66" t="s">
        <v>286</v>
      </c>
    </row>
    <row r="211" spans="1:13" s="61" customFormat="1" ht="20.25" customHeight="1" x14ac:dyDescent="0.25">
      <c r="A211" s="67" t="s">
        <v>108</v>
      </c>
      <c r="B211" s="68" t="s">
        <v>311</v>
      </c>
      <c r="C211" s="69" t="s">
        <v>298</v>
      </c>
      <c r="D211" s="69" t="s">
        <v>292</v>
      </c>
      <c r="E211" s="222">
        <v>1</v>
      </c>
      <c r="F211" s="222">
        <v>0</v>
      </c>
      <c r="G211" s="68" t="s">
        <v>290</v>
      </c>
      <c r="H211" s="70">
        <f>VLOOKUP(B211,custoEPI!$B$6:$E$29,4,FALSE)</f>
        <v>0</v>
      </c>
      <c r="I211" s="71">
        <f t="shared" ref="I211:I219" si="46">SUM($C$207:$M$209)</f>
        <v>11</v>
      </c>
      <c r="J211" s="71">
        <f t="shared" ref="J211:J227" si="47">IF(B211="","sem descrição",IF($C$207&gt;=$C$208,IF($C$209&gt;0,$C$207/2+$C$209,$C$207/2),IF($C$209&gt;0,$C$208/5+$C$209,$C$209)))</f>
        <v>5</v>
      </c>
      <c r="K211" s="69">
        <f>IF(C211="mensal",IF(F211&gt;0,F211*H211,IF(D211="descartável",((SUM($C$207:$C$208)/2)+$C$209)*E211*H211,IF(D211="pessoal",E211*H211*I211,E211*H211*J211))),0)+IF(C211="trimestral",IF(F211&gt;0,F211*H211/3,IF(D211="descartável",(((SUM($C$207:$C$208)/2)+$C$209)*E211*H211)/3,IF(D211="pessoal",(E211*H211*I211)/3,(E211*H211*J211)/3))),0)+IF(C211="semestral",IF(F211&gt;0,F211*H211/6,IF(D211="descartável",(((SUM($C$207:$C$208)/2)+$C$209)*E211*H211)/6,IF(D211="pessoal",(E211*H211*I211)/6,(E211*H211*J211)/6))),0)+IF(C211="anual",IF(F211&gt;0,F211*H211/12,IF(D211="descartável",(((SUM($C$207:$C$208)/2)+$C$209)*E211*H211)/12,IF(D211="pessoal",(E211*H211*I211)/12,(E211*H211*J211)/12))),0)</f>
        <v>0</v>
      </c>
      <c r="L211" s="69">
        <f>IFERROR(K211*12, 0)</f>
        <v>0</v>
      </c>
      <c r="M211" s="69">
        <f>IFERROR(K211*60,0)</f>
        <v>0</v>
      </c>
    </row>
    <row r="212" spans="1:13" s="61" customFormat="1" ht="20.25" customHeight="1" x14ac:dyDescent="0.25">
      <c r="A212" s="67" t="s">
        <v>110</v>
      </c>
      <c r="B212" s="68" t="s">
        <v>312</v>
      </c>
      <c r="C212" s="69" t="s">
        <v>300</v>
      </c>
      <c r="D212" s="69" t="s">
        <v>292</v>
      </c>
      <c r="E212" s="222">
        <v>1</v>
      </c>
      <c r="F212" s="222">
        <v>0</v>
      </c>
      <c r="G212" s="68" t="s">
        <v>290</v>
      </c>
      <c r="H212" s="70">
        <f>VLOOKUP(B212,custoEPI!$B$6:$E$29,4,FALSE)</f>
        <v>0</v>
      </c>
      <c r="I212" s="71">
        <f t="shared" si="46"/>
        <v>11</v>
      </c>
      <c r="J212" s="71">
        <f t="shared" si="47"/>
        <v>5</v>
      </c>
      <c r="K212" s="69">
        <f t="shared" ref="K212:K219" si="48">IF(C212="mensal",IF(F212&gt;0,F212*H212,IF(D212="descartável",((SUM($C$207:$C$208)/2)+$C$209)*E212*H212,IF(D212="pessoal",E212*H212*I212,E212*H212*J212))),0)+IF(C212="trimestral",IF(F212&gt;0,F212*H212/3,IF(D212="descartável",(((SUM($C$207:$C$208)/2)+$C$209)*E212*H212)/3,IF(D212="pessoal",(E212*H212*I212)/3,(E212*H212*J212)/3))),0)+IF(C212="semestral",IF(F212&gt;0,F212*H212/6,IF(D212="descartável",(((SUM($C$207:$C$208)/2)+$C$209)*E212*H212)/6,IF(D212="pessoal",(E212*H212*I212)/6,(E212*H212*J212)/6))),0)+IF(C212="anual",IF(F212&gt;0,F212*H212/12,IF(D212="descartável",(((SUM($C$207:$C$208)/2)+$C$209)*E212*H212)/12,IF(D212="pessoal",(E212*H212*I212)/12,(E212*H212*J212)/12))),0)</f>
        <v>0</v>
      </c>
      <c r="L212" s="69">
        <f t="shared" ref="L212:L227" si="49">IFERROR(K212*12, 0)</f>
        <v>0</v>
      </c>
      <c r="M212" s="69">
        <f t="shared" ref="M212:M227" si="50">IFERROR(K212*60,0)</f>
        <v>0</v>
      </c>
    </row>
    <row r="213" spans="1:13" s="61" customFormat="1" ht="20.25" customHeight="1" x14ac:dyDescent="0.25">
      <c r="A213" s="67" t="s">
        <v>111</v>
      </c>
      <c r="B213" s="68" t="s">
        <v>316</v>
      </c>
      <c r="C213" s="69" t="s">
        <v>298</v>
      </c>
      <c r="D213" s="69" t="s">
        <v>310</v>
      </c>
      <c r="E213" s="222">
        <v>1</v>
      </c>
      <c r="F213" s="222">
        <v>0</v>
      </c>
      <c r="G213" s="68" t="s">
        <v>315</v>
      </c>
      <c r="H213" s="70">
        <f>VLOOKUP(B213,custoEPI!$B$6:$E$29,4,FALSE)</f>
        <v>0</v>
      </c>
      <c r="I213" s="71">
        <f t="shared" si="46"/>
        <v>11</v>
      </c>
      <c r="J213" s="71">
        <f t="shared" si="47"/>
        <v>5</v>
      </c>
      <c r="K213" s="69">
        <f t="shared" si="48"/>
        <v>0</v>
      </c>
      <c r="L213" s="69">
        <f t="shared" si="49"/>
        <v>0</v>
      </c>
      <c r="M213" s="69">
        <f t="shared" si="50"/>
        <v>0</v>
      </c>
    </row>
    <row r="214" spans="1:13" s="61" customFormat="1" ht="20.25" hidden="1" customHeight="1" x14ac:dyDescent="0.25">
      <c r="A214" s="67"/>
      <c r="B214" s="68"/>
      <c r="C214" s="69"/>
      <c r="D214" s="69"/>
      <c r="E214" s="222"/>
      <c r="F214" s="222"/>
      <c r="G214" s="68"/>
      <c r="H214" s="70" t="e">
        <f>VLOOKUP(B214,custoEPI!$B$6:$E$29,4,FALSE)</f>
        <v>#N/A</v>
      </c>
      <c r="I214" s="71">
        <f t="shared" si="46"/>
        <v>11</v>
      </c>
      <c r="J214" s="71" t="str">
        <f t="shared" si="47"/>
        <v>sem descrição</v>
      </c>
      <c r="K214" s="69">
        <f t="shared" si="48"/>
        <v>0</v>
      </c>
      <c r="L214" s="69">
        <f t="shared" si="49"/>
        <v>0</v>
      </c>
      <c r="M214" s="69">
        <f t="shared" si="50"/>
        <v>0</v>
      </c>
    </row>
    <row r="215" spans="1:13" s="61" customFormat="1" ht="20.25" customHeight="1" x14ac:dyDescent="0.25">
      <c r="A215" s="67" t="s">
        <v>113</v>
      </c>
      <c r="B215" s="68" t="s">
        <v>287</v>
      </c>
      <c r="C215" s="69" t="s">
        <v>288</v>
      </c>
      <c r="D215" s="69" t="s">
        <v>289</v>
      </c>
      <c r="E215" s="222">
        <v>90</v>
      </c>
      <c r="F215" s="222">
        <v>0</v>
      </c>
      <c r="G215" s="68" t="s">
        <v>290</v>
      </c>
      <c r="H215" s="70">
        <f>VLOOKUP(B215,custoEPI!$B$6:$E$29,4,FALSE)</f>
        <v>0</v>
      </c>
      <c r="I215" s="71">
        <f t="shared" si="46"/>
        <v>11</v>
      </c>
      <c r="J215" s="71">
        <f t="shared" si="47"/>
        <v>5</v>
      </c>
      <c r="K215" s="69">
        <f t="shared" si="48"/>
        <v>0</v>
      </c>
      <c r="L215" s="69">
        <f t="shared" si="49"/>
        <v>0</v>
      </c>
      <c r="M215" s="69">
        <f t="shared" si="50"/>
        <v>0</v>
      </c>
    </row>
    <row r="216" spans="1:13" s="61" customFormat="1" ht="20.25" hidden="1" customHeight="1" x14ac:dyDescent="0.25">
      <c r="A216" s="67"/>
      <c r="B216" s="68"/>
      <c r="C216" s="69"/>
      <c r="D216" s="69"/>
      <c r="E216" s="222"/>
      <c r="F216" s="222"/>
      <c r="G216" s="68"/>
      <c r="H216" s="70" t="e">
        <f>VLOOKUP(B216,custoEPI!$B$6:$E$29,4,FALSE)</f>
        <v>#N/A</v>
      </c>
      <c r="I216" s="71">
        <f t="shared" si="46"/>
        <v>11</v>
      </c>
      <c r="J216" s="71" t="str">
        <f t="shared" si="47"/>
        <v>sem descrição</v>
      </c>
      <c r="K216" s="69">
        <f t="shared" si="48"/>
        <v>0</v>
      </c>
      <c r="L216" s="69">
        <f t="shared" si="49"/>
        <v>0</v>
      </c>
      <c r="M216" s="69">
        <f t="shared" si="50"/>
        <v>0</v>
      </c>
    </row>
    <row r="217" spans="1:13" s="61" customFormat="1" ht="20.25" customHeight="1" x14ac:dyDescent="0.25">
      <c r="A217" s="67" t="s">
        <v>114</v>
      </c>
      <c r="B217" s="68" t="s">
        <v>314</v>
      </c>
      <c r="C217" s="69" t="s">
        <v>288</v>
      </c>
      <c r="D217" s="69" t="s">
        <v>292</v>
      </c>
      <c r="E217" s="222">
        <v>1</v>
      </c>
      <c r="F217" s="222">
        <v>0</v>
      </c>
      <c r="G217" s="68" t="s">
        <v>315</v>
      </c>
      <c r="H217" s="70">
        <f>VLOOKUP(B217,custoEPI!$B$6:$E$29,4,FALSE)</f>
        <v>0</v>
      </c>
      <c r="I217" s="71">
        <f t="shared" si="46"/>
        <v>11</v>
      </c>
      <c r="J217" s="71">
        <f t="shared" si="47"/>
        <v>5</v>
      </c>
      <c r="K217" s="69">
        <f t="shared" si="48"/>
        <v>0</v>
      </c>
      <c r="L217" s="69">
        <f t="shared" si="49"/>
        <v>0</v>
      </c>
      <c r="M217" s="69">
        <f t="shared" si="50"/>
        <v>0</v>
      </c>
    </row>
    <row r="218" spans="1:13" s="61" customFormat="1" ht="20.25" customHeight="1" x14ac:dyDescent="0.25">
      <c r="A218" s="67" t="s">
        <v>115</v>
      </c>
      <c r="B218" s="68" t="s">
        <v>313</v>
      </c>
      <c r="C218" s="69" t="s">
        <v>288</v>
      </c>
      <c r="D218" s="69" t="s">
        <v>289</v>
      </c>
      <c r="E218" s="222">
        <v>48</v>
      </c>
      <c r="F218" s="222">
        <v>0</v>
      </c>
      <c r="G218" s="68" t="s">
        <v>290</v>
      </c>
      <c r="H218" s="70">
        <f>VLOOKUP(B218,custoEPI!$B$6:$E$29,4,FALSE)</f>
        <v>0</v>
      </c>
      <c r="I218" s="71">
        <f t="shared" si="46"/>
        <v>11</v>
      </c>
      <c r="J218" s="71">
        <f t="shared" si="47"/>
        <v>5</v>
      </c>
      <c r="K218" s="69">
        <f t="shared" si="48"/>
        <v>0</v>
      </c>
      <c r="L218" s="69">
        <f t="shared" si="49"/>
        <v>0</v>
      </c>
      <c r="M218" s="69">
        <f t="shared" si="50"/>
        <v>0</v>
      </c>
    </row>
    <row r="219" spans="1:13" s="61" customFormat="1" ht="20.25" customHeight="1" x14ac:dyDescent="0.25">
      <c r="A219" s="67" t="s">
        <v>116</v>
      </c>
      <c r="B219" s="68" t="s">
        <v>307</v>
      </c>
      <c r="C219" s="69" t="s">
        <v>300</v>
      </c>
      <c r="D219" s="69" t="s">
        <v>292</v>
      </c>
      <c r="E219" s="222">
        <v>1</v>
      </c>
      <c r="F219" s="222">
        <v>0</v>
      </c>
      <c r="G219" s="68" t="s">
        <v>290</v>
      </c>
      <c r="H219" s="70">
        <f>VLOOKUP(B219,custoEPI!$B$6:$E$29,4,FALSE)</f>
        <v>0</v>
      </c>
      <c r="I219" s="71">
        <f t="shared" si="46"/>
        <v>11</v>
      </c>
      <c r="J219" s="71">
        <f t="shared" si="47"/>
        <v>5</v>
      </c>
      <c r="K219" s="69">
        <f t="shared" si="48"/>
        <v>0</v>
      </c>
      <c r="L219" s="69">
        <f t="shared" si="49"/>
        <v>0</v>
      </c>
      <c r="M219" s="69">
        <f t="shared" si="50"/>
        <v>0</v>
      </c>
    </row>
    <row r="220" spans="1:13" s="61" customFormat="1" ht="20.25" hidden="1" customHeight="1" x14ac:dyDescent="0.25">
      <c r="A220" s="67" t="s">
        <v>125</v>
      </c>
      <c r="B220" s="68"/>
      <c r="C220" s="69"/>
      <c r="D220" s="69"/>
      <c r="E220" s="222"/>
      <c r="F220" s="222"/>
      <c r="G220" s="68"/>
      <c r="H220" s="70"/>
      <c r="I220" s="71"/>
      <c r="J220" s="71" t="str">
        <f t="shared" si="47"/>
        <v>sem descrição</v>
      </c>
      <c r="K220" s="69" t="str">
        <f t="shared" ref="K220:K226" si="51">IF(C220="mensal",J220*H220*E220,IF(C220="trimestral",(J220*H220*E220)/3,IF(C220="semestral",(J220*H220*E220)/6,IF(C220="anual",(J220*H220*E220/12),"informar entrega"))))</f>
        <v>informar entrega</v>
      </c>
      <c r="L220" s="69">
        <f t="shared" si="49"/>
        <v>0</v>
      </c>
      <c r="M220" s="69">
        <f t="shared" si="50"/>
        <v>0</v>
      </c>
    </row>
    <row r="221" spans="1:13" s="61" customFormat="1" ht="20.25" hidden="1" customHeight="1" x14ac:dyDescent="0.25">
      <c r="A221" s="67" t="s">
        <v>127</v>
      </c>
      <c r="B221" s="68"/>
      <c r="C221" s="69"/>
      <c r="D221" s="69"/>
      <c r="E221" s="222"/>
      <c r="F221" s="222"/>
      <c r="G221" s="68"/>
      <c r="H221" s="70"/>
      <c r="I221" s="70"/>
      <c r="J221" s="71" t="str">
        <f t="shared" si="47"/>
        <v>sem descrição</v>
      </c>
      <c r="K221" s="69" t="str">
        <f t="shared" si="51"/>
        <v>informar entrega</v>
      </c>
      <c r="L221" s="69">
        <f t="shared" si="49"/>
        <v>0</v>
      </c>
      <c r="M221" s="69">
        <f t="shared" si="50"/>
        <v>0</v>
      </c>
    </row>
    <row r="222" spans="1:13" s="61" customFormat="1" ht="20.25" hidden="1" customHeight="1" x14ac:dyDescent="0.25">
      <c r="A222" s="67" t="s">
        <v>129</v>
      </c>
      <c r="B222" s="68"/>
      <c r="C222" s="69"/>
      <c r="D222" s="69"/>
      <c r="E222" s="222"/>
      <c r="F222" s="222"/>
      <c r="G222" s="68"/>
      <c r="H222" s="70"/>
      <c r="I222" s="70"/>
      <c r="J222" s="71" t="str">
        <f t="shared" si="47"/>
        <v>sem descrição</v>
      </c>
      <c r="K222" s="69" t="str">
        <f t="shared" si="51"/>
        <v>informar entrega</v>
      </c>
      <c r="L222" s="69">
        <f t="shared" si="49"/>
        <v>0</v>
      </c>
      <c r="M222" s="69">
        <f t="shared" si="50"/>
        <v>0</v>
      </c>
    </row>
    <row r="223" spans="1:13" s="61" customFormat="1" ht="20.25" hidden="1" customHeight="1" x14ac:dyDescent="0.25">
      <c r="A223" s="67" t="s">
        <v>131</v>
      </c>
      <c r="B223" s="68"/>
      <c r="C223" s="69"/>
      <c r="D223" s="69"/>
      <c r="E223" s="222"/>
      <c r="F223" s="222"/>
      <c r="G223" s="68"/>
      <c r="H223" s="70"/>
      <c r="I223" s="70"/>
      <c r="J223" s="71" t="str">
        <f t="shared" si="47"/>
        <v>sem descrição</v>
      </c>
      <c r="K223" s="69" t="str">
        <f t="shared" si="51"/>
        <v>informar entrega</v>
      </c>
      <c r="L223" s="69">
        <f t="shared" si="49"/>
        <v>0</v>
      </c>
      <c r="M223" s="69">
        <f t="shared" si="50"/>
        <v>0</v>
      </c>
    </row>
    <row r="224" spans="1:13" s="61" customFormat="1" ht="20.25" hidden="1" customHeight="1" x14ac:dyDescent="0.25">
      <c r="A224" s="67" t="s">
        <v>188</v>
      </c>
      <c r="B224" s="68"/>
      <c r="C224" s="69"/>
      <c r="D224" s="69"/>
      <c r="E224" s="222"/>
      <c r="F224" s="222"/>
      <c r="G224" s="68"/>
      <c r="H224" s="70"/>
      <c r="I224" s="70"/>
      <c r="J224" s="71" t="str">
        <f t="shared" si="47"/>
        <v>sem descrição</v>
      </c>
      <c r="K224" s="69" t="str">
        <f t="shared" si="51"/>
        <v>informar entrega</v>
      </c>
      <c r="L224" s="69">
        <f t="shared" si="49"/>
        <v>0</v>
      </c>
      <c r="M224" s="69">
        <f t="shared" si="50"/>
        <v>0</v>
      </c>
    </row>
    <row r="225" spans="1:13" s="61" customFormat="1" ht="20.25" hidden="1" customHeight="1" x14ac:dyDescent="0.25">
      <c r="A225" s="67" t="s">
        <v>192</v>
      </c>
      <c r="B225" s="68"/>
      <c r="C225" s="69"/>
      <c r="D225" s="69"/>
      <c r="E225" s="222"/>
      <c r="F225" s="222"/>
      <c r="G225" s="68"/>
      <c r="H225" s="70"/>
      <c r="I225" s="70"/>
      <c r="J225" s="71" t="str">
        <f t="shared" si="47"/>
        <v>sem descrição</v>
      </c>
      <c r="K225" s="69" t="str">
        <f t="shared" si="51"/>
        <v>informar entrega</v>
      </c>
      <c r="L225" s="69">
        <f t="shared" si="49"/>
        <v>0</v>
      </c>
      <c r="M225" s="69">
        <f t="shared" si="50"/>
        <v>0</v>
      </c>
    </row>
    <row r="226" spans="1:13" s="61" customFormat="1" ht="20.25" hidden="1" customHeight="1" x14ac:dyDescent="0.25">
      <c r="A226" s="67" t="s">
        <v>195</v>
      </c>
      <c r="B226" s="68"/>
      <c r="C226" s="69"/>
      <c r="D226" s="69"/>
      <c r="E226" s="222"/>
      <c r="F226" s="222"/>
      <c r="G226" s="68"/>
      <c r="H226" s="70"/>
      <c r="I226" s="70"/>
      <c r="J226" s="71" t="str">
        <f t="shared" si="47"/>
        <v>sem descrição</v>
      </c>
      <c r="K226" s="69" t="str">
        <f t="shared" si="51"/>
        <v>informar entrega</v>
      </c>
      <c r="L226" s="69">
        <f t="shared" si="49"/>
        <v>0</v>
      </c>
      <c r="M226" s="69">
        <f t="shared" si="50"/>
        <v>0</v>
      </c>
    </row>
    <row r="227" spans="1:13" s="61" customFormat="1" ht="20.25" hidden="1" customHeight="1" x14ac:dyDescent="0.25">
      <c r="A227" s="67" t="s">
        <v>199</v>
      </c>
      <c r="B227" s="68"/>
      <c r="C227" s="69"/>
      <c r="D227" s="69"/>
      <c r="E227" s="222"/>
      <c r="F227" s="222"/>
      <c r="G227" s="68"/>
      <c r="H227" s="70"/>
      <c r="I227" s="70"/>
      <c r="J227" s="71" t="str">
        <f t="shared" si="47"/>
        <v>sem descrição</v>
      </c>
      <c r="K227" s="69" t="str">
        <f>IF(C227="mensal",J227*H227*E227,IF(C227="trimestral",(J227*H227*E227)/3,IF(C227="semestral",(J227*H227*E227)/6,IF(C227="anual",(J227*H227*E227/12),"informar período"))))</f>
        <v>informar período</v>
      </c>
      <c r="L227" s="69">
        <f t="shared" si="49"/>
        <v>0</v>
      </c>
      <c r="M227" s="69">
        <f t="shared" si="50"/>
        <v>0</v>
      </c>
    </row>
    <row r="228" spans="1:13" s="61" customFormat="1" ht="20.25" customHeight="1" x14ac:dyDescent="0.25">
      <c r="A228" s="152" t="s">
        <v>301</v>
      </c>
      <c r="B228" s="147"/>
      <c r="C228" s="147"/>
      <c r="D228" s="147"/>
      <c r="E228" s="147"/>
      <c r="F228" s="147"/>
      <c r="G228" s="147"/>
      <c r="H228" s="147"/>
      <c r="I228" s="139"/>
      <c r="J228" s="155"/>
      <c r="K228" s="156">
        <f>SUM(K211:K227)</f>
        <v>0</v>
      </c>
      <c r="L228" s="157">
        <f>K228*12</f>
        <v>0</v>
      </c>
      <c r="M228" s="158">
        <f>K228*60</f>
        <v>0</v>
      </c>
    </row>
    <row r="229" spans="1:13" s="61" customFormat="1" ht="20.25" customHeight="1" x14ac:dyDescent="0.25">
      <c r="A229" s="152" t="s">
        <v>302</v>
      </c>
      <c r="B229" s="147"/>
      <c r="C229" s="147"/>
      <c r="D229" s="147"/>
      <c r="E229" s="147"/>
      <c r="F229" s="147"/>
      <c r="G229" s="147"/>
      <c r="H229" s="147"/>
      <c r="I229" s="147"/>
      <c r="J229" s="147"/>
      <c r="K229" s="147"/>
      <c r="L229" s="147"/>
      <c r="M229" s="159">
        <f>K228/SUM(C207:M209)</f>
        <v>0</v>
      </c>
    </row>
    <row r="230" spans="1:13" s="61" customFormat="1" ht="20.25" customHeight="1" x14ac:dyDescent="0.25">
      <c r="A230" s="235" t="s">
        <v>273</v>
      </c>
      <c r="B230" s="143" t="s">
        <v>19</v>
      </c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4"/>
    </row>
    <row r="231" spans="1:13" s="61" customFormat="1" ht="20.25" customHeight="1" x14ac:dyDescent="0.25">
      <c r="A231" s="62">
        <v>1</v>
      </c>
      <c r="B231" s="63" t="s">
        <v>274</v>
      </c>
      <c r="C231" s="216" t="str">
        <f>'[1]planilha - proposta'!C40</f>
        <v>Despenseiro/Armazenista</v>
      </c>
      <c r="D231" s="217"/>
      <c r="E231" s="217"/>
      <c r="F231" s="217"/>
      <c r="G231" s="217"/>
      <c r="H231" s="145"/>
      <c r="I231" s="145"/>
      <c r="J231" s="145"/>
      <c r="K231" s="145"/>
      <c r="L231" s="145"/>
      <c r="M231" s="146"/>
    </row>
    <row r="232" spans="1:13" s="61" customFormat="1" ht="20.25" customHeight="1" x14ac:dyDescent="0.25">
      <c r="A232" s="62">
        <v>2</v>
      </c>
      <c r="B232" s="63" t="str">
        <f>'planilha - proposta'!D40</f>
        <v>Despenseiro/Armazenista - 12x36d</v>
      </c>
      <c r="C232" s="216">
        <f>VLOOKUP(B232,'[1]planilha - proposta'!$D$17:$E$62,2,FALSE)</f>
        <v>2</v>
      </c>
      <c r="D232" s="217"/>
      <c r="E232" s="217"/>
      <c r="F232" s="217"/>
      <c r="G232" s="217"/>
      <c r="H232" s="145"/>
      <c r="I232" s="145"/>
      <c r="J232" s="145"/>
      <c r="K232" s="145"/>
      <c r="L232" s="145"/>
      <c r="M232" s="146"/>
    </row>
    <row r="233" spans="1:13" s="61" customFormat="1" ht="20.25" customHeight="1" x14ac:dyDescent="0.25">
      <c r="A233" s="62">
        <v>3</v>
      </c>
      <c r="B233" s="63" t="str">
        <f>'planilha - proposta'!D41</f>
        <v>Despenseiro/Armazenista - 12x36n</v>
      </c>
      <c r="C233" s="216">
        <f>VLOOKUP(B233,'[1]planilha - proposta'!$D$17:$E$62,2,FALSE)</f>
        <v>2</v>
      </c>
      <c r="D233" s="217"/>
      <c r="E233" s="217"/>
      <c r="F233" s="217"/>
      <c r="G233" s="217"/>
      <c r="H233" s="145"/>
      <c r="I233" s="145"/>
      <c r="J233" s="145"/>
      <c r="K233" s="145"/>
      <c r="L233" s="145"/>
      <c r="M233" s="146"/>
    </row>
    <row r="234" spans="1:13" s="61" customFormat="1" ht="20.25" customHeight="1" x14ac:dyDescent="0.25">
      <c r="A234" s="62">
        <v>4</v>
      </c>
      <c r="B234" s="63" t="str">
        <f>'planilha - proposta'!D42</f>
        <v>Despenseiro/Armazenista - 44h</v>
      </c>
      <c r="C234" s="216">
        <f>VLOOKUP(B234,'[1]planilha - proposta'!$D$17:$E$62,2,FALSE)</f>
        <v>5</v>
      </c>
      <c r="D234" s="217"/>
      <c r="E234" s="217"/>
      <c r="F234" s="217"/>
      <c r="G234" s="217"/>
      <c r="H234" s="145"/>
      <c r="I234" s="145"/>
      <c r="J234" s="145"/>
      <c r="K234" s="145"/>
      <c r="L234" s="145"/>
      <c r="M234" s="146"/>
    </row>
    <row r="235" spans="1:13" s="61" customFormat="1" ht="52.5" customHeight="1" x14ac:dyDescent="0.25">
      <c r="A235" s="64" t="s">
        <v>273</v>
      </c>
      <c r="B235" s="65" t="s">
        <v>275</v>
      </c>
      <c r="C235" s="218" t="s">
        <v>276</v>
      </c>
      <c r="D235" s="218" t="s">
        <v>277</v>
      </c>
      <c r="E235" s="218" t="s">
        <v>278</v>
      </c>
      <c r="F235" s="218" t="s">
        <v>303</v>
      </c>
      <c r="G235" s="223" t="s">
        <v>280</v>
      </c>
      <c r="H235" s="65" t="s">
        <v>304</v>
      </c>
      <c r="I235" s="66" t="s">
        <v>305</v>
      </c>
      <c r="J235" s="66" t="s">
        <v>318</v>
      </c>
      <c r="K235" s="65" t="s">
        <v>284</v>
      </c>
      <c r="L235" s="65" t="s">
        <v>285</v>
      </c>
      <c r="M235" s="66" t="s">
        <v>286</v>
      </c>
    </row>
    <row r="236" spans="1:13" s="61" customFormat="1" ht="20.25" customHeight="1" x14ac:dyDescent="0.25">
      <c r="A236" s="67" t="s">
        <v>108</v>
      </c>
      <c r="B236" s="68" t="s">
        <v>322</v>
      </c>
      <c r="C236" s="69" t="s">
        <v>300</v>
      </c>
      <c r="D236" s="69" t="s">
        <v>292</v>
      </c>
      <c r="E236" s="222">
        <v>1</v>
      </c>
      <c r="F236" s="222">
        <v>0</v>
      </c>
      <c r="G236" s="68" t="s">
        <v>290</v>
      </c>
      <c r="H236" s="70">
        <f>VLOOKUP(B236,custoEPI!$B$6:$E$29,4,FALSE)</f>
        <v>0</v>
      </c>
      <c r="I236" s="71">
        <f t="shared" ref="I236:I241" si="52">SUM($C$232:$M$234)</f>
        <v>9</v>
      </c>
      <c r="J236" s="71">
        <f t="shared" ref="J236:J252" si="53">IF(B236="","sem descrição",IF($C$232&gt;=$C$233,IF($C$234&gt;0,$C$232/2+$C$234,$C$232/2),IF($C$234&gt;0,$C$233/5+$C$234,$C$234)))</f>
        <v>6</v>
      </c>
      <c r="K236" s="69">
        <f>IF(C236="mensal",IF(F236&gt;0,F236*H236,IF(D236="descartável",((SUM($C$232:$C$233)/2)+$C$234)*E236*H236,IF(D236="pessoal",E236*H236*I236,E236*H236*J236))),0)+IF(C236="trimestral",IF(F236&gt;0,F236*H236/3,IF(D236="descartável",(((SUM($C$232:$C$233)/2)+$C$234)*E236*H236)/3,IF(D236="pessoal",(E236*H236*I236)/3,(E236*H236*J236)/3))),0)+IF(C236="semestral",IF(F236&gt;0,F236*H236/6,IF(D236="descartável",(((SUM($C$232:$C$233)/2)+$C$234)*E236*H236)/6,IF(D236="pessoal",(E236*H236*I236)/6,(E236*H236*J236)/6))),0)+IF(C236="anual",IF(F236&gt;0,F236*H236/12,IF(D236="descartável",(((SUM($C$232:$C$233)/2)+$C$234)*E236*H236)/12,IF(D236="pessoal",(E236*H236*I236)/12,(E236*H236*J236)/12))),0)</f>
        <v>0</v>
      </c>
      <c r="L236" s="69">
        <f>IFERROR(K236*12, 0)</f>
        <v>0</v>
      </c>
      <c r="M236" s="69">
        <f>IFERROR(K236*60,0)</f>
        <v>0</v>
      </c>
    </row>
    <row r="237" spans="1:13" s="61" customFormat="1" ht="20.25" customHeight="1" x14ac:dyDescent="0.25">
      <c r="A237" s="67" t="s">
        <v>110</v>
      </c>
      <c r="B237" s="68" t="s">
        <v>323</v>
      </c>
      <c r="C237" s="69" t="s">
        <v>296</v>
      </c>
      <c r="D237" s="69" t="s">
        <v>292</v>
      </c>
      <c r="E237" s="222">
        <v>1</v>
      </c>
      <c r="F237" s="222">
        <v>0</v>
      </c>
      <c r="G237" s="68" t="s">
        <v>315</v>
      </c>
      <c r="H237" s="70">
        <f>VLOOKUP(B237,custoEPI!$B$6:$E$29,4,FALSE)</f>
        <v>0</v>
      </c>
      <c r="I237" s="71">
        <f t="shared" si="52"/>
        <v>9</v>
      </c>
      <c r="J237" s="71">
        <f t="shared" si="53"/>
        <v>6</v>
      </c>
      <c r="K237" s="69">
        <f t="shared" ref="K237:K241" si="54">IF(C237="mensal",IF(F237&gt;0,F237*H237,IF(D237="descartável",((SUM($C$232:$C$233)/2)+$C$234)*E237*H237,IF(D237="pessoal",E237*H237*I237,E237*H237*J237))),0)+IF(C237="trimestral",IF(F237&gt;0,F237*H237/3,IF(D237="descartável",(((SUM($C$232:$C$233)/2)+$C$234)*E237*H237)/3,IF(D237="pessoal",(E237*H237*I237)/3,(E237*H237*J237)/3))),0)+IF(C237="semestral",IF(F237&gt;0,F237*H237/6,IF(D237="descartável",(((SUM($C$232:$C$233)/2)+$C$234)*E237*H237)/6,IF(D237="pessoal",(E237*H237*I237)/6,(E237*H237*J237)/6))),0)+IF(C237="anual",IF(F237&gt;0,F237*H237/12,IF(D237="descartável",(((SUM($C$232:$C$233)/2)+$C$234)*E237*H237)/12,IF(D237="pessoal",(E237*H237*I237)/12,(E237*H237*J237)/12))),0)</f>
        <v>0</v>
      </c>
      <c r="L237" s="69">
        <f t="shared" ref="L237:L252" si="55">IFERROR(K237*12, 0)</f>
        <v>0</v>
      </c>
      <c r="M237" s="69">
        <f t="shared" ref="M237:M252" si="56">IFERROR(K237*60,0)</f>
        <v>0</v>
      </c>
    </row>
    <row r="238" spans="1:13" s="61" customFormat="1" ht="20.25" customHeight="1" x14ac:dyDescent="0.25">
      <c r="A238" s="67" t="s">
        <v>111</v>
      </c>
      <c r="B238" s="68" t="s">
        <v>313</v>
      </c>
      <c r="C238" s="69" t="s">
        <v>288</v>
      </c>
      <c r="D238" s="69" t="s">
        <v>289</v>
      </c>
      <c r="E238" s="222">
        <v>48</v>
      </c>
      <c r="F238" s="222">
        <v>0</v>
      </c>
      <c r="G238" s="68" t="s">
        <v>290</v>
      </c>
      <c r="H238" s="70">
        <f>VLOOKUP(B238,custoEPI!$B$6:$E$29,4,FALSE)</f>
        <v>0</v>
      </c>
      <c r="I238" s="71">
        <f t="shared" si="52"/>
        <v>9</v>
      </c>
      <c r="J238" s="71">
        <f t="shared" si="53"/>
        <v>6</v>
      </c>
      <c r="K238" s="69">
        <f t="shared" si="54"/>
        <v>0</v>
      </c>
      <c r="L238" s="69">
        <f t="shared" si="55"/>
        <v>0</v>
      </c>
      <c r="M238" s="69">
        <f t="shared" si="56"/>
        <v>0</v>
      </c>
    </row>
    <row r="239" spans="1:13" s="61" customFormat="1" ht="20.25" customHeight="1" x14ac:dyDescent="0.25">
      <c r="A239" s="67" t="s">
        <v>113</v>
      </c>
      <c r="B239" s="68" t="s">
        <v>287</v>
      </c>
      <c r="C239" s="69" t="s">
        <v>288</v>
      </c>
      <c r="D239" s="69" t="s">
        <v>289</v>
      </c>
      <c r="E239" s="222">
        <f>3*30</f>
        <v>90</v>
      </c>
      <c r="F239" s="222">
        <v>0</v>
      </c>
      <c r="G239" s="68" t="s">
        <v>290</v>
      </c>
      <c r="H239" s="70">
        <f>VLOOKUP(B239,custoEPI!$B$6:$E$29,4,FALSE)</f>
        <v>0</v>
      </c>
      <c r="I239" s="71">
        <f t="shared" si="52"/>
        <v>9</v>
      </c>
      <c r="J239" s="71">
        <f t="shared" si="53"/>
        <v>6</v>
      </c>
      <c r="K239" s="69">
        <f t="shared" si="54"/>
        <v>0</v>
      </c>
      <c r="L239" s="69">
        <f t="shared" si="55"/>
        <v>0</v>
      </c>
      <c r="M239" s="69">
        <f t="shared" si="56"/>
        <v>0</v>
      </c>
    </row>
    <row r="240" spans="1:13" s="61" customFormat="1" ht="20.25" customHeight="1" x14ac:dyDescent="0.25">
      <c r="A240" s="67" t="s">
        <v>114</v>
      </c>
      <c r="B240" s="68" t="s">
        <v>294</v>
      </c>
      <c r="C240" s="69" t="s">
        <v>288</v>
      </c>
      <c r="D240" s="69" t="s">
        <v>289</v>
      </c>
      <c r="E240" s="222">
        <f>3*30</f>
        <v>90</v>
      </c>
      <c r="F240" s="222">
        <v>0</v>
      </c>
      <c r="G240" s="68" t="s">
        <v>290</v>
      </c>
      <c r="H240" s="70">
        <f>VLOOKUP(B240,custoEPI!$B$6:$E$29,4,FALSE)</f>
        <v>0</v>
      </c>
      <c r="I240" s="71">
        <f t="shared" si="52"/>
        <v>9</v>
      </c>
      <c r="J240" s="71">
        <f t="shared" si="53"/>
        <v>6</v>
      </c>
      <c r="K240" s="69">
        <f t="shared" si="54"/>
        <v>0</v>
      </c>
      <c r="L240" s="69">
        <f t="shared" si="55"/>
        <v>0</v>
      </c>
      <c r="M240" s="69">
        <f t="shared" si="56"/>
        <v>0</v>
      </c>
    </row>
    <row r="241" spans="1:13" s="61" customFormat="1" ht="20.25" customHeight="1" x14ac:dyDescent="0.25">
      <c r="A241" s="67" t="s">
        <v>115</v>
      </c>
      <c r="B241" s="68" t="s">
        <v>307</v>
      </c>
      <c r="C241" s="69" t="s">
        <v>300</v>
      </c>
      <c r="D241" s="69" t="s">
        <v>292</v>
      </c>
      <c r="E241" s="222">
        <v>1</v>
      </c>
      <c r="F241" s="222">
        <v>0</v>
      </c>
      <c r="G241" s="68" t="s">
        <v>290</v>
      </c>
      <c r="H241" s="70">
        <f>VLOOKUP(B241,custoEPI!$B$6:$E$29,4,FALSE)</f>
        <v>0</v>
      </c>
      <c r="I241" s="71">
        <f t="shared" si="52"/>
        <v>9</v>
      </c>
      <c r="J241" s="71">
        <f t="shared" si="53"/>
        <v>6</v>
      </c>
      <c r="K241" s="69">
        <f t="shared" si="54"/>
        <v>0</v>
      </c>
      <c r="L241" s="69">
        <f t="shared" si="55"/>
        <v>0</v>
      </c>
      <c r="M241" s="69">
        <f t="shared" si="56"/>
        <v>0</v>
      </c>
    </row>
    <row r="242" spans="1:13" s="61" customFormat="1" ht="20.25" hidden="1" customHeight="1" x14ac:dyDescent="0.25">
      <c r="A242" s="67" t="s">
        <v>116</v>
      </c>
      <c r="B242" s="68"/>
      <c r="C242" s="69"/>
      <c r="D242" s="69"/>
      <c r="E242" s="222"/>
      <c r="F242" s="222"/>
      <c r="G242" s="68" t="s">
        <v>290</v>
      </c>
      <c r="H242" s="70" t="e">
        <f>VLOOKUP(B242,custoEPI!$B$6:$E$29,4,FALSE)</f>
        <v>#N/A</v>
      </c>
      <c r="I242" s="71"/>
      <c r="J242" s="71" t="str">
        <f t="shared" si="53"/>
        <v>sem descrição</v>
      </c>
      <c r="K242" s="69" t="str">
        <f t="shared" ref="K242:K251" si="57">IF(C242="mensal",J242*H242*E242,IF(C242="trimestral",(J242*H242*E242)/3,IF(C242="semestral",(J242*H242*E242)/6,IF(C242="anual",(J242*H242*E242/12),"informar entrega"))))</f>
        <v>informar entrega</v>
      </c>
      <c r="L242" s="69">
        <f t="shared" si="55"/>
        <v>0</v>
      </c>
      <c r="M242" s="69">
        <f t="shared" si="56"/>
        <v>0</v>
      </c>
    </row>
    <row r="243" spans="1:13" s="61" customFormat="1" ht="20.25" hidden="1" customHeight="1" x14ac:dyDescent="0.25">
      <c r="A243" s="67" t="s">
        <v>118</v>
      </c>
      <c r="B243" s="68"/>
      <c r="C243" s="69"/>
      <c r="D243" s="69"/>
      <c r="E243" s="222"/>
      <c r="F243" s="222"/>
      <c r="G243" s="68" t="s">
        <v>290</v>
      </c>
      <c r="H243" s="70" t="e">
        <f>VLOOKUP(B243,custoEPI!$B$6:$E$29,4,FALSE)</f>
        <v>#N/A</v>
      </c>
      <c r="I243" s="71"/>
      <c r="J243" s="71" t="str">
        <f t="shared" si="53"/>
        <v>sem descrição</v>
      </c>
      <c r="K243" s="69" t="str">
        <f t="shared" si="57"/>
        <v>informar entrega</v>
      </c>
      <c r="L243" s="69">
        <f t="shared" si="55"/>
        <v>0</v>
      </c>
      <c r="M243" s="69">
        <f t="shared" si="56"/>
        <v>0</v>
      </c>
    </row>
    <row r="244" spans="1:13" s="61" customFormat="1" ht="20.25" hidden="1" customHeight="1" x14ac:dyDescent="0.25">
      <c r="A244" s="67" t="s">
        <v>121</v>
      </c>
      <c r="B244" s="68"/>
      <c r="C244" s="69"/>
      <c r="D244" s="69"/>
      <c r="E244" s="222"/>
      <c r="F244" s="222"/>
      <c r="G244" s="68"/>
      <c r="H244" s="70" t="e">
        <f>VLOOKUP(B244,custoEPI!$B$6:$E$29,4,FALSE)</f>
        <v>#N/A</v>
      </c>
      <c r="I244" s="71"/>
      <c r="J244" s="71" t="str">
        <f t="shared" si="53"/>
        <v>sem descrição</v>
      </c>
      <c r="K244" s="69" t="str">
        <f t="shared" si="57"/>
        <v>informar entrega</v>
      </c>
      <c r="L244" s="69">
        <f t="shared" si="55"/>
        <v>0</v>
      </c>
      <c r="M244" s="69">
        <f t="shared" si="56"/>
        <v>0</v>
      </c>
    </row>
    <row r="245" spans="1:13" s="61" customFormat="1" ht="20.25" hidden="1" customHeight="1" x14ac:dyDescent="0.25">
      <c r="A245" s="67" t="s">
        <v>125</v>
      </c>
      <c r="B245" s="68"/>
      <c r="C245" s="69"/>
      <c r="D245" s="69"/>
      <c r="E245" s="222"/>
      <c r="F245" s="222"/>
      <c r="G245" s="68"/>
      <c r="H245" s="70"/>
      <c r="I245" s="71"/>
      <c r="J245" s="71" t="str">
        <f t="shared" si="53"/>
        <v>sem descrição</v>
      </c>
      <c r="K245" s="69" t="str">
        <f t="shared" si="57"/>
        <v>informar entrega</v>
      </c>
      <c r="L245" s="69">
        <f t="shared" si="55"/>
        <v>0</v>
      </c>
      <c r="M245" s="69">
        <f t="shared" si="56"/>
        <v>0</v>
      </c>
    </row>
    <row r="246" spans="1:13" s="61" customFormat="1" ht="20.25" hidden="1" customHeight="1" x14ac:dyDescent="0.25">
      <c r="A246" s="67" t="s">
        <v>127</v>
      </c>
      <c r="B246" s="68"/>
      <c r="C246" s="69"/>
      <c r="D246" s="69"/>
      <c r="E246" s="222"/>
      <c r="F246" s="222"/>
      <c r="G246" s="68"/>
      <c r="H246" s="70"/>
      <c r="I246" s="70"/>
      <c r="J246" s="71" t="str">
        <f t="shared" si="53"/>
        <v>sem descrição</v>
      </c>
      <c r="K246" s="69" t="str">
        <f t="shared" si="57"/>
        <v>informar entrega</v>
      </c>
      <c r="L246" s="69">
        <f t="shared" si="55"/>
        <v>0</v>
      </c>
      <c r="M246" s="69">
        <f t="shared" si="56"/>
        <v>0</v>
      </c>
    </row>
    <row r="247" spans="1:13" s="61" customFormat="1" ht="20.25" hidden="1" customHeight="1" x14ac:dyDescent="0.25">
      <c r="A247" s="67" t="s">
        <v>129</v>
      </c>
      <c r="B247" s="68"/>
      <c r="C247" s="69"/>
      <c r="D247" s="69"/>
      <c r="E247" s="222"/>
      <c r="F247" s="222"/>
      <c r="G247" s="68"/>
      <c r="H247" s="70"/>
      <c r="I247" s="70"/>
      <c r="J247" s="71" t="str">
        <f t="shared" si="53"/>
        <v>sem descrição</v>
      </c>
      <c r="K247" s="69" t="str">
        <f t="shared" si="57"/>
        <v>informar entrega</v>
      </c>
      <c r="L247" s="69">
        <f t="shared" si="55"/>
        <v>0</v>
      </c>
      <c r="M247" s="69">
        <f t="shared" si="56"/>
        <v>0</v>
      </c>
    </row>
    <row r="248" spans="1:13" s="61" customFormat="1" ht="20.25" hidden="1" customHeight="1" x14ac:dyDescent="0.25">
      <c r="A248" s="67" t="s">
        <v>131</v>
      </c>
      <c r="B248" s="68"/>
      <c r="C248" s="69"/>
      <c r="D248" s="69"/>
      <c r="E248" s="222"/>
      <c r="F248" s="222"/>
      <c r="G248" s="68"/>
      <c r="H248" s="70"/>
      <c r="I248" s="70"/>
      <c r="J248" s="71" t="str">
        <f t="shared" si="53"/>
        <v>sem descrição</v>
      </c>
      <c r="K248" s="69" t="str">
        <f t="shared" si="57"/>
        <v>informar entrega</v>
      </c>
      <c r="L248" s="69">
        <f t="shared" si="55"/>
        <v>0</v>
      </c>
      <c r="M248" s="69">
        <f t="shared" si="56"/>
        <v>0</v>
      </c>
    </row>
    <row r="249" spans="1:13" s="61" customFormat="1" ht="20.25" hidden="1" customHeight="1" x14ac:dyDescent="0.25">
      <c r="A249" s="67" t="s">
        <v>188</v>
      </c>
      <c r="B249" s="68"/>
      <c r="C249" s="69"/>
      <c r="D249" s="69"/>
      <c r="E249" s="222"/>
      <c r="F249" s="222"/>
      <c r="G249" s="68"/>
      <c r="H249" s="70"/>
      <c r="I249" s="70"/>
      <c r="J249" s="71" t="str">
        <f t="shared" si="53"/>
        <v>sem descrição</v>
      </c>
      <c r="K249" s="69" t="str">
        <f t="shared" si="57"/>
        <v>informar entrega</v>
      </c>
      <c r="L249" s="69">
        <f t="shared" si="55"/>
        <v>0</v>
      </c>
      <c r="M249" s="69">
        <f t="shared" si="56"/>
        <v>0</v>
      </c>
    </row>
    <row r="250" spans="1:13" s="61" customFormat="1" ht="20.25" hidden="1" customHeight="1" x14ac:dyDescent="0.25">
      <c r="A250" s="67" t="s">
        <v>192</v>
      </c>
      <c r="B250" s="68"/>
      <c r="C250" s="69"/>
      <c r="D250" s="69"/>
      <c r="E250" s="222"/>
      <c r="F250" s="222"/>
      <c r="G250" s="68"/>
      <c r="H250" s="70"/>
      <c r="I250" s="70"/>
      <c r="J250" s="71" t="str">
        <f t="shared" si="53"/>
        <v>sem descrição</v>
      </c>
      <c r="K250" s="69" t="str">
        <f t="shared" si="57"/>
        <v>informar entrega</v>
      </c>
      <c r="L250" s="69">
        <f t="shared" si="55"/>
        <v>0</v>
      </c>
      <c r="M250" s="69">
        <f t="shared" si="56"/>
        <v>0</v>
      </c>
    </row>
    <row r="251" spans="1:13" s="61" customFormat="1" ht="20.25" hidden="1" customHeight="1" x14ac:dyDescent="0.25">
      <c r="A251" s="67" t="s">
        <v>195</v>
      </c>
      <c r="B251" s="68"/>
      <c r="C251" s="69"/>
      <c r="D251" s="69"/>
      <c r="E251" s="222"/>
      <c r="F251" s="222"/>
      <c r="G251" s="68"/>
      <c r="H251" s="70"/>
      <c r="I251" s="70"/>
      <c r="J251" s="71" t="str">
        <f t="shared" si="53"/>
        <v>sem descrição</v>
      </c>
      <c r="K251" s="69" t="str">
        <f t="shared" si="57"/>
        <v>informar entrega</v>
      </c>
      <c r="L251" s="69">
        <f t="shared" si="55"/>
        <v>0</v>
      </c>
      <c r="M251" s="69">
        <f t="shared" si="56"/>
        <v>0</v>
      </c>
    </row>
    <row r="252" spans="1:13" s="61" customFormat="1" ht="20.25" hidden="1" customHeight="1" x14ac:dyDescent="0.25">
      <c r="A252" s="67" t="s">
        <v>199</v>
      </c>
      <c r="B252" s="68"/>
      <c r="C252" s="69"/>
      <c r="D252" s="69"/>
      <c r="E252" s="222"/>
      <c r="F252" s="222"/>
      <c r="G252" s="68"/>
      <c r="H252" s="70"/>
      <c r="I252" s="70"/>
      <c r="J252" s="71" t="str">
        <f t="shared" si="53"/>
        <v>sem descrição</v>
      </c>
      <c r="K252" s="69" t="str">
        <f>IF(C252="mensal",J252*H252*E252,IF(C252="trimestral",(J252*H252*E252)/3,IF(C252="semestral",(J252*H252*E252)/6,IF(C252="anual",(J252*H252*E252/12),"informar período"))))</f>
        <v>informar período</v>
      </c>
      <c r="L252" s="69">
        <f t="shared" si="55"/>
        <v>0</v>
      </c>
      <c r="M252" s="69">
        <f t="shared" si="56"/>
        <v>0</v>
      </c>
    </row>
    <row r="253" spans="1:13" s="61" customFormat="1" ht="20.25" hidden="1" customHeight="1" x14ac:dyDescent="0.25">
      <c r="A253" s="152" t="s">
        <v>308</v>
      </c>
      <c r="B253" s="147"/>
      <c r="C253" s="147"/>
      <c r="D253" s="147"/>
      <c r="E253" s="147"/>
      <c r="F253" s="147"/>
      <c r="G253" s="147"/>
      <c r="H253" s="147"/>
      <c r="I253" s="139"/>
      <c r="J253" s="155"/>
      <c r="K253" s="156">
        <f>SUM(K236:K252)</f>
        <v>0</v>
      </c>
      <c r="L253" s="157">
        <f>K253*12</f>
        <v>0</v>
      </c>
      <c r="M253" s="158">
        <f>K253*60</f>
        <v>0</v>
      </c>
    </row>
    <row r="254" spans="1:13" s="61" customFormat="1" ht="20.25" hidden="1" customHeight="1" x14ac:dyDescent="0.25">
      <c r="A254" s="152" t="s">
        <v>302</v>
      </c>
      <c r="B254" s="147"/>
      <c r="C254" s="147"/>
      <c r="D254" s="147"/>
      <c r="E254" s="147"/>
      <c r="F254" s="147"/>
      <c r="G254" s="147"/>
      <c r="H254" s="147"/>
      <c r="I254" s="147"/>
      <c r="J254" s="147"/>
      <c r="K254" s="147"/>
      <c r="L254" s="147"/>
      <c r="M254" s="159">
        <f>K253/SUM(C232:M234)</f>
        <v>0</v>
      </c>
    </row>
    <row r="255" spans="1:13" s="61" customFormat="1" ht="20.25" hidden="1" customHeight="1" x14ac:dyDescent="0.25">
      <c r="A255" s="235" t="s">
        <v>273</v>
      </c>
      <c r="B255" s="143" t="s">
        <v>19</v>
      </c>
      <c r="C255" s="233"/>
      <c r="D255" s="153"/>
      <c r="E255" s="153"/>
      <c r="F255" s="153"/>
      <c r="G255" s="153"/>
      <c r="H255" s="153"/>
      <c r="I255" s="153"/>
      <c r="J255" s="153"/>
      <c r="K255" s="153"/>
      <c r="L255" s="153"/>
      <c r="M255" s="154"/>
    </row>
    <row r="256" spans="1:13" s="61" customFormat="1" ht="20.25" hidden="1" customHeight="1" x14ac:dyDescent="0.25">
      <c r="A256" s="62">
        <v>1</v>
      </c>
      <c r="B256" s="63" t="s">
        <v>274</v>
      </c>
      <c r="C256" s="216" t="str">
        <f>'[1]planilha - proposta'!C43</f>
        <v>Operador de Câmara Fria</v>
      </c>
      <c r="D256" s="217"/>
      <c r="E256" s="217"/>
      <c r="F256" s="217"/>
      <c r="G256" s="217"/>
      <c r="H256" s="145"/>
      <c r="I256" s="145"/>
      <c r="J256" s="145"/>
      <c r="K256" s="145"/>
      <c r="L256" s="145"/>
      <c r="M256" s="146"/>
    </row>
    <row r="257" spans="1:13" s="61" customFormat="1" ht="20.25" hidden="1" customHeight="1" x14ac:dyDescent="0.25">
      <c r="A257" s="62">
        <v>2</v>
      </c>
      <c r="B257" s="63" t="str">
        <f>'planilha - proposta'!D43</f>
        <v>Operador de Câmara Fria - 12X36d</v>
      </c>
      <c r="C257" s="216">
        <f>VLOOKUP(B257,'[1]planilha - proposta'!$D$17:$E$62,2,FALSE)</f>
        <v>0</v>
      </c>
      <c r="D257" s="217"/>
      <c r="E257" s="217"/>
      <c r="F257" s="217"/>
      <c r="G257" s="217"/>
      <c r="H257" s="145"/>
      <c r="I257" s="145"/>
      <c r="J257" s="145"/>
      <c r="K257" s="145"/>
      <c r="L257" s="145"/>
      <c r="M257" s="146"/>
    </row>
    <row r="258" spans="1:13" s="61" customFormat="1" ht="20.25" hidden="1" customHeight="1" x14ac:dyDescent="0.25">
      <c r="A258" s="62"/>
      <c r="B258" s="63"/>
      <c r="C258" s="213">
        <v>0</v>
      </c>
      <c r="D258" s="214"/>
      <c r="E258" s="214"/>
      <c r="F258" s="214"/>
      <c r="G258" s="214"/>
      <c r="H258" s="148"/>
      <c r="I258" s="148"/>
      <c r="J258" s="148"/>
      <c r="K258" s="148"/>
      <c r="L258" s="148"/>
      <c r="M258" s="149"/>
    </row>
    <row r="259" spans="1:13" s="61" customFormat="1" ht="20.25" hidden="1" customHeight="1" x14ac:dyDescent="0.25">
      <c r="A259" s="62"/>
      <c r="B259" s="63"/>
      <c r="C259" s="215">
        <v>0</v>
      </c>
      <c r="D259" s="215"/>
      <c r="E259" s="215"/>
      <c r="F259" s="215"/>
      <c r="G259" s="215"/>
      <c r="H259" s="144"/>
      <c r="I259" s="144"/>
      <c r="J259" s="144"/>
      <c r="K259" s="144"/>
      <c r="L259" s="144"/>
      <c r="M259" s="144"/>
    </row>
    <row r="260" spans="1:13" s="61" customFormat="1" ht="52.5" hidden="1" customHeight="1" x14ac:dyDescent="0.25">
      <c r="A260" s="64" t="s">
        <v>273</v>
      </c>
      <c r="B260" s="65" t="s">
        <v>275</v>
      </c>
      <c r="C260" s="218" t="s">
        <v>276</v>
      </c>
      <c r="D260" s="218" t="s">
        <v>277</v>
      </c>
      <c r="E260" s="218" t="s">
        <v>278</v>
      </c>
      <c r="F260" s="218" t="s">
        <v>303</v>
      </c>
      <c r="G260" s="223" t="s">
        <v>280</v>
      </c>
      <c r="H260" s="65" t="s">
        <v>304</v>
      </c>
      <c r="I260" s="66" t="s">
        <v>305</v>
      </c>
      <c r="J260" s="66" t="s">
        <v>318</v>
      </c>
      <c r="K260" s="65" t="s">
        <v>284</v>
      </c>
      <c r="L260" s="65" t="s">
        <v>285</v>
      </c>
      <c r="M260" s="66" t="s">
        <v>286</v>
      </c>
    </row>
    <row r="261" spans="1:13" s="61" customFormat="1" ht="20.25" hidden="1" customHeight="1" x14ac:dyDescent="0.25">
      <c r="A261" s="67" t="s">
        <v>108</v>
      </c>
      <c r="B261" s="68" t="s">
        <v>324</v>
      </c>
      <c r="C261" s="69" t="s">
        <v>298</v>
      </c>
      <c r="D261" s="69" t="s">
        <v>292</v>
      </c>
      <c r="E261" s="222">
        <v>1</v>
      </c>
      <c r="F261" s="222">
        <v>0</v>
      </c>
      <c r="G261" s="68" t="s">
        <v>290</v>
      </c>
      <c r="H261" s="70">
        <f>VLOOKUP(B261,custoEPI!$B$6:$E$29,4,FALSE)</f>
        <v>0</v>
      </c>
      <c r="I261" s="71">
        <f t="shared" ref="I261:I269" si="58">SUM($C$257:$M$259)</f>
        <v>0</v>
      </c>
      <c r="J261" s="71">
        <f t="shared" ref="J261:J277" si="59">IF(B261="","sem descrição",IF($C$257&gt;=$C$258,IF($C$259&gt;0,$C$257/2+$C$259,$C$257/2),IF($C$259&gt;0,$C$258/5+$C$259,$C$259)))</f>
        <v>0</v>
      </c>
      <c r="K261" s="69">
        <f>IF(C261="mensal",IF(F261&gt;0,F261*H261,IF(D261="descartável",((SUM($C$257:$C$258)/2)+$C$259)*E261*H261,IF(D261="pessoal",E261*H261*I261,E261*H261*J261))),0)+IF(C261="trimestral",IF(F261&gt;0,F261*H261/3,IF(D261="descartável",(((SUM($C$257:$C$258)/2)+$C$259)*E261*H261)/3,IF(D261="pessoal",(E261*H261*I261)/3,(E261*H261*J261)/3))),0)+IF(C261="semestral",IF(F261&gt;0,F261*H261/6,IF(D261="descartável",(((SUM($C$257:$C$258)/2)+$C$259)*E261*H261)/6,IF(D261="pessoal",(E261*H261*I261)/6,(E261*H261*J261)/6))),0)+IF(C261="anual",IF(F261&gt;0,F261*H261/12,IF(D261="descartável",(((SUM($C$257:$C$258)/2)+$C$259)*E261*H261)/12,IF(D261="pessoal",(E261*H261*I261)/12,(E261*H261*J261)/12))),0)</f>
        <v>0</v>
      </c>
      <c r="L261" s="69">
        <f>IFERROR(K261*12, 0)</f>
        <v>0</v>
      </c>
      <c r="M261" s="69">
        <f>IFERROR(K261*60,0)</f>
        <v>0</v>
      </c>
    </row>
    <row r="262" spans="1:13" s="61" customFormat="1" ht="20.25" hidden="1" customHeight="1" x14ac:dyDescent="0.25">
      <c r="A262" s="67" t="s">
        <v>110</v>
      </c>
      <c r="B262" s="68" t="s">
        <v>325</v>
      </c>
      <c r="C262" s="69" t="s">
        <v>298</v>
      </c>
      <c r="D262" s="69" t="s">
        <v>292</v>
      </c>
      <c r="E262" s="222">
        <v>1</v>
      </c>
      <c r="F262" s="222">
        <v>0</v>
      </c>
      <c r="G262" s="68" t="s">
        <v>290</v>
      </c>
      <c r="H262" s="70">
        <f>VLOOKUP(B262,custoEPI!$B$6:$E$29,4,FALSE)</f>
        <v>0</v>
      </c>
      <c r="I262" s="71">
        <f t="shared" si="58"/>
        <v>0</v>
      </c>
      <c r="J262" s="71">
        <f t="shared" si="59"/>
        <v>0</v>
      </c>
      <c r="K262" s="69">
        <f t="shared" ref="K262:K269" si="60">IF(C262="mensal",IF(F262&gt;0,F262*H262,IF(D262="descartável",((SUM($C$257:$C$258)/2)+$C$259)*E262*H262,IF(D262="pessoal",E262*H262*I262,E262*H262*J262))),0)+IF(C262="trimestral",IF(F262&gt;0,F262*H262/3,IF(D262="descartável",(((SUM($C$257:$C$258)/2)+$C$259)*E262*H262)/3,IF(D262="pessoal",(E262*H262*I262)/3,(E262*H262*J262)/3))),0)+IF(C262="semestral",IF(F262&gt;0,F262*H262/6,IF(D262="descartável",(((SUM($C$257:$C$258)/2)+$C$259)*E262*H262)/6,IF(D262="pessoal",(E262*H262*I262)/6,(E262*H262*J262)/6))),0)+IF(C262="anual",IF(F262&gt;0,F262*H262/12,IF(D262="descartável",(((SUM($C$257:$C$258)/2)+$C$259)*E262*H262)/12,IF(D262="pessoal",(E262*H262*I262)/12,(E262*H262*J262)/12))),0)</f>
        <v>0</v>
      </c>
      <c r="L262" s="69">
        <f t="shared" ref="L262:L277" si="61">IFERROR(K262*12, 0)</f>
        <v>0</v>
      </c>
      <c r="M262" s="69">
        <f t="shared" ref="M262:M277" si="62">IFERROR(K262*60,0)</f>
        <v>0</v>
      </c>
    </row>
    <row r="263" spans="1:13" s="61" customFormat="1" ht="20.25" hidden="1" customHeight="1" x14ac:dyDescent="0.25">
      <c r="A263" s="67" t="s">
        <v>111</v>
      </c>
      <c r="B263" s="68" t="s">
        <v>294</v>
      </c>
      <c r="C263" s="69" t="s">
        <v>288</v>
      </c>
      <c r="D263" s="69" t="s">
        <v>289</v>
      </c>
      <c r="E263" s="222">
        <f>3*30</f>
        <v>90</v>
      </c>
      <c r="F263" s="222">
        <v>0</v>
      </c>
      <c r="G263" s="68" t="s">
        <v>290</v>
      </c>
      <c r="H263" s="70">
        <f>VLOOKUP(B263,custoEPI!$B$6:$E$29,4,FALSE)</f>
        <v>0</v>
      </c>
      <c r="I263" s="71">
        <f t="shared" si="58"/>
        <v>0</v>
      </c>
      <c r="J263" s="71">
        <f t="shared" si="59"/>
        <v>0</v>
      </c>
      <c r="K263" s="69">
        <f t="shared" si="60"/>
        <v>0</v>
      </c>
      <c r="L263" s="69">
        <f t="shared" si="61"/>
        <v>0</v>
      </c>
      <c r="M263" s="69">
        <f t="shared" si="62"/>
        <v>0</v>
      </c>
    </row>
    <row r="264" spans="1:13" s="61" customFormat="1" ht="20.25" hidden="1" customHeight="1" x14ac:dyDescent="0.25">
      <c r="A264" s="67" t="s">
        <v>113</v>
      </c>
      <c r="B264" s="68" t="s">
        <v>287</v>
      </c>
      <c r="C264" s="69" t="s">
        <v>288</v>
      </c>
      <c r="D264" s="69" t="s">
        <v>289</v>
      </c>
      <c r="E264" s="222">
        <f>30*3</f>
        <v>90</v>
      </c>
      <c r="F264" s="222">
        <v>0</v>
      </c>
      <c r="G264" s="68" t="s">
        <v>290</v>
      </c>
      <c r="H264" s="70">
        <f>VLOOKUP(B264,custoEPI!$B$6:$E$29,4,FALSE)</f>
        <v>0</v>
      </c>
      <c r="I264" s="71">
        <f t="shared" si="58"/>
        <v>0</v>
      </c>
      <c r="J264" s="71">
        <f t="shared" si="59"/>
        <v>0</v>
      </c>
      <c r="K264" s="69">
        <f t="shared" si="60"/>
        <v>0</v>
      </c>
      <c r="L264" s="69">
        <f t="shared" si="61"/>
        <v>0</v>
      </c>
      <c r="M264" s="69">
        <f t="shared" si="62"/>
        <v>0</v>
      </c>
    </row>
    <row r="265" spans="1:13" s="61" customFormat="1" ht="20.25" hidden="1" customHeight="1" x14ac:dyDescent="0.25">
      <c r="A265" s="67" t="s">
        <v>114</v>
      </c>
      <c r="B265" s="68" t="s">
        <v>316</v>
      </c>
      <c r="C265" s="69" t="s">
        <v>298</v>
      </c>
      <c r="D265" s="69" t="s">
        <v>292</v>
      </c>
      <c r="E265" s="222">
        <v>1</v>
      </c>
      <c r="F265" s="222">
        <v>0</v>
      </c>
      <c r="G265" s="68" t="s">
        <v>315</v>
      </c>
      <c r="H265" s="70">
        <f>VLOOKUP(B265,custoEPI!$B$6:$E$29,4,FALSE)</f>
        <v>0</v>
      </c>
      <c r="I265" s="71">
        <f t="shared" si="58"/>
        <v>0</v>
      </c>
      <c r="J265" s="71">
        <f t="shared" si="59"/>
        <v>0</v>
      </c>
      <c r="K265" s="69">
        <f t="shared" si="60"/>
        <v>0</v>
      </c>
      <c r="L265" s="69">
        <f t="shared" si="61"/>
        <v>0</v>
      </c>
      <c r="M265" s="69">
        <f t="shared" si="62"/>
        <v>0</v>
      </c>
    </row>
    <row r="266" spans="1:13" s="61" customFormat="1" ht="20.25" hidden="1" customHeight="1" x14ac:dyDescent="0.25">
      <c r="A266" s="67" t="s">
        <v>115</v>
      </c>
      <c r="B266" s="68" t="s">
        <v>313</v>
      </c>
      <c r="C266" s="69" t="s">
        <v>288</v>
      </c>
      <c r="D266" s="69" t="s">
        <v>289</v>
      </c>
      <c r="E266" s="222">
        <v>48</v>
      </c>
      <c r="F266" s="222">
        <v>0</v>
      </c>
      <c r="G266" s="68" t="s">
        <v>290</v>
      </c>
      <c r="H266" s="70">
        <f>VLOOKUP(B266,custoEPI!$B$6:$E$29,4,FALSE)</f>
        <v>0</v>
      </c>
      <c r="I266" s="71">
        <f t="shared" si="58"/>
        <v>0</v>
      </c>
      <c r="J266" s="71">
        <f t="shared" si="59"/>
        <v>0</v>
      </c>
      <c r="K266" s="69">
        <f t="shared" si="60"/>
        <v>0</v>
      </c>
      <c r="L266" s="69">
        <f t="shared" si="61"/>
        <v>0</v>
      </c>
      <c r="M266" s="69">
        <f t="shared" si="62"/>
        <v>0</v>
      </c>
    </row>
    <row r="267" spans="1:13" s="61" customFormat="1" ht="20.25" hidden="1" customHeight="1" x14ac:dyDescent="0.25">
      <c r="A267" s="67" t="s">
        <v>116</v>
      </c>
      <c r="B267" s="68" t="s">
        <v>322</v>
      </c>
      <c r="C267" s="69" t="s">
        <v>300</v>
      </c>
      <c r="D267" s="69" t="s">
        <v>292</v>
      </c>
      <c r="E267" s="222">
        <v>1</v>
      </c>
      <c r="F267" s="222">
        <v>0</v>
      </c>
      <c r="G267" s="68" t="s">
        <v>290</v>
      </c>
      <c r="H267" s="70">
        <f>VLOOKUP(B267,custoEPI!$B$6:$E$29,4,FALSE)</f>
        <v>0</v>
      </c>
      <c r="I267" s="71">
        <f t="shared" si="58"/>
        <v>0</v>
      </c>
      <c r="J267" s="71">
        <f t="shared" si="59"/>
        <v>0</v>
      </c>
      <c r="K267" s="69">
        <f t="shared" si="60"/>
        <v>0</v>
      </c>
      <c r="L267" s="69">
        <f t="shared" si="61"/>
        <v>0</v>
      </c>
      <c r="M267" s="69">
        <f t="shared" si="62"/>
        <v>0</v>
      </c>
    </row>
    <row r="268" spans="1:13" s="61" customFormat="1" ht="20.25" hidden="1" customHeight="1" x14ac:dyDescent="0.25">
      <c r="A268" s="67" t="s">
        <v>118</v>
      </c>
      <c r="B268" s="68" t="s">
        <v>307</v>
      </c>
      <c r="C268" s="69" t="s">
        <v>300</v>
      </c>
      <c r="D268" s="69" t="s">
        <v>292</v>
      </c>
      <c r="E268" s="222">
        <v>1</v>
      </c>
      <c r="F268" s="222">
        <v>0</v>
      </c>
      <c r="G268" s="68" t="s">
        <v>290</v>
      </c>
      <c r="H268" s="70">
        <f>VLOOKUP(B268,custoEPI!$B$6:$E$29,4,FALSE)</f>
        <v>0</v>
      </c>
      <c r="I268" s="71">
        <f t="shared" si="58"/>
        <v>0</v>
      </c>
      <c r="J268" s="71">
        <f t="shared" si="59"/>
        <v>0</v>
      </c>
      <c r="K268" s="69">
        <f t="shared" si="60"/>
        <v>0</v>
      </c>
      <c r="L268" s="69">
        <f t="shared" si="61"/>
        <v>0</v>
      </c>
      <c r="M268" s="69">
        <f t="shared" si="62"/>
        <v>0</v>
      </c>
    </row>
    <row r="269" spans="1:13" s="61" customFormat="1" ht="20.25" hidden="1" customHeight="1" x14ac:dyDescent="0.25">
      <c r="A269" s="67" t="s">
        <v>121</v>
      </c>
      <c r="B269" s="68" t="s">
        <v>326</v>
      </c>
      <c r="C269" s="69" t="s">
        <v>298</v>
      </c>
      <c r="D269" s="69" t="s">
        <v>292</v>
      </c>
      <c r="E269" s="222">
        <v>1</v>
      </c>
      <c r="F269" s="222">
        <v>0</v>
      </c>
      <c r="G269" s="68" t="s">
        <v>290</v>
      </c>
      <c r="H269" s="70">
        <f>VLOOKUP(B269,custoEPI!$B$6:$E$29,4,FALSE)</f>
        <v>0</v>
      </c>
      <c r="I269" s="71">
        <f t="shared" si="58"/>
        <v>0</v>
      </c>
      <c r="J269" s="71">
        <f t="shared" si="59"/>
        <v>0</v>
      </c>
      <c r="K269" s="69">
        <f t="shared" si="60"/>
        <v>0</v>
      </c>
      <c r="L269" s="69">
        <f t="shared" si="61"/>
        <v>0</v>
      </c>
      <c r="M269" s="69">
        <f t="shared" si="62"/>
        <v>0</v>
      </c>
    </row>
    <row r="270" spans="1:13" s="61" customFormat="1" ht="20.25" hidden="1" customHeight="1" x14ac:dyDescent="0.25">
      <c r="A270" s="67" t="s">
        <v>125</v>
      </c>
      <c r="B270" s="68"/>
      <c r="C270" s="69"/>
      <c r="D270" s="69"/>
      <c r="E270" s="222"/>
      <c r="F270" s="222"/>
      <c r="G270" s="68"/>
      <c r="H270" s="70"/>
      <c r="I270" s="71"/>
      <c r="J270" s="71" t="str">
        <f t="shared" si="59"/>
        <v>sem descrição</v>
      </c>
      <c r="K270" s="69" t="str">
        <f t="shared" ref="K270:K276" si="63">IF(C270="mensal",J270*H270*E270,IF(C270="trimestral",(J270*H270*E270)/3,IF(C270="semestral",(J270*H270*E270)/6,IF(C270="anual",(J270*H270*E270/12),"informar entrega"))))</f>
        <v>informar entrega</v>
      </c>
      <c r="L270" s="69">
        <f t="shared" si="61"/>
        <v>0</v>
      </c>
      <c r="M270" s="69">
        <f t="shared" si="62"/>
        <v>0</v>
      </c>
    </row>
    <row r="271" spans="1:13" s="61" customFormat="1" ht="20.25" hidden="1" customHeight="1" x14ac:dyDescent="0.25">
      <c r="A271" s="67" t="s">
        <v>127</v>
      </c>
      <c r="B271" s="68"/>
      <c r="C271" s="69"/>
      <c r="D271" s="69"/>
      <c r="E271" s="222"/>
      <c r="F271" s="222"/>
      <c r="G271" s="68"/>
      <c r="H271" s="70"/>
      <c r="I271" s="70"/>
      <c r="J271" s="71" t="str">
        <f t="shared" si="59"/>
        <v>sem descrição</v>
      </c>
      <c r="K271" s="69" t="str">
        <f t="shared" si="63"/>
        <v>informar entrega</v>
      </c>
      <c r="L271" s="69">
        <f t="shared" si="61"/>
        <v>0</v>
      </c>
      <c r="M271" s="69">
        <f t="shared" si="62"/>
        <v>0</v>
      </c>
    </row>
    <row r="272" spans="1:13" s="61" customFormat="1" ht="20.25" hidden="1" customHeight="1" x14ac:dyDescent="0.25">
      <c r="A272" s="67" t="s">
        <v>129</v>
      </c>
      <c r="B272" s="68"/>
      <c r="C272" s="69"/>
      <c r="D272" s="69"/>
      <c r="E272" s="222"/>
      <c r="F272" s="222"/>
      <c r="G272" s="68"/>
      <c r="H272" s="70"/>
      <c r="I272" s="70"/>
      <c r="J272" s="71" t="str">
        <f t="shared" si="59"/>
        <v>sem descrição</v>
      </c>
      <c r="K272" s="69" t="str">
        <f t="shared" si="63"/>
        <v>informar entrega</v>
      </c>
      <c r="L272" s="69">
        <f t="shared" si="61"/>
        <v>0</v>
      </c>
      <c r="M272" s="69">
        <f t="shared" si="62"/>
        <v>0</v>
      </c>
    </row>
    <row r="273" spans="1:13" s="61" customFormat="1" ht="20.25" hidden="1" customHeight="1" x14ac:dyDescent="0.25">
      <c r="A273" s="67" t="s">
        <v>131</v>
      </c>
      <c r="B273" s="68"/>
      <c r="C273" s="69"/>
      <c r="D273" s="69"/>
      <c r="E273" s="222"/>
      <c r="F273" s="222"/>
      <c r="G273" s="68"/>
      <c r="H273" s="70"/>
      <c r="I273" s="70"/>
      <c r="J273" s="71" t="str">
        <f t="shared" si="59"/>
        <v>sem descrição</v>
      </c>
      <c r="K273" s="69" t="str">
        <f t="shared" si="63"/>
        <v>informar entrega</v>
      </c>
      <c r="L273" s="69">
        <f t="shared" si="61"/>
        <v>0</v>
      </c>
      <c r="M273" s="69">
        <f t="shared" si="62"/>
        <v>0</v>
      </c>
    </row>
    <row r="274" spans="1:13" s="61" customFormat="1" ht="20.25" hidden="1" customHeight="1" x14ac:dyDescent="0.25">
      <c r="A274" s="67" t="s">
        <v>188</v>
      </c>
      <c r="B274" s="68"/>
      <c r="C274" s="69"/>
      <c r="D274" s="69"/>
      <c r="E274" s="222"/>
      <c r="F274" s="222"/>
      <c r="G274" s="68"/>
      <c r="H274" s="70"/>
      <c r="I274" s="70"/>
      <c r="J274" s="71" t="str">
        <f t="shared" si="59"/>
        <v>sem descrição</v>
      </c>
      <c r="K274" s="69" t="str">
        <f t="shared" si="63"/>
        <v>informar entrega</v>
      </c>
      <c r="L274" s="69">
        <f t="shared" si="61"/>
        <v>0</v>
      </c>
      <c r="M274" s="69">
        <f t="shared" si="62"/>
        <v>0</v>
      </c>
    </row>
    <row r="275" spans="1:13" s="61" customFormat="1" ht="20.25" hidden="1" customHeight="1" x14ac:dyDescent="0.25">
      <c r="A275" s="67" t="s">
        <v>192</v>
      </c>
      <c r="B275" s="68"/>
      <c r="C275" s="69"/>
      <c r="D275" s="69"/>
      <c r="E275" s="222"/>
      <c r="F275" s="222"/>
      <c r="G275" s="68"/>
      <c r="H275" s="70"/>
      <c r="I275" s="70"/>
      <c r="J275" s="71" t="str">
        <f t="shared" si="59"/>
        <v>sem descrição</v>
      </c>
      <c r="K275" s="69" t="str">
        <f t="shared" si="63"/>
        <v>informar entrega</v>
      </c>
      <c r="L275" s="69">
        <f t="shared" si="61"/>
        <v>0</v>
      </c>
      <c r="M275" s="69">
        <f t="shared" si="62"/>
        <v>0</v>
      </c>
    </row>
    <row r="276" spans="1:13" s="61" customFormat="1" ht="20.25" hidden="1" customHeight="1" x14ac:dyDescent="0.25">
      <c r="A276" s="67" t="s">
        <v>195</v>
      </c>
      <c r="B276" s="68"/>
      <c r="C276" s="69"/>
      <c r="D276" s="69"/>
      <c r="E276" s="222"/>
      <c r="F276" s="222"/>
      <c r="G276" s="68"/>
      <c r="H276" s="70"/>
      <c r="I276" s="70"/>
      <c r="J276" s="71" t="str">
        <f t="shared" si="59"/>
        <v>sem descrição</v>
      </c>
      <c r="K276" s="69" t="str">
        <f t="shared" si="63"/>
        <v>informar entrega</v>
      </c>
      <c r="L276" s="69">
        <f t="shared" si="61"/>
        <v>0</v>
      </c>
      <c r="M276" s="69">
        <f t="shared" si="62"/>
        <v>0</v>
      </c>
    </row>
    <row r="277" spans="1:13" s="61" customFormat="1" ht="20.25" hidden="1" customHeight="1" x14ac:dyDescent="0.25">
      <c r="A277" s="67" t="s">
        <v>199</v>
      </c>
      <c r="B277" s="68"/>
      <c r="C277" s="69"/>
      <c r="D277" s="69"/>
      <c r="E277" s="222"/>
      <c r="F277" s="222"/>
      <c r="G277" s="68"/>
      <c r="H277" s="70"/>
      <c r="I277" s="70"/>
      <c r="J277" s="71" t="str">
        <f t="shared" si="59"/>
        <v>sem descrição</v>
      </c>
      <c r="K277" s="69" t="str">
        <f>IF(C277="mensal",J277*H277*E277,IF(C277="trimestral",(J277*H277*E277)/3,IF(C277="semestral",(J277*H277*E277)/6,IF(C277="anual",(J277*H277*E277/12),"informar período"))))</f>
        <v>informar período</v>
      </c>
      <c r="L277" s="69">
        <f t="shared" si="61"/>
        <v>0</v>
      </c>
      <c r="M277" s="69">
        <f t="shared" si="62"/>
        <v>0</v>
      </c>
    </row>
    <row r="278" spans="1:13" s="61" customFormat="1" ht="20.25" hidden="1" customHeight="1" x14ac:dyDescent="0.25">
      <c r="A278" s="152" t="s">
        <v>317</v>
      </c>
      <c r="B278" s="147"/>
      <c r="C278" s="234"/>
      <c r="D278" s="147"/>
      <c r="E278" s="147"/>
      <c r="F278" s="147"/>
      <c r="G278" s="147"/>
      <c r="H278" s="147"/>
      <c r="I278" s="139"/>
      <c r="J278" s="155"/>
      <c r="K278" s="156">
        <f>SUM(K261:K277)</f>
        <v>0</v>
      </c>
      <c r="L278" s="157">
        <f>K278*12</f>
        <v>0</v>
      </c>
      <c r="M278" s="158">
        <f>K278*60</f>
        <v>0</v>
      </c>
    </row>
    <row r="279" spans="1:13" s="61" customFormat="1" ht="20.25" hidden="1" customHeight="1" x14ac:dyDescent="0.25">
      <c r="A279" s="152" t="s">
        <v>302</v>
      </c>
      <c r="B279" s="147"/>
      <c r="C279" s="234"/>
      <c r="D279" s="147"/>
      <c r="E279" s="147"/>
      <c r="F279" s="147"/>
      <c r="G279" s="147"/>
      <c r="H279" s="147"/>
      <c r="I279" s="147"/>
      <c r="J279" s="147"/>
      <c r="K279" s="147"/>
      <c r="L279" s="147"/>
      <c r="M279" s="159" t="e">
        <f>K278/SUM(C257:M259)</f>
        <v>#DIV/0!</v>
      </c>
    </row>
    <row r="280" spans="1:13" s="61" customFormat="1" ht="20.25" customHeight="1" x14ac:dyDescent="0.25">
      <c r="A280" s="235" t="s">
        <v>273</v>
      </c>
      <c r="B280" s="143" t="s">
        <v>19</v>
      </c>
      <c r="C280" s="153"/>
      <c r="D280" s="153"/>
      <c r="E280" s="153"/>
      <c r="F280" s="153"/>
      <c r="G280" s="153"/>
      <c r="H280" s="153"/>
      <c r="I280" s="153"/>
      <c r="J280" s="153"/>
      <c r="K280" s="153"/>
      <c r="L280" s="153"/>
      <c r="M280" s="154"/>
    </row>
    <row r="281" spans="1:13" s="61" customFormat="1" ht="20.25" customHeight="1" x14ac:dyDescent="0.25">
      <c r="A281" s="62">
        <v>1</v>
      </c>
      <c r="B281" s="63" t="s">
        <v>274</v>
      </c>
      <c r="C281" s="216" t="str">
        <f>'[1]planilha - proposta'!C44</f>
        <v>Governanta em Hotelaria</v>
      </c>
      <c r="D281" s="217"/>
      <c r="E281" s="217"/>
      <c r="F281" s="217"/>
      <c r="G281" s="217"/>
      <c r="H281" s="145"/>
      <c r="I281" s="145"/>
      <c r="J281" s="145"/>
      <c r="K281" s="145"/>
      <c r="L281" s="145"/>
      <c r="M281" s="146"/>
    </row>
    <row r="282" spans="1:13" s="61" customFormat="1" ht="20.25" customHeight="1" x14ac:dyDescent="0.25">
      <c r="A282" s="62">
        <v>2</v>
      </c>
      <c r="B282" s="63" t="str">
        <f>'planilha - proposta'!D44</f>
        <v>Governanta em Hotelaria - 12x36d</v>
      </c>
      <c r="C282" s="216">
        <f>VLOOKUP(B282,'[1]planilha - proposta'!$D$17:$E$62,2,FALSE)</f>
        <v>2</v>
      </c>
      <c r="D282" s="217"/>
      <c r="E282" s="217"/>
      <c r="F282" s="217"/>
      <c r="G282" s="217"/>
      <c r="H282" s="145"/>
      <c r="I282" s="145"/>
      <c r="J282" s="145"/>
      <c r="K282" s="145"/>
      <c r="L282" s="145"/>
      <c r="M282" s="146"/>
    </row>
    <row r="283" spans="1:13" s="61" customFormat="1" ht="20.25" customHeight="1" x14ac:dyDescent="0.25">
      <c r="A283" s="62">
        <v>3</v>
      </c>
      <c r="B283" s="63" t="str">
        <f>'planilha - proposta'!D45</f>
        <v>Governanta em Hotelaria - 12x36n</v>
      </c>
      <c r="C283" s="216">
        <f>VLOOKUP(B283,'[1]planilha - proposta'!$D$17:$E$62,2,FALSE)</f>
        <v>2</v>
      </c>
      <c r="D283" s="217"/>
      <c r="E283" s="217"/>
      <c r="F283" s="217"/>
      <c r="G283" s="217"/>
      <c r="H283" s="145"/>
      <c r="I283" s="145"/>
      <c r="J283" s="145"/>
      <c r="K283" s="145"/>
      <c r="L283" s="145"/>
      <c r="M283" s="146"/>
    </row>
    <row r="284" spans="1:13" s="61" customFormat="1" ht="20.25" customHeight="1" x14ac:dyDescent="0.25">
      <c r="A284" s="62">
        <v>4</v>
      </c>
      <c r="B284" s="63" t="str">
        <f>'planilha - proposta'!D46</f>
        <v>Governanta em Hotelaria - 44h</v>
      </c>
      <c r="C284" s="216">
        <f>VLOOKUP(B284,'[1]planilha - proposta'!$D$17:$E$62,2,FALSE)</f>
        <v>1</v>
      </c>
      <c r="D284" s="217"/>
      <c r="E284" s="217"/>
      <c r="F284" s="217"/>
      <c r="G284" s="217"/>
      <c r="H284" s="145"/>
      <c r="I284" s="145"/>
      <c r="J284" s="145"/>
      <c r="K284" s="145"/>
      <c r="L284" s="145"/>
      <c r="M284" s="146"/>
    </row>
    <row r="285" spans="1:13" s="61" customFormat="1" ht="52.5" customHeight="1" x14ac:dyDescent="0.25">
      <c r="A285" s="64" t="s">
        <v>273</v>
      </c>
      <c r="B285" s="65" t="s">
        <v>275</v>
      </c>
      <c r="C285" s="218" t="s">
        <v>276</v>
      </c>
      <c r="D285" s="218" t="s">
        <v>277</v>
      </c>
      <c r="E285" s="218" t="s">
        <v>278</v>
      </c>
      <c r="F285" s="218" t="s">
        <v>303</v>
      </c>
      <c r="G285" s="223" t="s">
        <v>280</v>
      </c>
      <c r="H285" s="65" t="s">
        <v>304</v>
      </c>
      <c r="I285" s="66" t="s">
        <v>305</v>
      </c>
      <c r="J285" s="66" t="s">
        <v>318</v>
      </c>
      <c r="K285" s="65" t="s">
        <v>284</v>
      </c>
      <c r="L285" s="65" t="s">
        <v>285</v>
      </c>
      <c r="M285" s="66" t="s">
        <v>286</v>
      </c>
    </row>
    <row r="286" spans="1:13" s="61" customFormat="1" ht="20.25" customHeight="1" x14ac:dyDescent="0.25">
      <c r="A286" s="67" t="s">
        <v>108</v>
      </c>
      <c r="B286" s="68" t="s">
        <v>287</v>
      </c>
      <c r="C286" s="69" t="s">
        <v>288</v>
      </c>
      <c r="D286" s="69" t="s">
        <v>289</v>
      </c>
      <c r="E286" s="222">
        <f>3*30</f>
        <v>90</v>
      </c>
      <c r="F286" s="222">
        <v>0</v>
      </c>
      <c r="G286" s="68" t="s">
        <v>290</v>
      </c>
      <c r="H286" s="70">
        <f>VLOOKUP(B286,custoEPI!$B$6:$E$29,4,FALSE)</f>
        <v>0</v>
      </c>
      <c r="I286" s="71">
        <f>SUM($C$282:$M$284)</f>
        <v>5</v>
      </c>
      <c r="J286" s="71">
        <f t="shared" ref="J286:J302" si="64">IF(B286="","sem descrição",IF($C$282&gt;=$C$283,IF($C$284&gt;0,$C$282/2+$C$284,$C$282/2),IF($C$284&gt;0,$C$283/5+$C$284,$C$284)))</f>
        <v>2</v>
      </c>
      <c r="K286" s="69">
        <f>IF(C286="mensal",IF(F286&gt;0,F286*H286,IF(D286="descartável",((SUM($C$282:$C$283)/2)+$C$284)*E286*H286,IF(D286="pessoal",E286*H286*I286,E286*H286*J286))),0)+IF(C286="trimestral",IF(F286&gt;0,F286*H286/3,IF(D286="descartável",(((SUM($C$282:$C$283)/2)+$C$284)*E286*H286)/3,IF(D286="pessoal",(E286*H286*I286)/3,(E286*H286*J286)/3))),0)+IF(C286="semestral",IF(F286&gt;0,F286*H286/6,IF(D286="descartável",(((SUM($C$282:$C$283)/2)+$C$284)*E286*H286)/6,IF(D286="pessoal",(E286*H286*I286)/6,(E286*H286*J286)/6))),0)+IF(C286="anual",IF(F286&gt;0,F286*H286/12,IF(D286="descartável",(((SUM($C$282:$C$283)/2)+$C$284)*E286*H286)/12,IF(D286="pessoal",(E286*H286*I286)/12,(E286*H286*J286)/12))),0)</f>
        <v>0</v>
      </c>
      <c r="L286" s="69">
        <f>IFERROR(K286*12, 0)</f>
        <v>0</v>
      </c>
      <c r="M286" s="69">
        <f>IFERROR(K286*60,0)</f>
        <v>0</v>
      </c>
    </row>
    <row r="287" spans="1:13" s="61" customFormat="1" ht="20.25" customHeight="1" x14ac:dyDescent="0.25">
      <c r="A287" s="67" t="s">
        <v>110</v>
      </c>
      <c r="B287" s="68" t="s">
        <v>294</v>
      </c>
      <c r="C287" s="69" t="s">
        <v>288</v>
      </c>
      <c r="D287" s="69" t="s">
        <v>289</v>
      </c>
      <c r="E287" s="222">
        <f>2*30</f>
        <v>60</v>
      </c>
      <c r="F287" s="222">
        <v>0</v>
      </c>
      <c r="G287" s="68" t="s">
        <v>290</v>
      </c>
      <c r="H287" s="70">
        <f>VLOOKUP(B287,custoEPI!$B$6:$E$29,4,FALSE)</f>
        <v>0</v>
      </c>
      <c r="I287" s="71">
        <f>SUM($C$282:$M$284)</f>
        <v>5</v>
      </c>
      <c r="J287" s="71">
        <f t="shared" si="64"/>
        <v>2</v>
      </c>
      <c r="K287" s="69">
        <f t="shared" ref="K287:K288" si="65">IF(C287="mensal",IF(F287&gt;0,F287*H287,IF(D287="descartável",((SUM($C$282:$C$283)/2)+$C$284)*E287*H287,IF(D287="pessoal",E287*H287*I287,E287*H287*J287))),0)+IF(C287="trimestral",IF(F287&gt;0,F287*H287/3,IF(D287="descartável",(((SUM($C$282:$C$283)/2)+$C$284)*E287*H287)/3,IF(D287="pessoal",(E287*H287*I287)/3,(E287*H287*J287)/3))),0)+IF(C287="semestral",IF(F287&gt;0,F287*H287/6,IF(D287="descartável",(((SUM($C$282:$C$283)/2)+$C$284)*E287*H287)/6,IF(D287="pessoal",(E287*H287*I287)/6,(E287*H287*J287)/6))),0)+IF(C287="anual",IF(F287&gt;0,F287*H287/12,IF(D287="descartável",(((SUM($C$282:$C$283)/2)+$C$284)*E287*H287)/12,IF(D287="pessoal",(E287*H287*I287)/12,(E287*H287*J287)/12))),0)</f>
        <v>0</v>
      </c>
      <c r="L287" s="69">
        <f t="shared" ref="L287:L302" si="66">IFERROR(K287*12, 0)</f>
        <v>0</v>
      </c>
      <c r="M287" s="69">
        <f t="shared" ref="M287:M302" si="67">IFERROR(K287*60,0)</f>
        <v>0</v>
      </c>
    </row>
    <row r="288" spans="1:13" s="61" customFormat="1" ht="20.25" customHeight="1" x14ac:dyDescent="0.25">
      <c r="A288" s="67" t="s">
        <v>111</v>
      </c>
      <c r="B288" s="68" t="s">
        <v>295</v>
      </c>
      <c r="C288" s="69" t="s">
        <v>296</v>
      </c>
      <c r="D288" s="69" t="s">
        <v>292</v>
      </c>
      <c r="E288" s="222">
        <v>1</v>
      </c>
      <c r="F288" s="222">
        <v>0</v>
      </c>
      <c r="G288" s="68" t="s">
        <v>290</v>
      </c>
      <c r="H288" s="70">
        <f>VLOOKUP(B288,custoEPI!$B$6:$E$29,4,FALSE)</f>
        <v>0</v>
      </c>
      <c r="I288" s="71">
        <f>SUM($C$282:$M$284)</f>
        <v>5</v>
      </c>
      <c r="J288" s="71">
        <f t="shared" si="64"/>
        <v>2</v>
      </c>
      <c r="K288" s="69">
        <f t="shared" si="65"/>
        <v>0</v>
      </c>
      <c r="L288" s="69">
        <f t="shared" si="66"/>
        <v>0</v>
      </c>
      <c r="M288" s="69">
        <f t="shared" si="67"/>
        <v>0</v>
      </c>
    </row>
    <row r="289" spans="1:13" s="61" customFormat="1" ht="20.25" hidden="1" customHeight="1" x14ac:dyDescent="0.25">
      <c r="A289" s="67"/>
      <c r="B289" s="68"/>
      <c r="C289" s="69"/>
      <c r="D289" s="69"/>
      <c r="E289" s="222"/>
      <c r="F289" s="222"/>
      <c r="G289" s="68" t="s">
        <v>290</v>
      </c>
      <c r="H289" s="70" t="e">
        <f>VLOOKUP(B289,custoEPI!$B$6:$E$29,4,FALSE)</f>
        <v>#N/A</v>
      </c>
      <c r="I289" s="71"/>
      <c r="J289" s="71" t="str">
        <f t="shared" si="64"/>
        <v>sem descrição</v>
      </c>
      <c r="K289" s="69" t="str">
        <f t="shared" ref="K289:K301" si="68">IF(C289="mensal",J289*H289*E289,IF(C289="trimestral",(J289*H289*E289)/3,IF(C289="semestral",(J289*H289*E289)/6,IF(C289="anual",(J289*H289*E289/12),"informar entrega"))))</f>
        <v>informar entrega</v>
      </c>
      <c r="L289" s="69">
        <f t="shared" si="66"/>
        <v>0</v>
      </c>
      <c r="M289" s="69">
        <f t="shared" si="67"/>
        <v>0</v>
      </c>
    </row>
    <row r="290" spans="1:13" s="61" customFormat="1" ht="20.25" hidden="1" customHeight="1" x14ac:dyDescent="0.25">
      <c r="A290" s="67" t="s">
        <v>114</v>
      </c>
      <c r="B290" s="68"/>
      <c r="C290" s="69"/>
      <c r="D290" s="69"/>
      <c r="E290" s="222"/>
      <c r="F290" s="222"/>
      <c r="G290" s="68" t="s">
        <v>290</v>
      </c>
      <c r="H290" s="70" t="e">
        <f>VLOOKUP(B290,custoEPI!$B$6:$E$29,4,FALSE)</f>
        <v>#N/A</v>
      </c>
      <c r="I290" s="71"/>
      <c r="J290" s="71" t="str">
        <f t="shared" si="64"/>
        <v>sem descrição</v>
      </c>
      <c r="K290" s="69" t="str">
        <f t="shared" si="68"/>
        <v>informar entrega</v>
      </c>
      <c r="L290" s="69">
        <f t="shared" si="66"/>
        <v>0</v>
      </c>
      <c r="M290" s="69">
        <f t="shared" si="67"/>
        <v>0</v>
      </c>
    </row>
    <row r="291" spans="1:13" s="61" customFormat="1" ht="20.25" hidden="1" customHeight="1" x14ac:dyDescent="0.25">
      <c r="A291" s="67" t="s">
        <v>115</v>
      </c>
      <c r="B291" s="68"/>
      <c r="C291" s="69"/>
      <c r="D291" s="69"/>
      <c r="E291" s="222"/>
      <c r="F291" s="222"/>
      <c r="G291" s="68" t="s">
        <v>290</v>
      </c>
      <c r="H291" s="70" t="e">
        <f>VLOOKUP(B291,custoEPI!$B$6:$E$29,4,FALSE)</f>
        <v>#N/A</v>
      </c>
      <c r="I291" s="71"/>
      <c r="J291" s="71" t="str">
        <f t="shared" si="64"/>
        <v>sem descrição</v>
      </c>
      <c r="K291" s="69" t="str">
        <f t="shared" si="68"/>
        <v>informar entrega</v>
      </c>
      <c r="L291" s="69">
        <f t="shared" si="66"/>
        <v>0</v>
      </c>
      <c r="M291" s="69">
        <f t="shared" si="67"/>
        <v>0</v>
      </c>
    </row>
    <row r="292" spans="1:13" s="61" customFormat="1" ht="20.25" hidden="1" customHeight="1" x14ac:dyDescent="0.25">
      <c r="A292" s="67" t="s">
        <v>116</v>
      </c>
      <c r="B292" s="68"/>
      <c r="C292" s="69"/>
      <c r="D292" s="69"/>
      <c r="E292" s="222"/>
      <c r="F292" s="222"/>
      <c r="G292" s="68" t="s">
        <v>290</v>
      </c>
      <c r="H292" s="70" t="e">
        <f>VLOOKUP(B292,custoEPI!$B$6:$E$29,4,FALSE)</f>
        <v>#N/A</v>
      </c>
      <c r="I292" s="71"/>
      <c r="J292" s="71" t="str">
        <f t="shared" si="64"/>
        <v>sem descrição</v>
      </c>
      <c r="K292" s="69" t="str">
        <f t="shared" si="68"/>
        <v>informar entrega</v>
      </c>
      <c r="L292" s="69">
        <f t="shared" si="66"/>
        <v>0</v>
      </c>
      <c r="M292" s="69">
        <f t="shared" si="67"/>
        <v>0</v>
      </c>
    </row>
    <row r="293" spans="1:13" s="61" customFormat="1" ht="20.25" hidden="1" customHeight="1" x14ac:dyDescent="0.25">
      <c r="A293" s="67" t="s">
        <v>118</v>
      </c>
      <c r="B293" s="68"/>
      <c r="C293" s="69"/>
      <c r="D293" s="69"/>
      <c r="E293" s="222"/>
      <c r="F293" s="222"/>
      <c r="G293" s="68" t="s">
        <v>290</v>
      </c>
      <c r="H293" s="70" t="e">
        <f>VLOOKUP(B293,custoEPI!$B$6:$E$29,4,FALSE)</f>
        <v>#N/A</v>
      </c>
      <c r="I293" s="71"/>
      <c r="J293" s="71" t="str">
        <f t="shared" si="64"/>
        <v>sem descrição</v>
      </c>
      <c r="K293" s="69" t="str">
        <f t="shared" si="68"/>
        <v>informar entrega</v>
      </c>
      <c r="L293" s="69">
        <f t="shared" si="66"/>
        <v>0</v>
      </c>
      <c r="M293" s="69">
        <f t="shared" si="67"/>
        <v>0</v>
      </c>
    </row>
    <row r="294" spans="1:13" s="61" customFormat="1" ht="20.25" hidden="1" customHeight="1" x14ac:dyDescent="0.25">
      <c r="A294" s="67" t="s">
        <v>121</v>
      </c>
      <c r="B294" s="68"/>
      <c r="C294" s="69"/>
      <c r="D294" s="69"/>
      <c r="E294" s="222"/>
      <c r="F294" s="222"/>
      <c r="G294" s="68"/>
      <c r="H294" s="70" t="e">
        <f>VLOOKUP(B294,custoEPI!$B$6:$E$29,4,FALSE)</f>
        <v>#N/A</v>
      </c>
      <c r="I294" s="71"/>
      <c r="J294" s="71" t="str">
        <f t="shared" si="64"/>
        <v>sem descrição</v>
      </c>
      <c r="K294" s="69" t="str">
        <f t="shared" si="68"/>
        <v>informar entrega</v>
      </c>
      <c r="L294" s="69">
        <f t="shared" si="66"/>
        <v>0</v>
      </c>
      <c r="M294" s="69">
        <f t="shared" si="67"/>
        <v>0</v>
      </c>
    </row>
    <row r="295" spans="1:13" s="61" customFormat="1" ht="20.25" hidden="1" customHeight="1" x14ac:dyDescent="0.25">
      <c r="A295" s="67" t="s">
        <v>125</v>
      </c>
      <c r="B295" s="68"/>
      <c r="C295" s="69"/>
      <c r="D295" s="69"/>
      <c r="E295" s="222"/>
      <c r="F295" s="222"/>
      <c r="G295" s="68"/>
      <c r="H295" s="70"/>
      <c r="I295" s="71"/>
      <c r="J295" s="71" t="str">
        <f t="shared" si="64"/>
        <v>sem descrição</v>
      </c>
      <c r="K295" s="69" t="str">
        <f t="shared" si="68"/>
        <v>informar entrega</v>
      </c>
      <c r="L295" s="69">
        <f t="shared" si="66"/>
        <v>0</v>
      </c>
      <c r="M295" s="69">
        <f t="shared" si="67"/>
        <v>0</v>
      </c>
    </row>
    <row r="296" spans="1:13" s="61" customFormat="1" ht="20.25" hidden="1" customHeight="1" x14ac:dyDescent="0.25">
      <c r="A296" s="67" t="s">
        <v>127</v>
      </c>
      <c r="B296" s="68"/>
      <c r="C296" s="69"/>
      <c r="D296" s="69"/>
      <c r="E296" s="222"/>
      <c r="F296" s="222"/>
      <c r="G296" s="68"/>
      <c r="H296" s="70"/>
      <c r="I296" s="70"/>
      <c r="J296" s="71" t="str">
        <f t="shared" si="64"/>
        <v>sem descrição</v>
      </c>
      <c r="K296" s="69" t="str">
        <f t="shared" si="68"/>
        <v>informar entrega</v>
      </c>
      <c r="L296" s="69">
        <f t="shared" si="66"/>
        <v>0</v>
      </c>
      <c r="M296" s="69">
        <f t="shared" si="67"/>
        <v>0</v>
      </c>
    </row>
    <row r="297" spans="1:13" s="61" customFormat="1" ht="20.25" hidden="1" customHeight="1" x14ac:dyDescent="0.25">
      <c r="A297" s="67" t="s">
        <v>129</v>
      </c>
      <c r="B297" s="68"/>
      <c r="C297" s="69"/>
      <c r="D297" s="69"/>
      <c r="E297" s="222"/>
      <c r="F297" s="222"/>
      <c r="G297" s="68"/>
      <c r="H297" s="70"/>
      <c r="I297" s="70"/>
      <c r="J297" s="71" t="str">
        <f t="shared" si="64"/>
        <v>sem descrição</v>
      </c>
      <c r="K297" s="69" t="str">
        <f t="shared" si="68"/>
        <v>informar entrega</v>
      </c>
      <c r="L297" s="69">
        <f t="shared" si="66"/>
        <v>0</v>
      </c>
      <c r="M297" s="69">
        <f t="shared" si="67"/>
        <v>0</v>
      </c>
    </row>
    <row r="298" spans="1:13" s="61" customFormat="1" ht="20.25" hidden="1" customHeight="1" x14ac:dyDescent="0.25">
      <c r="A298" s="67" t="s">
        <v>131</v>
      </c>
      <c r="B298" s="68"/>
      <c r="C298" s="69"/>
      <c r="D298" s="69"/>
      <c r="E298" s="222"/>
      <c r="F298" s="222"/>
      <c r="G298" s="68"/>
      <c r="H298" s="70"/>
      <c r="I298" s="70"/>
      <c r="J298" s="71" t="str">
        <f t="shared" si="64"/>
        <v>sem descrição</v>
      </c>
      <c r="K298" s="69" t="str">
        <f t="shared" si="68"/>
        <v>informar entrega</v>
      </c>
      <c r="L298" s="69">
        <f t="shared" si="66"/>
        <v>0</v>
      </c>
      <c r="M298" s="69">
        <f t="shared" si="67"/>
        <v>0</v>
      </c>
    </row>
    <row r="299" spans="1:13" s="61" customFormat="1" ht="20.25" hidden="1" customHeight="1" x14ac:dyDescent="0.25">
      <c r="A299" s="67" t="s">
        <v>188</v>
      </c>
      <c r="B299" s="68"/>
      <c r="C299" s="69"/>
      <c r="D299" s="69"/>
      <c r="E299" s="222"/>
      <c r="F299" s="222"/>
      <c r="G299" s="68"/>
      <c r="H299" s="70"/>
      <c r="I299" s="70"/>
      <c r="J299" s="71" t="str">
        <f t="shared" si="64"/>
        <v>sem descrição</v>
      </c>
      <c r="K299" s="69" t="str">
        <f t="shared" si="68"/>
        <v>informar entrega</v>
      </c>
      <c r="L299" s="69">
        <f t="shared" si="66"/>
        <v>0</v>
      </c>
      <c r="M299" s="69">
        <f t="shared" si="67"/>
        <v>0</v>
      </c>
    </row>
    <row r="300" spans="1:13" s="61" customFormat="1" ht="20.25" hidden="1" customHeight="1" x14ac:dyDescent="0.25">
      <c r="A300" s="67" t="s">
        <v>192</v>
      </c>
      <c r="B300" s="68"/>
      <c r="C300" s="69"/>
      <c r="D300" s="69"/>
      <c r="E300" s="222"/>
      <c r="F300" s="222"/>
      <c r="G300" s="68"/>
      <c r="H300" s="70"/>
      <c r="I300" s="70"/>
      <c r="J300" s="71" t="str">
        <f t="shared" si="64"/>
        <v>sem descrição</v>
      </c>
      <c r="K300" s="69" t="str">
        <f t="shared" si="68"/>
        <v>informar entrega</v>
      </c>
      <c r="L300" s="69">
        <f t="shared" si="66"/>
        <v>0</v>
      </c>
      <c r="M300" s="69">
        <f t="shared" si="67"/>
        <v>0</v>
      </c>
    </row>
    <row r="301" spans="1:13" s="61" customFormat="1" ht="20.25" hidden="1" customHeight="1" x14ac:dyDescent="0.25">
      <c r="A301" s="67" t="s">
        <v>195</v>
      </c>
      <c r="B301" s="68"/>
      <c r="C301" s="69"/>
      <c r="D301" s="69"/>
      <c r="E301" s="222"/>
      <c r="F301" s="222"/>
      <c r="G301" s="68"/>
      <c r="H301" s="70"/>
      <c r="I301" s="70"/>
      <c r="J301" s="71" t="str">
        <f t="shared" si="64"/>
        <v>sem descrição</v>
      </c>
      <c r="K301" s="69" t="str">
        <f t="shared" si="68"/>
        <v>informar entrega</v>
      </c>
      <c r="L301" s="69">
        <f t="shared" si="66"/>
        <v>0</v>
      </c>
      <c r="M301" s="69">
        <f t="shared" si="67"/>
        <v>0</v>
      </c>
    </row>
    <row r="302" spans="1:13" s="61" customFormat="1" ht="20.25" hidden="1" customHeight="1" x14ac:dyDescent="0.25">
      <c r="A302" s="67" t="s">
        <v>199</v>
      </c>
      <c r="B302" s="68"/>
      <c r="C302" s="69"/>
      <c r="D302" s="69"/>
      <c r="E302" s="222"/>
      <c r="F302" s="222"/>
      <c r="G302" s="68"/>
      <c r="H302" s="70"/>
      <c r="I302" s="70"/>
      <c r="J302" s="71" t="str">
        <f t="shared" si="64"/>
        <v>sem descrição</v>
      </c>
      <c r="K302" s="69" t="str">
        <f>IF(C302="mensal",J302*H302*E302,IF(C302="trimestral",(J302*H302*E302)/3,IF(C302="semestral",(J302*H302*E302)/6,IF(C302="anual",(J302*H302*E302/12),"informar período"))))</f>
        <v>informar período</v>
      </c>
      <c r="L302" s="69">
        <f t="shared" si="66"/>
        <v>0</v>
      </c>
      <c r="M302" s="69">
        <f t="shared" si="67"/>
        <v>0</v>
      </c>
    </row>
    <row r="303" spans="1:13" s="61" customFormat="1" ht="20.25" hidden="1" customHeight="1" x14ac:dyDescent="0.25">
      <c r="A303" s="152" t="s">
        <v>321</v>
      </c>
      <c r="B303" s="147"/>
      <c r="C303" s="147"/>
      <c r="D303" s="147"/>
      <c r="E303" s="147"/>
      <c r="F303" s="147"/>
      <c r="G303" s="147"/>
      <c r="H303" s="147"/>
      <c r="I303" s="139"/>
      <c r="J303" s="155"/>
      <c r="K303" s="156">
        <f>SUM(K286:K302)</f>
        <v>0</v>
      </c>
      <c r="L303" s="157">
        <f>K303*12</f>
        <v>0</v>
      </c>
      <c r="M303" s="158">
        <f>K303*60</f>
        <v>0</v>
      </c>
    </row>
    <row r="304" spans="1:13" s="61" customFormat="1" ht="20.25" hidden="1" customHeight="1" x14ac:dyDescent="0.25">
      <c r="A304" s="152" t="s">
        <v>302</v>
      </c>
      <c r="B304" s="147"/>
      <c r="C304" s="147"/>
      <c r="D304" s="147"/>
      <c r="E304" s="147"/>
      <c r="F304" s="147"/>
      <c r="G304" s="147"/>
      <c r="H304" s="147"/>
      <c r="I304" s="147"/>
      <c r="J304" s="147"/>
      <c r="K304" s="147"/>
      <c r="L304" s="147"/>
      <c r="M304" s="159">
        <f>K303/SUM(C282:M284)</f>
        <v>0</v>
      </c>
    </row>
    <row r="305" spans="1:13" s="61" customFormat="1" ht="20.25" hidden="1" customHeight="1" x14ac:dyDescent="0.25">
      <c r="A305" s="235" t="s">
        <v>273</v>
      </c>
      <c r="B305" s="143" t="s">
        <v>19</v>
      </c>
      <c r="C305" s="233"/>
      <c r="D305" s="153"/>
      <c r="E305" s="153"/>
      <c r="F305" s="153"/>
      <c r="G305" s="153"/>
      <c r="H305" s="153"/>
      <c r="I305" s="153"/>
      <c r="J305" s="153"/>
      <c r="K305" s="153"/>
      <c r="L305" s="153"/>
      <c r="M305" s="154"/>
    </row>
    <row r="306" spans="1:13" s="61" customFormat="1" ht="20.25" hidden="1" customHeight="1" x14ac:dyDescent="0.25">
      <c r="A306" s="62">
        <v>1</v>
      </c>
      <c r="B306" s="63" t="s">
        <v>274</v>
      </c>
      <c r="C306" s="216" t="str">
        <f>'[1]planilha - proposta'!C47</f>
        <v>Auxiliar de Lavanderia</v>
      </c>
      <c r="D306" s="217"/>
      <c r="E306" s="217"/>
      <c r="F306" s="217"/>
      <c r="G306" s="217"/>
      <c r="H306" s="145"/>
      <c r="I306" s="145"/>
      <c r="J306" s="145"/>
      <c r="K306" s="145"/>
      <c r="L306" s="145"/>
      <c r="M306" s="146"/>
    </row>
    <row r="307" spans="1:13" s="61" customFormat="1" ht="20.25" hidden="1" customHeight="1" x14ac:dyDescent="0.25">
      <c r="A307" s="62">
        <v>2</v>
      </c>
      <c r="B307" s="63" t="str">
        <f>'planilha - proposta'!D47</f>
        <v>Auxiliar de Lavanderia - 12x36d</v>
      </c>
      <c r="C307" s="216">
        <f>VLOOKUP(B307,'[1]planilha - proposta'!$D$17:$E$62,2,FALSE)</f>
        <v>0</v>
      </c>
      <c r="D307" s="217"/>
      <c r="E307" s="217"/>
      <c r="F307" s="217"/>
      <c r="G307" s="217"/>
      <c r="H307" s="145"/>
      <c r="I307" s="145"/>
      <c r="J307" s="145"/>
      <c r="K307" s="145"/>
      <c r="L307" s="145"/>
      <c r="M307" s="146"/>
    </row>
    <row r="308" spans="1:13" s="61" customFormat="1" ht="20.25" hidden="1" customHeight="1" x14ac:dyDescent="0.25">
      <c r="A308" s="62">
        <v>3</v>
      </c>
      <c r="B308" s="63" t="str">
        <f>'planilha - proposta'!D48</f>
        <v>Auxiliar de Lavanderia - 12x36n</v>
      </c>
      <c r="C308" s="216">
        <f>VLOOKUP(B308,'[1]planilha - proposta'!$D$17:$E$62,2,FALSE)</f>
        <v>0</v>
      </c>
      <c r="D308" s="217"/>
      <c r="E308" s="217"/>
      <c r="F308" s="217"/>
      <c r="G308" s="217"/>
      <c r="H308" s="145"/>
      <c r="I308" s="145"/>
      <c r="J308" s="145"/>
      <c r="K308" s="145"/>
      <c r="L308" s="145"/>
      <c r="M308" s="146"/>
    </row>
    <row r="309" spans="1:13" s="61" customFormat="1" ht="20.25" hidden="1" customHeight="1" x14ac:dyDescent="0.25">
      <c r="A309" s="62">
        <v>4</v>
      </c>
      <c r="B309" s="63" t="str">
        <f>'planilha - proposta'!D49</f>
        <v>Auxiliar de Lavanderia - 44h</v>
      </c>
      <c r="C309" s="216">
        <f>VLOOKUP(B309,'[1]planilha - proposta'!$D$17:$E$62,2,FALSE)</f>
        <v>0</v>
      </c>
      <c r="D309" s="217"/>
      <c r="E309" s="217"/>
      <c r="F309" s="217"/>
      <c r="G309" s="217"/>
      <c r="H309" s="145"/>
      <c r="I309" s="145"/>
      <c r="J309" s="145"/>
      <c r="K309" s="145"/>
      <c r="L309" s="145"/>
      <c r="M309" s="146"/>
    </row>
    <row r="310" spans="1:13" s="61" customFormat="1" ht="52.5" hidden="1" customHeight="1" x14ac:dyDescent="0.25">
      <c r="A310" s="64" t="s">
        <v>273</v>
      </c>
      <c r="B310" s="65" t="s">
        <v>275</v>
      </c>
      <c r="C310" s="218" t="s">
        <v>276</v>
      </c>
      <c r="D310" s="218" t="s">
        <v>277</v>
      </c>
      <c r="E310" s="218" t="s">
        <v>278</v>
      </c>
      <c r="F310" s="218" t="s">
        <v>303</v>
      </c>
      <c r="G310" s="223" t="s">
        <v>280</v>
      </c>
      <c r="H310" s="65" t="s">
        <v>304</v>
      </c>
      <c r="I310" s="66" t="s">
        <v>305</v>
      </c>
      <c r="J310" s="66" t="s">
        <v>318</v>
      </c>
      <c r="K310" s="65" t="s">
        <v>284</v>
      </c>
      <c r="L310" s="65" t="s">
        <v>285</v>
      </c>
      <c r="M310" s="66" t="s">
        <v>286</v>
      </c>
    </row>
    <row r="311" spans="1:13" s="61" customFormat="1" ht="20.25" hidden="1" customHeight="1" x14ac:dyDescent="0.25">
      <c r="A311" s="67" t="s">
        <v>108</v>
      </c>
      <c r="B311" s="68" t="s">
        <v>293</v>
      </c>
      <c r="C311" s="69" t="s">
        <v>288</v>
      </c>
      <c r="D311" s="69" t="s">
        <v>289</v>
      </c>
      <c r="E311" s="222">
        <v>104</v>
      </c>
      <c r="F311" s="222">
        <v>0</v>
      </c>
      <c r="G311" s="68" t="s">
        <v>290</v>
      </c>
      <c r="H311" s="70">
        <f>VLOOKUP(B311,custoEPI!$B$6:$E$29,4,FALSE)</f>
        <v>0</v>
      </c>
      <c r="I311" s="71">
        <f t="shared" ref="I311:I319" si="69">SUM($C$307:$M$309)</f>
        <v>0</v>
      </c>
      <c r="J311" s="71">
        <f t="shared" ref="J311:J327" si="70">IF(B311="","sem descrição",IF($C$307&gt;=$C$308,IF($C$309&gt;0,$C$307/2+$C$309,$C$307/2),IF($C$309&gt;0,$C$308/5+$C$309,$C$309)))</f>
        <v>0</v>
      </c>
      <c r="K311" s="69">
        <f>IF(C311="mensal",IF(F311&gt;0,F311*H311,IF(D311="descartável",((SUM($C$307:$C$308)/2)+$C$309)*E311*H311,IF(D311="pessoal",E311*H311*I311,E311*H311*J311))),0)+IF(C311="trimestral",IF(F311&gt;0,F311*H311/3,IF(D311="descartável",(((SUM($C$307:$C$308)/2)+$C$309)*E311*H311)/3,IF(D311="pessoal",(E311*H311*I311)/3,(E311*H311*J311)/3))),0)+IF(C311="semestral",IF(F311&gt;0,F311*H311/6,IF(D311="descartável",(((SUM($C$307:$C$308)/2)+$C$309)*E311*H311)/6,IF(D311="pessoal",(E311*H311*I311)/6,(E311*H311*J311)/6))),0)+IF(C311="anual",IF(F311&gt;0,F311*H311/12,IF(D311="descartável",(((SUM($C$307:$C$308)/2)+$C$309)*E311*H311)/12,IF(D311="pessoal",(E311*H311*I311)/12,(E311*H311*J311)/12))),0)</f>
        <v>0</v>
      </c>
      <c r="L311" s="69">
        <f>IFERROR(K311*12, 0)</f>
        <v>0</v>
      </c>
      <c r="M311" s="69">
        <f>IFERROR(K311*60,0)</f>
        <v>0</v>
      </c>
    </row>
    <row r="312" spans="1:13" s="61" customFormat="1" ht="20.25" hidden="1" customHeight="1" x14ac:dyDescent="0.25">
      <c r="A312" s="67" t="s">
        <v>110</v>
      </c>
      <c r="B312" s="68" t="s">
        <v>327</v>
      </c>
      <c r="C312" s="69" t="s">
        <v>288</v>
      </c>
      <c r="D312" s="69" t="s">
        <v>292</v>
      </c>
      <c r="E312" s="222">
        <v>1</v>
      </c>
      <c r="F312" s="222">
        <v>0</v>
      </c>
      <c r="G312" s="68" t="s">
        <v>315</v>
      </c>
      <c r="H312" s="70">
        <f>VLOOKUP(B312,custoEPI!$B$6:$E$29,4,FALSE)</f>
        <v>0</v>
      </c>
      <c r="I312" s="71">
        <f t="shared" si="69"/>
        <v>0</v>
      </c>
      <c r="J312" s="71">
        <f t="shared" si="70"/>
        <v>0</v>
      </c>
      <c r="K312" s="69">
        <f t="shared" ref="K312:K319" si="71">IF(C312="mensal",IF(F312&gt;0,F312*H312,IF(D312="descartável",((SUM($C$307:$C$308)/2)+$C$309)*E312*H312,IF(D312="pessoal",E312*H312*I312,E312*H312*J312))),0)+IF(C312="trimestral",IF(F312&gt;0,F312*H312/3,IF(D312="descartável",(((SUM($C$307:$C$308)/2)+$C$309)*E312*H312)/3,IF(D312="pessoal",(E312*H312*I312)/3,(E312*H312*J312)/3))),0)+IF(C312="semestral",IF(F312&gt;0,F312*H312/6,IF(D312="descartável",(((SUM($C$307:$C$308)/2)+$C$309)*E312*H312)/6,IF(D312="pessoal",(E312*H312*I312)/6,(E312*H312*J312)/6))),0)+IF(C312="anual",IF(F312&gt;0,F312*H312/12,IF(D312="descartável",(((SUM($C$307:$C$308)/2)+$C$309)*E312*H312)/12,IF(D312="pessoal",(E312*H312*I312)/12,(E312*H312*J312)/12))),0)</f>
        <v>0</v>
      </c>
      <c r="L312" s="69">
        <f t="shared" ref="L312:L327" si="72">IFERROR(K312*12, 0)</f>
        <v>0</v>
      </c>
      <c r="M312" s="69">
        <f t="shared" ref="M312:M327" si="73">IFERROR(K312*60,0)</f>
        <v>0</v>
      </c>
    </row>
    <row r="313" spans="1:13" s="61" customFormat="1" ht="20.25" hidden="1" customHeight="1" x14ac:dyDescent="0.25">
      <c r="A313" s="67" t="s">
        <v>111</v>
      </c>
      <c r="B313" s="68" t="s">
        <v>287</v>
      </c>
      <c r="C313" s="69" t="s">
        <v>288</v>
      </c>
      <c r="D313" s="69" t="s">
        <v>289</v>
      </c>
      <c r="E313" s="222">
        <f>3*30</f>
        <v>90</v>
      </c>
      <c r="F313" s="222">
        <v>0</v>
      </c>
      <c r="G313" s="68" t="s">
        <v>290</v>
      </c>
      <c r="H313" s="70">
        <f>VLOOKUP(B313,custoEPI!$B$6:$E$29,4,FALSE)</f>
        <v>0</v>
      </c>
      <c r="I313" s="71">
        <f t="shared" si="69"/>
        <v>0</v>
      </c>
      <c r="J313" s="71">
        <f t="shared" si="70"/>
        <v>0</v>
      </c>
      <c r="K313" s="69">
        <f t="shared" si="71"/>
        <v>0</v>
      </c>
      <c r="L313" s="69">
        <f t="shared" si="72"/>
        <v>0</v>
      </c>
      <c r="M313" s="69">
        <f t="shared" si="73"/>
        <v>0</v>
      </c>
    </row>
    <row r="314" spans="1:13" s="61" customFormat="1" ht="20.25" hidden="1" customHeight="1" x14ac:dyDescent="0.25">
      <c r="A314" s="67" t="s">
        <v>113</v>
      </c>
      <c r="B314" s="68" t="s">
        <v>291</v>
      </c>
      <c r="C314" s="69" t="s">
        <v>288</v>
      </c>
      <c r="D314" s="69" t="s">
        <v>292</v>
      </c>
      <c r="E314" s="222">
        <v>2</v>
      </c>
      <c r="F314" s="222">
        <v>0</v>
      </c>
      <c r="G314" s="68" t="s">
        <v>290</v>
      </c>
      <c r="H314" s="70">
        <f>VLOOKUP(B314,custoEPI!$B$6:$E$29,4,FALSE)</f>
        <v>0</v>
      </c>
      <c r="I314" s="71">
        <f t="shared" si="69"/>
        <v>0</v>
      </c>
      <c r="J314" s="71">
        <f t="shared" si="70"/>
        <v>0</v>
      </c>
      <c r="K314" s="69">
        <f t="shared" si="71"/>
        <v>0</v>
      </c>
      <c r="L314" s="69">
        <f t="shared" si="72"/>
        <v>0</v>
      </c>
      <c r="M314" s="69">
        <f t="shared" si="73"/>
        <v>0</v>
      </c>
    </row>
    <row r="315" spans="1:13" s="61" customFormat="1" ht="20.25" hidden="1" customHeight="1" x14ac:dyDescent="0.25">
      <c r="A315" s="67" t="s">
        <v>114</v>
      </c>
      <c r="B315" s="68" t="s">
        <v>297</v>
      </c>
      <c r="C315" s="69" t="s">
        <v>298</v>
      </c>
      <c r="D315" s="69" t="s">
        <v>292</v>
      </c>
      <c r="E315" s="222">
        <v>0</v>
      </c>
      <c r="F315" s="222">
        <v>6</v>
      </c>
      <c r="G315" s="68" t="s">
        <v>290</v>
      </c>
      <c r="H315" s="70">
        <f>VLOOKUP(B315,custoEPI!$B$6:$E$29,4,FALSE)</f>
        <v>0</v>
      </c>
      <c r="I315" s="71">
        <f t="shared" si="69"/>
        <v>0</v>
      </c>
      <c r="J315" s="71">
        <f t="shared" si="70"/>
        <v>0</v>
      </c>
      <c r="K315" s="69">
        <f t="shared" si="71"/>
        <v>0</v>
      </c>
      <c r="L315" s="69">
        <f t="shared" si="72"/>
        <v>0</v>
      </c>
      <c r="M315" s="69">
        <f t="shared" si="73"/>
        <v>0</v>
      </c>
    </row>
    <row r="316" spans="1:13" s="61" customFormat="1" ht="20.25" hidden="1" customHeight="1" x14ac:dyDescent="0.25">
      <c r="A316" s="67" t="s">
        <v>115</v>
      </c>
      <c r="B316" s="68" t="s">
        <v>295</v>
      </c>
      <c r="C316" s="69" t="s">
        <v>296</v>
      </c>
      <c r="D316" s="69" t="s">
        <v>292</v>
      </c>
      <c r="E316" s="222">
        <v>1</v>
      </c>
      <c r="F316" s="222">
        <v>0</v>
      </c>
      <c r="G316" s="68" t="s">
        <v>290</v>
      </c>
      <c r="H316" s="70">
        <f>VLOOKUP(B316,custoEPI!$B$6:$E$29,4,FALSE)</f>
        <v>0</v>
      </c>
      <c r="I316" s="71">
        <f t="shared" si="69"/>
        <v>0</v>
      </c>
      <c r="J316" s="71">
        <f t="shared" si="70"/>
        <v>0</v>
      </c>
      <c r="K316" s="69">
        <f t="shared" si="71"/>
        <v>0</v>
      </c>
      <c r="L316" s="69">
        <f t="shared" si="72"/>
        <v>0</v>
      </c>
      <c r="M316" s="69">
        <f t="shared" si="73"/>
        <v>0</v>
      </c>
    </row>
    <row r="317" spans="1:13" s="61" customFormat="1" ht="20.25" hidden="1" customHeight="1" x14ac:dyDescent="0.25">
      <c r="A317" s="67" t="s">
        <v>116</v>
      </c>
      <c r="B317" s="68" t="s">
        <v>294</v>
      </c>
      <c r="C317" s="69" t="s">
        <v>288</v>
      </c>
      <c r="D317" s="69" t="s">
        <v>289</v>
      </c>
      <c r="E317" s="222">
        <v>17</v>
      </c>
      <c r="F317" s="222">
        <v>0</v>
      </c>
      <c r="G317" s="68" t="s">
        <v>290</v>
      </c>
      <c r="H317" s="70">
        <f>VLOOKUP(B317,custoEPI!$B$6:$E$29,4,FALSE)</f>
        <v>0</v>
      </c>
      <c r="I317" s="71">
        <f t="shared" si="69"/>
        <v>0</v>
      </c>
      <c r="J317" s="71">
        <f t="shared" si="70"/>
        <v>0</v>
      </c>
      <c r="K317" s="69">
        <f t="shared" si="71"/>
        <v>0</v>
      </c>
      <c r="L317" s="69">
        <f t="shared" si="72"/>
        <v>0</v>
      </c>
      <c r="M317" s="69">
        <f t="shared" si="73"/>
        <v>0</v>
      </c>
    </row>
    <row r="318" spans="1:13" s="61" customFormat="1" ht="20.25" hidden="1" customHeight="1" x14ac:dyDescent="0.25">
      <c r="A318" s="67"/>
      <c r="B318" s="68"/>
      <c r="C318" s="69"/>
      <c r="D318" s="69"/>
      <c r="E318" s="222"/>
      <c r="F318" s="222"/>
      <c r="G318" s="68"/>
      <c r="H318" s="70" t="e">
        <f>VLOOKUP(B318,custoEPI!$B$6:$E$29,4,FALSE)</f>
        <v>#N/A</v>
      </c>
      <c r="I318" s="71">
        <f t="shared" si="69"/>
        <v>0</v>
      </c>
      <c r="J318" s="71" t="str">
        <f t="shared" si="70"/>
        <v>sem descrição</v>
      </c>
      <c r="K318" s="69">
        <f t="shared" si="71"/>
        <v>0</v>
      </c>
      <c r="L318" s="69">
        <f t="shared" si="72"/>
        <v>0</v>
      </c>
      <c r="M318" s="69">
        <f t="shared" si="73"/>
        <v>0</v>
      </c>
    </row>
    <row r="319" spans="1:13" s="61" customFormat="1" ht="20.25" hidden="1" customHeight="1" x14ac:dyDescent="0.25">
      <c r="A319" s="67" t="s">
        <v>118</v>
      </c>
      <c r="B319" s="68" t="s">
        <v>299</v>
      </c>
      <c r="C319" s="69" t="s">
        <v>300</v>
      </c>
      <c r="D319" s="69" t="s">
        <v>292</v>
      </c>
      <c r="E319" s="222">
        <v>2</v>
      </c>
      <c r="F319" s="222">
        <v>0</v>
      </c>
      <c r="G319" s="68" t="s">
        <v>290</v>
      </c>
      <c r="H319" s="70">
        <f>VLOOKUP(B319,custoEPI!$B$6:$E$29,4,FALSE)</f>
        <v>0</v>
      </c>
      <c r="I319" s="71">
        <f t="shared" si="69"/>
        <v>0</v>
      </c>
      <c r="J319" s="71">
        <f t="shared" si="70"/>
        <v>0</v>
      </c>
      <c r="K319" s="69">
        <f t="shared" si="71"/>
        <v>0</v>
      </c>
      <c r="L319" s="69">
        <f t="shared" si="72"/>
        <v>0</v>
      </c>
      <c r="M319" s="69">
        <f t="shared" si="73"/>
        <v>0</v>
      </c>
    </row>
    <row r="320" spans="1:13" s="61" customFormat="1" ht="20.25" hidden="1" customHeight="1" x14ac:dyDescent="0.25">
      <c r="A320" s="67"/>
      <c r="B320" s="68"/>
      <c r="C320" s="69"/>
      <c r="D320" s="69"/>
      <c r="E320" s="222"/>
      <c r="F320" s="222"/>
      <c r="G320" s="68"/>
      <c r="H320" s="70"/>
      <c r="I320" s="71"/>
      <c r="J320" s="71" t="str">
        <f t="shared" si="70"/>
        <v>sem descrição</v>
      </c>
      <c r="K320" s="69" t="str">
        <f t="shared" ref="K320:K326" si="74">IF(C320="mensal",J320*H320*E320,IF(C320="trimestral",(J320*H320*E320)/3,IF(C320="semestral",(J320*H320*E320)/6,IF(C320="anual",(J320*H320*E320/12),"informar entrega"))))</f>
        <v>informar entrega</v>
      </c>
      <c r="L320" s="69">
        <f t="shared" si="72"/>
        <v>0</v>
      </c>
      <c r="M320" s="69">
        <f t="shared" si="73"/>
        <v>0</v>
      </c>
    </row>
    <row r="321" spans="1:13" s="61" customFormat="1" ht="20.25" hidden="1" customHeight="1" x14ac:dyDescent="0.25">
      <c r="A321" s="67" t="s">
        <v>127</v>
      </c>
      <c r="B321" s="68"/>
      <c r="C321" s="69"/>
      <c r="D321" s="69"/>
      <c r="E321" s="222"/>
      <c r="F321" s="222"/>
      <c r="G321" s="68"/>
      <c r="H321" s="70"/>
      <c r="I321" s="70"/>
      <c r="J321" s="71" t="str">
        <f t="shared" si="70"/>
        <v>sem descrição</v>
      </c>
      <c r="K321" s="69" t="str">
        <f t="shared" si="74"/>
        <v>informar entrega</v>
      </c>
      <c r="L321" s="69">
        <f t="shared" si="72"/>
        <v>0</v>
      </c>
      <c r="M321" s="69">
        <f t="shared" si="73"/>
        <v>0</v>
      </c>
    </row>
    <row r="322" spans="1:13" s="61" customFormat="1" ht="20.25" hidden="1" customHeight="1" x14ac:dyDescent="0.25">
      <c r="A322" s="67" t="s">
        <v>129</v>
      </c>
      <c r="B322" s="68"/>
      <c r="C322" s="69"/>
      <c r="D322" s="69"/>
      <c r="E322" s="222"/>
      <c r="F322" s="222"/>
      <c r="G322" s="68"/>
      <c r="H322" s="70"/>
      <c r="I322" s="70"/>
      <c r="J322" s="71" t="str">
        <f t="shared" si="70"/>
        <v>sem descrição</v>
      </c>
      <c r="K322" s="69" t="str">
        <f t="shared" si="74"/>
        <v>informar entrega</v>
      </c>
      <c r="L322" s="69">
        <f t="shared" si="72"/>
        <v>0</v>
      </c>
      <c r="M322" s="69">
        <f t="shared" si="73"/>
        <v>0</v>
      </c>
    </row>
    <row r="323" spans="1:13" s="61" customFormat="1" ht="20.25" hidden="1" customHeight="1" x14ac:dyDescent="0.25">
      <c r="A323" s="67" t="s">
        <v>131</v>
      </c>
      <c r="B323" s="68"/>
      <c r="C323" s="69"/>
      <c r="D323" s="69"/>
      <c r="E323" s="222"/>
      <c r="F323" s="222"/>
      <c r="G323" s="68"/>
      <c r="H323" s="70"/>
      <c r="I323" s="70"/>
      <c r="J323" s="71" t="str">
        <f t="shared" si="70"/>
        <v>sem descrição</v>
      </c>
      <c r="K323" s="69" t="str">
        <f t="shared" si="74"/>
        <v>informar entrega</v>
      </c>
      <c r="L323" s="69">
        <f t="shared" si="72"/>
        <v>0</v>
      </c>
      <c r="M323" s="69">
        <f t="shared" si="73"/>
        <v>0</v>
      </c>
    </row>
    <row r="324" spans="1:13" s="61" customFormat="1" ht="20.25" hidden="1" customHeight="1" x14ac:dyDescent="0.25">
      <c r="A324" s="67" t="s">
        <v>188</v>
      </c>
      <c r="B324" s="68"/>
      <c r="C324" s="69"/>
      <c r="D324" s="69"/>
      <c r="E324" s="222"/>
      <c r="F324" s="222"/>
      <c r="G324" s="68"/>
      <c r="H324" s="70"/>
      <c r="I324" s="70"/>
      <c r="J324" s="71" t="str">
        <f t="shared" si="70"/>
        <v>sem descrição</v>
      </c>
      <c r="K324" s="69" t="str">
        <f t="shared" si="74"/>
        <v>informar entrega</v>
      </c>
      <c r="L324" s="69">
        <f t="shared" si="72"/>
        <v>0</v>
      </c>
      <c r="M324" s="69">
        <f t="shared" si="73"/>
        <v>0</v>
      </c>
    </row>
    <row r="325" spans="1:13" s="61" customFormat="1" ht="20.25" hidden="1" customHeight="1" x14ac:dyDescent="0.25">
      <c r="A325" s="67" t="s">
        <v>192</v>
      </c>
      <c r="B325" s="68"/>
      <c r="C325" s="69"/>
      <c r="D325" s="69"/>
      <c r="E325" s="222"/>
      <c r="F325" s="222"/>
      <c r="G325" s="68"/>
      <c r="H325" s="70"/>
      <c r="I325" s="70"/>
      <c r="J325" s="71" t="str">
        <f t="shared" si="70"/>
        <v>sem descrição</v>
      </c>
      <c r="K325" s="69" t="str">
        <f t="shared" si="74"/>
        <v>informar entrega</v>
      </c>
      <c r="L325" s="69">
        <f t="shared" si="72"/>
        <v>0</v>
      </c>
      <c r="M325" s="69">
        <f t="shared" si="73"/>
        <v>0</v>
      </c>
    </row>
    <row r="326" spans="1:13" s="61" customFormat="1" ht="20.25" hidden="1" customHeight="1" x14ac:dyDescent="0.25">
      <c r="A326" s="67" t="s">
        <v>195</v>
      </c>
      <c r="B326" s="68"/>
      <c r="C326" s="69"/>
      <c r="D326" s="69"/>
      <c r="E326" s="222"/>
      <c r="F326" s="222"/>
      <c r="G326" s="68"/>
      <c r="H326" s="70"/>
      <c r="I326" s="70"/>
      <c r="J326" s="71" t="str">
        <f t="shared" si="70"/>
        <v>sem descrição</v>
      </c>
      <c r="K326" s="69" t="str">
        <f t="shared" si="74"/>
        <v>informar entrega</v>
      </c>
      <c r="L326" s="69">
        <f t="shared" si="72"/>
        <v>0</v>
      </c>
      <c r="M326" s="69">
        <f t="shared" si="73"/>
        <v>0</v>
      </c>
    </row>
    <row r="327" spans="1:13" s="61" customFormat="1" ht="20.25" hidden="1" customHeight="1" x14ac:dyDescent="0.25">
      <c r="A327" s="67" t="s">
        <v>199</v>
      </c>
      <c r="B327" s="68"/>
      <c r="C327" s="69"/>
      <c r="D327" s="69"/>
      <c r="E327" s="222"/>
      <c r="F327" s="222"/>
      <c r="G327" s="68"/>
      <c r="H327" s="70"/>
      <c r="I327" s="70"/>
      <c r="J327" s="71" t="str">
        <f t="shared" si="70"/>
        <v>sem descrição</v>
      </c>
      <c r="K327" s="69" t="str">
        <f>IF(C327="mensal",J327*H327*E327,IF(C327="trimestral",(J327*H327*E327)/3,IF(C327="semestral",(J327*H327*E327)/6,IF(C327="anual",(J327*H327*E327/12),"informar período"))))</f>
        <v>informar período</v>
      </c>
      <c r="L327" s="69">
        <f t="shared" si="72"/>
        <v>0</v>
      </c>
      <c r="M327" s="69">
        <f t="shared" si="73"/>
        <v>0</v>
      </c>
    </row>
    <row r="328" spans="1:13" s="61" customFormat="1" ht="20.25" hidden="1" customHeight="1" x14ac:dyDescent="0.25">
      <c r="A328" s="152" t="s">
        <v>320</v>
      </c>
      <c r="B328" s="147"/>
      <c r="C328" s="234"/>
      <c r="D328" s="147"/>
      <c r="E328" s="147"/>
      <c r="F328" s="147"/>
      <c r="G328" s="147"/>
      <c r="H328" s="147"/>
      <c r="I328" s="139"/>
      <c r="J328" s="155"/>
      <c r="K328" s="156">
        <f>SUM(K311:K327)</f>
        <v>0</v>
      </c>
      <c r="L328" s="157">
        <f>K328*12</f>
        <v>0</v>
      </c>
      <c r="M328" s="158">
        <f>K328*60</f>
        <v>0</v>
      </c>
    </row>
    <row r="329" spans="1:13" s="61" customFormat="1" ht="20.25" hidden="1" customHeight="1" x14ac:dyDescent="0.25">
      <c r="A329" s="152" t="s">
        <v>302</v>
      </c>
      <c r="B329" s="147"/>
      <c r="C329" s="234"/>
      <c r="D329" s="147"/>
      <c r="E329" s="147"/>
      <c r="F329" s="147"/>
      <c r="G329" s="147"/>
      <c r="H329" s="147"/>
      <c r="I329" s="147"/>
      <c r="J329" s="147"/>
      <c r="K329" s="147"/>
      <c r="L329" s="147"/>
      <c r="M329" s="159" t="e">
        <f>K328/SUM(C307:M309)</f>
        <v>#DIV/0!</v>
      </c>
    </row>
    <row r="330" spans="1:13" s="61" customFormat="1" ht="20.25" customHeight="1" x14ac:dyDescent="0.25">
      <c r="A330" s="235" t="s">
        <v>273</v>
      </c>
      <c r="B330" s="143" t="s">
        <v>19</v>
      </c>
      <c r="C330" s="153"/>
      <c r="D330" s="153"/>
      <c r="E330" s="153"/>
      <c r="F330" s="153"/>
      <c r="G330" s="153"/>
      <c r="H330" s="153"/>
      <c r="I330" s="153"/>
      <c r="J330" s="153"/>
      <c r="K330" s="153"/>
      <c r="L330" s="153"/>
      <c r="M330" s="154"/>
    </row>
    <row r="331" spans="1:13" s="61" customFormat="1" ht="20.25" customHeight="1" x14ac:dyDescent="0.25">
      <c r="A331" s="62">
        <v>1</v>
      </c>
      <c r="B331" s="63" t="s">
        <v>274</v>
      </c>
      <c r="C331" s="216" t="str">
        <f>'[1]planilha - proposta'!C50</f>
        <v>Técnico em Nutrição</v>
      </c>
      <c r="D331" s="217"/>
      <c r="E331" s="217"/>
      <c r="F331" s="217"/>
      <c r="G331" s="217"/>
      <c r="H331" s="145"/>
      <c r="I331" s="145"/>
      <c r="J331" s="145"/>
      <c r="K331" s="145"/>
      <c r="L331" s="145"/>
      <c r="M331" s="146"/>
    </row>
    <row r="332" spans="1:13" s="61" customFormat="1" ht="20.25" customHeight="1" x14ac:dyDescent="0.25">
      <c r="A332" s="62">
        <v>2</v>
      </c>
      <c r="B332" s="63" t="str">
        <f>'planilha - proposta'!D50</f>
        <v>Técnico em Nutrição - 12x36d</v>
      </c>
      <c r="C332" s="216">
        <f>VLOOKUP(B332,'[1]planilha - proposta'!$D$17:$E$62,2,FALSE)</f>
        <v>6</v>
      </c>
      <c r="D332" s="217"/>
      <c r="E332" s="217"/>
      <c r="F332" s="217"/>
      <c r="G332" s="217"/>
      <c r="H332" s="145"/>
      <c r="I332" s="145"/>
      <c r="J332" s="145"/>
      <c r="K332" s="145"/>
      <c r="L332" s="145"/>
      <c r="M332" s="146"/>
    </row>
    <row r="333" spans="1:13" s="61" customFormat="1" ht="20.25" customHeight="1" x14ac:dyDescent="0.25">
      <c r="A333" s="62">
        <v>3</v>
      </c>
      <c r="B333" s="63" t="str">
        <f>'planilha - proposta'!D51</f>
        <v>Técnico em Nutrição - 12x36n</v>
      </c>
      <c r="C333" s="216">
        <f>VLOOKUP(B333,'[1]planilha - proposta'!$D$17:$E$62,2,FALSE)</f>
        <v>2</v>
      </c>
      <c r="D333" s="217"/>
      <c r="E333" s="217"/>
      <c r="F333" s="217"/>
      <c r="G333" s="217"/>
      <c r="H333" s="145"/>
      <c r="I333" s="145"/>
      <c r="J333" s="145"/>
      <c r="K333" s="145"/>
      <c r="L333" s="145"/>
      <c r="M333" s="146"/>
    </row>
    <row r="334" spans="1:13" s="61" customFormat="1" ht="20.25" customHeight="1" x14ac:dyDescent="0.25">
      <c r="A334" s="62">
        <v>4</v>
      </c>
      <c r="B334" s="63" t="str">
        <f>'planilha - proposta'!D52</f>
        <v>Técnico em Nutrição - 44h</v>
      </c>
      <c r="C334" s="216">
        <f>VLOOKUP(B334,'[1]planilha - proposta'!$D$17:$E$62,2,FALSE)</f>
        <v>0</v>
      </c>
      <c r="D334" s="217"/>
      <c r="E334" s="217"/>
      <c r="F334" s="217"/>
      <c r="G334" s="217"/>
      <c r="H334" s="145"/>
      <c r="I334" s="145"/>
      <c r="J334" s="145"/>
      <c r="K334" s="145"/>
      <c r="L334" s="145"/>
      <c r="M334" s="146"/>
    </row>
    <row r="335" spans="1:13" s="61" customFormat="1" ht="52.5" customHeight="1" x14ac:dyDescent="0.25">
      <c r="A335" s="64" t="s">
        <v>273</v>
      </c>
      <c r="B335" s="65" t="s">
        <v>275</v>
      </c>
      <c r="C335" s="218" t="s">
        <v>276</v>
      </c>
      <c r="D335" s="218" t="s">
        <v>277</v>
      </c>
      <c r="E335" s="218" t="s">
        <v>278</v>
      </c>
      <c r="F335" s="218" t="s">
        <v>303</v>
      </c>
      <c r="G335" s="223" t="s">
        <v>280</v>
      </c>
      <c r="H335" s="65" t="s">
        <v>304</v>
      </c>
      <c r="I335" s="66" t="s">
        <v>305</v>
      </c>
      <c r="J335" s="66" t="s">
        <v>318</v>
      </c>
      <c r="K335" s="65" t="s">
        <v>284</v>
      </c>
      <c r="L335" s="65" t="s">
        <v>285</v>
      </c>
      <c r="M335" s="66" t="s">
        <v>286</v>
      </c>
    </row>
    <row r="336" spans="1:13" s="61" customFormat="1" ht="20.25" customHeight="1" x14ac:dyDescent="0.25">
      <c r="A336" s="67" t="s">
        <v>108</v>
      </c>
      <c r="B336" s="68" t="s">
        <v>287</v>
      </c>
      <c r="C336" s="69" t="s">
        <v>288</v>
      </c>
      <c r="D336" s="69" t="s">
        <v>289</v>
      </c>
      <c r="E336" s="222">
        <f>3*30</f>
        <v>90</v>
      </c>
      <c r="F336" s="222">
        <v>0</v>
      </c>
      <c r="G336" s="68" t="s">
        <v>290</v>
      </c>
      <c r="H336" s="70">
        <f>VLOOKUP(B336,custoEPI!$B$6:$E$29,4,FALSE)</f>
        <v>0</v>
      </c>
      <c r="I336" s="71">
        <f>SUM($C$332:$M$334)</f>
        <v>8</v>
      </c>
      <c r="J336" s="71">
        <f t="shared" ref="J336:J352" si="75">IF(B336="","sem descrição",IF($C$332&gt;=$C$333,IF($C$334&gt;0,$C$332/2+$C$334,$C$332/2),IF($C$334&gt;0,$C$333/5+$C$334,$C$334)))</f>
        <v>3</v>
      </c>
      <c r="K336" s="69">
        <f>IF(C336="mensal",IF(F336&gt;0,F336*H336,IF(D336="descartável",((SUM($C$332:$C$333)/2)+$C$334)*E336*H336,IF(D336="pessoal",E336*H336*I336,E336*H336*J336))),0)+IF(C336="trimestral",IF(F336&gt;0,F336*H336/3,IF(D336="descartável",(((SUM($C$332:$C$333)/2)+$C$334)*E336*H336)/3,IF(D336="pessoal",(E336*H336*I336)/3,(E336*H336*J336)/3))),0)+IF(C336="semestral",IF(F336&gt;0,F336*H336/6,IF(D336="descartável",(((SUM($C$332:$C$333)/2)+$C$334)*E336*H336)/6,IF(D336="pessoal",(E336*H336*I336)/6,(E336*H336*J336)/6))),0)+IF(C336="anual",IF(F336&gt;0,F336*H336/12,IF(D336="descartável",(((SUM($C$332:$C$333)/2)+$C$334)*E336*H336)/12,IF(D336="pessoal",(E336*H336*I336)/12,(E336*H336*J336)/12))),0)</f>
        <v>0</v>
      </c>
      <c r="L336" s="69">
        <f>IFERROR(K336*12, 0)</f>
        <v>0</v>
      </c>
      <c r="M336" s="69">
        <f>IFERROR(K336*60,0)</f>
        <v>0</v>
      </c>
    </row>
    <row r="337" spans="1:13" s="61" customFormat="1" ht="20.25" customHeight="1" x14ac:dyDescent="0.25">
      <c r="A337" s="67" t="s">
        <v>110</v>
      </c>
      <c r="B337" s="68" t="s">
        <v>294</v>
      </c>
      <c r="C337" s="69" t="s">
        <v>288</v>
      </c>
      <c r="D337" s="69" t="s">
        <v>289</v>
      </c>
      <c r="E337" s="222">
        <f>3*30</f>
        <v>90</v>
      </c>
      <c r="F337" s="222">
        <v>0</v>
      </c>
      <c r="G337" s="68" t="s">
        <v>290</v>
      </c>
      <c r="H337" s="70">
        <f>VLOOKUP(B337,custoEPI!$B$6:$E$29,4,FALSE)</f>
        <v>0</v>
      </c>
      <c r="I337" s="71">
        <f>SUM($C$332:$M$334)</f>
        <v>8</v>
      </c>
      <c r="J337" s="71">
        <f t="shared" si="75"/>
        <v>3</v>
      </c>
      <c r="K337" s="69">
        <f t="shared" ref="K337:K338" si="76">IF(C337="mensal",IF(F337&gt;0,F337*H337,IF(D337="descartável",((SUM($C$332:$C$333)/2)+$C$334)*E337*H337,IF(D337="pessoal",E337*H337*I337,E337*H337*J337))),0)+IF(C337="trimestral",IF(F337&gt;0,F337*H337/3,IF(D337="descartável",(((SUM($C$332:$C$333)/2)+$C$334)*E337*H337)/3,IF(D337="pessoal",(E337*H337*I337)/3,(E337*H337*J337)/3))),0)+IF(C337="semestral",IF(F337&gt;0,F337*H337/6,IF(D337="descartável",(((SUM($C$332:$C$333)/2)+$C$334)*E337*H337)/6,IF(D337="pessoal",(E337*H337*I337)/6,(E337*H337*J337)/6))),0)+IF(C337="anual",IF(F337&gt;0,F337*H337/12,IF(D337="descartável",(((SUM($C$332:$C$333)/2)+$C$334)*E337*H337)/12,IF(D337="pessoal",(E337*H337*I337)/12,(E337*H337*J337)/12))),0)</f>
        <v>0</v>
      </c>
      <c r="L337" s="69">
        <f t="shared" ref="L337:L352" si="77">IFERROR(K337*12, 0)</f>
        <v>0</v>
      </c>
      <c r="M337" s="69">
        <f t="shared" ref="M337:M352" si="78">IFERROR(K337*60,0)</f>
        <v>0</v>
      </c>
    </row>
    <row r="338" spans="1:13" s="61" customFormat="1" ht="20.25" customHeight="1" x14ac:dyDescent="0.25">
      <c r="A338" s="67" t="s">
        <v>111</v>
      </c>
      <c r="B338" s="68" t="s">
        <v>313</v>
      </c>
      <c r="C338" s="69" t="s">
        <v>288</v>
      </c>
      <c r="D338" s="69" t="s">
        <v>289</v>
      </c>
      <c r="E338" s="222">
        <v>48</v>
      </c>
      <c r="F338" s="222">
        <v>0</v>
      </c>
      <c r="G338" s="68" t="s">
        <v>290</v>
      </c>
      <c r="H338" s="70">
        <f>VLOOKUP(B338,custoEPI!$B$6:$E$29,4,FALSE)</f>
        <v>0</v>
      </c>
      <c r="I338" s="71">
        <f>SUM($C$332:$M$334)</f>
        <v>8</v>
      </c>
      <c r="J338" s="71">
        <f t="shared" si="75"/>
        <v>3</v>
      </c>
      <c r="K338" s="69">
        <f t="shared" si="76"/>
        <v>0</v>
      </c>
      <c r="L338" s="69">
        <f t="shared" si="77"/>
        <v>0</v>
      </c>
      <c r="M338" s="69">
        <f t="shared" si="78"/>
        <v>0</v>
      </c>
    </row>
    <row r="339" spans="1:13" s="61" customFormat="1" ht="20.25" hidden="1" customHeight="1" x14ac:dyDescent="0.25">
      <c r="A339" s="67"/>
      <c r="B339" s="68"/>
      <c r="C339" s="69"/>
      <c r="D339" s="69"/>
      <c r="E339" s="222"/>
      <c r="F339" s="222"/>
      <c r="G339" s="68"/>
      <c r="H339" s="70" t="e">
        <f>VLOOKUP(B339,custoEPI!$B$6:$E$29,4,FALSE)</f>
        <v>#N/A</v>
      </c>
      <c r="I339" s="71">
        <f>SUM($C$332:$M$334)</f>
        <v>8</v>
      </c>
      <c r="J339" s="71" t="str">
        <f t="shared" si="75"/>
        <v>sem descrição</v>
      </c>
      <c r="K339" s="69" t="str">
        <f t="shared" ref="K339:K351" si="79">IF(C339="mensal",J339*H339*E339,IF(C339="trimestral",(J339*H339*E339)/3,IF(C339="semestral",(J339*H339*E339)/6,IF(C339="anual",(J339*H339*E339/12),"informar entrega"))))</f>
        <v>informar entrega</v>
      </c>
      <c r="L339" s="69">
        <f t="shared" si="77"/>
        <v>0</v>
      </c>
      <c r="M339" s="69">
        <f t="shared" si="78"/>
        <v>0</v>
      </c>
    </row>
    <row r="340" spans="1:13" s="61" customFormat="1" ht="20.25" hidden="1" customHeight="1" x14ac:dyDescent="0.25">
      <c r="A340" s="67" t="s">
        <v>114</v>
      </c>
      <c r="B340" s="68"/>
      <c r="C340" s="69"/>
      <c r="D340" s="69"/>
      <c r="E340" s="222"/>
      <c r="F340" s="222"/>
      <c r="G340" s="68" t="s">
        <v>290</v>
      </c>
      <c r="H340" s="70" t="e">
        <f>VLOOKUP(B340,custoEPI!$B$6:$E$29,4,FALSE)</f>
        <v>#N/A</v>
      </c>
      <c r="I340" s="71"/>
      <c r="J340" s="71" t="str">
        <f t="shared" si="75"/>
        <v>sem descrição</v>
      </c>
      <c r="K340" s="69" t="str">
        <f t="shared" si="79"/>
        <v>informar entrega</v>
      </c>
      <c r="L340" s="69">
        <f t="shared" si="77"/>
        <v>0</v>
      </c>
      <c r="M340" s="69">
        <f t="shared" si="78"/>
        <v>0</v>
      </c>
    </row>
    <row r="341" spans="1:13" s="61" customFormat="1" ht="20.25" hidden="1" customHeight="1" x14ac:dyDescent="0.25">
      <c r="A341" s="67" t="s">
        <v>115</v>
      </c>
      <c r="B341" s="68"/>
      <c r="C341" s="69"/>
      <c r="D341" s="69"/>
      <c r="E341" s="222"/>
      <c r="F341" s="222"/>
      <c r="G341" s="68" t="s">
        <v>290</v>
      </c>
      <c r="H341" s="70" t="e">
        <f>VLOOKUP(B341,custoEPI!$B$6:$E$29,4,FALSE)</f>
        <v>#N/A</v>
      </c>
      <c r="I341" s="71"/>
      <c r="J341" s="71" t="str">
        <f t="shared" si="75"/>
        <v>sem descrição</v>
      </c>
      <c r="K341" s="69" t="str">
        <f t="shared" si="79"/>
        <v>informar entrega</v>
      </c>
      <c r="L341" s="69">
        <f t="shared" si="77"/>
        <v>0</v>
      </c>
      <c r="M341" s="69">
        <f t="shared" si="78"/>
        <v>0</v>
      </c>
    </row>
    <row r="342" spans="1:13" s="61" customFormat="1" ht="20.25" hidden="1" customHeight="1" x14ac:dyDescent="0.25">
      <c r="A342" s="67" t="s">
        <v>116</v>
      </c>
      <c r="B342" s="68"/>
      <c r="C342" s="69"/>
      <c r="D342" s="69"/>
      <c r="E342" s="222"/>
      <c r="F342" s="222"/>
      <c r="G342" s="68" t="s">
        <v>290</v>
      </c>
      <c r="H342" s="70" t="e">
        <f>VLOOKUP(B342,custoEPI!$B$6:$E$29,4,FALSE)</f>
        <v>#N/A</v>
      </c>
      <c r="I342" s="71"/>
      <c r="J342" s="71" t="str">
        <f t="shared" si="75"/>
        <v>sem descrição</v>
      </c>
      <c r="K342" s="69" t="str">
        <f t="shared" si="79"/>
        <v>informar entrega</v>
      </c>
      <c r="L342" s="69">
        <f t="shared" si="77"/>
        <v>0</v>
      </c>
      <c r="M342" s="69">
        <f t="shared" si="78"/>
        <v>0</v>
      </c>
    </row>
    <row r="343" spans="1:13" s="61" customFormat="1" ht="20.25" hidden="1" customHeight="1" x14ac:dyDescent="0.25">
      <c r="A343" s="67" t="s">
        <v>118</v>
      </c>
      <c r="B343" s="68"/>
      <c r="C343" s="69"/>
      <c r="D343" s="69"/>
      <c r="E343" s="222"/>
      <c r="F343" s="222"/>
      <c r="G343" s="68" t="s">
        <v>290</v>
      </c>
      <c r="H343" s="70" t="e">
        <f>VLOOKUP(B343,custoEPI!$B$6:$E$29,4,FALSE)</f>
        <v>#N/A</v>
      </c>
      <c r="I343" s="71"/>
      <c r="J343" s="71" t="str">
        <f t="shared" si="75"/>
        <v>sem descrição</v>
      </c>
      <c r="K343" s="69" t="str">
        <f t="shared" si="79"/>
        <v>informar entrega</v>
      </c>
      <c r="L343" s="69">
        <f t="shared" si="77"/>
        <v>0</v>
      </c>
      <c r="M343" s="69">
        <f t="shared" si="78"/>
        <v>0</v>
      </c>
    </row>
    <row r="344" spans="1:13" s="61" customFormat="1" ht="20.25" hidden="1" customHeight="1" x14ac:dyDescent="0.25">
      <c r="A344" s="67" t="s">
        <v>121</v>
      </c>
      <c r="B344" s="68"/>
      <c r="C344" s="69"/>
      <c r="D344" s="69"/>
      <c r="E344" s="222"/>
      <c r="F344" s="222"/>
      <c r="G344" s="68"/>
      <c r="H344" s="70" t="e">
        <f>VLOOKUP(B344,custoEPI!$B$6:$E$29,4,FALSE)</f>
        <v>#N/A</v>
      </c>
      <c r="I344" s="71"/>
      <c r="J344" s="71" t="str">
        <f t="shared" si="75"/>
        <v>sem descrição</v>
      </c>
      <c r="K344" s="69" t="str">
        <f t="shared" si="79"/>
        <v>informar entrega</v>
      </c>
      <c r="L344" s="69">
        <f t="shared" si="77"/>
        <v>0</v>
      </c>
      <c r="M344" s="69">
        <f t="shared" si="78"/>
        <v>0</v>
      </c>
    </row>
    <row r="345" spans="1:13" s="61" customFormat="1" ht="20.25" hidden="1" customHeight="1" x14ac:dyDescent="0.25">
      <c r="A345" s="67" t="s">
        <v>125</v>
      </c>
      <c r="B345" s="68"/>
      <c r="C345" s="69"/>
      <c r="D345" s="69"/>
      <c r="E345" s="222"/>
      <c r="F345" s="222"/>
      <c r="G345" s="68"/>
      <c r="H345" s="70"/>
      <c r="I345" s="71"/>
      <c r="J345" s="71" t="str">
        <f t="shared" si="75"/>
        <v>sem descrição</v>
      </c>
      <c r="K345" s="69" t="str">
        <f t="shared" si="79"/>
        <v>informar entrega</v>
      </c>
      <c r="L345" s="69">
        <f t="shared" si="77"/>
        <v>0</v>
      </c>
      <c r="M345" s="69">
        <f t="shared" si="78"/>
        <v>0</v>
      </c>
    </row>
    <row r="346" spans="1:13" s="61" customFormat="1" ht="20.25" hidden="1" customHeight="1" x14ac:dyDescent="0.25">
      <c r="A346" s="67" t="s">
        <v>127</v>
      </c>
      <c r="B346" s="68"/>
      <c r="C346" s="69"/>
      <c r="D346" s="69"/>
      <c r="E346" s="222"/>
      <c r="F346" s="222"/>
      <c r="G346" s="68"/>
      <c r="H346" s="70"/>
      <c r="I346" s="70"/>
      <c r="J346" s="71" t="str">
        <f t="shared" si="75"/>
        <v>sem descrição</v>
      </c>
      <c r="K346" s="69" t="str">
        <f t="shared" si="79"/>
        <v>informar entrega</v>
      </c>
      <c r="L346" s="69">
        <f t="shared" si="77"/>
        <v>0</v>
      </c>
      <c r="M346" s="69">
        <f t="shared" si="78"/>
        <v>0</v>
      </c>
    </row>
    <row r="347" spans="1:13" s="61" customFormat="1" ht="20.25" hidden="1" customHeight="1" x14ac:dyDescent="0.25">
      <c r="A347" s="67" t="s">
        <v>129</v>
      </c>
      <c r="B347" s="68"/>
      <c r="C347" s="69"/>
      <c r="D347" s="69"/>
      <c r="E347" s="222"/>
      <c r="F347" s="222"/>
      <c r="G347" s="68"/>
      <c r="H347" s="70"/>
      <c r="I347" s="70"/>
      <c r="J347" s="71" t="str">
        <f t="shared" si="75"/>
        <v>sem descrição</v>
      </c>
      <c r="K347" s="69" t="str">
        <f t="shared" si="79"/>
        <v>informar entrega</v>
      </c>
      <c r="L347" s="69">
        <f t="shared" si="77"/>
        <v>0</v>
      </c>
      <c r="M347" s="69">
        <f t="shared" si="78"/>
        <v>0</v>
      </c>
    </row>
    <row r="348" spans="1:13" s="61" customFormat="1" ht="20.25" hidden="1" customHeight="1" x14ac:dyDescent="0.25">
      <c r="A348" s="67" t="s">
        <v>131</v>
      </c>
      <c r="B348" s="68"/>
      <c r="C348" s="69"/>
      <c r="D348" s="69"/>
      <c r="E348" s="222"/>
      <c r="F348" s="222"/>
      <c r="G348" s="68"/>
      <c r="H348" s="70"/>
      <c r="I348" s="70"/>
      <c r="J348" s="71" t="str">
        <f t="shared" si="75"/>
        <v>sem descrição</v>
      </c>
      <c r="K348" s="69" t="str">
        <f t="shared" si="79"/>
        <v>informar entrega</v>
      </c>
      <c r="L348" s="69">
        <f t="shared" si="77"/>
        <v>0</v>
      </c>
      <c r="M348" s="69">
        <f t="shared" si="78"/>
        <v>0</v>
      </c>
    </row>
    <row r="349" spans="1:13" s="61" customFormat="1" ht="20.25" hidden="1" customHeight="1" x14ac:dyDescent="0.25">
      <c r="A349" s="67" t="s">
        <v>188</v>
      </c>
      <c r="B349" s="68"/>
      <c r="C349" s="69"/>
      <c r="D349" s="69"/>
      <c r="E349" s="222"/>
      <c r="F349" s="222"/>
      <c r="G349" s="68"/>
      <c r="H349" s="70"/>
      <c r="I349" s="70"/>
      <c r="J349" s="71" t="str">
        <f t="shared" si="75"/>
        <v>sem descrição</v>
      </c>
      <c r="K349" s="69" t="str">
        <f t="shared" si="79"/>
        <v>informar entrega</v>
      </c>
      <c r="L349" s="69">
        <f t="shared" si="77"/>
        <v>0</v>
      </c>
      <c r="M349" s="69">
        <f t="shared" si="78"/>
        <v>0</v>
      </c>
    </row>
    <row r="350" spans="1:13" s="61" customFormat="1" ht="20.25" hidden="1" customHeight="1" x14ac:dyDescent="0.25">
      <c r="A350" s="67" t="s">
        <v>192</v>
      </c>
      <c r="B350" s="68"/>
      <c r="C350" s="69"/>
      <c r="D350" s="69"/>
      <c r="E350" s="222"/>
      <c r="F350" s="222"/>
      <c r="G350" s="68"/>
      <c r="H350" s="70"/>
      <c r="I350" s="70"/>
      <c r="J350" s="71" t="str">
        <f t="shared" si="75"/>
        <v>sem descrição</v>
      </c>
      <c r="K350" s="69" t="str">
        <f t="shared" si="79"/>
        <v>informar entrega</v>
      </c>
      <c r="L350" s="69">
        <f t="shared" si="77"/>
        <v>0</v>
      </c>
      <c r="M350" s="69">
        <f t="shared" si="78"/>
        <v>0</v>
      </c>
    </row>
    <row r="351" spans="1:13" s="61" customFormat="1" ht="20.25" hidden="1" customHeight="1" x14ac:dyDescent="0.25">
      <c r="A351" s="67" t="s">
        <v>195</v>
      </c>
      <c r="B351" s="68"/>
      <c r="C351" s="69"/>
      <c r="D351" s="69"/>
      <c r="E351" s="222"/>
      <c r="F351" s="222"/>
      <c r="G351" s="68"/>
      <c r="H351" s="70"/>
      <c r="I351" s="70"/>
      <c r="J351" s="71" t="str">
        <f t="shared" si="75"/>
        <v>sem descrição</v>
      </c>
      <c r="K351" s="69" t="str">
        <f t="shared" si="79"/>
        <v>informar entrega</v>
      </c>
      <c r="L351" s="69">
        <f t="shared" si="77"/>
        <v>0</v>
      </c>
      <c r="M351" s="69">
        <f t="shared" si="78"/>
        <v>0</v>
      </c>
    </row>
    <row r="352" spans="1:13" s="61" customFormat="1" ht="20.25" hidden="1" customHeight="1" x14ac:dyDescent="0.25">
      <c r="A352" s="67" t="s">
        <v>199</v>
      </c>
      <c r="B352" s="68"/>
      <c r="C352" s="69"/>
      <c r="D352" s="69"/>
      <c r="E352" s="222"/>
      <c r="F352" s="222"/>
      <c r="G352" s="68"/>
      <c r="H352" s="70"/>
      <c r="I352" s="70"/>
      <c r="J352" s="71" t="str">
        <f t="shared" si="75"/>
        <v>sem descrição</v>
      </c>
      <c r="K352" s="69" t="str">
        <f>IF(C352="mensal",J352*H352*E352,IF(C352="trimestral",(J352*H352*E352)/3,IF(C352="semestral",(J352*H352*E352)/6,IF(C352="anual",(J352*H352*E352/12),"informar período"))))</f>
        <v>informar período</v>
      </c>
      <c r="L352" s="69">
        <f t="shared" si="77"/>
        <v>0</v>
      </c>
      <c r="M352" s="69">
        <f t="shared" si="78"/>
        <v>0</v>
      </c>
    </row>
    <row r="353" spans="1:13" s="61" customFormat="1" ht="20.25" hidden="1" customHeight="1" x14ac:dyDescent="0.25">
      <c r="A353" s="152" t="s">
        <v>321</v>
      </c>
      <c r="B353" s="147"/>
      <c r="C353" s="147"/>
      <c r="D353" s="147"/>
      <c r="E353" s="147"/>
      <c r="F353" s="147"/>
      <c r="G353" s="147"/>
      <c r="H353" s="147"/>
      <c r="I353" s="139"/>
      <c r="J353" s="155"/>
      <c r="K353" s="156">
        <f>SUM(K336:K352)</f>
        <v>0</v>
      </c>
      <c r="L353" s="157">
        <f>K353*12</f>
        <v>0</v>
      </c>
      <c r="M353" s="158">
        <f>K353*60</f>
        <v>0</v>
      </c>
    </row>
    <row r="354" spans="1:13" s="61" customFormat="1" ht="20.25" hidden="1" customHeight="1" x14ac:dyDescent="0.25">
      <c r="A354" s="152" t="s">
        <v>302</v>
      </c>
      <c r="B354" s="147"/>
      <c r="C354" s="147"/>
      <c r="D354" s="147"/>
      <c r="E354" s="147"/>
      <c r="F354" s="147"/>
      <c r="G354" s="147"/>
      <c r="H354" s="147"/>
      <c r="I354" s="147"/>
      <c r="J354" s="147"/>
      <c r="K354" s="147"/>
      <c r="L354" s="147"/>
      <c r="M354" s="159">
        <f>K353/SUM(C332:M334)</f>
        <v>0</v>
      </c>
    </row>
    <row r="355" spans="1:13" s="61" customFormat="1" ht="20.25" hidden="1" customHeight="1" x14ac:dyDescent="0.25">
      <c r="A355" s="235" t="s">
        <v>273</v>
      </c>
      <c r="B355" s="143" t="s">
        <v>19</v>
      </c>
      <c r="C355" s="233"/>
      <c r="D355" s="153"/>
      <c r="E355" s="153"/>
      <c r="F355" s="153"/>
      <c r="G355" s="153"/>
      <c r="H355" s="153"/>
      <c r="I355" s="153"/>
      <c r="J355" s="153"/>
      <c r="K355" s="153"/>
      <c r="L355" s="153"/>
      <c r="M355" s="154"/>
    </row>
    <row r="356" spans="1:13" s="61" customFormat="1" ht="20.25" hidden="1" customHeight="1" x14ac:dyDescent="0.25">
      <c r="A356" s="62">
        <v>1</v>
      </c>
      <c r="B356" s="63" t="s">
        <v>274</v>
      </c>
      <c r="C356" s="216" t="str">
        <f>'[1]planilha - proposta'!C53</f>
        <v>Supervisor de Lavanderia</v>
      </c>
      <c r="D356" s="217"/>
      <c r="E356" s="217"/>
      <c r="F356" s="217"/>
      <c r="G356" s="217"/>
      <c r="H356" s="145"/>
      <c r="I356" s="145"/>
      <c r="J356" s="145"/>
      <c r="K356" s="145"/>
      <c r="L356" s="145"/>
      <c r="M356" s="146"/>
    </row>
    <row r="357" spans="1:13" s="61" customFormat="1" ht="20.25" hidden="1" customHeight="1" x14ac:dyDescent="0.25">
      <c r="A357" s="62"/>
      <c r="B357" s="63"/>
      <c r="C357" s="216">
        <v>0</v>
      </c>
      <c r="D357" s="217"/>
      <c r="E357" s="217"/>
      <c r="F357" s="217"/>
      <c r="G357" s="217"/>
      <c r="H357" s="145"/>
      <c r="I357" s="145"/>
      <c r="J357" s="145"/>
      <c r="K357" s="145"/>
      <c r="L357" s="145"/>
      <c r="M357" s="146"/>
    </row>
    <row r="358" spans="1:13" s="61" customFormat="1" ht="20.25" hidden="1" customHeight="1" x14ac:dyDescent="0.25">
      <c r="A358" s="62"/>
      <c r="B358" s="63"/>
      <c r="C358" s="213">
        <v>0</v>
      </c>
      <c r="D358" s="214"/>
      <c r="E358" s="214"/>
      <c r="F358" s="214"/>
      <c r="G358" s="214"/>
      <c r="H358" s="148"/>
      <c r="I358" s="148"/>
      <c r="J358" s="148"/>
      <c r="K358" s="148"/>
      <c r="L358" s="148"/>
      <c r="M358" s="149"/>
    </row>
    <row r="359" spans="1:13" s="61" customFormat="1" ht="20.25" hidden="1" customHeight="1" x14ac:dyDescent="0.25">
      <c r="A359" s="62">
        <v>2</v>
      </c>
      <c r="B359" s="63" t="str">
        <f>'planilha - proposta'!D53</f>
        <v>Supervisor de Lavanderia - 44h</v>
      </c>
      <c r="C359" s="216">
        <f>VLOOKUP(B359,'[1]planilha - proposta'!$D$17:$E$62,2,FALSE)</f>
        <v>0</v>
      </c>
      <c r="D359" s="217"/>
      <c r="E359" s="217"/>
      <c r="F359" s="217"/>
      <c r="G359" s="217"/>
      <c r="H359" s="145"/>
      <c r="I359" s="145"/>
      <c r="J359" s="145"/>
      <c r="K359" s="145"/>
      <c r="L359" s="145"/>
      <c r="M359" s="146"/>
    </row>
    <row r="360" spans="1:13" s="61" customFormat="1" ht="52.5" hidden="1" customHeight="1" x14ac:dyDescent="0.25">
      <c r="A360" s="64" t="s">
        <v>273</v>
      </c>
      <c r="B360" s="65" t="s">
        <v>275</v>
      </c>
      <c r="C360" s="218" t="s">
        <v>276</v>
      </c>
      <c r="D360" s="218" t="s">
        <v>277</v>
      </c>
      <c r="E360" s="218" t="s">
        <v>278</v>
      </c>
      <c r="F360" s="218" t="s">
        <v>303</v>
      </c>
      <c r="G360" s="223" t="s">
        <v>280</v>
      </c>
      <c r="H360" s="65" t="s">
        <v>304</v>
      </c>
      <c r="I360" s="66" t="s">
        <v>305</v>
      </c>
      <c r="J360" s="66" t="s">
        <v>318</v>
      </c>
      <c r="K360" s="65" t="s">
        <v>284</v>
      </c>
      <c r="L360" s="65" t="s">
        <v>285</v>
      </c>
      <c r="M360" s="66" t="s">
        <v>286</v>
      </c>
    </row>
    <row r="361" spans="1:13" s="61" customFormat="1" ht="20.25" hidden="1" customHeight="1" x14ac:dyDescent="0.25">
      <c r="A361" s="67" t="s">
        <v>108</v>
      </c>
      <c r="B361" s="68" t="s">
        <v>287</v>
      </c>
      <c r="C361" s="69" t="s">
        <v>288</v>
      </c>
      <c r="D361" s="69" t="s">
        <v>289</v>
      </c>
      <c r="E361" s="222">
        <f>3*26</f>
        <v>78</v>
      </c>
      <c r="F361" s="222">
        <v>0</v>
      </c>
      <c r="G361" s="68" t="s">
        <v>290</v>
      </c>
      <c r="H361" s="70">
        <f>VLOOKUP(B361,custoEPI!$B$6:$E$29,4,FALSE)</f>
        <v>0</v>
      </c>
      <c r="I361" s="71">
        <f>SUM($C$357:$M$359)</f>
        <v>0</v>
      </c>
      <c r="J361" s="71">
        <f t="shared" ref="J361:J377" si="80">IF(B361="","sem descrição",IF($C$357&gt;=$C$358,IF($C$359&gt;0,$C$357/2+$C$359,$C$357/2),IF($C$359&gt;0,$C$358/5+$C$359,$C$359)))</f>
        <v>0</v>
      </c>
      <c r="K361" s="69">
        <f>IF(C361="mensal",IF(F361&gt;0,F361*H361,IF(D361="descartável",((SUM($C$357:$C$358)/2)+$C$359)*E361*H361,IF(D361="pessoal",E361*H361*I361,E361*H361*J361))),0)+IF(C361="trimestral",IF(F361&gt;0,F361*H361/3,IF(D361="descartável",(((SUM($C$357:$C$358)/2)+$C$359)*E361*H361)/3,IF(D361="pessoal",(E361*H361*I361)/3,(E361*H361*J361)/3))),0)+IF(C361="semestral",IF(F361&gt;0,F361*H361/6,IF(D361="descartável",(((SUM($C$357:$C$358)/2)+$C$359)*E361*H361)/6,IF(D361="pessoal",(E361*H361*I361)/6,(E361*H361*J361)/6))),0)+IF(C361="anual",IF(F361&gt;0,F361*H361/12,IF(D361="descartável",(((SUM($C$357:$C$358)/2)+$C$359)*E361*H361)/12,IF(D361="pessoal",(E361*H361*I361)/12,(E361*H361*J361)/12))),0)</f>
        <v>0</v>
      </c>
      <c r="L361" s="69">
        <f>IFERROR(K361*12, 0)</f>
        <v>0</v>
      </c>
      <c r="M361" s="69">
        <f>IFERROR(K361*60,0)</f>
        <v>0</v>
      </c>
    </row>
    <row r="362" spans="1:13" s="61" customFormat="1" ht="20.25" hidden="1" customHeight="1" x14ac:dyDescent="0.25">
      <c r="A362" s="67"/>
      <c r="B362" s="68"/>
      <c r="C362" s="69"/>
      <c r="D362" s="69"/>
      <c r="E362" s="222"/>
      <c r="F362" s="222"/>
      <c r="G362" s="68"/>
      <c r="H362" s="70" t="e">
        <f>VLOOKUP(B362,custoEPI!$B$6:$E$29,4,FALSE)</f>
        <v>#N/A</v>
      </c>
      <c r="I362" s="71">
        <f>SUM($C$357:$M$359)</f>
        <v>0</v>
      </c>
      <c r="J362" s="71" t="str">
        <f t="shared" si="80"/>
        <v>sem descrição</v>
      </c>
      <c r="K362" s="69" t="str">
        <f t="shared" ref="K362:K376" si="81">IF(C362="mensal",J362*H362*E362,IF(C362="trimestral",(J362*H362*E362)/3,IF(C362="semestral",(J362*H362*E362)/6,IF(C362="anual",(J362*H362*E362/12),"informar entrega"))))</f>
        <v>informar entrega</v>
      </c>
      <c r="L362" s="69">
        <f t="shared" ref="L362:L377" si="82">IFERROR(K362*12, 0)</f>
        <v>0</v>
      </c>
      <c r="M362" s="69">
        <f t="shared" ref="M362:M377" si="83">IFERROR(K362*60,0)</f>
        <v>0</v>
      </c>
    </row>
    <row r="363" spans="1:13" s="61" customFormat="1" ht="20.25" hidden="1" customHeight="1" x14ac:dyDescent="0.25">
      <c r="A363" s="67"/>
      <c r="B363" s="68"/>
      <c r="C363" s="69"/>
      <c r="D363" s="69"/>
      <c r="E363" s="222"/>
      <c r="F363" s="222"/>
      <c r="G363" s="68"/>
      <c r="H363" s="70" t="e">
        <f>VLOOKUP(B363,custoEPI!$B$6:$E$29,4,FALSE)</f>
        <v>#N/A</v>
      </c>
      <c r="I363" s="71">
        <f>SUM($C$357:$M$359)</f>
        <v>0</v>
      </c>
      <c r="J363" s="71" t="str">
        <f t="shared" si="80"/>
        <v>sem descrição</v>
      </c>
      <c r="K363" s="69" t="str">
        <f t="shared" si="81"/>
        <v>informar entrega</v>
      </c>
      <c r="L363" s="69">
        <f t="shared" si="82"/>
        <v>0</v>
      </c>
      <c r="M363" s="69">
        <f t="shared" si="83"/>
        <v>0</v>
      </c>
    </row>
    <row r="364" spans="1:13" s="61" customFormat="1" ht="20.25" hidden="1" customHeight="1" x14ac:dyDescent="0.25">
      <c r="A364" s="67"/>
      <c r="B364" s="68"/>
      <c r="C364" s="69"/>
      <c r="D364" s="69"/>
      <c r="E364" s="222"/>
      <c r="F364" s="222"/>
      <c r="G364" s="68"/>
      <c r="H364" s="70" t="e">
        <f>VLOOKUP(B364,custoEPI!$B$6:$E$29,4,FALSE)</f>
        <v>#N/A</v>
      </c>
      <c r="I364" s="71">
        <f>SUM($C$357:$M$359)</f>
        <v>0</v>
      </c>
      <c r="J364" s="71" t="str">
        <f t="shared" si="80"/>
        <v>sem descrição</v>
      </c>
      <c r="K364" s="69" t="str">
        <f t="shared" si="81"/>
        <v>informar entrega</v>
      </c>
      <c r="L364" s="69">
        <f t="shared" si="82"/>
        <v>0</v>
      </c>
      <c r="M364" s="69">
        <f t="shared" si="83"/>
        <v>0</v>
      </c>
    </row>
    <row r="365" spans="1:13" s="61" customFormat="1" ht="20.25" hidden="1" customHeight="1" x14ac:dyDescent="0.25">
      <c r="A365" s="67" t="s">
        <v>114</v>
      </c>
      <c r="B365" s="68"/>
      <c r="C365" s="69"/>
      <c r="D365" s="69"/>
      <c r="E365" s="222"/>
      <c r="F365" s="222"/>
      <c r="G365" s="68" t="s">
        <v>290</v>
      </c>
      <c r="H365" s="70" t="e">
        <f>VLOOKUP(B365,custoEPI!$B$6:$E$29,4,FALSE)</f>
        <v>#N/A</v>
      </c>
      <c r="I365" s="71"/>
      <c r="J365" s="71" t="str">
        <f t="shared" si="80"/>
        <v>sem descrição</v>
      </c>
      <c r="K365" s="69" t="str">
        <f t="shared" si="81"/>
        <v>informar entrega</v>
      </c>
      <c r="L365" s="69">
        <f t="shared" si="82"/>
        <v>0</v>
      </c>
      <c r="M365" s="69">
        <f t="shared" si="83"/>
        <v>0</v>
      </c>
    </row>
    <row r="366" spans="1:13" s="61" customFormat="1" ht="20.25" hidden="1" customHeight="1" x14ac:dyDescent="0.25">
      <c r="A366" s="67" t="s">
        <v>115</v>
      </c>
      <c r="B366" s="68"/>
      <c r="C366" s="69"/>
      <c r="D366" s="69"/>
      <c r="E366" s="222"/>
      <c r="F366" s="222"/>
      <c r="G366" s="68" t="s">
        <v>290</v>
      </c>
      <c r="H366" s="70" t="e">
        <f>VLOOKUP(B366,custoEPI!$B$6:$E$29,4,FALSE)</f>
        <v>#N/A</v>
      </c>
      <c r="I366" s="71"/>
      <c r="J366" s="71" t="str">
        <f t="shared" si="80"/>
        <v>sem descrição</v>
      </c>
      <c r="K366" s="69" t="str">
        <f t="shared" si="81"/>
        <v>informar entrega</v>
      </c>
      <c r="L366" s="69">
        <f t="shared" si="82"/>
        <v>0</v>
      </c>
      <c r="M366" s="69">
        <f t="shared" si="83"/>
        <v>0</v>
      </c>
    </row>
    <row r="367" spans="1:13" s="61" customFormat="1" ht="20.25" hidden="1" customHeight="1" x14ac:dyDescent="0.25">
      <c r="A367" s="67" t="s">
        <v>116</v>
      </c>
      <c r="B367" s="68"/>
      <c r="C367" s="69"/>
      <c r="D367" s="69"/>
      <c r="E367" s="222"/>
      <c r="F367" s="222"/>
      <c r="G367" s="68" t="s">
        <v>290</v>
      </c>
      <c r="H367" s="70" t="e">
        <f>VLOOKUP(B367,custoEPI!$B$6:$E$29,4,FALSE)</f>
        <v>#N/A</v>
      </c>
      <c r="I367" s="71"/>
      <c r="J367" s="71" t="str">
        <f t="shared" si="80"/>
        <v>sem descrição</v>
      </c>
      <c r="K367" s="69" t="str">
        <f t="shared" si="81"/>
        <v>informar entrega</v>
      </c>
      <c r="L367" s="69">
        <f t="shared" si="82"/>
        <v>0</v>
      </c>
      <c r="M367" s="69">
        <f t="shared" si="83"/>
        <v>0</v>
      </c>
    </row>
    <row r="368" spans="1:13" s="61" customFormat="1" ht="20.25" hidden="1" customHeight="1" x14ac:dyDescent="0.25">
      <c r="A368" s="67" t="s">
        <v>118</v>
      </c>
      <c r="B368" s="68"/>
      <c r="C368" s="69"/>
      <c r="D368" s="69"/>
      <c r="E368" s="222"/>
      <c r="F368" s="222"/>
      <c r="G368" s="68" t="s">
        <v>290</v>
      </c>
      <c r="H368" s="70" t="e">
        <f>VLOOKUP(B368,custoEPI!$B$6:$E$29,4,FALSE)</f>
        <v>#N/A</v>
      </c>
      <c r="I368" s="71"/>
      <c r="J368" s="71" t="str">
        <f t="shared" si="80"/>
        <v>sem descrição</v>
      </c>
      <c r="K368" s="69" t="str">
        <f t="shared" si="81"/>
        <v>informar entrega</v>
      </c>
      <c r="L368" s="69">
        <f t="shared" si="82"/>
        <v>0</v>
      </c>
      <c r="M368" s="69">
        <f t="shared" si="83"/>
        <v>0</v>
      </c>
    </row>
    <row r="369" spans="1:13" s="61" customFormat="1" ht="20.25" hidden="1" customHeight="1" x14ac:dyDescent="0.25">
      <c r="A369" s="67" t="s">
        <v>121</v>
      </c>
      <c r="B369" s="68"/>
      <c r="C369" s="69"/>
      <c r="D369" s="69"/>
      <c r="E369" s="222"/>
      <c r="F369" s="222"/>
      <c r="G369" s="68"/>
      <c r="H369" s="70" t="e">
        <f>VLOOKUP(B369,custoEPI!$B$6:$E$29,4,FALSE)</f>
        <v>#N/A</v>
      </c>
      <c r="I369" s="71"/>
      <c r="J369" s="71" t="str">
        <f t="shared" si="80"/>
        <v>sem descrição</v>
      </c>
      <c r="K369" s="69" t="str">
        <f t="shared" si="81"/>
        <v>informar entrega</v>
      </c>
      <c r="L369" s="69">
        <f t="shared" si="82"/>
        <v>0</v>
      </c>
      <c r="M369" s="69">
        <f t="shared" si="83"/>
        <v>0</v>
      </c>
    </row>
    <row r="370" spans="1:13" s="61" customFormat="1" ht="20.25" hidden="1" customHeight="1" x14ac:dyDescent="0.25">
      <c r="A370" s="67" t="s">
        <v>125</v>
      </c>
      <c r="B370" s="68"/>
      <c r="C370" s="69"/>
      <c r="D370" s="69"/>
      <c r="E370" s="222"/>
      <c r="F370" s="222"/>
      <c r="G370" s="68"/>
      <c r="H370" s="70"/>
      <c r="I370" s="71"/>
      <c r="J370" s="71" t="str">
        <f t="shared" si="80"/>
        <v>sem descrição</v>
      </c>
      <c r="K370" s="69" t="str">
        <f t="shared" si="81"/>
        <v>informar entrega</v>
      </c>
      <c r="L370" s="69">
        <f t="shared" si="82"/>
        <v>0</v>
      </c>
      <c r="M370" s="69">
        <f t="shared" si="83"/>
        <v>0</v>
      </c>
    </row>
    <row r="371" spans="1:13" s="61" customFormat="1" ht="20.25" hidden="1" customHeight="1" x14ac:dyDescent="0.25">
      <c r="A371" s="67" t="s">
        <v>127</v>
      </c>
      <c r="B371" s="68"/>
      <c r="C371" s="69"/>
      <c r="D371" s="69"/>
      <c r="E371" s="222"/>
      <c r="F371" s="222"/>
      <c r="G371" s="68"/>
      <c r="H371" s="70"/>
      <c r="I371" s="70"/>
      <c r="J371" s="71" t="str">
        <f t="shared" si="80"/>
        <v>sem descrição</v>
      </c>
      <c r="K371" s="69" t="str">
        <f t="shared" si="81"/>
        <v>informar entrega</v>
      </c>
      <c r="L371" s="69">
        <f t="shared" si="82"/>
        <v>0</v>
      </c>
      <c r="M371" s="69">
        <f t="shared" si="83"/>
        <v>0</v>
      </c>
    </row>
    <row r="372" spans="1:13" s="61" customFormat="1" ht="20.25" hidden="1" customHeight="1" x14ac:dyDescent="0.25">
      <c r="A372" s="67" t="s">
        <v>129</v>
      </c>
      <c r="B372" s="68"/>
      <c r="C372" s="69"/>
      <c r="D372" s="69"/>
      <c r="E372" s="222"/>
      <c r="F372" s="222"/>
      <c r="G372" s="68"/>
      <c r="H372" s="70"/>
      <c r="I372" s="70"/>
      <c r="J372" s="71" t="str">
        <f t="shared" si="80"/>
        <v>sem descrição</v>
      </c>
      <c r="K372" s="69" t="str">
        <f t="shared" si="81"/>
        <v>informar entrega</v>
      </c>
      <c r="L372" s="69">
        <f t="shared" si="82"/>
        <v>0</v>
      </c>
      <c r="M372" s="69">
        <f t="shared" si="83"/>
        <v>0</v>
      </c>
    </row>
    <row r="373" spans="1:13" s="61" customFormat="1" ht="20.25" hidden="1" customHeight="1" x14ac:dyDescent="0.25">
      <c r="A373" s="67" t="s">
        <v>131</v>
      </c>
      <c r="B373" s="68"/>
      <c r="C373" s="69"/>
      <c r="D373" s="69"/>
      <c r="E373" s="222"/>
      <c r="F373" s="222"/>
      <c r="G373" s="68"/>
      <c r="H373" s="70"/>
      <c r="I373" s="70"/>
      <c r="J373" s="71" t="str">
        <f t="shared" si="80"/>
        <v>sem descrição</v>
      </c>
      <c r="K373" s="69" t="str">
        <f t="shared" si="81"/>
        <v>informar entrega</v>
      </c>
      <c r="L373" s="69">
        <f t="shared" si="82"/>
        <v>0</v>
      </c>
      <c r="M373" s="69">
        <f t="shared" si="83"/>
        <v>0</v>
      </c>
    </row>
    <row r="374" spans="1:13" s="61" customFormat="1" ht="20.25" hidden="1" customHeight="1" x14ac:dyDescent="0.25">
      <c r="A374" s="67" t="s">
        <v>188</v>
      </c>
      <c r="B374" s="68"/>
      <c r="C374" s="69"/>
      <c r="D374" s="69"/>
      <c r="E374" s="222"/>
      <c r="F374" s="222"/>
      <c r="G374" s="68"/>
      <c r="H374" s="70"/>
      <c r="I374" s="70"/>
      <c r="J374" s="71" t="str">
        <f t="shared" si="80"/>
        <v>sem descrição</v>
      </c>
      <c r="K374" s="69" t="str">
        <f t="shared" si="81"/>
        <v>informar entrega</v>
      </c>
      <c r="L374" s="69">
        <f t="shared" si="82"/>
        <v>0</v>
      </c>
      <c r="M374" s="69">
        <f t="shared" si="83"/>
        <v>0</v>
      </c>
    </row>
    <row r="375" spans="1:13" s="61" customFormat="1" ht="20.25" hidden="1" customHeight="1" x14ac:dyDescent="0.25">
      <c r="A375" s="67" t="s">
        <v>192</v>
      </c>
      <c r="B375" s="68"/>
      <c r="C375" s="69"/>
      <c r="D375" s="69"/>
      <c r="E375" s="222"/>
      <c r="F375" s="222"/>
      <c r="G375" s="68"/>
      <c r="H375" s="70"/>
      <c r="I375" s="70"/>
      <c r="J375" s="71" t="str">
        <f t="shared" si="80"/>
        <v>sem descrição</v>
      </c>
      <c r="K375" s="69" t="str">
        <f t="shared" si="81"/>
        <v>informar entrega</v>
      </c>
      <c r="L375" s="69">
        <f t="shared" si="82"/>
        <v>0</v>
      </c>
      <c r="M375" s="69">
        <f t="shared" si="83"/>
        <v>0</v>
      </c>
    </row>
    <row r="376" spans="1:13" s="61" customFormat="1" ht="20.25" hidden="1" customHeight="1" x14ac:dyDescent="0.25">
      <c r="A376" s="67" t="s">
        <v>195</v>
      </c>
      <c r="B376" s="68"/>
      <c r="C376" s="69"/>
      <c r="D376" s="69"/>
      <c r="E376" s="222"/>
      <c r="F376" s="222"/>
      <c r="G376" s="68"/>
      <c r="H376" s="70"/>
      <c r="I376" s="70"/>
      <c r="J376" s="71" t="str">
        <f t="shared" si="80"/>
        <v>sem descrição</v>
      </c>
      <c r="K376" s="69" t="str">
        <f t="shared" si="81"/>
        <v>informar entrega</v>
      </c>
      <c r="L376" s="69">
        <f t="shared" si="82"/>
        <v>0</v>
      </c>
      <c r="M376" s="69">
        <f t="shared" si="83"/>
        <v>0</v>
      </c>
    </row>
    <row r="377" spans="1:13" s="61" customFormat="1" ht="20.25" hidden="1" customHeight="1" x14ac:dyDescent="0.25">
      <c r="A377" s="67" t="s">
        <v>199</v>
      </c>
      <c r="B377" s="68"/>
      <c r="C377" s="69"/>
      <c r="D377" s="69"/>
      <c r="E377" s="222"/>
      <c r="F377" s="222"/>
      <c r="G377" s="68"/>
      <c r="H377" s="70"/>
      <c r="I377" s="70"/>
      <c r="J377" s="71" t="str">
        <f t="shared" si="80"/>
        <v>sem descrição</v>
      </c>
      <c r="K377" s="69" t="str">
        <f>IF(C377="mensal",J377*H377*E377,IF(C377="trimestral",(J377*H377*E377)/3,IF(C377="semestral",(J377*H377*E377)/6,IF(C377="anual",(J377*H377*E377/12),"informar período"))))</f>
        <v>informar período</v>
      </c>
      <c r="L377" s="69">
        <f t="shared" si="82"/>
        <v>0</v>
      </c>
      <c r="M377" s="69">
        <f t="shared" si="83"/>
        <v>0</v>
      </c>
    </row>
    <row r="378" spans="1:13" s="61" customFormat="1" ht="20.25" hidden="1" customHeight="1" x14ac:dyDescent="0.25">
      <c r="A378" s="152" t="s">
        <v>330</v>
      </c>
      <c r="B378" s="147"/>
      <c r="C378" s="234"/>
      <c r="D378" s="147"/>
      <c r="E378" s="147"/>
      <c r="F378" s="147"/>
      <c r="G378" s="147"/>
      <c r="H378" s="147"/>
      <c r="I378" s="139"/>
      <c r="J378" s="155"/>
      <c r="K378" s="156">
        <f>SUM(K361:K377)</f>
        <v>0</v>
      </c>
      <c r="L378" s="157">
        <f>K378*12</f>
        <v>0</v>
      </c>
      <c r="M378" s="158">
        <f>K378*60</f>
        <v>0</v>
      </c>
    </row>
    <row r="379" spans="1:13" s="61" customFormat="1" ht="20.25" hidden="1" customHeight="1" x14ac:dyDescent="0.25">
      <c r="A379" s="152" t="s">
        <v>302</v>
      </c>
      <c r="B379" s="147"/>
      <c r="C379" s="234"/>
      <c r="D379" s="147"/>
      <c r="E379" s="147"/>
      <c r="F379" s="147"/>
      <c r="G379" s="147"/>
      <c r="H379" s="147"/>
      <c r="I379" s="147"/>
      <c r="J379" s="147"/>
      <c r="K379" s="147"/>
      <c r="L379" s="147"/>
      <c r="M379" s="159" t="e">
        <f>K378/SUM(C357:M359)</f>
        <v>#DIV/0!</v>
      </c>
    </row>
    <row r="380" spans="1:13" s="61" customFormat="1" ht="20.25" hidden="1" customHeight="1" x14ac:dyDescent="0.25">
      <c r="A380" s="235" t="s">
        <v>273</v>
      </c>
      <c r="B380" s="143" t="s">
        <v>19</v>
      </c>
      <c r="C380" s="233"/>
      <c r="D380" s="153"/>
      <c r="E380" s="153"/>
      <c r="F380" s="153"/>
      <c r="G380" s="153"/>
      <c r="H380" s="153"/>
      <c r="I380" s="153"/>
      <c r="J380" s="153"/>
      <c r="K380" s="153"/>
      <c r="L380" s="153"/>
      <c r="M380" s="154"/>
    </row>
    <row r="381" spans="1:13" s="61" customFormat="1" ht="20.25" hidden="1" customHeight="1" x14ac:dyDescent="0.25">
      <c r="A381" s="62">
        <v>1</v>
      </c>
      <c r="B381" s="63" t="s">
        <v>274</v>
      </c>
      <c r="C381" s="216" t="str">
        <f>'[1]planilha - proposta'!C54</f>
        <v>Supervisor de Hotelaria</v>
      </c>
      <c r="D381" s="217"/>
      <c r="E381" s="217"/>
      <c r="F381" s="217"/>
      <c r="G381" s="217"/>
      <c r="H381" s="145"/>
      <c r="I381" s="145"/>
      <c r="J381" s="145"/>
      <c r="K381" s="145"/>
      <c r="L381" s="145"/>
      <c r="M381" s="146"/>
    </row>
    <row r="382" spans="1:13" s="61" customFormat="1" ht="20.25" hidden="1" customHeight="1" x14ac:dyDescent="0.25">
      <c r="A382" s="62"/>
      <c r="B382" s="63"/>
      <c r="C382" s="216"/>
      <c r="D382" s="217"/>
      <c r="E382" s="217"/>
      <c r="F382" s="217"/>
      <c r="G382" s="217"/>
      <c r="H382" s="145"/>
      <c r="I382" s="145"/>
      <c r="J382" s="145"/>
      <c r="K382" s="145"/>
      <c r="L382" s="145"/>
      <c r="M382" s="146"/>
    </row>
    <row r="383" spans="1:13" s="61" customFormat="1" ht="20.25" hidden="1" customHeight="1" x14ac:dyDescent="0.25">
      <c r="A383" s="62"/>
      <c r="B383" s="63"/>
      <c r="C383" s="213"/>
      <c r="D383" s="214"/>
      <c r="E383" s="214"/>
      <c r="F383" s="214"/>
      <c r="G383" s="214"/>
      <c r="H383" s="148"/>
      <c r="I383" s="148"/>
      <c r="J383" s="148"/>
      <c r="K383" s="148"/>
      <c r="L383" s="148"/>
      <c r="M383" s="149"/>
    </row>
    <row r="384" spans="1:13" s="61" customFormat="1" ht="20.25" hidden="1" customHeight="1" x14ac:dyDescent="0.25">
      <c r="A384" s="62">
        <v>2</v>
      </c>
      <c r="B384" s="63" t="str">
        <f>'planilha - proposta'!D54</f>
        <v>Supervisor de Hotelaria - 44h</v>
      </c>
      <c r="C384" s="216">
        <f>VLOOKUP(B384,'[1]planilha - proposta'!$D$17:$E$62,2,FALSE)</f>
        <v>0</v>
      </c>
      <c r="D384" s="217"/>
      <c r="E384" s="217"/>
      <c r="F384" s="217"/>
      <c r="G384" s="217"/>
      <c r="H384" s="145"/>
      <c r="I384" s="145"/>
      <c r="J384" s="145"/>
      <c r="K384" s="145"/>
      <c r="L384" s="145"/>
      <c r="M384" s="146"/>
    </row>
    <row r="385" spans="1:13" s="61" customFormat="1" ht="52.5" hidden="1" customHeight="1" x14ac:dyDescent="0.25">
      <c r="A385" s="64" t="s">
        <v>273</v>
      </c>
      <c r="B385" s="65" t="s">
        <v>275</v>
      </c>
      <c r="C385" s="218" t="s">
        <v>276</v>
      </c>
      <c r="D385" s="218" t="s">
        <v>277</v>
      </c>
      <c r="E385" s="218" t="s">
        <v>278</v>
      </c>
      <c r="F385" s="218" t="s">
        <v>303</v>
      </c>
      <c r="G385" s="223" t="s">
        <v>280</v>
      </c>
      <c r="H385" s="65" t="s">
        <v>304</v>
      </c>
      <c r="I385" s="66" t="s">
        <v>305</v>
      </c>
      <c r="J385" s="66" t="s">
        <v>318</v>
      </c>
      <c r="K385" s="65" t="s">
        <v>284</v>
      </c>
      <c r="L385" s="65" t="s">
        <v>285</v>
      </c>
      <c r="M385" s="66" t="s">
        <v>286</v>
      </c>
    </row>
    <row r="386" spans="1:13" s="61" customFormat="1" ht="20.25" hidden="1" customHeight="1" x14ac:dyDescent="0.25">
      <c r="A386" s="67" t="s">
        <v>108</v>
      </c>
      <c r="B386" s="68" t="s">
        <v>287</v>
      </c>
      <c r="C386" s="219" t="s">
        <v>288</v>
      </c>
      <c r="D386" s="219" t="s">
        <v>289</v>
      </c>
      <c r="E386" s="221">
        <f>3*30</f>
        <v>90</v>
      </c>
      <c r="F386" s="221">
        <v>0</v>
      </c>
      <c r="G386" s="224" t="s">
        <v>290</v>
      </c>
      <c r="H386" s="49">
        <f>VLOOKUP(B386,custoEPI!$B$6:$E$29,4,FALSE)</f>
        <v>0</v>
      </c>
      <c r="I386" s="71">
        <f>SUM($C$382:$M$384)</f>
        <v>0</v>
      </c>
      <c r="J386" s="71">
        <f t="shared" ref="J386:J402" si="84">IF(B386="","sem descrição",IF($C$382&gt;=$C$383,IF($C$384&gt;0,$C$382/2+$C$384,$C$382/2),IF($C$384&gt;0,$C$383/5+$C$384,$C$384)))</f>
        <v>0</v>
      </c>
      <c r="K386" s="69">
        <f>IF(C386="mensal",IF(F386&gt;0,F386*H386,IF(D386="descartável",((SUM($C$382:$C$383)/2)+$C$384)*E386*H386,IF(D386="pessoal",E386*H386*I386,E386*H386*J386))),0)+IF(C386="trimestral",IF(F386&gt;0,F386*H386/3,IF(D386="descartável",(((SUM($C$382:$C$383)/2)+$C$384)*E386*H386)/3,IF(D386="pessoal",(E386*H386*I386)/3,(E386*H386*J386)/3))),0)+IF(C386="semestral",IF(F386&gt;0,F386*H386/6,IF(D386="descartável",(((SUM($C$382:$C$383)/2)+$C$384)*E386*H386)/6,IF(D386="pessoal",(E386*H386*I386)/6,(E386*H386*J386)/6))),0)+IF(C386="anual",IF(F386&gt;0,F386*H386/12,IF(D386="descartável",(((SUM($C$382:$C$383)/2)+$C$384)*E386*H386)/12,IF(D386="pessoal",(E386*H386*I386)/12,(E386*H386*J386)/12))),0)</f>
        <v>0</v>
      </c>
      <c r="L386" s="69">
        <f>IFERROR(K386*12, 0)</f>
        <v>0</v>
      </c>
      <c r="M386" s="69">
        <f>IFERROR(K386*60,0)</f>
        <v>0</v>
      </c>
    </row>
    <row r="387" spans="1:13" s="61" customFormat="1" ht="20.25" hidden="1" customHeight="1" x14ac:dyDescent="0.25">
      <c r="A387" s="67" t="s">
        <v>110</v>
      </c>
      <c r="B387" s="68" t="s">
        <v>294</v>
      </c>
      <c r="C387" s="219" t="s">
        <v>288</v>
      </c>
      <c r="D387" s="219" t="s">
        <v>289</v>
      </c>
      <c r="E387" s="221">
        <v>34</v>
      </c>
      <c r="F387" s="221">
        <v>0</v>
      </c>
      <c r="G387" s="224" t="s">
        <v>290</v>
      </c>
      <c r="H387" s="49">
        <f>VLOOKUP(B387,custoEPI!$B$6:$E$29,4,FALSE)</f>
        <v>0</v>
      </c>
      <c r="I387" s="71">
        <f>SUM($C$382:$M$384)</f>
        <v>0</v>
      </c>
      <c r="J387" s="71">
        <f t="shared" si="84"/>
        <v>0</v>
      </c>
      <c r="K387" s="69">
        <f>IF(C387="mensal",IF(F387&gt;0,F387*H387,IF(D387="descartável",((SUM($C$382:$C$383)/2)+$C$384)*E387*H387,IF(D387="pessoal",E387*H387*I387,E387*H387*J387))),0)+IF(C387="trimestral",IF(F387&gt;0,F387*H387/3,IF(D387="descartável",(((SUM($C$382:$C$383)/2)+$C$384)*E387*H387)/3,IF(D387="pessoal",(E387*H387*I387)/3,(E387*H387*J387)/3))),0)+IF(C387="semestral",IF(F387&gt;0,F387*H387/6,IF(D387="descartável",(((SUM($C$382:$C$383)/2)+$C$384)*E387*H387)/6,IF(D387="pessoal",(E387*H387*I387)/6,(E387*H387*J387)/6))),0)+IF(C387="anual",IF(F387&gt;0,F387*H387/12,IF(D387="descartável",(((SUM($C$382:$C$383)/2)+$C$384)*E387*H387)/12,IF(D387="pessoal",(E387*H387*I387)/12,(E387*H387*J387)/12))),0)</f>
        <v>0</v>
      </c>
      <c r="L387" s="69">
        <f t="shared" ref="L387:L402" si="85">IFERROR(K387*12, 0)</f>
        <v>0</v>
      </c>
      <c r="M387" s="69">
        <f t="shared" ref="M387:M402" si="86">IFERROR(K387*60,0)</f>
        <v>0</v>
      </c>
    </row>
    <row r="388" spans="1:13" s="61" customFormat="1" ht="20.25" hidden="1" customHeight="1" x14ac:dyDescent="0.25">
      <c r="A388" s="67"/>
      <c r="B388" s="68"/>
      <c r="C388" s="219"/>
      <c r="D388" s="219"/>
      <c r="E388" s="221"/>
      <c r="F388" s="221"/>
      <c r="G388" s="224" t="s">
        <v>290</v>
      </c>
      <c r="H388" s="49" t="e">
        <f>VLOOKUP(B388,custoEPI!$B$6:$E$29,4,FALSE)</f>
        <v>#N/A</v>
      </c>
      <c r="I388" s="71">
        <f>SUM($C$382:$M$384)</f>
        <v>0</v>
      </c>
      <c r="J388" s="71" t="str">
        <f t="shared" si="84"/>
        <v>sem descrição</v>
      </c>
      <c r="K388" s="69" t="str">
        <f t="shared" ref="K388:K401" si="87">IF(C388="mensal",J388*H388*E388,IF(C388="trimestral",(J388*H388*E388)/3,IF(C388="semestral",(J388*H388*E388)/6,IF(C388="anual",(J388*H388*E388/12),"informar entrega"))))</f>
        <v>informar entrega</v>
      </c>
      <c r="L388" s="69">
        <f t="shared" si="85"/>
        <v>0</v>
      </c>
      <c r="M388" s="69">
        <f t="shared" si="86"/>
        <v>0</v>
      </c>
    </row>
    <row r="389" spans="1:13" s="61" customFormat="1" ht="20.25" hidden="1" customHeight="1" x14ac:dyDescent="0.25">
      <c r="A389" s="67"/>
      <c r="B389" s="68"/>
      <c r="C389" s="219"/>
      <c r="D389" s="219"/>
      <c r="E389" s="222"/>
      <c r="F389" s="222"/>
      <c r="G389" s="224"/>
      <c r="H389" s="70" t="e">
        <f>VLOOKUP(B389,custoEPI!$B$6:$E$29,4,FALSE)</f>
        <v>#N/A</v>
      </c>
      <c r="I389" s="71">
        <f>SUM($C$382:$M$384)</f>
        <v>0</v>
      </c>
      <c r="J389" s="71" t="str">
        <f t="shared" si="84"/>
        <v>sem descrição</v>
      </c>
      <c r="K389" s="69" t="str">
        <f t="shared" si="87"/>
        <v>informar entrega</v>
      </c>
      <c r="L389" s="69">
        <f t="shared" si="85"/>
        <v>0</v>
      </c>
      <c r="M389" s="69">
        <f t="shared" si="86"/>
        <v>0</v>
      </c>
    </row>
    <row r="390" spans="1:13" s="61" customFormat="1" ht="20.25" hidden="1" customHeight="1" x14ac:dyDescent="0.25">
      <c r="A390" s="67" t="s">
        <v>114</v>
      </c>
      <c r="B390" s="68"/>
      <c r="C390" s="219"/>
      <c r="D390" s="219"/>
      <c r="E390" s="222"/>
      <c r="F390" s="222"/>
      <c r="G390" s="224" t="s">
        <v>290</v>
      </c>
      <c r="H390" s="70" t="e">
        <f>VLOOKUP(B390,custoEPI!$B$6:$E$29,4,FALSE)</f>
        <v>#N/A</v>
      </c>
      <c r="I390" s="71"/>
      <c r="J390" s="71" t="str">
        <f t="shared" si="84"/>
        <v>sem descrição</v>
      </c>
      <c r="K390" s="69" t="str">
        <f t="shared" si="87"/>
        <v>informar entrega</v>
      </c>
      <c r="L390" s="69">
        <f t="shared" si="85"/>
        <v>0</v>
      </c>
      <c r="M390" s="69">
        <f t="shared" si="86"/>
        <v>0</v>
      </c>
    </row>
    <row r="391" spans="1:13" s="61" customFormat="1" ht="20.25" hidden="1" customHeight="1" x14ac:dyDescent="0.25">
      <c r="A391" s="67" t="s">
        <v>115</v>
      </c>
      <c r="B391" s="68"/>
      <c r="C391" s="219"/>
      <c r="D391" s="219"/>
      <c r="E391" s="222"/>
      <c r="F391" s="222"/>
      <c r="G391" s="224" t="s">
        <v>290</v>
      </c>
      <c r="H391" s="70" t="e">
        <f>VLOOKUP(B391,custoEPI!$B$6:$E$29,4,FALSE)</f>
        <v>#N/A</v>
      </c>
      <c r="I391" s="71"/>
      <c r="J391" s="71" t="str">
        <f t="shared" si="84"/>
        <v>sem descrição</v>
      </c>
      <c r="K391" s="69" t="str">
        <f t="shared" si="87"/>
        <v>informar entrega</v>
      </c>
      <c r="L391" s="69">
        <f t="shared" si="85"/>
        <v>0</v>
      </c>
      <c r="M391" s="69">
        <f t="shared" si="86"/>
        <v>0</v>
      </c>
    </row>
    <row r="392" spans="1:13" s="61" customFormat="1" ht="20.25" hidden="1" customHeight="1" x14ac:dyDescent="0.25">
      <c r="A392" s="67" t="s">
        <v>116</v>
      </c>
      <c r="B392" s="68"/>
      <c r="C392" s="219"/>
      <c r="D392" s="219"/>
      <c r="E392" s="222"/>
      <c r="F392" s="222"/>
      <c r="G392" s="224" t="s">
        <v>290</v>
      </c>
      <c r="H392" s="70" t="e">
        <f>VLOOKUP(B392,custoEPI!$B$6:$E$29,4,FALSE)</f>
        <v>#N/A</v>
      </c>
      <c r="I392" s="71"/>
      <c r="J392" s="71" t="str">
        <f t="shared" si="84"/>
        <v>sem descrição</v>
      </c>
      <c r="K392" s="69" t="str">
        <f t="shared" si="87"/>
        <v>informar entrega</v>
      </c>
      <c r="L392" s="69">
        <f t="shared" si="85"/>
        <v>0</v>
      </c>
      <c r="M392" s="69">
        <f t="shared" si="86"/>
        <v>0</v>
      </c>
    </row>
    <row r="393" spans="1:13" s="61" customFormat="1" ht="20.25" hidden="1" customHeight="1" x14ac:dyDescent="0.25">
      <c r="A393" s="67" t="s">
        <v>118</v>
      </c>
      <c r="B393" s="68"/>
      <c r="C393" s="219"/>
      <c r="D393" s="219"/>
      <c r="E393" s="222"/>
      <c r="F393" s="222"/>
      <c r="G393" s="224" t="s">
        <v>290</v>
      </c>
      <c r="H393" s="70" t="e">
        <f>VLOOKUP(B393,custoEPI!$B$6:$E$29,4,FALSE)</f>
        <v>#N/A</v>
      </c>
      <c r="I393" s="71"/>
      <c r="J393" s="71" t="str">
        <f t="shared" si="84"/>
        <v>sem descrição</v>
      </c>
      <c r="K393" s="69" t="str">
        <f t="shared" si="87"/>
        <v>informar entrega</v>
      </c>
      <c r="L393" s="69">
        <f t="shared" si="85"/>
        <v>0</v>
      </c>
      <c r="M393" s="69">
        <f t="shared" si="86"/>
        <v>0</v>
      </c>
    </row>
    <row r="394" spans="1:13" s="61" customFormat="1" ht="20.25" hidden="1" customHeight="1" x14ac:dyDescent="0.25">
      <c r="A394" s="67" t="s">
        <v>121</v>
      </c>
      <c r="B394" s="68"/>
      <c r="C394" s="219"/>
      <c r="D394" s="219"/>
      <c r="E394" s="222"/>
      <c r="F394" s="222"/>
      <c r="G394" s="224"/>
      <c r="H394" s="70" t="e">
        <f>VLOOKUP(B394,custoEPI!$B$6:$E$29,4,FALSE)</f>
        <v>#N/A</v>
      </c>
      <c r="I394" s="71"/>
      <c r="J394" s="71" t="str">
        <f t="shared" si="84"/>
        <v>sem descrição</v>
      </c>
      <c r="K394" s="69" t="str">
        <f t="shared" si="87"/>
        <v>informar entrega</v>
      </c>
      <c r="L394" s="69">
        <f t="shared" si="85"/>
        <v>0</v>
      </c>
      <c r="M394" s="69">
        <f t="shared" si="86"/>
        <v>0</v>
      </c>
    </row>
    <row r="395" spans="1:13" s="61" customFormat="1" ht="20.25" hidden="1" customHeight="1" x14ac:dyDescent="0.25">
      <c r="A395" s="67" t="s">
        <v>125</v>
      </c>
      <c r="B395" s="68"/>
      <c r="C395" s="219"/>
      <c r="D395" s="219"/>
      <c r="E395" s="222"/>
      <c r="F395" s="222"/>
      <c r="G395" s="224"/>
      <c r="H395" s="70"/>
      <c r="I395" s="71"/>
      <c r="J395" s="71" t="str">
        <f t="shared" si="84"/>
        <v>sem descrição</v>
      </c>
      <c r="K395" s="69" t="str">
        <f t="shared" si="87"/>
        <v>informar entrega</v>
      </c>
      <c r="L395" s="69">
        <f t="shared" si="85"/>
        <v>0</v>
      </c>
      <c r="M395" s="69">
        <f t="shared" si="86"/>
        <v>0</v>
      </c>
    </row>
    <row r="396" spans="1:13" s="61" customFormat="1" ht="20.25" hidden="1" customHeight="1" x14ac:dyDescent="0.25">
      <c r="A396" s="67" t="s">
        <v>127</v>
      </c>
      <c r="B396" s="68"/>
      <c r="C396" s="219"/>
      <c r="D396" s="219"/>
      <c r="E396" s="222"/>
      <c r="F396" s="222"/>
      <c r="G396" s="224"/>
      <c r="H396" s="70"/>
      <c r="I396" s="70"/>
      <c r="J396" s="71" t="str">
        <f t="shared" si="84"/>
        <v>sem descrição</v>
      </c>
      <c r="K396" s="69" t="str">
        <f t="shared" si="87"/>
        <v>informar entrega</v>
      </c>
      <c r="L396" s="69">
        <f t="shared" si="85"/>
        <v>0</v>
      </c>
      <c r="M396" s="69">
        <f t="shared" si="86"/>
        <v>0</v>
      </c>
    </row>
    <row r="397" spans="1:13" s="61" customFormat="1" ht="20.25" hidden="1" customHeight="1" x14ac:dyDescent="0.25">
      <c r="A397" s="67" t="s">
        <v>129</v>
      </c>
      <c r="B397" s="68"/>
      <c r="C397" s="69"/>
      <c r="D397" s="69"/>
      <c r="E397" s="222"/>
      <c r="F397" s="222"/>
      <c r="G397" s="68"/>
      <c r="H397" s="70"/>
      <c r="I397" s="70"/>
      <c r="J397" s="71" t="str">
        <f t="shared" si="84"/>
        <v>sem descrição</v>
      </c>
      <c r="K397" s="69" t="str">
        <f t="shared" si="87"/>
        <v>informar entrega</v>
      </c>
      <c r="L397" s="69">
        <f t="shared" si="85"/>
        <v>0</v>
      </c>
      <c r="M397" s="69">
        <f t="shared" si="86"/>
        <v>0</v>
      </c>
    </row>
    <row r="398" spans="1:13" s="61" customFormat="1" ht="20.25" hidden="1" customHeight="1" x14ac:dyDescent="0.25">
      <c r="A398" s="67" t="s">
        <v>131</v>
      </c>
      <c r="B398" s="68"/>
      <c r="C398" s="69"/>
      <c r="D398" s="69"/>
      <c r="E398" s="222"/>
      <c r="F398" s="222"/>
      <c r="G398" s="68"/>
      <c r="H398" s="70"/>
      <c r="I398" s="70"/>
      <c r="J398" s="71" t="str">
        <f t="shared" si="84"/>
        <v>sem descrição</v>
      </c>
      <c r="K398" s="69" t="str">
        <f t="shared" si="87"/>
        <v>informar entrega</v>
      </c>
      <c r="L398" s="69">
        <f t="shared" si="85"/>
        <v>0</v>
      </c>
      <c r="M398" s="69">
        <f t="shared" si="86"/>
        <v>0</v>
      </c>
    </row>
    <row r="399" spans="1:13" s="61" customFormat="1" ht="20.25" hidden="1" customHeight="1" x14ac:dyDescent="0.25">
      <c r="A399" s="67" t="s">
        <v>188</v>
      </c>
      <c r="B399" s="68"/>
      <c r="C399" s="69"/>
      <c r="D399" s="69"/>
      <c r="E399" s="222"/>
      <c r="F399" s="222"/>
      <c r="G399" s="68"/>
      <c r="H399" s="70"/>
      <c r="I399" s="70"/>
      <c r="J399" s="71" t="str">
        <f t="shared" si="84"/>
        <v>sem descrição</v>
      </c>
      <c r="K399" s="69" t="str">
        <f t="shared" si="87"/>
        <v>informar entrega</v>
      </c>
      <c r="L399" s="69">
        <f t="shared" si="85"/>
        <v>0</v>
      </c>
      <c r="M399" s="69">
        <f t="shared" si="86"/>
        <v>0</v>
      </c>
    </row>
    <row r="400" spans="1:13" s="61" customFormat="1" ht="20.25" hidden="1" customHeight="1" x14ac:dyDescent="0.25">
      <c r="A400" s="67" t="s">
        <v>192</v>
      </c>
      <c r="B400" s="68"/>
      <c r="C400" s="69"/>
      <c r="D400" s="69"/>
      <c r="E400" s="222"/>
      <c r="F400" s="222"/>
      <c r="G400" s="68"/>
      <c r="H400" s="70"/>
      <c r="I400" s="70"/>
      <c r="J400" s="71" t="str">
        <f t="shared" si="84"/>
        <v>sem descrição</v>
      </c>
      <c r="K400" s="69" t="str">
        <f t="shared" si="87"/>
        <v>informar entrega</v>
      </c>
      <c r="L400" s="69">
        <f t="shared" si="85"/>
        <v>0</v>
      </c>
      <c r="M400" s="69">
        <f t="shared" si="86"/>
        <v>0</v>
      </c>
    </row>
    <row r="401" spans="1:13" s="61" customFormat="1" ht="20.25" hidden="1" customHeight="1" x14ac:dyDescent="0.25">
      <c r="A401" s="67" t="s">
        <v>195</v>
      </c>
      <c r="B401" s="68"/>
      <c r="C401" s="69"/>
      <c r="D401" s="69"/>
      <c r="E401" s="222"/>
      <c r="F401" s="222"/>
      <c r="G401" s="68"/>
      <c r="H401" s="70"/>
      <c r="I401" s="70"/>
      <c r="J401" s="71" t="str">
        <f t="shared" si="84"/>
        <v>sem descrição</v>
      </c>
      <c r="K401" s="69" t="str">
        <f t="shared" si="87"/>
        <v>informar entrega</v>
      </c>
      <c r="L401" s="69">
        <f t="shared" si="85"/>
        <v>0</v>
      </c>
      <c r="M401" s="69">
        <f t="shared" si="86"/>
        <v>0</v>
      </c>
    </row>
    <row r="402" spans="1:13" s="61" customFormat="1" ht="20.25" hidden="1" customHeight="1" x14ac:dyDescent="0.25">
      <c r="A402" s="67" t="s">
        <v>199</v>
      </c>
      <c r="B402" s="68"/>
      <c r="C402" s="69"/>
      <c r="D402" s="69"/>
      <c r="E402" s="222"/>
      <c r="F402" s="222"/>
      <c r="G402" s="68"/>
      <c r="H402" s="70"/>
      <c r="I402" s="70"/>
      <c r="J402" s="71" t="str">
        <f t="shared" si="84"/>
        <v>sem descrição</v>
      </c>
      <c r="K402" s="69" t="str">
        <f>IF(C402="mensal",J402*H402*E402,IF(C402="trimestral",(J402*H402*E402)/3,IF(C402="semestral",(J402*H402*E402)/6,IF(C402="anual",(J402*H402*E402/12),"informar período"))))</f>
        <v>informar período</v>
      </c>
      <c r="L402" s="69">
        <f t="shared" si="85"/>
        <v>0</v>
      </c>
      <c r="M402" s="69">
        <f t="shared" si="86"/>
        <v>0</v>
      </c>
    </row>
    <row r="403" spans="1:13" s="61" customFormat="1" ht="20.25" hidden="1" customHeight="1" x14ac:dyDescent="0.25">
      <c r="A403" s="152" t="s">
        <v>394</v>
      </c>
      <c r="B403" s="147"/>
      <c r="C403" s="234"/>
      <c r="D403" s="147"/>
      <c r="E403" s="147"/>
      <c r="F403" s="147"/>
      <c r="G403" s="147"/>
      <c r="H403" s="147"/>
      <c r="I403" s="139"/>
      <c r="J403" s="155"/>
      <c r="K403" s="156">
        <f>SUM(K386:K402)</f>
        <v>0</v>
      </c>
      <c r="L403" s="157">
        <f>K403*12</f>
        <v>0</v>
      </c>
      <c r="M403" s="158">
        <f>K403*60</f>
        <v>0</v>
      </c>
    </row>
    <row r="404" spans="1:13" s="61" customFormat="1" ht="20.25" hidden="1" customHeight="1" x14ac:dyDescent="0.25">
      <c r="A404" s="152" t="s">
        <v>302</v>
      </c>
      <c r="B404" s="147"/>
      <c r="C404" s="234"/>
      <c r="D404" s="147"/>
      <c r="E404" s="147"/>
      <c r="F404" s="147"/>
      <c r="G404" s="147"/>
      <c r="H404" s="147"/>
      <c r="I404" s="147"/>
      <c r="J404" s="147"/>
      <c r="K404" s="147"/>
      <c r="L404" s="147"/>
      <c r="M404" s="159" t="e">
        <f>K403/SUM(C382:M384)</f>
        <v>#DIV/0!</v>
      </c>
    </row>
    <row r="405" spans="1:13" s="61" customFormat="1" ht="20.25" customHeight="1" x14ac:dyDescent="0.25">
      <c r="A405" s="232" t="s">
        <v>273</v>
      </c>
      <c r="B405" s="143" t="s">
        <v>19</v>
      </c>
      <c r="C405" s="153"/>
      <c r="D405" s="153"/>
      <c r="E405" s="153"/>
      <c r="F405" s="153"/>
      <c r="G405" s="153"/>
      <c r="H405" s="153"/>
      <c r="I405" s="153"/>
      <c r="J405" s="153"/>
      <c r="K405" s="153"/>
      <c r="L405" s="153"/>
      <c r="M405" s="154"/>
    </row>
    <row r="406" spans="1:13" s="61" customFormat="1" ht="20.25" customHeight="1" x14ac:dyDescent="0.25">
      <c r="A406" s="62">
        <v>1</v>
      </c>
      <c r="B406" s="63" t="s">
        <v>274</v>
      </c>
      <c r="C406" s="216" t="str">
        <f>'[1]planilha - proposta'!C55</f>
        <v>Maqueiro</v>
      </c>
      <c r="D406" s="217"/>
      <c r="E406" s="217"/>
      <c r="F406" s="217"/>
      <c r="G406" s="217"/>
      <c r="H406" s="145"/>
      <c r="I406" s="145"/>
      <c r="J406" s="145"/>
      <c r="K406" s="145"/>
      <c r="L406" s="145"/>
      <c r="M406" s="146"/>
    </row>
    <row r="407" spans="1:13" s="61" customFormat="1" ht="20.25" customHeight="1" x14ac:dyDescent="0.25">
      <c r="A407" s="62">
        <v>2</v>
      </c>
      <c r="B407" s="63" t="str">
        <f>'planilha - proposta'!D55</f>
        <v>Maqueiro - 12x36d</v>
      </c>
      <c r="C407" s="216">
        <f>VLOOKUP(B407,'[1]planilha - proposta'!$D$17:$E$62,2,FALSE)</f>
        <v>6</v>
      </c>
      <c r="D407" s="217"/>
      <c r="E407" s="217"/>
      <c r="F407" s="217"/>
      <c r="G407" s="217"/>
      <c r="H407" s="145"/>
      <c r="I407" s="145"/>
      <c r="J407" s="145"/>
      <c r="K407" s="145"/>
      <c r="L407" s="145"/>
      <c r="M407" s="146"/>
    </row>
    <row r="408" spans="1:13" s="61" customFormat="1" ht="20.25" customHeight="1" x14ac:dyDescent="0.25">
      <c r="A408" s="62">
        <v>3</v>
      </c>
      <c r="B408" s="63" t="str">
        <f>'planilha - proposta'!D56</f>
        <v>Maqueiro - 12x36n</v>
      </c>
      <c r="C408" s="216">
        <f>VLOOKUP(B408,'[1]planilha - proposta'!$D$17:$E$62,2,FALSE)</f>
        <v>6</v>
      </c>
      <c r="D408" s="217"/>
      <c r="E408" s="217"/>
      <c r="F408" s="217"/>
      <c r="G408" s="217"/>
      <c r="H408" s="145"/>
      <c r="I408" s="145"/>
      <c r="J408" s="145"/>
      <c r="K408" s="145"/>
      <c r="L408" s="145"/>
      <c r="M408" s="146"/>
    </row>
    <row r="409" spans="1:13" s="61" customFormat="1" ht="20.25" customHeight="1" x14ac:dyDescent="0.25">
      <c r="A409" s="62">
        <v>4</v>
      </c>
      <c r="B409" s="63" t="str">
        <f>'planilha - proposta'!D57</f>
        <v>Maqueiro - 44h</v>
      </c>
      <c r="C409" s="216">
        <f>VLOOKUP(B409,'[1]planilha - proposta'!$D$17:$E$62,2,FALSE)</f>
        <v>2</v>
      </c>
      <c r="D409" s="217"/>
      <c r="E409" s="217"/>
      <c r="F409" s="217"/>
      <c r="G409" s="217"/>
      <c r="H409" s="145"/>
      <c r="I409" s="145"/>
      <c r="J409" s="145"/>
      <c r="K409" s="145"/>
      <c r="L409" s="145"/>
      <c r="M409" s="146"/>
    </row>
    <row r="410" spans="1:13" s="61" customFormat="1" ht="52.5" customHeight="1" x14ac:dyDescent="0.25">
      <c r="A410" s="64" t="s">
        <v>273</v>
      </c>
      <c r="B410" s="65" t="s">
        <v>275</v>
      </c>
      <c r="C410" s="218" t="s">
        <v>276</v>
      </c>
      <c r="D410" s="218" t="s">
        <v>277</v>
      </c>
      <c r="E410" s="218" t="s">
        <v>278</v>
      </c>
      <c r="F410" s="218" t="s">
        <v>303</v>
      </c>
      <c r="G410" s="223" t="s">
        <v>280</v>
      </c>
      <c r="H410" s="65" t="s">
        <v>304</v>
      </c>
      <c r="I410" s="66" t="s">
        <v>305</v>
      </c>
      <c r="J410" s="66" t="s">
        <v>318</v>
      </c>
      <c r="K410" s="65" t="s">
        <v>284</v>
      </c>
      <c r="L410" s="65" t="s">
        <v>285</v>
      </c>
      <c r="M410" s="66" t="s">
        <v>286</v>
      </c>
    </row>
    <row r="411" spans="1:13" s="61" customFormat="1" ht="20.25" customHeight="1" x14ac:dyDescent="0.25">
      <c r="A411" s="67" t="s">
        <v>108</v>
      </c>
      <c r="B411" s="68" t="s">
        <v>287</v>
      </c>
      <c r="C411" s="219" t="s">
        <v>288</v>
      </c>
      <c r="D411" s="219" t="s">
        <v>289</v>
      </c>
      <c r="E411" s="221">
        <f>3*30</f>
        <v>90</v>
      </c>
      <c r="F411" s="221">
        <v>0</v>
      </c>
      <c r="G411" s="224" t="s">
        <v>290</v>
      </c>
      <c r="H411" s="49">
        <f>VLOOKUP(B411,custoEPI!$B$6:$E$29,4,FALSE)</f>
        <v>0</v>
      </c>
      <c r="I411" s="71">
        <f t="shared" ref="I411:I418" si="88">SUM($C$407:$M$409)</f>
        <v>14</v>
      </c>
      <c r="J411" s="71">
        <f t="shared" ref="J411:J427" si="89">IF(B411="","sem descrição",IF($C$407&gt;=$C$408,IF($C$409&gt;0,$C$407/2+$C$409,$C$407/2),IF($C$409&gt;0,$C$408/5+$C$409,$C$409)))</f>
        <v>5</v>
      </c>
      <c r="K411" s="69">
        <f>IF(C411="mensal",IF(F411&gt;0,F411*H411,IF(D411="descartável",((SUM($C$407:$C$408)/2)+$C$409)*E411*H411,IF(D411="pessoal",E411*H411*I411,E411*H411*J411))),0)+IF(C411="trimestral",IF(F411&gt;0,F411*H411/3,IF(D411="descartável",(((SUM($C$407:$C$408)/2)+$C$409)*E411*H411)/3,IF(D411="pessoal",(E411*H411*I411)/3,(E411*H411*J411)/3))),0)+IF(C411="semestral",IF(F411&gt;0,F411*H411/6,IF(D411="descartável",(((SUM($C$407:$C$408)/2)+$C$409)*E411*H411)/6,IF(D411="pessoal",(E411*H411*I411)/6,(E411*H411*J411)/6))),0)+IF(C411="anual",IF(F411&gt;0,F411*H411/12,IF(D411="descartável",(((SUM($C$407:$C$408)/2)+$C$409)*E411*H411)/12,IF(D411="pessoal",(E411*H411*I411)/12,(E411*H411*J411)/12))),0)</f>
        <v>0</v>
      </c>
      <c r="L411" s="69">
        <f>IFERROR(K411*12, 0)</f>
        <v>0</v>
      </c>
      <c r="M411" s="69">
        <f>IFERROR(K411*60,0)</f>
        <v>0</v>
      </c>
    </row>
    <row r="412" spans="1:13" s="61" customFormat="1" ht="20.25" customHeight="1" x14ac:dyDescent="0.25">
      <c r="A412" s="67" t="s">
        <v>110</v>
      </c>
      <c r="B412" s="68" t="s">
        <v>291</v>
      </c>
      <c r="C412" s="219" t="s">
        <v>288</v>
      </c>
      <c r="D412" s="219" t="s">
        <v>289</v>
      </c>
      <c r="E412" s="221">
        <f>2</f>
        <v>2</v>
      </c>
      <c r="F412" s="221">
        <v>0</v>
      </c>
      <c r="G412" s="224" t="s">
        <v>290</v>
      </c>
      <c r="H412" s="49">
        <f>VLOOKUP(B412,custoEPI!$B$6:$E$29,4,FALSE)</f>
        <v>0</v>
      </c>
      <c r="I412" s="71">
        <f t="shared" si="88"/>
        <v>14</v>
      </c>
      <c r="J412" s="71">
        <f t="shared" si="89"/>
        <v>5</v>
      </c>
      <c r="K412" s="69">
        <f t="shared" ref="K412:K418" si="90">IF(C412="mensal",IF(F412&gt;0,F412*H412,IF(D412="descartável",((SUM($C$407:$C$408)/2)+$C$409)*E412*H412,IF(D412="pessoal",E412*H412*I412,E412*H412*J412))),0)+IF(C412="trimestral",IF(F412&gt;0,F412*H412/3,IF(D412="descartável",(((SUM($C$407:$C$408)/2)+$C$409)*E412*H412)/3,IF(D412="pessoal",(E412*H412*I412)/3,(E412*H412*J412)/3))),0)+IF(C412="semestral",IF(F412&gt;0,F412*H412/6,IF(D412="descartável",(((SUM($C$407:$C$408)/2)+$C$409)*E412*H412)/6,IF(D412="pessoal",(E412*H412*I412)/6,(E412*H412*J412)/6))),0)+IF(C412="anual",IF(F412&gt;0,F412*H412/12,IF(D412="descartável",(((SUM($C$407:$C$408)/2)+$C$409)*E412*H412)/12,IF(D412="pessoal",(E412*H412*I412)/12,(E412*H412*J412)/12))),0)</f>
        <v>0</v>
      </c>
      <c r="L412" s="69">
        <f t="shared" ref="L412:L427" si="91">IFERROR(K412*12, 0)</f>
        <v>0</v>
      </c>
      <c r="M412" s="69">
        <f t="shared" ref="M412:M427" si="92">IFERROR(K412*60,0)</f>
        <v>0</v>
      </c>
    </row>
    <row r="413" spans="1:13" s="61" customFormat="1" ht="20.25" customHeight="1" x14ac:dyDescent="0.25">
      <c r="A413" s="67" t="s">
        <v>111</v>
      </c>
      <c r="B413" s="68" t="s">
        <v>293</v>
      </c>
      <c r="C413" s="219" t="s">
        <v>288</v>
      </c>
      <c r="D413" s="219" t="s">
        <v>289</v>
      </c>
      <c r="E413" s="221">
        <v>500</v>
      </c>
      <c r="F413" s="221">
        <v>0</v>
      </c>
      <c r="G413" s="224" t="s">
        <v>290</v>
      </c>
      <c r="H413" s="49">
        <f>VLOOKUP(B413,custoEPI!$B$6:$E$29,4,FALSE)</f>
        <v>0</v>
      </c>
      <c r="I413" s="71">
        <f t="shared" si="88"/>
        <v>14</v>
      </c>
      <c r="J413" s="71">
        <f t="shared" si="89"/>
        <v>5</v>
      </c>
      <c r="K413" s="69">
        <f t="shared" si="90"/>
        <v>0</v>
      </c>
      <c r="L413" s="69">
        <f t="shared" si="91"/>
        <v>0</v>
      </c>
      <c r="M413" s="69">
        <f t="shared" si="92"/>
        <v>0</v>
      </c>
    </row>
    <row r="414" spans="1:13" s="61" customFormat="1" ht="20.25" customHeight="1" x14ac:dyDescent="0.25">
      <c r="A414" s="67" t="s">
        <v>113</v>
      </c>
      <c r="B414" s="68" t="s">
        <v>329</v>
      </c>
      <c r="C414" s="219" t="s">
        <v>288</v>
      </c>
      <c r="D414" s="219" t="s">
        <v>310</v>
      </c>
      <c r="E414" s="221">
        <v>0</v>
      </c>
      <c r="F414" s="221">
        <v>2</v>
      </c>
      <c r="G414" s="224" t="s">
        <v>290</v>
      </c>
      <c r="H414" s="49">
        <f>VLOOKUP(B414,custoEPI!$B$6:$E$29,4,FALSE)</f>
        <v>0</v>
      </c>
      <c r="I414" s="71">
        <f t="shared" si="88"/>
        <v>14</v>
      </c>
      <c r="J414" s="71">
        <f t="shared" si="89"/>
        <v>5</v>
      </c>
      <c r="K414" s="69">
        <f t="shared" si="90"/>
        <v>0</v>
      </c>
      <c r="L414" s="69">
        <f t="shared" si="91"/>
        <v>0</v>
      </c>
      <c r="M414" s="69">
        <f t="shared" si="92"/>
        <v>0</v>
      </c>
    </row>
    <row r="415" spans="1:13" s="61" customFormat="1" ht="20.25" customHeight="1" x14ac:dyDescent="0.25">
      <c r="A415" s="67" t="s">
        <v>114</v>
      </c>
      <c r="B415" s="68" t="s">
        <v>294</v>
      </c>
      <c r="C415" s="219" t="s">
        <v>288</v>
      </c>
      <c r="D415" s="219" t="s">
        <v>289</v>
      </c>
      <c r="E415" s="221">
        <v>2</v>
      </c>
      <c r="F415" s="221">
        <v>0</v>
      </c>
      <c r="G415" s="224" t="s">
        <v>290</v>
      </c>
      <c r="H415" s="49">
        <f>VLOOKUP(B415,custoEPI!$B$6:$E$29,4,FALSE)</f>
        <v>0</v>
      </c>
      <c r="I415" s="71">
        <f t="shared" si="88"/>
        <v>14</v>
      </c>
      <c r="J415" s="71">
        <f t="shared" si="89"/>
        <v>5</v>
      </c>
      <c r="K415" s="69">
        <f t="shared" si="90"/>
        <v>0</v>
      </c>
      <c r="L415" s="69">
        <f t="shared" si="91"/>
        <v>0</v>
      </c>
      <c r="M415" s="69">
        <f t="shared" si="92"/>
        <v>0</v>
      </c>
    </row>
    <row r="416" spans="1:13" s="61" customFormat="1" ht="20.25" customHeight="1" x14ac:dyDescent="0.25">
      <c r="A416" s="67" t="s">
        <v>115</v>
      </c>
      <c r="B416" s="68" t="s">
        <v>307</v>
      </c>
      <c r="C416" s="219" t="s">
        <v>300</v>
      </c>
      <c r="D416" s="219" t="s">
        <v>292</v>
      </c>
      <c r="E416" s="221">
        <v>1</v>
      </c>
      <c r="F416" s="221">
        <v>0</v>
      </c>
      <c r="G416" s="224" t="s">
        <v>290</v>
      </c>
      <c r="H416" s="49">
        <f>VLOOKUP(B416,custoEPI!$B$6:$E$29,4,FALSE)</f>
        <v>0</v>
      </c>
      <c r="I416" s="71">
        <f t="shared" si="88"/>
        <v>14</v>
      </c>
      <c r="J416" s="71">
        <f t="shared" si="89"/>
        <v>5</v>
      </c>
      <c r="K416" s="69">
        <f t="shared" si="90"/>
        <v>0</v>
      </c>
      <c r="L416" s="69">
        <f t="shared" si="91"/>
        <v>0</v>
      </c>
      <c r="M416" s="69">
        <f t="shared" si="92"/>
        <v>0</v>
      </c>
    </row>
    <row r="417" spans="1:13" s="61" customFormat="1" ht="20.25" customHeight="1" x14ac:dyDescent="0.25">
      <c r="A417" s="67" t="s">
        <v>116</v>
      </c>
      <c r="B417" s="68" t="s">
        <v>295</v>
      </c>
      <c r="C417" s="219" t="s">
        <v>296</v>
      </c>
      <c r="D417" s="219" t="s">
        <v>292</v>
      </c>
      <c r="E417" s="221">
        <v>1</v>
      </c>
      <c r="F417" s="221">
        <v>0</v>
      </c>
      <c r="G417" s="224" t="s">
        <v>290</v>
      </c>
      <c r="H417" s="49">
        <f>VLOOKUP(B417,custoEPI!$B$6:$E$29,4,FALSE)</f>
        <v>0</v>
      </c>
      <c r="I417" s="71">
        <f t="shared" si="88"/>
        <v>14</v>
      </c>
      <c r="J417" s="71">
        <f t="shared" si="89"/>
        <v>5</v>
      </c>
      <c r="K417" s="69">
        <f t="shared" si="90"/>
        <v>0</v>
      </c>
      <c r="L417" s="69">
        <f t="shared" si="91"/>
        <v>0</v>
      </c>
      <c r="M417" s="69">
        <f t="shared" si="92"/>
        <v>0</v>
      </c>
    </row>
    <row r="418" spans="1:13" s="61" customFormat="1" ht="20.25" customHeight="1" x14ac:dyDescent="0.25">
      <c r="A418" s="67" t="s">
        <v>118</v>
      </c>
      <c r="B418" s="68" t="s">
        <v>299</v>
      </c>
      <c r="C418" s="219" t="s">
        <v>300</v>
      </c>
      <c r="D418" s="219" t="s">
        <v>292</v>
      </c>
      <c r="E418" s="221">
        <v>2</v>
      </c>
      <c r="F418" s="221">
        <v>0</v>
      </c>
      <c r="G418" s="224" t="s">
        <v>290</v>
      </c>
      <c r="H418" s="49">
        <f>VLOOKUP(B418,custoEPI!$B$6:$E$29,4,FALSE)</f>
        <v>0</v>
      </c>
      <c r="I418" s="71">
        <f t="shared" si="88"/>
        <v>14</v>
      </c>
      <c r="J418" s="71">
        <f t="shared" si="89"/>
        <v>5</v>
      </c>
      <c r="K418" s="69">
        <f t="shared" si="90"/>
        <v>0</v>
      </c>
      <c r="L418" s="69">
        <f t="shared" si="91"/>
        <v>0</v>
      </c>
      <c r="M418" s="69">
        <f t="shared" si="92"/>
        <v>0</v>
      </c>
    </row>
    <row r="419" spans="1:13" s="61" customFormat="1" ht="20.25" hidden="1" customHeight="1" x14ac:dyDescent="0.25">
      <c r="A419" s="67" t="s">
        <v>121</v>
      </c>
      <c r="B419" s="68"/>
      <c r="C419" s="219"/>
      <c r="D419" s="219"/>
      <c r="E419" s="222"/>
      <c r="F419" s="222"/>
      <c r="G419" s="224"/>
      <c r="H419" s="70" t="e">
        <f>VLOOKUP(B419,custoEPI!$B$6:$E$29,4,FALSE)</f>
        <v>#N/A</v>
      </c>
      <c r="I419" s="71"/>
      <c r="J419" s="71" t="str">
        <f t="shared" si="89"/>
        <v>sem descrição</v>
      </c>
      <c r="K419" s="69" t="str">
        <f t="shared" ref="K419:K426" si="93">IF(C419="mensal",J419*H419*E419,IF(C419="trimestral",(J419*H419*E419)/3,IF(C419="semestral",(J419*H419*E419)/6,IF(C419="anual",(J419*H419*E419/12),"informar entrega"))))</f>
        <v>informar entrega</v>
      </c>
      <c r="L419" s="69">
        <f t="shared" si="91"/>
        <v>0</v>
      </c>
      <c r="M419" s="69">
        <f t="shared" si="92"/>
        <v>0</v>
      </c>
    </row>
    <row r="420" spans="1:13" s="61" customFormat="1" ht="20.25" hidden="1" customHeight="1" x14ac:dyDescent="0.25">
      <c r="A420" s="67" t="s">
        <v>125</v>
      </c>
      <c r="B420" s="68"/>
      <c r="C420" s="219"/>
      <c r="D420" s="219"/>
      <c r="E420" s="222"/>
      <c r="F420" s="222"/>
      <c r="G420" s="224"/>
      <c r="H420" s="70"/>
      <c r="I420" s="71"/>
      <c r="J420" s="71" t="str">
        <f t="shared" si="89"/>
        <v>sem descrição</v>
      </c>
      <c r="K420" s="69" t="str">
        <f t="shared" si="93"/>
        <v>informar entrega</v>
      </c>
      <c r="L420" s="69">
        <f t="shared" si="91"/>
        <v>0</v>
      </c>
      <c r="M420" s="69">
        <f t="shared" si="92"/>
        <v>0</v>
      </c>
    </row>
    <row r="421" spans="1:13" s="61" customFormat="1" ht="20.25" hidden="1" customHeight="1" x14ac:dyDescent="0.25">
      <c r="A421" s="67" t="s">
        <v>127</v>
      </c>
      <c r="B421" s="68"/>
      <c r="C421" s="219"/>
      <c r="D421" s="219"/>
      <c r="E421" s="222"/>
      <c r="F421" s="222"/>
      <c r="G421" s="224"/>
      <c r="H421" s="70"/>
      <c r="I421" s="70"/>
      <c r="J421" s="71" t="str">
        <f t="shared" si="89"/>
        <v>sem descrição</v>
      </c>
      <c r="K421" s="69" t="str">
        <f t="shared" si="93"/>
        <v>informar entrega</v>
      </c>
      <c r="L421" s="69">
        <f t="shared" si="91"/>
        <v>0</v>
      </c>
      <c r="M421" s="69">
        <f t="shared" si="92"/>
        <v>0</v>
      </c>
    </row>
    <row r="422" spans="1:13" s="61" customFormat="1" ht="20.25" hidden="1" customHeight="1" x14ac:dyDescent="0.25">
      <c r="A422" s="67" t="s">
        <v>129</v>
      </c>
      <c r="B422" s="68"/>
      <c r="C422" s="69"/>
      <c r="D422" s="69"/>
      <c r="E422" s="222"/>
      <c r="F422" s="222"/>
      <c r="G422" s="68"/>
      <c r="H422" s="70"/>
      <c r="I422" s="70"/>
      <c r="J422" s="71" t="str">
        <f t="shared" si="89"/>
        <v>sem descrição</v>
      </c>
      <c r="K422" s="69" t="str">
        <f t="shared" si="93"/>
        <v>informar entrega</v>
      </c>
      <c r="L422" s="69">
        <f t="shared" si="91"/>
        <v>0</v>
      </c>
      <c r="M422" s="69">
        <f t="shared" si="92"/>
        <v>0</v>
      </c>
    </row>
    <row r="423" spans="1:13" s="61" customFormat="1" ht="20.25" hidden="1" customHeight="1" x14ac:dyDescent="0.25">
      <c r="A423" s="67" t="s">
        <v>131</v>
      </c>
      <c r="B423" s="68"/>
      <c r="C423" s="69"/>
      <c r="D423" s="69"/>
      <c r="E423" s="222"/>
      <c r="F423" s="222"/>
      <c r="G423" s="68"/>
      <c r="H423" s="70"/>
      <c r="I423" s="70"/>
      <c r="J423" s="71" t="str">
        <f t="shared" si="89"/>
        <v>sem descrição</v>
      </c>
      <c r="K423" s="69" t="str">
        <f t="shared" si="93"/>
        <v>informar entrega</v>
      </c>
      <c r="L423" s="69">
        <f t="shared" si="91"/>
        <v>0</v>
      </c>
      <c r="M423" s="69">
        <f t="shared" si="92"/>
        <v>0</v>
      </c>
    </row>
    <row r="424" spans="1:13" s="61" customFormat="1" ht="20.25" hidden="1" customHeight="1" x14ac:dyDescent="0.25">
      <c r="A424" s="67" t="s">
        <v>188</v>
      </c>
      <c r="B424" s="68"/>
      <c r="C424" s="69"/>
      <c r="D424" s="69"/>
      <c r="E424" s="222"/>
      <c r="F424" s="222"/>
      <c r="G424" s="68"/>
      <c r="H424" s="70"/>
      <c r="I424" s="70"/>
      <c r="J424" s="71" t="str">
        <f t="shared" si="89"/>
        <v>sem descrição</v>
      </c>
      <c r="K424" s="69" t="str">
        <f t="shared" si="93"/>
        <v>informar entrega</v>
      </c>
      <c r="L424" s="69">
        <f t="shared" si="91"/>
        <v>0</v>
      </c>
      <c r="M424" s="69">
        <f t="shared" si="92"/>
        <v>0</v>
      </c>
    </row>
    <row r="425" spans="1:13" s="61" customFormat="1" ht="20.25" hidden="1" customHeight="1" x14ac:dyDescent="0.25">
      <c r="A425" s="67" t="s">
        <v>192</v>
      </c>
      <c r="B425" s="68"/>
      <c r="C425" s="69"/>
      <c r="D425" s="69"/>
      <c r="E425" s="222"/>
      <c r="F425" s="222"/>
      <c r="G425" s="68"/>
      <c r="H425" s="70"/>
      <c r="I425" s="70"/>
      <c r="J425" s="71" t="str">
        <f t="shared" si="89"/>
        <v>sem descrição</v>
      </c>
      <c r="K425" s="69" t="str">
        <f t="shared" si="93"/>
        <v>informar entrega</v>
      </c>
      <c r="L425" s="69">
        <f t="shared" si="91"/>
        <v>0</v>
      </c>
      <c r="M425" s="69">
        <f t="shared" si="92"/>
        <v>0</v>
      </c>
    </row>
    <row r="426" spans="1:13" s="61" customFormat="1" ht="20.25" hidden="1" customHeight="1" x14ac:dyDescent="0.25">
      <c r="A426" s="67" t="s">
        <v>195</v>
      </c>
      <c r="B426" s="68"/>
      <c r="C426" s="69"/>
      <c r="D426" s="69"/>
      <c r="E426" s="222"/>
      <c r="F426" s="222"/>
      <c r="G426" s="68"/>
      <c r="H426" s="70"/>
      <c r="I426" s="70"/>
      <c r="J426" s="71" t="str">
        <f t="shared" si="89"/>
        <v>sem descrição</v>
      </c>
      <c r="K426" s="69" t="str">
        <f t="shared" si="93"/>
        <v>informar entrega</v>
      </c>
      <c r="L426" s="69">
        <f t="shared" si="91"/>
        <v>0</v>
      </c>
      <c r="M426" s="69">
        <f t="shared" si="92"/>
        <v>0</v>
      </c>
    </row>
    <row r="427" spans="1:13" s="61" customFormat="1" ht="20.25" hidden="1" customHeight="1" x14ac:dyDescent="0.25">
      <c r="A427" s="67" t="s">
        <v>199</v>
      </c>
      <c r="B427" s="68"/>
      <c r="C427" s="69"/>
      <c r="D427" s="69"/>
      <c r="E427" s="222"/>
      <c r="F427" s="222"/>
      <c r="G427" s="68"/>
      <c r="H427" s="70"/>
      <c r="I427" s="70"/>
      <c r="J427" s="71" t="str">
        <f t="shared" si="89"/>
        <v>sem descrição</v>
      </c>
      <c r="K427" s="69" t="str">
        <f>IF(C427="mensal",J427*H427*E427,IF(C427="trimestral",(J427*H427*E427)/3,IF(C427="semestral",(J427*H427*E427)/6,IF(C427="anual",(J427*H427*E427/12),"informar período"))))</f>
        <v>informar período</v>
      </c>
      <c r="L427" s="69">
        <f t="shared" si="91"/>
        <v>0</v>
      </c>
      <c r="M427" s="69">
        <f t="shared" si="92"/>
        <v>0</v>
      </c>
    </row>
    <row r="428" spans="1:13" s="61" customFormat="1" ht="20.25" customHeight="1" x14ac:dyDescent="0.25">
      <c r="A428" s="152" t="s">
        <v>320</v>
      </c>
      <c r="B428" s="147"/>
      <c r="C428" s="147"/>
      <c r="D428" s="147"/>
      <c r="E428" s="147"/>
      <c r="F428" s="147"/>
      <c r="G428" s="147"/>
      <c r="H428" s="147"/>
      <c r="I428" s="139"/>
      <c r="J428" s="155"/>
      <c r="K428" s="156">
        <f>SUM(K411:K427)</f>
        <v>0</v>
      </c>
      <c r="L428" s="157">
        <f>K428*12</f>
        <v>0</v>
      </c>
      <c r="M428" s="158">
        <f>K428*60</f>
        <v>0</v>
      </c>
    </row>
    <row r="429" spans="1:13" s="61" customFormat="1" ht="20.25" customHeight="1" x14ac:dyDescent="0.25">
      <c r="A429" s="152" t="s">
        <v>302</v>
      </c>
      <c r="B429" s="147"/>
      <c r="C429" s="147"/>
      <c r="D429" s="147"/>
      <c r="E429" s="147"/>
      <c r="F429" s="147"/>
      <c r="G429" s="147"/>
      <c r="H429" s="147"/>
      <c r="I429" s="147"/>
      <c r="J429" s="147"/>
      <c r="K429" s="147"/>
      <c r="L429" s="147"/>
      <c r="M429" s="159">
        <f>K428/SUM(C407:M409)</f>
        <v>0</v>
      </c>
    </row>
    <row r="430" spans="1:13" s="61" customFormat="1" ht="20.25" customHeight="1" x14ac:dyDescent="0.25">
      <c r="A430" s="232" t="s">
        <v>273</v>
      </c>
      <c r="B430" s="143" t="s">
        <v>19</v>
      </c>
      <c r="C430" s="153"/>
      <c r="D430" s="153"/>
      <c r="E430" s="153"/>
      <c r="F430" s="153"/>
      <c r="G430" s="153"/>
      <c r="H430" s="153"/>
      <c r="I430" s="153"/>
      <c r="J430" s="153"/>
      <c r="K430" s="153"/>
      <c r="L430" s="153"/>
      <c r="M430" s="154"/>
    </row>
    <row r="431" spans="1:13" s="61" customFormat="1" ht="20.25" customHeight="1" x14ac:dyDescent="0.25">
      <c r="A431" s="62">
        <v>1</v>
      </c>
      <c r="B431" s="63" t="s">
        <v>274</v>
      </c>
      <c r="C431" s="216" t="str">
        <f>'[1]planilha - proposta'!C58</f>
        <v>Motorista</v>
      </c>
      <c r="D431" s="217"/>
      <c r="E431" s="217"/>
      <c r="F431" s="217"/>
      <c r="G431" s="217"/>
      <c r="H431" s="145"/>
      <c r="I431" s="145"/>
      <c r="J431" s="145"/>
      <c r="K431" s="145"/>
      <c r="L431" s="145"/>
      <c r="M431" s="146"/>
    </row>
    <row r="432" spans="1:13" s="61" customFormat="1" ht="20.25" hidden="1" customHeight="1" x14ac:dyDescent="0.25">
      <c r="A432" s="62"/>
      <c r="B432" s="63"/>
      <c r="C432" s="216"/>
      <c r="D432" s="217"/>
      <c r="E432" s="217"/>
      <c r="F432" s="217"/>
      <c r="G432" s="217"/>
      <c r="H432" s="145"/>
      <c r="I432" s="145"/>
      <c r="J432" s="145"/>
      <c r="K432" s="145"/>
      <c r="L432" s="145"/>
      <c r="M432" s="146"/>
    </row>
    <row r="433" spans="1:13" s="61" customFormat="1" ht="20.25" hidden="1" customHeight="1" x14ac:dyDescent="0.25">
      <c r="A433" s="62"/>
      <c r="B433" s="63"/>
      <c r="C433" s="213"/>
      <c r="D433" s="214"/>
      <c r="E433" s="214"/>
      <c r="F433" s="214"/>
      <c r="G433" s="214"/>
      <c r="H433" s="148"/>
      <c r="I433" s="148"/>
      <c r="J433" s="148"/>
      <c r="K433" s="148"/>
      <c r="L433" s="148"/>
      <c r="M433" s="149"/>
    </row>
    <row r="434" spans="1:13" s="61" customFormat="1" ht="20.25" customHeight="1" x14ac:dyDescent="0.25">
      <c r="A434" s="62">
        <v>2</v>
      </c>
      <c r="B434" s="63" t="str">
        <f>'planilha - proposta'!D58</f>
        <v>Motorista - 44h</v>
      </c>
      <c r="C434" s="216">
        <f>VLOOKUP(B434,'[1]planilha - proposta'!$D$17:$E$62,2,FALSE)</f>
        <v>2</v>
      </c>
      <c r="D434" s="217"/>
      <c r="E434" s="217"/>
      <c r="F434" s="217"/>
      <c r="G434" s="217"/>
      <c r="H434" s="145"/>
      <c r="I434" s="145"/>
      <c r="J434" s="145"/>
      <c r="K434" s="145"/>
      <c r="L434" s="145"/>
      <c r="M434" s="146"/>
    </row>
    <row r="435" spans="1:13" s="61" customFormat="1" ht="52.5" customHeight="1" x14ac:dyDescent="0.25">
      <c r="A435" s="64" t="s">
        <v>273</v>
      </c>
      <c r="B435" s="65" t="s">
        <v>275</v>
      </c>
      <c r="C435" s="218" t="s">
        <v>276</v>
      </c>
      <c r="D435" s="218" t="s">
        <v>277</v>
      </c>
      <c r="E435" s="218" t="s">
        <v>278</v>
      </c>
      <c r="F435" s="218" t="s">
        <v>303</v>
      </c>
      <c r="G435" s="223" t="s">
        <v>280</v>
      </c>
      <c r="H435" s="65" t="s">
        <v>304</v>
      </c>
      <c r="I435" s="66" t="s">
        <v>305</v>
      </c>
      <c r="J435" s="66" t="s">
        <v>318</v>
      </c>
      <c r="K435" s="65" t="s">
        <v>284</v>
      </c>
      <c r="L435" s="65" t="s">
        <v>285</v>
      </c>
      <c r="M435" s="66" t="s">
        <v>286</v>
      </c>
    </row>
    <row r="436" spans="1:13" s="61" customFormat="1" ht="20.25" customHeight="1" x14ac:dyDescent="0.25">
      <c r="A436" s="67" t="s">
        <v>108</v>
      </c>
      <c r="B436" s="68" t="s">
        <v>287</v>
      </c>
      <c r="C436" s="219" t="s">
        <v>288</v>
      </c>
      <c r="D436" s="219" t="s">
        <v>289</v>
      </c>
      <c r="E436" s="221">
        <f>3*26</f>
        <v>78</v>
      </c>
      <c r="F436" s="221">
        <v>0</v>
      </c>
      <c r="G436" s="224" t="s">
        <v>290</v>
      </c>
      <c r="H436" s="49">
        <f>VLOOKUP(B436,custoEPI!$B$6:$E$29,4,FALSE)</f>
        <v>0</v>
      </c>
      <c r="I436" s="71">
        <f>SUM($C$432:$M$434)</f>
        <v>2</v>
      </c>
      <c r="J436" s="71">
        <f t="shared" ref="J436:J452" si="94">IF(B436="","sem descrição",IF($C$432&gt;=$C$433,IF($C$434&gt;0,$C$432/2+$C$434,$C$432/2),IF($C$434&gt;0,$C$433/5+$C$434,$C$434)))</f>
        <v>2</v>
      </c>
      <c r="K436" s="69">
        <f>IF(C436="mensal",IF(F436&gt;0,F436*H436,IF(D436="descartável",((SUM($C$432:$C$433)/2)+$C$434)*E436*H436,IF(D436="pessoal",E436*H436*I436,E436*H436*J436))),0)+IF(C436="trimestral",IF(F436&gt;0,F436*H436/3,IF(D436="descartável",(((SUM($C$432:$C$433)/2)+$C$434)*E436*H436)/3,IF(D436="pessoal",(E436*H436*I436)/3,(E436*H436*J436)/3))),0)+IF(C436="semestral",IF(F436&gt;0,F436*H436/6,IF(D436="descartável",(((SUM($C$432:$C$433)/2)+$C$434)*E436*H436)/6,IF(D436="pessoal",(E436*H436*I436)/6,(E436*H436*J436)/6))),0)+IF(C436="anual",IF(F436&gt;0,F436*H436/12,IF(D436="descartável",(((SUM($C$432:$C$433)/2)+$C$434)*E436*H436)/12,IF(D436="pessoal",(E436*H436*I436)/12,(E436*H436*J436)/12))),0)</f>
        <v>0</v>
      </c>
      <c r="L436" s="69">
        <f>IFERROR(K436*12, 0)</f>
        <v>0</v>
      </c>
      <c r="M436" s="69">
        <f>IFERROR(K436*60,0)</f>
        <v>0</v>
      </c>
    </row>
    <row r="437" spans="1:13" s="61" customFormat="1" ht="20.25" hidden="1" customHeight="1" x14ac:dyDescent="0.25">
      <c r="A437" s="67" t="s">
        <v>110</v>
      </c>
      <c r="B437" s="68"/>
      <c r="C437" s="219"/>
      <c r="D437" s="219"/>
      <c r="E437" s="222"/>
      <c r="F437" s="222"/>
      <c r="G437" s="224" t="s">
        <v>290</v>
      </c>
      <c r="H437" s="70" t="e">
        <f>VLOOKUP(B437,custoEPI!$B$6:$E$29,4,FALSE)</f>
        <v>#N/A</v>
      </c>
      <c r="I437" s="71"/>
      <c r="J437" s="71" t="str">
        <f t="shared" si="94"/>
        <v>sem descrição</v>
      </c>
      <c r="K437" s="69" t="str">
        <f t="shared" ref="K437:K451" si="95">IF(C437="mensal",J437*H437*E437,IF(C437="trimestral",(J437*H437*E437)/3,IF(C437="semestral",(J437*H437*E437)/6,IF(C437="anual",(J437*H437*E437/12),"informar entrega"))))</f>
        <v>informar entrega</v>
      </c>
      <c r="L437" s="69">
        <f t="shared" ref="L437:L452" si="96">IFERROR(K437*12, 0)</f>
        <v>0</v>
      </c>
      <c r="M437" s="69">
        <f t="shared" ref="M437:M452" si="97">IFERROR(K437*60,0)</f>
        <v>0</v>
      </c>
    </row>
    <row r="438" spans="1:13" s="61" customFormat="1" ht="20.25" hidden="1" customHeight="1" x14ac:dyDescent="0.25">
      <c r="A438" s="67" t="s">
        <v>111</v>
      </c>
      <c r="B438" s="68"/>
      <c r="C438" s="219"/>
      <c r="D438" s="219"/>
      <c r="E438" s="222"/>
      <c r="F438" s="222"/>
      <c r="G438" s="224" t="s">
        <v>290</v>
      </c>
      <c r="H438" s="70" t="e">
        <f>VLOOKUP(B438,custoEPI!$B$6:$E$29,4,FALSE)</f>
        <v>#N/A</v>
      </c>
      <c r="I438" s="71"/>
      <c r="J438" s="71" t="str">
        <f t="shared" si="94"/>
        <v>sem descrição</v>
      </c>
      <c r="K438" s="69" t="str">
        <f t="shared" si="95"/>
        <v>informar entrega</v>
      </c>
      <c r="L438" s="69">
        <f t="shared" si="96"/>
        <v>0</v>
      </c>
      <c r="M438" s="69">
        <f t="shared" si="97"/>
        <v>0</v>
      </c>
    </row>
    <row r="439" spans="1:13" s="61" customFormat="1" ht="20.25" hidden="1" customHeight="1" x14ac:dyDescent="0.25">
      <c r="A439" s="67" t="s">
        <v>113</v>
      </c>
      <c r="B439" s="68"/>
      <c r="C439" s="219"/>
      <c r="D439" s="219"/>
      <c r="E439" s="222"/>
      <c r="F439" s="222"/>
      <c r="G439" s="224" t="s">
        <v>290</v>
      </c>
      <c r="H439" s="70" t="e">
        <f>VLOOKUP(B439,custoEPI!$B$6:$E$29,4,FALSE)</f>
        <v>#N/A</v>
      </c>
      <c r="I439" s="71"/>
      <c r="J439" s="71" t="str">
        <f t="shared" si="94"/>
        <v>sem descrição</v>
      </c>
      <c r="K439" s="69" t="str">
        <f t="shared" si="95"/>
        <v>informar entrega</v>
      </c>
      <c r="L439" s="69">
        <f t="shared" si="96"/>
        <v>0</v>
      </c>
      <c r="M439" s="69">
        <f t="shared" si="97"/>
        <v>0</v>
      </c>
    </row>
    <row r="440" spans="1:13" s="61" customFormat="1" ht="20.25" hidden="1" customHeight="1" x14ac:dyDescent="0.25">
      <c r="A440" s="67" t="s">
        <v>114</v>
      </c>
      <c r="B440" s="68"/>
      <c r="C440" s="219"/>
      <c r="D440" s="219"/>
      <c r="E440" s="222"/>
      <c r="F440" s="222"/>
      <c r="G440" s="224" t="s">
        <v>290</v>
      </c>
      <c r="H440" s="70" t="e">
        <f>VLOOKUP(B440,custoEPI!$B$6:$E$29,4,FALSE)</f>
        <v>#N/A</v>
      </c>
      <c r="I440" s="71"/>
      <c r="J440" s="71" t="str">
        <f t="shared" si="94"/>
        <v>sem descrição</v>
      </c>
      <c r="K440" s="69" t="str">
        <f t="shared" si="95"/>
        <v>informar entrega</v>
      </c>
      <c r="L440" s="69">
        <f t="shared" si="96"/>
        <v>0</v>
      </c>
      <c r="M440" s="69">
        <f t="shared" si="97"/>
        <v>0</v>
      </c>
    </row>
    <row r="441" spans="1:13" s="61" customFormat="1" ht="20.25" hidden="1" customHeight="1" x14ac:dyDescent="0.25">
      <c r="A441" s="67" t="s">
        <v>115</v>
      </c>
      <c r="B441" s="68"/>
      <c r="C441" s="219"/>
      <c r="D441" s="219"/>
      <c r="E441" s="222"/>
      <c r="F441" s="222"/>
      <c r="G441" s="224" t="s">
        <v>290</v>
      </c>
      <c r="H441" s="70" t="e">
        <f>VLOOKUP(B441,custoEPI!$B$6:$E$29,4,FALSE)</f>
        <v>#N/A</v>
      </c>
      <c r="I441" s="71"/>
      <c r="J441" s="71" t="str">
        <f t="shared" si="94"/>
        <v>sem descrição</v>
      </c>
      <c r="K441" s="69" t="str">
        <f t="shared" si="95"/>
        <v>informar entrega</v>
      </c>
      <c r="L441" s="69">
        <f t="shared" si="96"/>
        <v>0</v>
      </c>
      <c r="M441" s="69">
        <f t="shared" si="97"/>
        <v>0</v>
      </c>
    </row>
    <row r="442" spans="1:13" s="61" customFormat="1" ht="20.25" hidden="1" customHeight="1" x14ac:dyDescent="0.25">
      <c r="A442" s="67" t="s">
        <v>116</v>
      </c>
      <c r="B442" s="68"/>
      <c r="C442" s="219"/>
      <c r="D442" s="219"/>
      <c r="E442" s="222"/>
      <c r="F442" s="222"/>
      <c r="G442" s="224" t="s">
        <v>290</v>
      </c>
      <c r="H442" s="70" t="e">
        <f>VLOOKUP(B442,custoEPI!$B$6:$E$29,4,FALSE)</f>
        <v>#N/A</v>
      </c>
      <c r="I442" s="71"/>
      <c r="J442" s="71" t="str">
        <f t="shared" si="94"/>
        <v>sem descrição</v>
      </c>
      <c r="K442" s="69" t="str">
        <f t="shared" si="95"/>
        <v>informar entrega</v>
      </c>
      <c r="L442" s="69">
        <f t="shared" si="96"/>
        <v>0</v>
      </c>
      <c r="M442" s="69">
        <f t="shared" si="97"/>
        <v>0</v>
      </c>
    </row>
    <row r="443" spans="1:13" s="61" customFormat="1" ht="20.25" hidden="1" customHeight="1" x14ac:dyDescent="0.25">
      <c r="A443" s="67" t="s">
        <v>118</v>
      </c>
      <c r="B443" s="68"/>
      <c r="C443" s="219"/>
      <c r="D443" s="219"/>
      <c r="E443" s="222"/>
      <c r="F443" s="222"/>
      <c r="G443" s="224" t="s">
        <v>290</v>
      </c>
      <c r="H443" s="70" t="e">
        <f>VLOOKUP(B443,custoEPI!$B$6:$E$29,4,FALSE)</f>
        <v>#N/A</v>
      </c>
      <c r="I443" s="71"/>
      <c r="J443" s="71" t="str">
        <f t="shared" si="94"/>
        <v>sem descrição</v>
      </c>
      <c r="K443" s="69" t="str">
        <f t="shared" si="95"/>
        <v>informar entrega</v>
      </c>
      <c r="L443" s="69">
        <f t="shared" si="96"/>
        <v>0</v>
      </c>
      <c r="M443" s="69">
        <f t="shared" si="97"/>
        <v>0</v>
      </c>
    </row>
    <row r="444" spans="1:13" s="61" customFormat="1" ht="20.25" hidden="1" customHeight="1" x14ac:dyDescent="0.25">
      <c r="A444" s="67" t="s">
        <v>121</v>
      </c>
      <c r="B444" s="68"/>
      <c r="C444" s="219"/>
      <c r="D444" s="219"/>
      <c r="E444" s="222"/>
      <c r="F444" s="222"/>
      <c r="G444" s="224"/>
      <c r="H444" s="70" t="e">
        <f>VLOOKUP(B444,custoEPI!$B$6:$E$29,4,FALSE)</f>
        <v>#N/A</v>
      </c>
      <c r="I444" s="71"/>
      <c r="J444" s="71" t="str">
        <f t="shared" si="94"/>
        <v>sem descrição</v>
      </c>
      <c r="K444" s="69" t="str">
        <f t="shared" si="95"/>
        <v>informar entrega</v>
      </c>
      <c r="L444" s="69">
        <f t="shared" si="96"/>
        <v>0</v>
      </c>
      <c r="M444" s="69">
        <f t="shared" si="97"/>
        <v>0</v>
      </c>
    </row>
    <row r="445" spans="1:13" s="61" customFormat="1" ht="20.25" hidden="1" customHeight="1" x14ac:dyDescent="0.25">
      <c r="A445" s="67" t="s">
        <v>125</v>
      </c>
      <c r="B445" s="68"/>
      <c r="C445" s="219"/>
      <c r="D445" s="219"/>
      <c r="E445" s="222"/>
      <c r="F445" s="222"/>
      <c r="G445" s="224"/>
      <c r="H445" s="70"/>
      <c r="I445" s="71"/>
      <c r="J445" s="71" t="str">
        <f t="shared" si="94"/>
        <v>sem descrição</v>
      </c>
      <c r="K445" s="69" t="str">
        <f t="shared" si="95"/>
        <v>informar entrega</v>
      </c>
      <c r="L445" s="69">
        <f t="shared" si="96"/>
        <v>0</v>
      </c>
      <c r="M445" s="69">
        <f t="shared" si="97"/>
        <v>0</v>
      </c>
    </row>
    <row r="446" spans="1:13" s="61" customFormat="1" ht="20.25" hidden="1" customHeight="1" x14ac:dyDescent="0.25">
      <c r="A446" s="67" t="s">
        <v>127</v>
      </c>
      <c r="B446" s="68"/>
      <c r="C446" s="219"/>
      <c r="D446" s="219"/>
      <c r="E446" s="222"/>
      <c r="F446" s="222"/>
      <c r="G446" s="224"/>
      <c r="H446" s="70"/>
      <c r="I446" s="70"/>
      <c r="J446" s="71" t="str">
        <f t="shared" si="94"/>
        <v>sem descrição</v>
      </c>
      <c r="K446" s="69" t="str">
        <f t="shared" si="95"/>
        <v>informar entrega</v>
      </c>
      <c r="L446" s="69">
        <f t="shared" si="96"/>
        <v>0</v>
      </c>
      <c r="M446" s="69">
        <f t="shared" si="97"/>
        <v>0</v>
      </c>
    </row>
    <row r="447" spans="1:13" s="61" customFormat="1" ht="20.25" hidden="1" customHeight="1" x14ac:dyDescent="0.25">
      <c r="A447" s="67" t="s">
        <v>129</v>
      </c>
      <c r="B447" s="68"/>
      <c r="C447" s="69"/>
      <c r="D447" s="69"/>
      <c r="E447" s="222"/>
      <c r="F447" s="222"/>
      <c r="G447" s="68"/>
      <c r="H447" s="70"/>
      <c r="I447" s="70"/>
      <c r="J447" s="71" t="str">
        <f t="shared" si="94"/>
        <v>sem descrição</v>
      </c>
      <c r="K447" s="69" t="str">
        <f t="shared" si="95"/>
        <v>informar entrega</v>
      </c>
      <c r="L447" s="69">
        <f t="shared" si="96"/>
        <v>0</v>
      </c>
      <c r="M447" s="69">
        <f t="shared" si="97"/>
        <v>0</v>
      </c>
    </row>
    <row r="448" spans="1:13" s="61" customFormat="1" ht="20.25" hidden="1" customHeight="1" x14ac:dyDescent="0.25">
      <c r="A448" s="67" t="s">
        <v>131</v>
      </c>
      <c r="B448" s="68"/>
      <c r="C448" s="69"/>
      <c r="D448" s="69"/>
      <c r="E448" s="222"/>
      <c r="F448" s="222"/>
      <c r="G448" s="68"/>
      <c r="H448" s="70"/>
      <c r="I448" s="70"/>
      <c r="J448" s="71" t="str">
        <f t="shared" si="94"/>
        <v>sem descrição</v>
      </c>
      <c r="K448" s="69" t="str">
        <f t="shared" si="95"/>
        <v>informar entrega</v>
      </c>
      <c r="L448" s="69">
        <f t="shared" si="96"/>
        <v>0</v>
      </c>
      <c r="M448" s="69">
        <f t="shared" si="97"/>
        <v>0</v>
      </c>
    </row>
    <row r="449" spans="1:13" s="61" customFormat="1" ht="20.25" hidden="1" customHeight="1" x14ac:dyDescent="0.25">
      <c r="A449" s="67" t="s">
        <v>188</v>
      </c>
      <c r="B449" s="68"/>
      <c r="C449" s="69"/>
      <c r="D449" s="69"/>
      <c r="E449" s="222"/>
      <c r="F449" s="222"/>
      <c r="G449" s="68"/>
      <c r="H449" s="70"/>
      <c r="I449" s="70"/>
      <c r="J449" s="71" t="str">
        <f t="shared" si="94"/>
        <v>sem descrição</v>
      </c>
      <c r="K449" s="69" t="str">
        <f t="shared" si="95"/>
        <v>informar entrega</v>
      </c>
      <c r="L449" s="69">
        <f t="shared" si="96"/>
        <v>0</v>
      </c>
      <c r="M449" s="69">
        <f t="shared" si="97"/>
        <v>0</v>
      </c>
    </row>
    <row r="450" spans="1:13" s="61" customFormat="1" ht="20.25" hidden="1" customHeight="1" x14ac:dyDescent="0.25">
      <c r="A450" s="67" t="s">
        <v>192</v>
      </c>
      <c r="B450" s="68"/>
      <c r="C450" s="69"/>
      <c r="D450" s="69"/>
      <c r="E450" s="222"/>
      <c r="F450" s="222"/>
      <c r="G450" s="68"/>
      <c r="H450" s="70"/>
      <c r="I450" s="70"/>
      <c r="J450" s="71" t="str">
        <f t="shared" si="94"/>
        <v>sem descrição</v>
      </c>
      <c r="K450" s="69" t="str">
        <f t="shared" si="95"/>
        <v>informar entrega</v>
      </c>
      <c r="L450" s="69">
        <f t="shared" si="96"/>
        <v>0</v>
      </c>
      <c r="M450" s="69">
        <f t="shared" si="97"/>
        <v>0</v>
      </c>
    </row>
    <row r="451" spans="1:13" s="61" customFormat="1" ht="20.25" hidden="1" customHeight="1" x14ac:dyDescent="0.25">
      <c r="A451" s="67" t="s">
        <v>195</v>
      </c>
      <c r="B451" s="68"/>
      <c r="C451" s="69"/>
      <c r="D451" s="69"/>
      <c r="E451" s="222"/>
      <c r="F451" s="222"/>
      <c r="G451" s="68"/>
      <c r="H451" s="70"/>
      <c r="I451" s="70"/>
      <c r="J451" s="71" t="str">
        <f t="shared" si="94"/>
        <v>sem descrição</v>
      </c>
      <c r="K451" s="69" t="str">
        <f t="shared" si="95"/>
        <v>informar entrega</v>
      </c>
      <c r="L451" s="69">
        <f t="shared" si="96"/>
        <v>0</v>
      </c>
      <c r="M451" s="69">
        <f t="shared" si="97"/>
        <v>0</v>
      </c>
    </row>
    <row r="452" spans="1:13" s="61" customFormat="1" ht="20.25" hidden="1" customHeight="1" x14ac:dyDescent="0.25">
      <c r="A452" s="67" t="s">
        <v>199</v>
      </c>
      <c r="B452" s="68"/>
      <c r="C452" s="69"/>
      <c r="D452" s="69"/>
      <c r="E452" s="222"/>
      <c r="F452" s="222"/>
      <c r="G452" s="68"/>
      <c r="H452" s="70"/>
      <c r="I452" s="70"/>
      <c r="J452" s="71" t="str">
        <f t="shared" si="94"/>
        <v>sem descrição</v>
      </c>
      <c r="K452" s="69" t="str">
        <f>IF(C452="mensal",J452*H452*E452,IF(C452="trimestral",(J452*H452*E452)/3,IF(C452="semestral",(J452*H452*E452)/6,IF(C452="anual",(J452*H452*E452/12),"informar período"))))</f>
        <v>informar período</v>
      </c>
      <c r="L452" s="69">
        <f t="shared" si="96"/>
        <v>0</v>
      </c>
      <c r="M452" s="69">
        <f t="shared" si="97"/>
        <v>0</v>
      </c>
    </row>
    <row r="453" spans="1:13" s="61" customFormat="1" ht="20.25" customHeight="1" x14ac:dyDescent="0.25">
      <c r="A453" s="152" t="s">
        <v>330</v>
      </c>
      <c r="B453" s="147"/>
      <c r="C453" s="147"/>
      <c r="D453" s="147"/>
      <c r="E453" s="147"/>
      <c r="F453" s="147"/>
      <c r="G453" s="147"/>
      <c r="H453" s="147"/>
      <c r="I453" s="139"/>
      <c r="J453" s="155"/>
      <c r="K453" s="156">
        <f>SUM(K436:K452)</f>
        <v>0</v>
      </c>
      <c r="L453" s="157">
        <f>K453*12</f>
        <v>0</v>
      </c>
      <c r="M453" s="158">
        <f>K453*60</f>
        <v>0</v>
      </c>
    </row>
    <row r="454" spans="1:13" s="61" customFormat="1" ht="20.25" customHeight="1" x14ac:dyDescent="0.25">
      <c r="A454" s="152" t="s">
        <v>302</v>
      </c>
      <c r="B454" s="147"/>
      <c r="C454" s="147"/>
      <c r="D454" s="147"/>
      <c r="E454" s="147"/>
      <c r="F454" s="147"/>
      <c r="G454" s="147"/>
      <c r="H454" s="147"/>
      <c r="I454" s="147"/>
      <c r="J454" s="147"/>
      <c r="K454" s="147"/>
      <c r="L454" s="147"/>
      <c r="M454" s="159">
        <f>K453/SUM(C432:M434)</f>
        <v>0</v>
      </c>
    </row>
    <row r="455" spans="1:13" s="61" customFormat="1" ht="20.25" customHeight="1" x14ac:dyDescent="0.25">
      <c r="A455" s="232" t="s">
        <v>273</v>
      </c>
      <c r="B455" s="143" t="s">
        <v>19</v>
      </c>
      <c r="C455" s="153"/>
      <c r="D455" s="153"/>
      <c r="E455" s="153"/>
      <c r="F455" s="153"/>
      <c r="G455" s="153"/>
      <c r="H455" s="153"/>
      <c r="I455" s="153"/>
      <c r="J455" s="153"/>
      <c r="K455" s="153"/>
      <c r="L455" s="153"/>
      <c r="M455" s="154"/>
    </row>
    <row r="456" spans="1:13" s="61" customFormat="1" ht="20.25" customHeight="1" x14ac:dyDescent="0.25">
      <c r="A456" s="62">
        <v>1</v>
      </c>
      <c r="B456" s="63" t="s">
        <v>274</v>
      </c>
      <c r="C456" s="216" t="str">
        <f>'[1]planilha - proposta'!C59</f>
        <v>Condutor de Ambulância</v>
      </c>
      <c r="D456" s="217"/>
      <c r="E456" s="217"/>
      <c r="F456" s="217"/>
      <c r="G456" s="217"/>
      <c r="H456" s="145"/>
      <c r="I456" s="145"/>
      <c r="J456" s="145"/>
      <c r="K456" s="145"/>
      <c r="L456" s="145"/>
      <c r="M456" s="146"/>
    </row>
    <row r="457" spans="1:13" s="61" customFormat="1" ht="20.25" customHeight="1" x14ac:dyDescent="0.25">
      <c r="A457" s="62">
        <v>2</v>
      </c>
      <c r="B457" s="63" t="str">
        <f>'planilha - proposta'!D59</f>
        <v>Condutor de Ambulância - 12x36/12x48</v>
      </c>
      <c r="C457" s="216">
        <f>VLOOKUP(B457,'[1]planilha - proposta'!$D$17:$E$62,2,FALSE)</f>
        <v>8</v>
      </c>
      <c r="D457" s="217"/>
      <c r="E457" s="217"/>
      <c r="F457" s="217"/>
      <c r="G457" s="217"/>
      <c r="H457" s="145"/>
      <c r="I457" s="145"/>
      <c r="J457" s="145"/>
      <c r="K457" s="145"/>
      <c r="L457" s="145"/>
      <c r="M457" s="146"/>
    </row>
    <row r="458" spans="1:13" s="61" customFormat="1" ht="20.25" hidden="1" customHeight="1" x14ac:dyDescent="0.25">
      <c r="A458" s="62">
        <v>3</v>
      </c>
      <c r="B458" s="63" t="str">
        <f>'planilha - proposta'!D60</f>
        <v>Condutor de Ambulância - 24x96</v>
      </c>
      <c r="C458" s="216">
        <f>VLOOKUP(B458,'[1]planilha - proposta'!$D$17:$E$62,2,FALSE)</f>
        <v>0</v>
      </c>
      <c r="D458" s="217"/>
      <c r="E458" s="217"/>
      <c r="F458" s="217"/>
      <c r="G458" s="217"/>
      <c r="H458" s="145"/>
      <c r="I458" s="145"/>
      <c r="J458" s="145"/>
      <c r="K458" s="145"/>
      <c r="L458" s="145"/>
      <c r="M458" s="146"/>
    </row>
    <row r="459" spans="1:13" s="61" customFormat="1" ht="20.25" hidden="1" customHeight="1" x14ac:dyDescent="0.25">
      <c r="A459" s="62"/>
      <c r="B459" s="63"/>
      <c r="C459" s="215"/>
      <c r="D459" s="215"/>
      <c r="E459" s="215"/>
      <c r="F459" s="215"/>
      <c r="G459" s="215"/>
      <c r="H459" s="144"/>
      <c r="I459" s="144"/>
      <c r="J459" s="144"/>
      <c r="K459" s="144"/>
      <c r="L459" s="144"/>
      <c r="M459" s="144"/>
    </row>
    <row r="460" spans="1:13" s="61" customFormat="1" ht="52.5" customHeight="1" x14ac:dyDescent="0.25">
      <c r="A460" s="64" t="s">
        <v>273</v>
      </c>
      <c r="B460" s="65" t="s">
        <v>275</v>
      </c>
      <c r="C460" s="218" t="s">
        <v>276</v>
      </c>
      <c r="D460" s="218" t="s">
        <v>277</v>
      </c>
      <c r="E460" s="218" t="s">
        <v>278</v>
      </c>
      <c r="F460" s="218" t="s">
        <v>303</v>
      </c>
      <c r="G460" s="223" t="s">
        <v>280</v>
      </c>
      <c r="H460" s="65" t="s">
        <v>304</v>
      </c>
      <c r="I460" s="66" t="s">
        <v>305</v>
      </c>
      <c r="J460" s="66" t="s">
        <v>318</v>
      </c>
      <c r="K460" s="65" t="s">
        <v>284</v>
      </c>
      <c r="L460" s="65" t="s">
        <v>285</v>
      </c>
      <c r="M460" s="66" t="s">
        <v>286</v>
      </c>
    </row>
    <row r="461" spans="1:13" s="61" customFormat="1" ht="20.25" customHeight="1" x14ac:dyDescent="0.25">
      <c r="A461" s="67" t="s">
        <v>108</v>
      </c>
      <c r="B461" s="68" t="s">
        <v>287</v>
      </c>
      <c r="C461" s="219" t="s">
        <v>288</v>
      </c>
      <c r="D461" s="219" t="s">
        <v>289</v>
      </c>
      <c r="E461" s="221">
        <f>3*30</f>
        <v>90</v>
      </c>
      <c r="F461" s="221">
        <v>0</v>
      </c>
      <c r="G461" s="224" t="s">
        <v>290</v>
      </c>
      <c r="H461" s="49">
        <f>VLOOKUP(B461,custoEPI!$B$6:$E$29,4,FALSE)</f>
        <v>0</v>
      </c>
      <c r="I461" s="71">
        <f t="shared" ref="I461:I466" si="98">SUM($C$457:$M$459)</f>
        <v>8</v>
      </c>
      <c r="J461" s="71">
        <f t="shared" ref="J461:J477" si="99">IF(B461="","sem descrição",IF($C$457&gt;=$C$458,IF($C$459&gt;0,$C$457/2+$C$459,$C$457/2),IF($C$459&gt;0,$C$458/5+$C$459,$C$459)))</f>
        <v>4</v>
      </c>
      <c r="K461" s="69">
        <f>IF(C461="mensal",IF(F461&gt;0,F461*H461,IF(D461="descartável",((SUM($C$457:$C$458)/2)+$C$459)*E461*H461,IF(D461="pessoal",E461*H461*I461,E461*H461*J461))),0)+IF(C461="trimestral",IF(F461&gt;0,F461*H461/3,IF(D461="descartável",(((SUM($C$457:$C$458)/2)+$C$459)*E461*H461)/3,IF(D461="pessoal",(E461*H461*I461)/3,(E461*H461*J461)/3))),0)+IF(C461="semestral",IF(F461&gt;0,F461*H461/6,IF(D461="descartável",(((SUM($C$457:$C$458)/2)+$C$459)*E461*H461)/6,IF(D461="pessoal",(E461*H461*I461)/6,(E461*H461*J461)/6))),0)+IF(C461="anual",IF(F461&gt;0,F461*H461/12,IF(D461="descartável",(((SUM($C$457:$C$458)/2)+$C$459)*E461*H461)/12,IF(D461="pessoal",(E461*H461*I461)/12,(E461*H461*J461)/12))),0)</f>
        <v>0</v>
      </c>
      <c r="L461" s="69">
        <f>IFERROR(K461*12, 0)</f>
        <v>0</v>
      </c>
      <c r="M461" s="69">
        <f>IFERROR(K461*60,0)</f>
        <v>0</v>
      </c>
    </row>
    <row r="462" spans="1:13" s="61" customFormat="1" ht="20.25" customHeight="1" x14ac:dyDescent="0.25">
      <c r="A462" s="67" t="s">
        <v>110</v>
      </c>
      <c r="B462" s="68" t="s">
        <v>291</v>
      </c>
      <c r="C462" s="219" t="s">
        <v>288</v>
      </c>
      <c r="D462" s="219" t="s">
        <v>289</v>
      </c>
      <c r="E462" s="221">
        <v>1</v>
      </c>
      <c r="F462" s="221">
        <v>0</v>
      </c>
      <c r="G462" s="224" t="s">
        <v>290</v>
      </c>
      <c r="H462" s="49">
        <f>VLOOKUP(B462,custoEPI!$B$6:$E$29,4,FALSE)</f>
        <v>0</v>
      </c>
      <c r="I462" s="71">
        <f t="shared" si="98"/>
        <v>8</v>
      </c>
      <c r="J462" s="71">
        <f t="shared" si="99"/>
        <v>4</v>
      </c>
      <c r="K462" s="69">
        <f t="shared" ref="K462:K466" si="100">IF(C462="mensal",IF(F462&gt;0,F462*H462,IF(D462="descartável",((SUM($C$457:$C$458)/2)+$C$459)*E462*H462,IF(D462="pessoal",E462*H462*I462,E462*H462*J462))),0)+IF(C462="trimestral",IF(F462&gt;0,F462*H462/3,IF(D462="descartável",(((SUM($C$457:$C$458)/2)+$C$459)*E462*H462)/3,IF(D462="pessoal",(E462*H462*I462)/3,(E462*H462*J462)/3))),0)+IF(C462="semestral",IF(F462&gt;0,F462*H462/6,IF(D462="descartável",(((SUM($C$457:$C$458)/2)+$C$459)*E462*H462)/6,IF(D462="pessoal",(E462*H462*I462)/6,(E462*H462*J462)/6))),0)+IF(C462="anual",IF(F462&gt;0,F462*H462/12,IF(D462="descartável",(((SUM($C$457:$C$458)/2)+$C$459)*E462*H462)/12,IF(D462="pessoal",(E462*H462*I462)/12,(E462*H462*J462)/12))),0)</f>
        <v>0</v>
      </c>
      <c r="L462" s="69">
        <f t="shared" ref="L462:L477" si="101">IFERROR(K462*12, 0)</f>
        <v>0</v>
      </c>
      <c r="M462" s="69">
        <f t="shared" ref="M462:M477" si="102">IFERROR(K462*60,0)</f>
        <v>0</v>
      </c>
    </row>
    <row r="463" spans="1:13" s="61" customFormat="1" ht="20.25" customHeight="1" x14ac:dyDescent="0.25">
      <c r="A463" s="67" t="s">
        <v>111</v>
      </c>
      <c r="B463" s="68" t="s">
        <v>293</v>
      </c>
      <c r="C463" s="219" t="s">
        <v>288</v>
      </c>
      <c r="D463" s="219" t="s">
        <v>289</v>
      </c>
      <c r="E463" s="221">
        <v>30</v>
      </c>
      <c r="F463" s="221">
        <v>0</v>
      </c>
      <c r="G463" s="224" t="s">
        <v>290</v>
      </c>
      <c r="H463" s="49">
        <f>VLOOKUP(B463,custoEPI!$B$6:$E$29,4,FALSE)</f>
        <v>0</v>
      </c>
      <c r="I463" s="71">
        <f t="shared" si="98"/>
        <v>8</v>
      </c>
      <c r="J463" s="71">
        <f t="shared" si="99"/>
        <v>4</v>
      </c>
      <c r="K463" s="69">
        <f t="shared" si="100"/>
        <v>0</v>
      </c>
      <c r="L463" s="69">
        <f t="shared" si="101"/>
        <v>0</v>
      </c>
      <c r="M463" s="69">
        <f t="shared" si="102"/>
        <v>0</v>
      </c>
    </row>
    <row r="464" spans="1:13" s="61" customFormat="1" ht="20.25" customHeight="1" x14ac:dyDescent="0.25">
      <c r="A464" s="67" t="s">
        <v>113</v>
      </c>
      <c r="B464" s="68" t="s">
        <v>299</v>
      </c>
      <c r="C464" s="219" t="s">
        <v>300</v>
      </c>
      <c r="D464" s="219" t="s">
        <v>292</v>
      </c>
      <c r="E464" s="221">
        <v>2</v>
      </c>
      <c r="F464" s="221">
        <v>0</v>
      </c>
      <c r="G464" s="224" t="s">
        <v>290</v>
      </c>
      <c r="H464" s="49">
        <f>VLOOKUP(B464,custoEPI!$B$6:$E$29,4,FALSE)</f>
        <v>0</v>
      </c>
      <c r="I464" s="71">
        <f t="shared" si="98"/>
        <v>8</v>
      </c>
      <c r="J464" s="71">
        <f t="shared" si="99"/>
        <v>4</v>
      </c>
      <c r="K464" s="69">
        <f t="shared" si="100"/>
        <v>0</v>
      </c>
      <c r="L464" s="69">
        <f t="shared" si="101"/>
        <v>0</v>
      </c>
      <c r="M464" s="69">
        <f t="shared" si="102"/>
        <v>0</v>
      </c>
    </row>
    <row r="465" spans="1:13" s="61" customFormat="1" ht="20.25" customHeight="1" x14ac:dyDescent="0.25">
      <c r="A465" s="67" t="s">
        <v>114</v>
      </c>
      <c r="B465" s="68" t="s">
        <v>294</v>
      </c>
      <c r="C465" s="219" t="s">
        <v>288</v>
      </c>
      <c r="D465" s="219" t="s">
        <v>289</v>
      </c>
      <c r="E465" s="221">
        <v>30</v>
      </c>
      <c r="F465" s="221">
        <v>0</v>
      </c>
      <c r="G465" s="224" t="s">
        <v>290</v>
      </c>
      <c r="H465" s="49">
        <f>VLOOKUP(B465,custoEPI!$B$6:$E$29,4,FALSE)</f>
        <v>0</v>
      </c>
      <c r="I465" s="71">
        <f t="shared" si="98"/>
        <v>8</v>
      </c>
      <c r="J465" s="71">
        <f t="shared" si="99"/>
        <v>4</v>
      </c>
      <c r="K465" s="69">
        <f t="shared" si="100"/>
        <v>0</v>
      </c>
      <c r="L465" s="69">
        <f t="shared" si="101"/>
        <v>0</v>
      </c>
      <c r="M465" s="69">
        <f t="shared" si="102"/>
        <v>0</v>
      </c>
    </row>
    <row r="466" spans="1:13" s="61" customFormat="1" ht="20.25" customHeight="1" x14ac:dyDescent="0.25">
      <c r="A466" s="67" t="s">
        <v>115</v>
      </c>
      <c r="B466" s="68" t="s">
        <v>295</v>
      </c>
      <c r="C466" s="219" t="s">
        <v>296</v>
      </c>
      <c r="D466" s="219" t="s">
        <v>292</v>
      </c>
      <c r="E466" s="221">
        <v>1</v>
      </c>
      <c r="F466" s="221">
        <v>0</v>
      </c>
      <c r="G466" s="224" t="s">
        <v>290</v>
      </c>
      <c r="H466" s="49">
        <f>VLOOKUP(B466,custoEPI!$B$6:$E$29,4,FALSE)</f>
        <v>0</v>
      </c>
      <c r="I466" s="71">
        <f t="shared" si="98"/>
        <v>8</v>
      </c>
      <c r="J466" s="71">
        <f t="shared" si="99"/>
        <v>4</v>
      </c>
      <c r="K466" s="69">
        <f t="shared" si="100"/>
        <v>0</v>
      </c>
      <c r="L466" s="69">
        <f t="shared" si="101"/>
        <v>0</v>
      </c>
      <c r="M466" s="69">
        <f t="shared" si="102"/>
        <v>0</v>
      </c>
    </row>
    <row r="467" spans="1:13" s="61" customFormat="1" ht="20.25" hidden="1" customHeight="1" x14ac:dyDescent="0.25">
      <c r="A467" s="67"/>
      <c r="B467" s="68"/>
      <c r="C467" s="219"/>
      <c r="D467" s="219"/>
      <c r="E467" s="221"/>
      <c r="F467" s="221"/>
      <c r="G467" s="224" t="s">
        <v>290</v>
      </c>
      <c r="H467" s="49" t="e">
        <f>VLOOKUP(B467,custoEPI!$B$6:$E$29,4,FALSE)</f>
        <v>#N/A</v>
      </c>
      <c r="I467" s="71"/>
      <c r="J467" s="71" t="str">
        <f t="shared" si="99"/>
        <v>sem descrição</v>
      </c>
      <c r="K467" s="69" t="str">
        <f t="shared" ref="K467:K476" si="103">IF(C467="mensal",J467*H467*E467,IF(C467="trimestral",(J467*H467*E467)/3,IF(C467="semestral",(J467*H467*E467)/6,IF(C467="anual",(J467*H467*E467/12),"informar entrega"))))</f>
        <v>informar entrega</v>
      </c>
      <c r="L467" s="69">
        <f t="shared" si="101"/>
        <v>0</v>
      </c>
      <c r="M467" s="69">
        <f t="shared" si="102"/>
        <v>0</v>
      </c>
    </row>
    <row r="468" spans="1:13" s="61" customFormat="1" ht="20.25" hidden="1" customHeight="1" x14ac:dyDescent="0.25">
      <c r="A468" s="67" t="s">
        <v>118</v>
      </c>
      <c r="B468" s="68"/>
      <c r="C468" s="219"/>
      <c r="D468" s="219"/>
      <c r="E468" s="222"/>
      <c r="F468" s="222"/>
      <c r="G468" s="224" t="s">
        <v>290</v>
      </c>
      <c r="H468" s="70" t="e">
        <f>VLOOKUP(B468,custoEPI!$B$6:$E$29,4,FALSE)</f>
        <v>#N/A</v>
      </c>
      <c r="I468" s="71"/>
      <c r="J468" s="71" t="str">
        <f t="shared" si="99"/>
        <v>sem descrição</v>
      </c>
      <c r="K468" s="69" t="str">
        <f t="shared" si="103"/>
        <v>informar entrega</v>
      </c>
      <c r="L468" s="69">
        <f t="shared" si="101"/>
        <v>0</v>
      </c>
      <c r="M468" s="69">
        <f t="shared" si="102"/>
        <v>0</v>
      </c>
    </row>
    <row r="469" spans="1:13" s="61" customFormat="1" ht="20.25" hidden="1" customHeight="1" x14ac:dyDescent="0.25">
      <c r="A469" s="67" t="s">
        <v>121</v>
      </c>
      <c r="B469" s="68"/>
      <c r="C469" s="219"/>
      <c r="D469" s="219"/>
      <c r="E469" s="222"/>
      <c r="F469" s="222"/>
      <c r="G469" s="224"/>
      <c r="H469" s="70" t="e">
        <f>VLOOKUP(B469,custoEPI!$B$6:$E$29,4,FALSE)</f>
        <v>#N/A</v>
      </c>
      <c r="I469" s="71"/>
      <c r="J469" s="71" t="str">
        <f t="shared" si="99"/>
        <v>sem descrição</v>
      </c>
      <c r="K469" s="69" t="str">
        <f t="shared" si="103"/>
        <v>informar entrega</v>
      </c>
      <c r="L469" s="69">
        <f t="shared" si="101"/>
        <v>0</v>
      </c>
      <c r="M469" s="69">
        <f t="shared" si="102"/>
        <v>0</v>
      </c>
    </row>
    <row r="470" spans="1:13" s="61" customFormat="1" ht="20.25" hidden="1" customHeight="1" x14ac:dyDescent="0.25">
      <c r="A470" s="67" t="s">
        <v>125</v>
      </c>
      <c r="B470" s="68"/>
      <c r="C470" s="219"/>
      <c r="D470" s="219"/>
      <c r="E470" s="222"/>
      <c r="F470" s="222"/>
      <c r="G470" s="224"/>
      <c r="H470" s="70"/>
      <c r="I470" s="71"/>
      <c r="J470" s="71" t="str">
        <f t="shared" si="99"/>
        <v>sem descrição</v>
      </c>
      <c r="K470" s="69" t="str">
        <f t="shared" si="103"/>
        <v>informar entrega</v>
      </c>
      <c r="L470" s="69">
        <f t="shared" si="101"/>
        <v>0</v>
      </c>
      <c r="M470" s="69">
        <f t="shared" si="102"/>
        <v>0</v>
      </c>
    </row>
    <row r="471" spans="1:13" s="61" customFormat="1" ht="20.25" hidden="1" customHeight="1" x14ac:dyDescent="0.25">
      <c r="A471" s="67" t="s">
        <v>127</v>
      </c>
      <c r="B471" s="68"/>
      <c r="C471" s="219"/>
      <c r="D471" s="219"/>
      <c r="E471" s="222"/>
      <c r="F471" s="222"/>
      <c r="G471" s="224"/>
      <c r="H471" s="70"/>
      <c r="I471" s="70"/>
      <c r="J471" s="71" t="str">
        <f t="shared" si="99"/>
        <v>sem descrição</v>
      </c>
      <c r="K471" s="69" t="str">
        <f t="shared" si="103"/>
        <v>informar entrega</v>
      </c>
      <c r="L471" s="69">
        <f t="shared" si="101"/>
        <v>0</v>
      </c>
      <c r="M471" s="69">
        <f t="shared" si="102"/>
        <v>0</v>
      </c>
    </row>
    <row r="472" spans="1:13" s="61" customFormat="1" ht="20.25" hidden="1" customHeight="1" x14ac:dyDescent="0.25">
      <c r="A472" s="67" t="s">
        <v>129</v>
      </c>
      <c r="B472" s="68"/>
      <c r="C472" s="69"/>
      <c r="D472" s="69"/>
      <c r="E472" s="222"/>
      <c r="F472" s="222"/>
      <c r="G472" s="68"/>
      <c r="H472" s="70"/>
      <c r="I472" s="70"/>
      <c r="J472" s="71" t="str">
        <f t="shared" si="99"/>
        <v>sem descrição</v>
      </c>
      <c r="K472" s="69" t="str">
        <f t="shared" si="103"/>
        <v>informar entrega</v>
      </c>
      <c r="L472" s="69">
        <f t="shared" si="101"/>
        <v>0</v>
      </c>
      <c r="M472" s="69">
        <f t="shared" si="102"/>
        <v>0</v>
      </c>
    </row>
    <row r="473" spans="1:13" s="61" customFormat="1" ht="20.25" hidden="1" customHeight="1" x14ac:dyDescent="0.25">
      <c r="A473" s="67" t="s">
        <v>131</v>
      </c>
      <c r="B473" s="68"/>
      <c r="C473" s="69"/>
      <c r="D473" s="69"/>
      <c r="E473" s="222"/>
      <c r="F473" s="222"/>
      <c r="G473" s="68"/>
      <c r="H473" s="70"/>
      <c r="I473" s="70"/>
      <c r="J473" s="71" t="str">
        <f t="shared" si="99"/>
        <v>sem descrição</v>
      </c>
      <c r="K473" s="69" t="str">
        <f t="shared" si="103"/>
        <v>informar entrega</v>
      </c>
      <c r="L473" s="69">
        <f t="shared" si="101"/>
        <v>0</v>
      </c>
      <c r="M473" s="69">
        <f t="shared" si="102"/>
        <v>0</v>
      </c>
    </row>
    <row r="474" spans="1:13" s="61" customFormat="1" ht="20.25" hidden="1" customHeight="1" x14ac:dyDescent="0.25">
      <c r="A474" s="67" t="s">
        <v>188</v>
      </c>
      <c r="B474" s="68"/>
      <c r="C474" s="69"/>
      <c r="D474" s="69"/>
      <c r="E474" s="222"/>
      <c r="F474" s="222"/>
      <c r="G474" s="68"/>
      <c r="H474" s="70"/>
      <c r="I474" s="70"/>
      <c r="J474" s="71" t="str">
        <f t="shared" si="99"/>
        <v>sem descrição</v>
      </c>
      <c r="K474" s="69" t="str">
        <f t="shared" si="103"/>
        <v>informar entrega</v>
      </c>
      <c r="L474" s="69">
        <f t="shared" si="101"/>
        <v>0</v>
      </c>
      <c r="M474" s="69">
        <f t="shared" si="102"/>
        <v>0</v>
      </c>
    </row>
    <row r="475" spans="1:13" s="61" customFormat="1" ht="20.25" hidden="1" customHeight="1" x14ac:dyDescent="0.25">
      <c r="A475" s="67" t="s">
        <v>192</v>
      </c>
      <c r="B475" s="68"/>
      <c r="C475" s="69"/>
      <c r="D475" s="69"/>
      <c r="E475" s="222"/>
      <c r="F475" s="222"/>
      <c r="G475" s="68"/>
      <c r="H475" s="70"/>
      <c r="I475" s="70"/>
      <c r="J475" s="71" t="str">
        <f t="shared" si="99"/>
        <v>sem descrição</v>
      </c>
      <c r="K475" s="69" t="str">
        <f t="shared" si="103"/>
        <v>informar entrega</v>
      </c>
      <c r="L475" s="69">
        <f t="shared" si="101"/>
        <v>0</v>
      </c>
      <c r="M475" s="69">
        <f t="shared" si="102"/>
        <v>0</v>
      </c>
    </row>
    <row r="476" spans="1:13" s="61" customFormat="1" ht="20.25" hidden="1" customHeight="1" x14ac:dyDescent="0.25">
      <c r="A476" s="67" t="s">
        <v>195</v>
      </c>
      <c r="B476" s="68"/>
      <c r="C476" s="69"/>
      <c r="D476" s="69"/>
      <c r="E476" s="222"/>
      <c r="F476" s="222"/>
      <c r="G476" s="68"/>
      <c r="H476" s="70"/>
      <c r="I476" s="70"/>
      <c r="J476" s="71" t="str">
        <f t="shared" si="99"/>
        <v>sem descrição</v>
      </c>
      <c r="K476" s="69" t="str">
        <f t="shared" si="103"/>
        <v>informar entrega</v>
      </c>
      <c r="L476" s="69">
        <f t="shared" si="101"/>
        <v>0</v>
      </c>
      <c r="M476" s="69">
        <f t="shared" si="102"/>
        <v>0</v>
      </c>
    </row>
    <row r="477" spans="1:13" s="61" customFormat="1" ht="20.25" hidden="1" customHeight="1" x14ac:dyDescent="0.25">
      <c r="A477" s="67" t="s">
        <v>199</v>
      </c>
      <c r="B477" s="68"/>
      <c r="C477" s="69"/>
      <c r="D477" s="69"/>
      <c r="E477" s="222"/>
      <c r="F477" s="222"/>
      <c r="G477" s="68"/>
      <c r="H477" s="70"/>
      <c r="I477" s="70"/>
      <c r="J477" s="71" t="str">
        <f t="shared" si="99"/>
        <v>sem descrição</v>
      </c>
      <c r="K477" s="69" t="str">
        <f>IF(C477="mensal",J477*H477*E477,IF(C477="trimestral",(J477*H477*E477)/3,IF(C477="semestral",(J477*H477*E477)/6,IF(C477="anual",(J477*H477*E477/12),"informar período"))))</f>
        <v>informar período</v>
      </c>
      <c r="L477" s="69">
        <f t="shared" si="101"/>
        <v>0</v>
      </c>
      <c r="M477" s="69">
        <f t="shared" si="102"/>
        <v>0</v>
      </c>
    </row>
    <row r="478" spans="1:13" s="61" customFormat="1" ht="20.25" customHeight="1" x14ac:dyDescent="0.25">
      <c r="A478" s="152" t="s">
        <v>308</v>
      </c>
      <c r="B478" s="147"/>
      <c r="C478" s="147"/>
      <c r="D478" s="147"/>
      <c r="E478" s="147"/>
      <c r="F478" s="147"/>
      <c r="G478" s="147"/>
      <c r="H478" s="147"/>
      <c r="I478" s="139"/>
      <c r="J478" s="155"/>
      <c r="K478" s="156">
        <f>SUM(K461:K477)</f>
        <v>0</v>
      </c>
      <c r="L478" s="157">
        <f>K478*12</f>
        <v>0</v>
      </c>
      <c r="M478" s="158">
        <f>K478*60</f>
        <v>0</v>
      </c>
    </row>
    <row r="479" spans="1:13" s="61" customFormat="1" ht="20.25" customHeight="1" x14ac:dyDescent="0.25">
      <c r="A479" s="152" t="s">
        <v>302</v>
      </c>
      <c r="B479" s="147"/>
      <c r="C479" s="147"/>
      <c r="D479" s="147"/>
      <c r="E479" s="147"/>
      <c r="F479" s="147"/>
      <c r="G479" s="147"/>
      <c r="H479" s="147"/>
      <c r="I479" s="147"/>
      <c r="J479" s="147"/>
      <c r="K479" s="147"/>
      <c r="L479" s="147"/>
      <c r="M479" s="159">
        <f>K478/SUM(C457:M459)</f>
        <v>0</v>
      </c>
    </row>
    <row r="480" spans="1:13" s="61" customFormat="1" ht="20.25" customHeight="1" x14ac:dyDescent="0.25">
      <c r="A480" s="232" t="s">
        <v>273</v>
      </c>
      <c r="B480" s="143" t="s">
        <v>19</v>
      </c>
      <c r="C480" s="153"/>
      <c r="D480" s="153"/>
      <c r="E480" s="153"/>
      <c r="F480" s="153"/>
      <c r="G480" s="153"/>
      <c r="H480" s="153"/>
      <c r="I480" s="153"/>
      <c r="J480" s="153"/>
      <c r="K480" s="153"/>
      <c r="L480" s="153"/>
      <c r="M480" s="154"/>
    </row>
    <row r="481" spans="1:13" s="61" customFormat="1" ht="20.25" customHeight="1" x14ac:dyDescent="0.25">
      <c r="A481" s="62">
        <v>1</v>
      </c>
      <c r="B481" s="63" t="s">
        <v>274</v>
      </c>
      <c r="C481" s="216" t="str">
        <f>'[1]planilha - proposta'!C61</f>
        <v>Bombeiro Civil</v>
      </c>
      <c r="D481" s="217"/>
      <c r="E481" s="217"/>
      <c r="F481" s="217"/>
      <c r="G481" s="217"/>
      <c r="H481" s="145"/>
      <c r="I481" s="145"/>
      <c r="J481" s="145"/>
      <c r="K481" s="145"/>
      <c r="L481" s="145"/>
      <c r="M481" s="146"/>
    </row>
    <row r="482" spans="1:13" s="61" customFormat="1" ht="20.25" customHeight="1" x14ac:dyDescent="0.25">
      <c r="A482" s="62">
        <v>2</v>
      </c>
      <c r="B482" s="63" t="str">
        <f>'planilha - proposta'!D61</f>
        <v>Bombeiro Civil - 12x36d</v>
      </c>
      <c r="C482" s="216">
        <f>VLOOKUP(B482,'[1]planilha - proposta'!$D$17:$E$62,2,FALSE)</f>
        <v>4</v>
      </c>
      <c r="D482" s="217"/>
      <c r="E482" s="217"/>
      <c r="F482" s="217"/>
      <c r="G482" s="217"/>
      <c r="H482" s="145"/>
      <c r="I482" s="145"/>
      <c r="J482" s="145"/>
      <c r="K482" s="145"/>
      <c r="L482" s="145"/>
      <c r="M482" s="146"/>
    </row>
    <row r="483" spans="1:13" s="61" customFormat="1" ht="20.25" customHeight="1" x14ac:dyDescent="0.25">
      <c r="A483" s="62">
        <v>3</v>
      </c>
      <c r="B483" s="63" t="str">
        <f>'planilha - proposta'!D62</f>
        <v>Bombeiro Civil - 12x36n</v>
      </c>
      <c r="C483" s="216">
        <f>VLOOKUP(B483,'[1]planilha - proposta'!$D$17:$E$62,2,FALSE)</f>
        <v>4</v>
      </c>
      <c r="D483" s="217"/>
      <c r="E483" s="217"/>
      <c r="F483" s="217"/>
      <c r="G483" s="217"/>
      <c r="H483" s="145"/>
      <c r="I483" s="145"/>
      <c r="J483" s="145"/>
      <c r="K483" s="145"/>
      <c r="L483" s="145"/>
      <c r="M483" s="146"/>
    </row>
    <row r="484" spans="1:13" s="61" customFormat="1" ht="20.25" hidden="1" customHeight="1" x14ac:dyDescent="0.25">
      <c r="A484" s="62"/>
      <c r="B484" s="63"/>
      <c r="C484" s="215">
        <v>0</v>
      </c>
      <c r="D484" s="215"/>
      <c r="E484" s="215"/>
      <c r="F484" s="215"/>
      <c r="G484" s="215"/>
      <c r="H484" s="144"/>
      <c r="I484" s="144"/>
      <c r="J484" s="144"/>
      <c r="K484" s="144"/>
      <c r="L484" s="144"/>
      <c r="M484" s="144"/>
    </row>
    <row r="485" spans="1:13" s="61" customFormat="1" ht="52.5" customHeight="1" x14ac:dyDescent="0.25">
      <c r="A485" s="64" t="s">
        <v>273</v>
      </c>
      <c r="B485" s="65" t="s">
        <v>275</v>
      </c>
      <c r="C485" s="218" t="s">
        <v>276</v>
      </c>
      <c r="D485" s="218" t="s">
        <v>277</v>
      </c>
      <c r="E485" s="218" t="s">
        <v>278</v>
      </c>
      <c r="F485" s="218" t="s">
        <v>303</v>
      </c>
      <c r="G485" s="223" t="s">
        <v>280</v>
      </c>
      <c r="H485" s="65" t="s">
        <v>304</v>
      </c>
      <c r="I485" s="66" t="s">
        <v>305</v>
      </c>
      <c r="J485" s="66" t="s">
        <v>318</v>
      </c>
      <c r="K485" s="65" t="s">
        <v>284</v>
      </c>
      <c r="L485" s="65" t="s">
        <v>285</v>
      </c>
      <c r="M485" s="66" t="s">
        <v>286</v>
      </c>
    </row>
    <row r="486" spans="1:13" s="61" customFormat="1" ht="20.25" hidden="1" customHeight="1" x14ac:dyDescent="0.25">
      <c r="A486" s="67"/>
      <c r="B486" s="71"/>
      <c r="C486" s="219"/>
      <c r="D486" s="219"/>
      <c r="E486" s="221"/>
      <c r="F486" s="221"/>
      <c r="G486" s="224"/>
      <c r="H486" s="49"/>
      <c r="I486" s="71">
        <f t="shared" ref="I486:I494" si="104">SUM($C$482:$M$484)</f>
        <v>8</v>
      </c>
      <c r="J486" s="71" t="str">
        <f t="shared" ref="J486:J503" si="105">IF(B486="","sem descrição",IF($C$482&gt;=$C$483,IF($C$484&gt;0,$C$482/2+$C$484,$C$482/2),IF($C$484&gt;0,$C$483/2+$C$484,$C$484)))</f>
        <v>sem descrição</v>
      </c>
      <c r="K486" s="69" t="str">
        <f>IF(C486="mensal",J486*H486*E486,IF(C486="trimestral",(J486*H486*E486)/3,IF(C486="semestral",(J486*H486*E486)/6,IF(C486="anual",(J486*H486*E486/12),"informar entrega"))))</f>
        <v>informar entrega</v>
      </c>
      <c r="L486" s="69">
        <f>IFERROR(K486*12, 0)</f>
        <v>0</v>
      </c>
      <c r="M486" s="69">
        <f>IFERROR(K486*60,0)</f>
        <v>0</v>
      </c>
    </row>
    <row r="487" spans="1:13" s="61" customFormat="1" ht="20.25" hidden="1" customHeight="1" x14ac:dyDescent="0.25">
      <c r="A487" s="67"/>
      <c r="B487" s="71"/>
      <c r="C487" s="219"/>
      <c r="D487" s="219"/>
      <c r="E487" s="221"/>
      <c r="F487" s="221"/>
      <c r="G487" s="224"/>
      <c r="H487" s="49"/>
      <c r="I487" s="71">
        <f t="shared" si="104"/>
        <v>8</v>
      </c>
      <c r="J487" s="71" t="str">
        <f t="shared" si="105"/>
        <v>sem descrição</v>
      </c>
      <c r="K487" s="69" t="str">
        <f>IF(C487="mensal",J487*H487*E487,IF(C487="trimestral",(J487*H487*E487)/3,IF(C487="semestral",(J487*H487*E487)/6,IF(C487="anual",(J487*H487*E487/12),"informar entrega"))))</f>
        <v>informar entrega</v>
      </c>
      <c r="L487" s="69">
        <f t="shared" ref="L487:L503" si="106">IFERROR(K487*12, 0)</f>
        <v>0</v>
      </c>
      <c r="M487" s="69">
        <f t="shared" ref="M487:M503" si="107">IFERROR(K487*60,0)</f>
        <v>0</v>
      </c>
    </row>
    <row r="488" spans="1:13" s="61" customFormat="1" ht="20.25" customHeight="1" x14ac:dyDescent="0.25">
      <c r="A488" s="67" t="s">
        <v>108</v>
      </c>
      <c r="B488" s="71" t="s">
        <v>331</v>
      </c>
      <c r="C488" s="219" t="s">
        <v>298</v>
      </c>
      <c r="D488" s="219" t="s">
        <v>310</v>
      </c>
      <c r="E488" s="221">
        <v>1</v>
      </c>
      <c r="F488" s="221">
        <v>0</v>
      </c>
      <c r="G488" s="224" t="s">
        <v>290</v>
      </c>
      <c r="H488" s="49">
        <f>VLOOKUP(B488,custoEPI!$B$6:$E$29,4,FALSE)</f>
        <v>0</v>
      </c>
      <c r="I488" s="71">
        <f t="shared" si="104"/>
        <v>8</v>
      </c>
      <c r="J488" s="71">
        <f t="shared" si="105"/>
        <v>2</v>
      </c>
      <c r="K488" s="69">
        <f>IF(C488="mensal",IF(F488&gt;0,F488*H488,IF(D488="descartável",((SUM($C$482:$C$483)/2)+$C$484)*E488*H488,IF(D488="pessoal",E488*H488*I488,E488*H488*J488))),0)+IF(C488="trimestral",IF(F488&gt;0,F488*H488/3,IF(D488="descartável",(((SUM($C$482:$C$483)/2)+$C$484)*E488*H488)/3,IF(D488="pessoal",(E488*H488*I488)/3,(E488*H488*J488)/3))),0)+IF(C488="semestral",IF(F488&gt;0,F488*H488/6,IF(D488="descartável",(((SUM($C$482:$C$483)/2)+$C$484)*E488*H488)/6,IF(D488="pessoal",(E488*H488*I488)/6,(E488*H488*J488)/6))),0)+IF(C488="anual",IF(F488&gt;0,F488*H488/12,IF(D488="descartável",(((SUM($C$482:$C$483)/2)+$C$484)*E488*H488)/12,IF(D488="pessoal",(E488*H488*I488)/12,(E488*H488*J488)/12))),0)</f>
        <v>0</v>
      </c>
      <c r="L488" s="69">
        <f t="shared" si="106"/>
        <v>0</v>
      </c>
      <c r="M488" s="69">
        <f t="shared" si="107"/>
        <v>0</v>
      </c>
    </row>
    <row r="489" spans="1:13" s="61" customFormat="1" ht="20.25" customHeight="1" x14ac:dyDescent="0.25">
      <c r="A489" s="67" t="s">
        <v>110</v>
      </c>
      <c r="B489" s="71" t="s">
        <v>332</v>
      </c>
      <c r="C489" s="219" t="s">
        <v>298</v>
      </c>
      <c r="D489" s="219" t="s">
        <v>292</v>
      </c>
      <c r="E489" s="221">
        <v>1</v>
      </c>
      <c r="F489" s="221">
        <v>0</v>
      </c>
      <c r="G489" s="224" t="s">
        <v>290</v>
      </c>
      <c r="H489" s="49">
        <f>VLOOKUP(B489,custoEPI!$B$6:$E$29,4,FALSE)</f>
        <v>0</v>
      </c>
      <c r="I489" s="71">
        <f t="shared" si="104"/>
        <v>8</v>
      </c>
      <c r="J489" s="71">
        <f t="shared" si="105"/>
        <v>2</v>
      </c>
      <c r="K489" s="69">
        <f t="shared" ref="K489:K496" si="108">IF(C489="mensal",IF(F489&gt;0,F489*H489,IF(D489="descartável",((SUM($C$482:$C$483)/2)+$C$484)*E489*H489,IF(D489="pessoal",E489*H489*I489,E489*H489*J489))),0)+IF(C489="trimestral",IF(F489&gt;0,F489*H489/3,IF(D489="descartável",(((SUM($C$482:$C$483)/2)+$C$484)*E489*H489)/3,IF(D489="pessoal",(E489*H489*I489)/3,(E489*H489*J489)/3))),0)+IF(C489="semestral",IF(F489&gt;0,F489*H489/6,IF(D489="descartável",(((SUM($C$482:$C$483)/2)+$C$484)*E489*H489)/6,IF(D489="pessoal",(E489*H489*I489)/6,(E489*H489*J489)/6))),0)+IF(C489="anual",IF(F489&gt;0,F489*H489/12,IF(D489="descartável",(((SUM($C$482:$C$483)/2)+$C$484)*E489*H489)/12,IF(D489="pessoal",(E489*H489*I489)/12,(E489*H489*J489)/12))),0)</f>
        <v>0</v>
      </c>
      <c r="L489" s="69">
        <f t="shared" si="106"/>
        <v>0</v>
      </c>
      <c r="M489" s="69">
        <f t="shared" si="107"/>
        <v>0</v>
      </c>
    </row>
    <row r="490" spans="1:13" s="61" customFormat="1" ht="20.25" customHeight="1" x14ac:dyDescent="0.25">
      <c r="A490" s="67" t="s">
        <v>111</v>
      </c>
      <c r="B490" s="71" t="s">
        <v>329</v>
      </c>
      <c r="C490" s="219" t="s">
        <v>298</v>
      </c>
      <c r="D490" s="219" t="s">
        <v>310</v>
      </c>
      <c r="E490" s="221">
        <v>1</v>
      </c>
      <c r="F490" s="221">
        <v>0</v>
      </c>
      <c r="G490" s="224" t="s">
        <v>290</v>
      </c>
      <c r="H490" s="49">
        <f>VLOOKUP(B490,custoEPI!$B$6:$E$29,4,FALSE)</f>
        <v>0</v>
      </c>
      <c r="I490" s="71">
        <f t="shared" si="104"/>
        <v>8</v>
      </c>
      <c r="J490" s="71">
        <f t="shared" si="105"/>
        <v>2</v>
      </c>
      <c r="K490" s="69">
        <f t="shared" si="108"/>
        <v>0</v>
      </c>
      <c r="L490" s="69">
        <f t="shared" si="106"/>
        <v>0</v>
      </c>
      <c r="M490" s="69">
        <f t="shared" si="107"/>
        <v>0</v>
      </c>
    </row>
    <row r="491" spans="1:13" s="61" customFormat="1" ht="20.25" hidden="1" customHeight="1" x14ac:dyDescent="0.25">
      <c r="A491" s="67"/>
      <c r="B491" s="71"/>
      <c r="C491" s="219"/>
      <c r="D491" s="219"/>
      <c r="E491" s="221"/>
      <c r="F491" s="221"/>
      <c r="G491" s="224"/>
      <c r="H491" s="49" t="e">
        <f>VLOOKUP(B491,custoEPI!$B$6:$E$29,4,FALSE)</f>
        <v>#N/A</v>
      </c>
      <c r="I491" s="71">
        <f t="shared" si="104"/>
        <v>8</v>
      </c>
      <c r="J491" s="71" t="str">
        <f t="shared" si="105"/>
        <v>sem descrição</v>
      </c>
      <c r="K491" s="69">
        <f t="shared" si="108"/>
        <v>0</v>
      </c>
      <c r="L491" s="69">
        <f t="shared" si="106"/>
        <v>0</v>
      </c>
      <c r="M491" s="69">
        <f t="shared" si="107"/>
        <v>0</v>
      </c>
    </row>
    <row r="492" spans="1:13" s="61" customFormat="1" ht="20.25" customHeight="1" x14ac:dyDescent="0.25">
      <c r="A492" s="67" t="s">
        <v>113</v>
      </c>
      <c r="B492" s="68" t="s">
        <v>307</v>
      </c>
      <c r="C492" s="219" t="s">
        <v>300</v>
      </c>
      <c r="D492" s="219" t="s">
        <v>292</v>
      </c>
      <c r="E492" s="221">
        <v>1</v>
      </c>
      <c r="F492" s="221">
        <v>0</v>
      </c>
      <c r="G492" s="224" t="s">
        <v>290</v>
      </c>
      <c r="H492" s="49">
        <f>VLOOKUP(B492,custoEPI!$B$6:$E$29,4,FALSE)</f>
        <v>0</v>
      </c>
      <c r="I492" s="71">
        <f t="shared" si="104"/>
        <v>8</v>
      </c>
      <c r="J492" s="71">
        <f t="shared" si="105"/>
        <v>2</v>
      </c>
      <c r="K492" s="69">
        <f t="shared" si="108"/>
        <v>0</v>
      </c>
      <c r="L492" s="69">
        <f t="shared" si="106"/>
        <v>0</v>
      </c>
      <c r="M492" s="69">
        <f t="shared" si="107"/>
        <v>0</v>
      </c>
    </row>
    <row r="493" spans="1:13" s="61" customFormat="1" ht="20.25" customHeight="1" x14ac:dyDescent="0.25">
      <c r="A493" s="67" t="s">
        <v>114</v>
      </c>
      <c r="B493" s="68" t="s">
        <v>295</v>
      </c>
      <c r="C493" s="219" t="s">
        <v>296</v>
      </c>
      <c r="D493" s="219" t="s">
        <v>292</v>
      </c>
      <c r="E493" s="221">
        <v>1</v>
      </c>
      <c r="F493" s="221">
        <v>0</v>
      </c>
      <c r="G493" s="224" t="s">
        <v>290</v>
      </c>
      <c r="H493" s="49">
        <f>VLOOKUP(B493,custoEPI!$B$6:$E$29,4,FALSE)</f>
        <v>0</v>
      </c>
      <c r="I493" s="71">
        <f t="shared" si="104"/>
        <v>8</v>
      </c>
      <c r="J493" s="71">
        <f t="shared" si="105"/>
        <v>2</v>
      </c>
      <c r="K493" s="69">
        <f t="shared" si="108"/>
        <v>0</v>
      </c>
      <c r="L493" s="69">
        <f t="shared" si="106"/>
        <v>0</v>
      </c>
      <c r="M493" s="69">
        <f t="shared" si="107"/>
        <v>0</v>
      </c>
    </row>
    <row r="494" spans="1:13" s="61" customFormat="1" ht="20.25" customHeight="1" x14ac:dyDescent="0.25">
      <c r="A494" s="67" t="s">
        <v>115</v>
      </c>
      <c r="B494" s="71" t="s">
        <v>297</v>
      </c>
      <c r="C494" s="219" t="s">
        <v>298</v>
      </c>
      <c r="D494" s="219" t="s">
        <v>292</v>
      </c>
      <c r="E494" s="221">
        <v>1</v>
      </c>
      <c r="F494" s="221">
        <v>0</v>
      </c>
      <c r="G494" s="224" t="s">
        <v>290</v>
      </c>
      <c r="H494" s="49">
        <f>VLOOKUP(B494,custoEPI!$B$6:$E$29,4,FALSE)</f>
        <v>0</v>
      </c>
      <c r="I494" s="71">
        <f t="shared" si="104"/>
        <v>8</v>
      </c>
      <c r="J494" s="71">
        <f t="shared" si="105"/>
        <v>2</v>
      </c>
      <c r="K494" s="69">
        <f t="shared" si="108"/>
        <v>0</v>
      </c>
      <c r="L494" s="69">
        <f t="shared" si="106"/>
        <v>0</v>
      </c>
      <c r="M494" s="69">
        <f t="shared" si="107"/>
        <v>0</v>
      </c>
    </row>
    <row r="495" spans="1:13" s="61" customFormat="1" ht="20.25" customHeight="1" x14ac:dyDescent="0.25">
      <c r="A495" s="67" t="s">
        <v>116</v>
      </c>
      <c r="B495" s="71" t="s">
        <v>287</v>
      </c>
      <c r="C495" s="219" t="s">
        <v>288</v>
      </c>
      <c r="D495" s="219" t="s">
        <v>289</v>
      </c>
      <c r="E495" s="221">
        <f>3*30</f>
        <v>90</v>
      </c>
      <c r="F495" s="221">
        <v>0</v>
      </c>
      <c r="G495" s="224" t="s">
        <v>290</v>
      </c>
      <c r="H495" s="49">
        <f>VLOOKUP(B495,custoEPI!$B$6:$E$29,4,FALSE)</f>
        <v>0</v>
      </c>
      <c r="I495" s="71">
        <f>SUM($C$482:$M$484)</f>
        <v>8</v>
      </c>
      <c r="J495" s="71">
        <f t="shared" si="105"/>
        <v>2</v>
      </c>
      <c r="K495" s="69">
        <f t="shared" si="108"/>
        <v>0</v>
      </c>
      <c r="L495" s="69">
        <f t="shared" si="106"/>
        <v>0</v>
      </c>
      <c r="M495" s="69">
        <f t="shared" si="107"/>
        <v>0</v>
      </c>
    </row>
    <row r="496" spans="1:13" s="61" customFormat="1" ht="20.25" customHeight="1" x14ac:dyDescent="0.25">
      <c r="A496" s="67" t="s">
        <v>118</v>
      </c>
      <c r="B496" s="71" t="s">
        <v>291</v>
      </c>
      <c r="C496" s="219" t="s">
        <v>288</v>
      </c>
      <c r="D496" s="219" t="s">
        <v>289</v>
      </c>
      <c r="E496" s="221">
        <v>1</v>
      </c>
      <c r="F496" s="221">
        <v>0</v>
      </c>
      <c r="G496" s="224" t="s">
        <v>290</v>
      </c>
      <c r="H496" s="49">
        <f>VLOOKUP(B496,custoEPI!$B$6:$E$29,4,FALSE)</f>
        <v>0</v>
      </c>
      <c r="I496" s="71">
        <f>SUM($C$482:$M$484)</f>
        <v>8</v>
      </c>
      <c r="J496" s="71">
        <f t="shared" si="105"/>
        <v>2</v>
      </c>
      <c r="K496" s="69">
        <f t="shared" si="108"/>
        <v>0</v>
      </c>
      <c r="L496" s="69">
        <f t="shared" si="106"/>
        <v>0</v>
      </c>
      <c r="M496" s="69">
        <f t="shared" si="107"/>
        <v>0</v>
      </c>
    </row>
    <row r="497" spans="1:13" s="61" customFormat="1" ht="20.25" hidden="1" customHeight="1" x14ac:dyDescent="0.25">
      <c r="A497" s="67"/>
      <c r="B497" s="68"/>
      <c r="C497" s="219"/>
      <c r="D497" s="219"/>
      <c r="E497" s="222"/>
      <c r="F497" s="222"/>
      <c r="G497" s="224"/>
      <c r="H497" s="70"/>
      <c r="I497" s="71">
        <f>SUM($C$482:$M$484)</f>
        <v>8</v>
      </c>
      <c r="J497" s="71" t="str">
        <f t="shared" si="105"/>
        <v>sem descrição</v>
      </c>
      <c r="K497" s="69" t="str">
        <f t="shared" ref="K497:K502" si="109">IF(C497="mensal",J497*H497*E497,IF(C497="trimestral",(J497*H497*E497)/3,IF(C497="semestral",(J497*H497*E497)/6,IF(C497="anual",(J497*H497*E497/12),"informar entrega"))))</f>
        <v>informar entrega</v>
      </c>
      <c r="L497" s="69">
        <f t="shared" si="106"/>
        <v>0</v>
      </c>
      <c r="M497" s="69">
        <f t="shared" si="107"/>
        <v>0</v>
      </c>
    </row>
    <row r="498" spans="1:13" s="61" customFormat="1" ht="20.25" hidden="1" customHeight="1" x14ac:dyDescent="0.25">
      <c r="A498" s="67" t="s">
        <v>129</v>
      </c>
      <c r="B498" s="68"/>
      <c r="C498" s="69"/>
      <c r="D498" s="69"/>
      <c r="E498" s="222"/>
      <c r="F498" s="222"/>
      <c r="G498" s="68"/>
      <c r="H498" s="70"/>
      <c r="I498" s="70"/>
      <c r="J498" s="71" t="str">
        <f t="shared" si="105"/>
        <v>sem descrição</v>
      </c>
      <c r="K498" s="69" t="str">
        <f t="shared" si="109"/>
        <v>informar entrega</v>
      </c>
      <c r="L498" s="69">
        <f t="shared" si="106"/>
        <v>0</v>
      </c>
      <c r="M498" s="69">
        <f t="shared" si="107"/>
        <v>0</v>
      </c>
    </row>
    <row r="499" spans="1:13" s="61" customFormat="1" ht="20.25" hidden="1" customHeight="1" x14ac:dyDescent="0.25">
      <c r="A499" s="67" t="s">
        <v>131</v>
      </c>
      <c r="B499" s="68"/>
      <c r="C499" s="69"/>
      <c r="D499" s="69"/>
      <c r="E499" s="222"/>
      <c r="F499" s="222"/>
      <c r="G499" s="68"/>
      <c r="H499" s="70"/>
      <c r="I499" s="70"/>
      <c r="J499" s="71" t="str">
        <f t="shared" si="105"/>
        <v>sem descrição</v>
      </c>
      <c r="K499" s="69" t="str">
        <f t="shared" si="109"/>
        <v>informar entrega</v>
      </c>
      <c r="L499" s="69">
        <f t="shared" si="106"/>
        <v>0</v>
      </c>
      <c r="M499" s="69">
        <f t="shared" si="107"/>
        <v>0</v>
      </c>
    </row>
    <row r="500" spans="1:13" s="61" customFormat="1" ht="20.25" hidden="1" customHeight="1" x14ac:dyDescent="0.25">
      <c r="A500" s="67" t="s">
        <v>188</v>
      </c>
      <c r="B500" s="68"/>
      <c r="C500" s="69"/>
      <c r="D500" s="69"/>
      <c r="E500" s="222"/>
      <c r="F500" s="222"/>
      <c r="G500" s="68"/>
      <c r="H500" s="70"/>
      <c r="I500" s="70"/>
      <c r="J500" s="71" t="str">
        <f t="shared" si="105"/>
        <v>sem descrição</v>
      </c>
      <c r="K500" s="69" t="str">
        <f t="shared" si="109"/>
        <v>informar entrega</v>
      </c>
      <c r="L500" s="69">
        <f t="shared" si="106"/>
        <v>0</v>
      </c>
      <c r="M500" s="69">
        <f t="shared" si="107"/>
        <v>0</v>
      </c>
    </row>
    <row r="501" spans="1:13" s="61" customFormat="1" ht="20.25" hidden="1" customHeight="1" x14ac:dyDescent="0.25">
      <c r="A501" s="67" t="s">
        <v>192</v>
      </c>
      <c r="B501" s="68"/>
      <c r="C501" s="69"/>
      <c r="D501" s="69"/>
      <c r="E501" s="222"/>
      <c r="F501" s="222"/>
      <c r="G501" s="68"/>
      <c r="H501" s="70"/>
      <c r="I501" s="70"/>
      <c r="J501" s="71" t="str">
        <f t="shared" si="105"/>
        <v>sem descrição</v>
      </c>
      <c r="K501" s="69" t="str">
        <f t="shared" si="109"/>
        <v>informar entrega</v>
      </c>
      <c r="L501" s="69">
        <f t="shared" si="106"/>
        <v>0</v>
      </c>
      <c r="M501" s="69">
        <f t="shared" si="107"/>
        <v>0</v>
      </c>
    </row>
    <row r="502" spans="1:13" s="61" customFormat="1" ht="20.25" hidden="1" customHeight="1" x14ac:dyDescent="0.25">
      <c r="A502" s="67" t="s">
        <v>195</v>
      </c>
      <c r="B502" s="68"/>
      <c r="C502" s="69"/>
      <c r="D502" s="69"/>
      <c r="E502" s="222"/>
      <c r="F502" s="222"/>
      <c r="G502" s="68"/>
      <c r="H502" s="70"/>
      <c r="I502" s="70"/>
      <c r="J502" s="71" t="str">
        <f t="shared" si="105"/>
        <v>sem descrição</v>
      </c>
      <c r="K502" s="69" t="str">
        <f t="shared" si="109"/>
        <v>informar entrega</v>
      </c>
      <c r="L502" s="69">
        <f t="shared" si="106"/>
        <v>0</v>
      </c>
      <c r="M502" s="69">
        <f t="shared" si="107"/>
        <v>0</v>
      </c>
    </row>
    <row r="503" spans="1:13" s="61" customFormat="1" ht="20.25" hidden="1" customHeight="1" x14ac:dyDescent="0.25">
      <c r="A503" s="67" t="s">
        <v>199</v>
      </c>
      <c r="B503" s="68"/>
      <c r="C503" s="69"/>
      <c r="D503" s="69"/>
      <c r="E503" s="222"/>
      <c r="F503" s="222"/>
      <c r="G503" s="68"/>
      <c r="H503" s="70"/>
      <c r="I503" s="70"/>
      <c r="J503" s="71" t="str">
        <f t="shared" si="105"/>
        <v>sem descrição</v>
      </c>
      <c r="K503" s="69" t="str">
        <f>IF(C503="mensal",J503*H503*E503,IF(C503="trimestral",(J503*H503*E503)/3,IF(C503="semestral",(J503*H503*E503)/6,IF(C503="anual",(J503*H503*E503/12),"informar período"))))</f>
        <v>informar período</v>
      </c>
      <c r="L503" s="69">
        <f t="shared" si="106"/>
        <v>0</v>
      </c>
      <c r="M503" s="69">
        <f t="shared" si="107"/>
        <v>0</v>
      </c>
    </row>
    <row r="504" spans="1:13" s="61" customFormat="1" ht="20.25" customHeight="1" x14ac:dyDescent="0.25">
      <c r="A504" s="152" t="s">
        <v>320</v>
      </c>
      <c r="B504" s="147"/>
      <c r="C504" s="147"/>
      <c r="D504" s="147"/>
      <c r="E504" s="147"/>
      <c r="F504" s="147"/>
      <c r="G504" s="147"/>
      <c r="H504" s="147"/>
      <c r="I504" s="139"/>
      <c r="J504" s="155"/>
      <c r="K504" s="156">
        <f>SUM(K486:K503)</f>
        <v>0</v>
      </c>
      <c r="L504" s="157">
        <f>K504*12</f>
        <v>0</v>
      </c>
      <c r="M504" s="158">
        <f>K504*60</f>
        <v>0</v>
      </c>
    </row>
    <row r="505" spans="1:13" s="61" customFormat="1" ht="20.25" customHeight="1" x14ac:dyDescent="0.25">
      <c r="A505" s="152" t="s">
        <v>302</v>
      </c>
      <c r="B505" s="147"/>
      <c r="C505" s="147"/>
      <c r="D505" s="147"/>
      <c r="E505" s="147"/>
      <c r="F505" s="147"/>
      <c r="G505" s="147"/>
      <c r="H505" s="147"/>
      <c r="I505" s="147"/>
      <c r="J505" s="147"/>
      <c r="K505" s="147"/>
      <c r="L505" s="147"/>
      <c r="M505" s="159">
        <f>K504/SUM(C482:M484)</f>
        <v>0</v>
      </c>
    </row>
    <row r="506" spans="1:13" s="61" customFormat="1" ht="20.25" customHeight="1" x14ac:dyDescent="0.25">
      <c r="C506" s="28"/>
      <c r="D506" s="28"/>
      <c r="E506" s="28"/>
      <c r="F506" s="28"/>
      <c r="G506" s="28"/>
    </row>
  </sheetData>
  <sheetProtection sheet="1" objects="1" scenarios="1"/>
  <dataValidations count="5">
    <dataValidation type="list" allowBlank="1" showInputMessage="1" showErrorMessage="1" sqref="D11:D20 D36:D45 D61:D69 D311:D319 D111:D118 D136:D143 D161:D168 D186:D193 D211:D219 D236:D243 D261:D277 D286:D293 D486:D496 D336:D343 D361:D368 D386:D393 D411:D418 D436:D443 D461:D468 D86:D93">
      <formula1>"pessoal, descartável, coletivo"</formula1>
    </dataValidation>
    <dataValidation type="list" allowBlank="1" showInputMessage="1" showErrorMessage="1" sqref="C61">
      <formula1>"mensal, trimestral, semestral, anual, bianual"</formula1>
    </dataValidation>
    <dataValidation type="list" allowBlank="1" showInputMessage="1" showErrorMessage="1" sqref="C11:C20 C315">
      <formula1>"mensal, trimestral, quadrimestral, semestral, anual, bianual"</formula1>
    </dataValidation>
    <dataValidation type="list" allowBlank="1" showInputMessage="1" showErrorMessage="1" sqref="G11:G27 G36:G52 G61:G77 G86:G102 G461:G477 G111:G127 G136:G152 G161:G177 G186:G202 G211:G227 G236:G252 G261:G277 G286:G302 G486:G503 G336:G352 G361:G377 G386:G402 G411:G427 G436:G452 G311:G327">
      <formula1>"par, unidade, caixa, pacote"</formula1>
    </dataValidation>
    <dataValidation type="list" allowBlank="1" showInputMessage="1" showErrorMessage="1" sqref="D444:D452 D419:D427 D469:D477 D394:D402 D46:D52 D497:D503 D94:D102 D119:D127 D144:D152 D169:D177 D194:D202 D220:D227 D244:D252 D70:D77 D294:D302 D320:D327 D344:D352 D369:D377 C21:D27 C316:C327 C62:C77 C36:C52 C86:C102 C111:C127 C136:C152 C161:C177 C186:C202 C211:C227 C236:C252 C261:C277 C286:C302 C336:C352 C361:C377 C386:C402 C411:C427 C436:C452 C461:C477 C486:C503 C311:C314">
      <formula1>"mensal, trimestral, semestral, anual"</formula1>
    </dataValidation>
  </dataValidations>
  <printOptions horizontalCentered="1"/>
  <pageMargins left="0.62992125984251968" right="0.62992125984251968" top="0.19685039370078741" bottom="0.19685039370078741" header="0" footer="0"/>
  <pageSetup paperSize="9" scale="53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9900"/>
    <pageSetUpPr fitToPage="1"/>
  </sheetPr>
  <dimension ref="A1:N506"/>
  <sheetViews>
    <sheetView showGridLines="0" zoomScale="85" zoomScaleNormal="85" workbookViewId="0">
      <selection activeCell="D164" sqref="D164"/>
    </sheetView>
  </sheetViews>
  <sheetFormatPr defaultColWidth="15" defaultRowHeight="20.25" customHeight="1" x14ac:dyDescent="0.25"/>
  <cols>
    <col min="1" max="1" width="5.85546875" style="1" customWidth="1"/>
    <col min="2" max="2" width="61.7109375" style="1" customWidth="1"/>
    <col min="3" max="7" width="15.42578125" style="220" customWidth="1"/>
    <col min="8" max="9" width="15.42578125" style="1" customWidth="1"/>
    <col min="10" max="10" width="15" style="1" customWidth="1"/>
    <col min="11" max="13" width="19.28515625" style="1" customWidth="1"/>
    <col min="14" max="14" width="1.5703125" style="1" customWidth="1"/>
    <col min="15" max="16384" width="15" style="1"/>
  </cols>
  <sheetData>
    <row r="1" spans="1:14" ht="20.25" customHeight="1" x14ac:dyDescent="0.25">
      <c r="A1" s="236" t="s">
        <v>16</v>
      </c>
      <c r="B1" s="3"/>
      <c r="C1" s="209"/>
      <c r="D1" s="209"/>
      <c r="E1" s="209"/>
      <c r="F1" s="209"/>
      <c r="G1" s="209"/>
      <c r="H1" s="3"/>
      <c r="I1" s="3"/>
      <c r="J1" s="3"/>
      <c r="K1" s="3"/>
      <c r="L1" s="3"/>
      <c r="M1" s="3"/>
      <c r="N1" s="7"/>
    </row>
    <row r="2" spans="1:14" ht="20.25" customHeight="1" x14ac:dyDescent="0.25">
      <c r="A2" s="4" t="s">
        <v>17</v>
      </c>
      <c r="B2" s="141"/>
      <c r="C2" s="210"/>
      <c r="D2" s="210"/>
      <c r="E2" s="210"/>
      <c r="F2" s="210"/>
      <c r="G2" s="210"/>
      <c r="H2" s="141"/>
      <c r="I2" s="141"/>
      <c r="J2" s="141"/>
      <c r="K2" s="141"/>
      <c r="L2" s="141"/>
      <c r="M2" s="141"/>
      <c r="N2" s="7"/>
    </row>
    <row r="3" spans="1:14" ht="20.25" customHeight="1" x14ac:dyDescent="0.25">
      <c r="A3" s="150" t="s">
        <v>272</v>
      </c>
      <c r="B3" s="142"/>
      <c r="C3" s="211"/>
      <c r="D3" s="211"/>
      <c r="E3" s="211"/>
      <c r="F3" s="211"/>
      <c r="G3" s="211"/>
      <c r="H3" s="142"/>
      <c r="I3" s="142"/>
      <c r="J3" s="142"/>
      <c r="K3" s="142"/>
      <c r="L3" s="142"/>
      <c r="M3" s="142"/>
      <c r="N3" s="7"/>
    </row>
    <row r="4" spans="1:14" s="61" customFormat="1" ht="20.25" customHeight="1" x14ac:dyDescent="0.25">
      <c r="A4" s="151"/>
      <c r="B4" s="60"/>
      <c r="C4" s="212"/>
      <c r="D4" s="212"/>
      <c r="E4" s="212"/>
      <c r="F4" s="212"/>
      <c r="G4" s="212"/>
      <c r="H4" s="60"/>
      <c r="I4" s="60"/>
      <c r="J4" s="60"/>
      <c r="K4" s="60"/>
      <c r="L4" s="60"/>
      <c r="M4" s="60"/>
      <c r="N4" s="45"/>
    </row>
    <row r="5" spans="1:14" s="61" customFormat="1" ht="20.25" hidden="1" customHeight="1" x14ac:dyDescent="0.25">
      <c r="A5" s="235" t="s">
        <v>273</v>
      </c>
      <c r="B5" s="143" t="s">
        <v>19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4"/>
    </row>
    <row r="6" spans="1:14" s="61" customFormat="1" ht="20.25" hidden="1" customHeight="1" x14ac:dyDescent="0.25">
      <c r="A6" s="62">
        <v>1</v>
      </c>
      <c r="B6" s="63" t="s">
        <v>274</v>
      </c>
      <c r="C6" s="213" t="s">
        <v>161</v>
      </c>
      <c r="D6" s="214"/>
      <c r="E6" s="214"/>
      <c r="F6" s="214"/>
      <c r="G6" s="214"/>
      <c r="H6" s="148"/>
      <c r="I6" s="148"/>
      <c r="J6" s="148"/>
      <c r="K6" s="148"/>
      <c r="L6" s="148"/>
      <c r="M6" s="149"/>
    </row>
    <row r="7" spans="1:14" s="61" customFormat="1" ht="20.25" hidden="1" customHeight="1" x14ac:dyDescent="0.25">
      <c r="A7" s="62"/>
      <c r="B7" s="63"/>
      <c r="C7" s="215">
        <v>0</v>
      </c>
      <c r="D7" s="215"/>
      <c r="E7" s="215"/>
      <c r="F7" s="215"/>
      <c r="G7" s="215"/>
      <c r="H7" s="144"/>
      <c r="I7" s="144"/>
      <c r="J7" s="144"/>
      <c r="K7" s="144"/>
      <c r="L7" s="144"/>
      <c r="M7" s="144"/>
    </row>
    <row r="8" spans="1:14" s="61" customFormat="1" ht="20.25" hidden="1" customHeight="1" x14ac:dyDescent="0.25">
      <c r="A8" s="62">
        <v>2</v>
      </c>
      <c r="B8" s="63" t="str">
        <f>'planilha - proposta'!D17</f>
        <v>Eletrotécnico - 12x36n</v>
      </c>
      <c r="C8" s="216">
        <v>0</v>
      </c>
      <c r="D8" s="217"/>
      <c r="E8" s="217"/>
      <c r="F8" s="217"/>
      <c r="G8" s="217"/>
      <c r="H8" s="145"/>
      <c r="I8" s="145"/>
      <c r="J8" s="145"/>
      <c r="K8" s="145"/>
      <c r="L8" s="145"/>
      <c r="M8" s="146"/>
    </row>
    <row r="9" spans="1:14" s="61" customFormat="1" ht="20.25" hidden="1" customHeight="1" x14ac:dyDescent="0.25">
      <c r="A9" s="62">
        <v>3</v>
      </c>
      <c r="B9" s="63" t="str">
        <f>'planilha - proposta'!D18</f>
        <v>Eletrotécnico - 44h</v>
      </c>
      <c r="C9" s="216">
        <v>0</v>
      </c>
      <c r="D9" s="217"/>
      <c r="E9" s="217"/>
      <c r="F9" s="217"/>
      <c r="G9" s="217"/>
      <c r="H9" s="145"/>
      <c r="I9" s="145"/>
      <c r="J9" s="145"/>
      <c r="K9" s="145"/>
      <c r="L9" s="145"/>
      <c r="M9" s="146"/>
    </row>
    <row r="10" spans="1:14" s="61" customFormat="1" ht="52.5" hidden="1" customHeight="1" x14ac:dyDescent="0.25">
      <c r="A10" s="64" t="s">
        <v>273</v>
      </c>
      <c r="B10" s="65" t="s">
        <v>275</v>
      </c>
      <c r="C10" s="218" t="s">
        <v>276</v>
      </c>
      <c r="D10" s="218" t="s">
        <v>277</v>
      </c>
      <c r="E10" s="218" t="s">
        <v>278</v>
      </c>
      <c r="F10" s="218" t="s">
        <v>279</v>
      </c>
      <c r="G10" s="223" t="s">
        <v>280</v>
      </c>
      <c r="H10" s="65" t="s">
        <v>281</v>
      </c>
      <c r="I10" s="66" t="s">
        <v>282</v>
      </c>
      <c r="J10" s="66" t="s">
        <v>283</v>
      </c>
      <c r="K10" s="65" t="s">
        <v>284</v>
      </c>
      <c r="L10" s="65" t="s">
        <v>285</v>
      </c>
      <c r="M10" s="66" t="s">
        <v>286</v>
      </c>
    </row>
    <row r="11" spans="1:14" s="61" customFormat="1" ht="20.25" hidden="1" customHeight="1" x14ac:dyDescent="0.25">
      <c r="A11" s="67" t="s">
        <v>108</v>
      </c>
      <c r="B11" s="68" t="s">
        <v>287</v>
      </c>
      <c r="C11" s="69" t="s">
        <v>288</v>
      </c>
      <c r="D11" s="69" t="s">
        <v>289</v>
      </c>
      <c r="E11" s="222">
        <f>3*26</f>
        <v>78</v>
      </c>
      <c r="F11" s="222">
        <v>0</v>
      </c>
      <c r="G11" s="68" t="s">
        <v>290</v>
      </c>
      <c r="H11" s="70">
        <f>VLOOKUP(B11,custoEPI!$B$6:$E$29,4,FALSE)</f>
        <v>0</v>
      </c>
      <c r="I11" s="71">
        <f>SUM($C$7:$M$9)</f>
        <v>0</v>
      </c>
      <c r="J11" s="71">
        <f t="shared" ref="J11:J27" si="0">IF(B11="","sem descrição",IF($C$7&gt;=$C$8,IF($C$9&gt;0,$C$7/2+$C$9,$C$7/2),IF($C$9&gt;0,$C$8/5+$C$9,$C$9)))</f>
        <v>0</v>
      </c>
      <c r="K11" s="69">
        <f>IF(C11="mensal",IF(F11&gt;0,F11*H11,IF(D11="descartável",((SUM(C7:C8)/2)+C9)*E11*H11,IF(D11="pessoal",E11*H11*I11,E11*H11*J11))),0)+IF(C11="trimestral",IF(F11&gt;0,F11*H11/3,IF(D11="descartável",(((SUM(C7:C8)/2)+C9)*E11*H11)/3,IF(D11="pessoal",(E11*H11*I11)/3,(E11*H11*J11)/3))),0)+IF(C11="semestral",IF(F11&gt;0,F11*H11/6,IF(D11="descartável",(((SUM(C7:C8)/2)+C9)*E11*H11)/6,IF(D11="pessoal",(E11*H11*I11)/6,(E11*H11*J11)/6))),0)+IF(C11="anual",IF(F11&gt;0,F11*H11/12,IF(D11="descartável",(((SUM(C7:C8)/2)+C9)*E11*H11)/12,IF(D11="pessoal",(E11*H11*I11)/12,(E11*H11*J11)/12))),0)</f>
        <v>0</v>
      </c>
      <c r="L11" s="69">
        <f>IFERROR(K11*12, 0)</f>
        <v>0</v>
      </c>
      <c r="M11" s="69">
        <f>IFERROR(K11*60,0)</f>
        <v>0</v>
      </c>
    </row>
    <row r="12" spans="1:14" s="61" customFormat="1" ht="20.25" hidden="1" customHeight="1" x14ac:dyDescent="0.25">
      <c r="A12" s="67" t="s">
        <v>110</v>
      </c>
      <c r="B12" s="68" t="s">
        <v>291</v>
      </c>
      <c r="C12" s="69" t="s">
        <v>288</v>
      </c>
      <c r="D12" s="69" t="s">
        <v>292</v>
      </c>
      <c r="E12" s="222">
        <v>2</v>
      </c>
      <c r="F12" s="222">
        <v>0</v>
      </c>
      <c r="G12" s="68" t="s">
        <v>290</v>
      </c>
      <c r="H12" s="70">
        <f>VLOOKUP(B12,custoEPI!$B$6:$E$29,4,FALSE)</f>
        <v>0</v>
      </c>
      <c r="I12" s="71">
        <f t="shared" ref="I12:I20" si="1">SUM($C$7:$M$9)</f>
        <v>0</v>
      </c>
      <c r="J12" s="71">
        <f t="shared" si="0"/>
        <v>0</v>
      </c>
      <c r="K12" s="69">
        <f t="shared" ref="K12:K20" si="2">IF(C12="mensal",IF(F12&gt;0,F12*H12,IF(D12="descartável",((SUM($C$7:$C$8)/2)+$C$9)*E12*H12,IF(D12="pessoal",E12*H12*I12,E12*H12*J12))),0)+IF(C12="trimestral",IF(F12&gt;0,F12*H12/3,IF(D12="descartável",(((SUM($C$7:$C$8)/2)+$C$9)*E12*H12)/3,IF(D12="pessoal",(E12*H12*I12)/3,(E12*H12*J12)/3))),0)+IF(C12="semestral",IF(F12&gt;0,F12*H12/6,IF(D12="descartável",(((SUM($C$7:$C$8)/2)+$C$9)*E12*H12)/6,IF(D12="pessoal",(E12*H12*I12)/6,(E12*H12*J12)/6))),0)+IF(C12="anual",IF(F12&gt;0,F12*H12/12,IF(D12="descartável",(((SUM($C$7:$C$8)/2)+$C$9)*E12*H12)/12,IF(D12="pessoal",(E12*H12*I12)/12,(E12*H12*J12)/12))),0)</f>
        <v>0</v>
      </c>
      <c r="L12" s="69">
        <f t="shared" ref="L12:L27" si="3">IFERROR(K12*12, 0)</f>
        <v>0</v>
      </c>
      <c r="M12" s="69">
        <f t="shared" ref="M12:M27" si="4">IFERROR(K12*60,0)</f>
        <v>0</v>
      </c>
    </row>
    <row r="13" spans="1:14" s="61" customFormat="1" ht="20.25" hidden="1" customHeight="1" x14ac:dyDescent="0.25">
      <c r="A13" s="67" t="s">
        <v>111</v>
      </c>
      <c r="B13" s="68" t="s">
        <v>293</v>
      </c>
      <c r="C13" s="69" t="s">
        <v>288</v>
      </c>
      <c r="D13" s="69" t="s">
        <v>289</v>
      </c>
      <c r="E13" s="222">
        <v>26</v>
      </c>
      <c r="F13" s="222">
        <v>0</v>
      </c>
      <c r="G13" s="68" t="s">
        <v>290</v>
      </c>
      <c r="H13" s="70">
        <f>VLOOKUP(B13,custoEPI!$B$6:$E$29,4,FALSE)</f>
        <v>0</v>
      </c>
      <c r="I13" s="71">
        <f t="shared" si="1"/>
        <v>0</v>
      </c>
      <c r="J13" s="71">
        <f t="shared" si="0"/>
        <v>0</v>
      </c>
      <c r="K13" s="69">
        <f t="shared" si="2"/>
        <v>0</v>
      </c>
      <c r="L13" s="69">
        <f t="shared" si="3"/>
        <v>0</v>
      </c>
      <c r="M13" s="69">
        <f t="shared" si="4"/>
        <v>0</v>
      </c>
    </row>
    <row r="14" spans="1:14" s="61" customFormat="1" ht="20.25" hidden="1" customHeight="1" x14ac:dyDescent="0.25">
      <c r="A14" s="67"/>
      <c r="B14" s="68"/>
      <c r="C14" s="69"/>
      <c r="D14" s="69"/>
      <c r="E14" s="222"/>
      <c r="F14" s="222"/>
      <c r="G14" s="68"/>
      <c r="H14" s="70" t="e">
        <f>VLOOKUP(B14,custoEPI!$B$6:$E$29,4,FALSE)</f>
        <v>#N/A</v>
      </c>
      <c r="I14" s="71">
        <f t="shared" si="1"/>
        <v>0</v>
      </c>
      <c r="J14" s="71" t="str">
        <f t="shared" si="0"/>
        <v>sem descrição</v>
      </c>
      <c r="K14" s="69">
        <f t="shared" si="2"/>
        <v>0</v>
      </c>
      <c r="L14" s="69">
        <f t="shared" si="3"/>
        <v>0</v>
      </c>
      <c r="M14" s="69">
        <f t="shared" si="4"/>
        <v>0</v>
      </c>
    </row>
    <row r="15" spans="1:14" s="61" customFormat="1" ht="20.25" hidden="1" customHeight="1" x14ac:dyDescent="0.25">
      <c r="A15" s="67" t="s">
        <v>113</v>
      </c>
      <c r="B15" s="68" t="s">
        <v>294</v>
      </c>
      <c r="C15" s="69" t="s">
        <v>288</v>
      </c>
      <c r="D15" s="69" t="s">
        <v>289</v>
      </c>
      <c r="E15" s="222">
        <f>100/4</f>
        <v>25</v>
      </c>
      <c r="F15" s="222">
        <v>0</v>
      </c>
      <c r="G15" s="68" t="s">
        <v>290</v>
      </c>
      <c r="H15" s="70">
        <f>VLOOKUP(B15,custoEPI!$B$6:$E$29,4,FALSE)</f>
        <v>0</v>
      </c>
      <c r="I15" s="71">
        <f t="shared" si="1"/>
        <v>0</v>
      </c>
      <c r="J15" s="71">
        <f t="shared" si="0"/>
        <v>0</v>
      </c>
      <c r="K15" s="69">
        <f t="shared" si="2"/>
        <v>0</v>
      </c>
      <c r="L15" s="69">
        <f t="shared" si="3"/>
        <v>0</v>
      </c>
      <c r="M15" s="69">
        <f t="shared" si="4"/>
        <v>0</v>
      </c>
    </row>
    <row r="16" spans="1:14" s="61" customFormat="1" ht="20.25" hidden="1" customHeight="1" x14ac:dyDescent="0.25">
      <c r="A16" s="67" t="s">
        <v>114</v>
      </c>
      <c r="B16" s="68" t="s">
        <v>295</v>
      </c>
      <c r="C16" s="69" t="s">
        <v>296</v>
      </c>
      <c r="D16" s="69" t="s">
        <v>292</v>
      </c>
      <c r="E16" s="222">
        <v>1</v>
      </c>
      <c r="F16" s="222">
        <v>0</v>
      </c>
      <c r="G16" s="68" t="s">
        <v>290</v>
      </c>
      <c r="H16" s="70">
        <f>VLOOKUP(B16,custoEPI!$B$6:$E$29,4,FALSE)</f>
        <v>0</v>
      </c>
      <c r="I16" s="71">
        <f t="shared" si="1"/>
        <v>0</v>
      </c>
      <c r="J16" s="71">
        <f t="shared" si="0"/>
        <v>0</v>
      </c>
      <c r="K16" s="69">
        <f t="shared" si="2"/>
        <v>0</v>
      </c>
      <c r="L16" s="69">
        <f t="shared" si="3"/>
        <v>0</v>
      </c>
      <c r="M16" s="69">
        <f t="shared" si="4"/>
        <v>0</v>
      </c>
    </row>
    <row r="17" spans="1:13" s="61" customFormat="1" ht="20.25" hidden="1" customHeight="1" x14ac:dyDescent="0.25">
      <c r="A17" s="67" t="s">
        <v>116</v>
      </c>
      <c r="B17" s="68"/>
      <c r="C17" s="69"/>
      <c r="D17" s="69"/>
      <c r="E17" s="222"/>
      <c r="F17" s="222"/>
      <c r="G17" s="68"/>
      <c r="H17" s="70" t="e">
        <f>VLOOKUP(B17,custoEPI!$B$6:$E$29,4,FALSE)</f>
        <v>#N/A</v>
      </c>
      <c r="I17" s="71">
        <f t="shared" si="1"/>
        <v>0</v>
      </c>
      <c r="J17" s="71" t="str">
        <f t="shared" si="0"/>
        <v>sem descrição</v>
      </c>
      <c r="K17" s="69">
        <f t="shared" si="2"/>
        <v>0</v>
      </c>
      <c r="L17" s="69">
        <f t="shared" si="3"/>
        <v>0</v>
      </c>
      <c r="M17" s="69">
        <f t="shared" si="4"/>
        <v>0</v>
      </c>
    </row>
    <row r="18" spans="1:13" s="61" customFormat="1" ht="20.25" hidden="1" customHeight="1" x14ac:dyDescent="0.25">
      <c r="A18" s="67"/>
      <c r="B18" s="68"/>
      <c r="C18" s="69"/>
      <c r="D18" s="69"/>
      <c r="E18" s="222"/>
      <c r="F18" s="222"/>
      <c r="G18" s="68"/>
      <c r="H18" s="70" t="e">
        <f>VLOOKUP(B18,custoEPI!$B$6:$E$29,4,FALSE)</f>
        <v>#N/A</v>
      </c>
      <c r="I18" s="71">
        <f t="shared" si="1"/>
        <v>0</v>
      </c>
      <c r="J18" s="71" t="str">
        <f t="shared" si="0"/>
        <v>sem descrição</v>
      </c>
      <c r="K18" s="69">
        <f t="shared" si="2"/>
        <v>0</v>
      </c>
      <c r="L18" s="69">
        <f t="shared" si="3"/>
        <v>0</v>
      </c>
      <c r="M18" s="69">
        <f t="shared" si="4"/>
        <v>0</v>
      </c>
    </row>
    <row r="19" spans="1:13" s="61" customFormat="1" ht="20.25" hidden="1" customHeight="1" x14ac:dyDescent="0.25">
      <c r="A19" s="67" t="s">
        <v>115</v>
      </c>
      <c r="B19" s="68" t="s">
        <v>297</v>
      </c>
      <c r="C19" s="69" t="s">
        <v>298</v>
      </c>
      <c r="D19" s="69" t="s">
        <v>292</v>
      </c>
      <c r="E19" s="222">
        <v>1</v>
      </c>
      <c r="F19" s="222">
        <v>0</v>
      </c>
      <c r="G19" s="68" t="s">
        <v>290</v>
      </c>
      <c r="H19" s="70">
        <f>VLOOKUP(B19,custoEPI!$B$6:$E$29,4,FALSE)</f>
        <v>0</v>
      </c>
      <c r="I19" s="71">
        <f t="shared" si="1"/>
        <v>0</v>
      </c>
      <c r="J19" s="71">
        <f t="shared" si="0"/>
        <v>0</v>
      </c>
      <c r="K19" s="69">
        <f t="shared" si="2"/>
        <v>0</v>
      </c>
      <c r="L19" s="69">
        <f t="shared" si="3"/>
        <v>0</v>
      </c>
      <c r="M19" s="69">
        <f t="shared" si="4"/>
        <v>0</v>
      </c>
    </row>
    <row r="20" spans="1:13" s="61" customFormat="1" ht="20.25" hidden="1" customHeight="1" x14ac:dyDescent="0.25">
      <c r="A20" s="67" t="s">
        <v>116</v>
      </c>
      <c r="B20" s="68" t="s">
        <v>299</v>
      </c>
      <c r="C20" s="69" t="s">
        <v>300</v>
      </c>
      <c r="D20" s="69" t="s">
        <v>292</v>
      </c>
      <c r="E20" s="222">
        <v>2</v>
      </c>
      <c r="F20" s="222">
        <v>0</v>
      </c>
      <c r="G20" s="68" t="s">
        <v>290</v>
      </c>
      <c r="H20" s="70">
        <f>VLOOKUP(B20,custoEPI!$B$6:$E$29,4,FALSE)</f>
        <v>0</v>
      </c>
      <c r="I20" s="71">
        <f t="shared" si="1"/>
        <v>0</v>
      </c>
      <c r="J20" s="71">
        <f t="shared" si="0"/>
        <v>0</v>
      </c>
      <c r="K20" s="69">
        <f t="shared" si="2"/>
        <v>0</v>
      </c>
      <c r="L20" s="69">
        <f t="shared" si="3"/>
        <v>0</v>
      </c>
      <c r="M20" s="69">
        <f t="shared" si="4"/>
        <v>0</v>
      </c>
    </row>
    <row r="21" spans="1:13" s="61" customFormat="1" ht="20.25" hidden="1" customHeight="1" x14ac:dyDescent="0.25">
      <c r="A21" s="67"/>
      <c r="B21" s="68"/>
      <c r="C21" s="69"/>
      <c r="D21" s="69"/>
      <c r="E21" s="222"/>
      <c r="F21" s="222"/>
      <c r="G21" s="68"/>
      <c r="H21" s="70"/>
      <c r="I21" s="70"/>
      <c r="J21" s="71" t="str">
        <f t="shared" si="0"/>
        <v>sem descrição</v>
      </c>
      <c r="K21" s="69" t="str">
        <f t="shared" ref="K21:K26" si="5">IF(C21="mensal",J21*H21*E21,IF(C21="trimestral",(J21*H21*E21)/3,IF(C21="semestral",(J21*H21*E21)/6,IF(C21="anual",(J21*H21*E21/12),"informar entrega"))))</f>
        <v>informar entrega</v>
      </c>
      <c r="L21" s="69">
        <f t="shared" si="3"/>
        <v>0</v>
      </c>
      <c r="M21" s="69">
        <f t="shared" si="4"/>
        <v>0</v>
      </c>
    </row>
    <row r="22" spans="1:13" s="61" customFormat="1" ht="20.25" hidden="1" customHeight="1" x14ac:dyDescent="0.25">
      <c r="A22" s="67" t="s">
        <v>129</v>
      </c>
      <c r="B22" s="68"/>
      <c r="C22" s="69"/>
      <c r="D22" s="69"/>
      <c r="E22" s="222"/>
      <c r="F22" s="222"/>
      <c r="G22" s="68"/>
      <c r="H22" s="70"/>
      <c r="I22" s="70"/>
      <c r="J22" s="71" t="str">
        <f t="shared" si="0"/>
        <v>sem descrição</v>
      </c>
      <c r="K22" s="69" t="str">
        <f t="shared" si="5"/>
        <v>informar entrega</v>
      </c>
      <c r="L22" s="69">
        <f t="shared" si="3"/>
        <v>0</v>
      </c>
      <c r="M22" s="69">
        <f t="shared" si="4"/>
        <v>0</v>
      </c>
    </row>
    <row r="23" spans="1:13" s="61" customFormat="1" ht="20.25" hidden="1" customHeight="1" x14ac:dyDescent="0.25">
      <c r="A23" s="67" t="s">
        <v>131</v>
      </c>
      <c r="B23" s="68"/>
      <c r="C23" s="69"/>
      <c r="D23" s="69"/>
      <c r="E23" s="222"/>
      <c r="F23" s="222"/>
      <c r="G23" s="68"/>
      <c r="H23" s="70"/>
      <c r="I23" s="70"/>
      <c r="J23" s="71" t="str">
        <f t="shared" si="0"/>
        <v>sem descrição</v>
      </c>
      <c r="K23" s="69" t="str">
        <f t="shared" si="5"/>
        <v>informar entrega</v>
      </c>
      <c r="L23" s="69">
        <f t="shared" si="3"/>
        <v>0</v>
      </c>
      <c r="M23" s="69">
        <f t="shared" si="4"/>
        <v>0</v>
      </c>
    </row>
    <row r="24" spans="1:13" s="61" customFormat="1" ht="20.25" hidden="1" customHeight="1" x14ac:dyDescent="0.25">
      <c r="A24" s="67" t="s">
        <v>188</v>
      </c>
      <c r="B24" s="68"/>
      <c r="C24" s="69"/>
      <c r="D24" s="69"/>
      <c r="E24" s="222"/>
      <c r="F24" s="222"/>
      <c r="G24" s="68"/>
      <c r="H24" s="70"/>
      <c r="I24" s="70"/>
      <c r="J24" s="71" t="str">
        <f t="shared" si="0"/>
        <v>sem descrição</v>
      </c>
      <c r="K24" s="69" t="str">
        <f t="shared" si="5"/>
        <v>informar entrega</v>
      </c>
      <c r="L24" s="69">
        <f t="shared" si="3"/>
        <v>0</v>
      </c>
      <c r="M24" s="69">
        <f t="shared" si="4"/>
        <v>0</v>
      </c>
    </row>
    <row r="25" spans="1:13" s="61" customFormat="1" ht="20.25" hidden="1" customHeight="1" x14ac:dyDescent="0.25">
      <c r="A25" s="67" t="s">
        <v>192</v>
      </c>
      <c r="B25" s="68"/>
      <c r="C25" s="69"/>
      <c r="D25" s="69"/>
      <c r="E25" s="222"/>
      <c r="F25" s="222"/>
      <c r="G25" s="68"/>
      <c r="H25" s="70"/>
      <c r="I25" s="70"/>
      <c r="J25" s="71" t="str">
        <f t="shared" si="0"/>
        <v>sem descrição</v>
      </c>
      <c r="K25" s="69" t="str">
        <f t="shared" si="5"/>
        <v>informar entrega</v>
      </c>
      <c r="L25" s="69">
        <f t="shared" si="3"/>
        <v>0</v>
      </c>
      <c r="M25" s="69">
        <f t="shared" si="4"/>
        <v>0</v>
      </c>
    </row>
    <row r="26" spans="1:13" s="61" customFormat="1" ht="20.25" hidden="1" customHeight="1" x14ac:dyDescent="0.25">
      <c r="A26" s="67" t="s">
        <v>195</v>
      </c>
      <c r="B26" s="68"/>
      <c r="C26" s="69"/>
      <c r="D26" s="69"/>
      <c r="E26" s="222"/>
      <c r="F26" s="222"/>
      <c r="G26" s="68"/>
      <c r="H26" s="70"/>
      <c r="I26" s="70"/>
      <c r="J26" s="71" t="str">
        <f t="shared" si="0"/>
        <v>sem descrição</v>
      </c>
      <c r="K26" s="69" t="str">
        <f t="shared" si="5"/>
        <v>informar entrega</v>
      </c>
      <c r="L26" s="69">
        <f t="shared" si="3"/>
        <v>0</v>
      </c>
      <c r="M26" s="69">
        <f t="shared" si="4"/>
        <v>0</v>
      </c>
    </row>
    <row r="27" spans="1:13" s="61" customFormat="1" ht="20.25" hidden="1" customHeight="1" x14ac:dyDescent="0.25">
      <c r="A27" s="67" t="s">
        <v>199</v>
      </c>
      <c r="B27" s="68"/>
      <c r="C27" s="69"/>
      <c r="D27" s="69"/>
      <c r="E27" s="222"/>
      <c r="F27" s="222"/>
      <c r="G27" s="68"/>
      <c r="H27" s="70"/>
      <c r="I27" s="70"/>
      <c r="J27" s="71" t="str">
        <f t="shared" si="0"/>
        <v>sem descrição</v>
      </c>
      <c r="K27" s="69" t="str">
        <f>IF(C27="mensal",J27*H27*E27,IF(C27="trimestral",(J27*H27*E27)/3,IF(C27="semestral",(J27*H27*E27)/6,IF(C27="anual",(J27*H27*E27/12),"informar período"))))</f>
        <v>informar período</v>
      </c>
      <c r="L27" s="69">
        <f t="shared" si="3"/>
        <v>0</v>
      </c>
      <c r="M27" s="69">
        <f t="shared" si="4"/>
        <v>0</v>
      </c>
    </row>
    <row r="28" spans="1:13" s="61" customFormat="1" ht="20.25" hidden="1" customHeight="1" x14ac:dyDescent="0.25">
      <c r="A28" s="152" t="s">
        <v>301</v>
      </c>
      <c r="B28" s="147"/>
      <c r="C28" s="147"/>
      <c r="D28" s="147"/>
      <c r="E28" s="147"/>
      <c r="F28" s="147"/>
      <c r="G28" s="147"/>
      <c r="H28" s="147"/>
      <c r="I28" s="139"/>
      <c r="J28" s="155"/>
      <c r="K28" s="156">
        <f>SUM(K11:K27)</f>
        <v>0</v>
      </c>
      <c r="L28" s="157">
        <f>K28*12</f>
        <v>0</v>
      </c>
      <c r="M28" s="158">
        <f>K28*60</f>
        <v>0</v>
      </c>
    </row>
    <row r="29" spans="1:13" s="61" customFormat="1" ht="20.25" hidden="1" customHeight="1" x14ac:dyDescent="0.25">
      <c r="A29" s="152" t="s">
        <v>302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59" t="e">
        <f>K28/SUM(C7:M9)</f>
        <v>#DIV/0!</v>
      </c>
    </row>
    <row r="30" spans="1:13" s="61" customFormat="1" ht="20.25" hidden="1" customHeight="1" x14ac:dyDescent="0.25">
      <c r="A30" s="235" t="s">
        <v>273</v>
      </c>
      <c r="B30" s="143" t="s">
        <v>19</v>
      </c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4"/>
    </row>
    <row r="31" spans="1:13" s="61" customFormat="1" ht="20.25" hidden="1" customHeight="1" x14ac:dyDescent="0.25">
      <c r="A31" s="62">
        <v>1</v>
      </c>
      <c r="B31" s="63" t="s">
        <v>274</v>
      </c>
      <c r="C31" s="216" t="s">
        <v>165</v>
      </c>
      <c r="D31" s="217"/>
      <c r="E31" s="217"/>
      <c r="F31" s="217"/>
      <c r="G31" s="217"/>
      <c r="H31" s="145"/>
      <c r="I31" s="145"/>
      <c r="J31" s="145"/>
      <c r="K31" s="145"/>
      <c r="L31" s="145"/>
      <c r="M31" s="146"/>
    </row>
    <row r="32" spans="1:13" s="61" customFormat="1" ht="20.25" hidden="1" customHeight="1" x14ac:dyDescent="0.25">
      <c r="A32" s="62">
        <v>2</v>
      </c>
      <c r="B32" s="63" t="str">
        <f>'planilha - proposta'!D19</f>
        <v>Oficial de Manutenção de Equipamento Médico Hospitalar - 12x36d</v>
      </c>
      <c r="C32" s="216">
        <v>0</v>
      </c>
      <c r="D32" s="217"/>
      <c r="E32" s="217"/>
      <c r="F32" s="217"/>
      <c r="G32" s="217"/>
      <c r="H32" s="145"/>
      <c r="I32" s="145"/>
      <c r="J32" s="145"/>
      <c r="K32" s="145"/>
      <c r="L32" s="145"/>
      <c r="M32" s="146"/>
    </row>
    <row r="33" spans="1:13" s="61" customFormat="1" ht="20.25" hidden="1" customHeight="1" x14ac:dyDescent="0.25">
      <c r="A33" s="62">
        <v>3</v>
      </c>
      <c r="B33" s="63" t="str">
        <f>'planilha - proposta'!D20</f>
        <v>Oficial de Manutenção de Equipamento Médico Hospitalar - 12x36n</v>
      </c>
      <c r="C33" s="216">
        <v>0</v>
      </c>
      <c r="D33" s="217"/>
      <c r="E33" s="217"/>
      <c r="F33" s="217"/>
      <c r="G33" s="217"/>
      <c r="H33" s="145"/>
      <c r="I33" s="145"/>
      <c r="J33" s="145"/>
      <c r="K33" s="145"/>
      <c r="L33" s="145"/>
      <c r="M33" s="146"/>
    </row>
    <row r="34" spans="1:13" s="61" customFormat="1" ht="20.25" hidden="1" customHeight="1" x14ac:dyDescent="0.25">
      <c r="A34" s="62">
        <v>4</v>
      </c>
      <c r="B34" s="63" t="str">
        <f>'planilha - proposta'!D21</f>
        <v>Oficial de Manutenção de Equipamento Médico Hospitalar - 44h</v>
      </c>
      <c r="C34" s="216">
        <v>0</v>
      </c>
      <c r="D34" s="217"/>
      <c r="E34" s="217"/>
      <c r="F34" s="217"/>
      <c r="G34" s="217"/>
      <c r="H34" s="145"/>
      <c r="I34" s="145"/>
      <c r="J34" s="145"/>
      <c r="K34" s="145"/>
      <c r="L34" s="145"/>
      <c r="M34" s="146"/>
    </row>
    <row r="35" spans="1:13" s="61" customFormat="1" ht="52.5" hidden="1" customHeight="1" x14ac:dyDescent="0.25">
      <c r="A35" s="64" t="s">
        <v>273</v>
      </c>
      <c r="B35" s="65" t="s">
        <v>275</v>
      </c>
      <c r="C35" s="218" t="s">
        <v>276</v>
      </c>
      <c r="D35" s="218" t="s">
        <v>277</v>
      </c>
      <c r="E35" s="218" t="s">
        <v>278</v>
      </c>
      <c r="F35" s="218" t="s">
        <v>303</v>
      </c>
      <c r="G35" s="223" t="s">
        <v>280</v>
      </c>
      <c r="H35" s="65" t="s">
        <v>304</v>
      </c>
      <c r="I35" s="66" t="s">
        <v>305</v>
      </c>
      <c r="J35" s="66" t="s">
        <v>306</v>
      </c>
      <c r="K35" s="65" t="s">
        <v>284</v>
      </c>
      <c r="L35" s="65" t="s">
        <v>285</v>
      </c>
      <c r="M35" s="66" t="s">
        <v>286</v>
      </c>
    </row>
    <row r="36" spans="1:13" s="61" customFormat="1" ht="20.25" hidden="1" customHeight="1" x14ac:dyDescent="0.25">
      <c r="A36" s="67" t="s">
        <v>108</v>
      </c>
      <c r="B36" s="68" t="s">
        <v>287</v>
      </c>
      <c r="C36" s="69" t="s">
        <v>288</v>
      </c>
      <c r="D36" s="69" t="s">
        <v>289</v>
      </c>
      <c r="E36" s="222">
        <f>30*3</f>
        <v>90</v>
      </c>
      <c r="F36" s="222">
        <v>0</v>
      </c>
      <c r="G36" s="68" t="s">
        <v>290</v>
      </c>
      <c r="H36" s="70">
        <f>VLOOKUP(B36,custoEPI!$B$6:$E$29,4,FALSE)</f>
        <v>0</v>
      </c>
      <c r="I36" s="71">
        <f t="shared" ref="I36:I43" si="6">SUM($C$32:$M$34)</f>
        <v>0</v>
      </c>
      <c r="J36" s="71">
        <f t="shared" ref="J36:J52" si="7">IF(B36="","sem descrição",IF($C$32&gt;=$C$33,IF($C$34&gt;0,$C$32/2+$C$34,$C$32/2),IF($C$34&gt;0,$C$33/5+$C$34,$C$34)))</f>
        <v>0</v>
      </c>
      <c r="K36" s="69">
        <f>IF(C36="mensal",IF(F36&gt;0,F36*H36,IF(D36="descartável",((SUM($C$32:$C$33)/2)+$C$34)*E36*H36,IF(D36="pessoal",E36*H36*I36,E36*H36*J36))),0)+IF(C36="trimestral",IF(F36&gt;0,F36*H36/3,IF(D36="descartável",(((SUM($C$32:$C$33)/2)+$C$34)*E36*H36)/3,IF(D36="pessoal",(E36*H36*I36)/3,(E36*H36*J36)/3))),0)+IF(C36="semestral",IF(F36&gt;0,F36*H36/6,IF(D36="descartável",(((SUM($C$32:$C$33)/2)+$C$34)*E36*H36)/6,IF(D36="pessoal",(E36*H36*I36)/6,(E36*H36*J36)/6))),0)+IF(C36="anual",IF(F36&gt;0,F36*H36/12,IF(D36="descartável",(((SUM($C$32:$C$33)/2)+$C$34)*E36*H36)/12,IF(D36="pessoal",(E36*H36*I36)/12,(E36*H36*J36)/12))),0)</f>
        <v>0</v>
      </c>
      <c r="L36" s="69">
        <f>IFERROR(K36*12, 0)</f>
        <v>0</v>
      </c>
      <c r="M36" s="69">
        <f>IFERROR(K36*60,0)</f>
        <v>0</v>
      </c>
    </row>
    <row r="37" spans="1:13" s="61" customFormat="1" ht="20.25" hidden="1" customHeight="1" x14ac:dyDescent="0.25">
      <c r="A37" s="67" t="s">
        <v>110</v>
      </c>
      <c r="B37" s="68" t="s">
        <v>291</v>
      </c>
      <c r="C37" s="69" t="s">
        <v>288</v>
      </c>
      <c r="D37" s="69" t="s">
        <v>292</v>
      </c>
      <c r="E37" s="222">
        <v>2</v>
      </c>
      <c r="F37" s="222">
        <v>0</v>
      </c>
      <c r="G37" s="68" t="s">
        <v>290</v>
      </c>
      <c r="H37" s="70">
        <f>VLOOKUP(B37,custoEPI!$B$6:$E$29,4,FALSE)</f>
        <v>0</v>
      </c>
      <c r="I37" s="71">
        <f t="shared" si="6"/>
        <v>0</v>
      </c>
      <c r="J37" s="71">
        <f t="shared" si="7"/>
        <v>0</v>
      </c>
      <c r="K37" s="69">
        <f t="shared" ref="K37:K43" si="8">IF(C37="mensal",IF(F37&gt;0,F37*H37,IF(D37="descartável",((SUM($C$32:$C$33)/2)+$C$34)*E37*H37,IF(D37="pessoal",E37*H37*I37,E37*H37*J37))),0)+IF(C37="trimestral",IF(F37&gt;0,F37*H37/3,IF(D37="descartável",(((SUM($C$32:$C$33)/2)+$C$34)*E37*H37)/3,IF(D37="pessoal",(E37*H37*I37)/3,(E37*H37*J37)/3))),0)+IF(C37="semestral",IF(F37&gt;0,F37*H37/6,IF(D37="descartável",(((SUM($C$32:$C$33)/2)+$C$34)*E37*H37)/6,IF(D37="pessoal",(E37*H37*I37)/6,(E37*H37*J37)/6))),0)+IF(C37="anual",IF(F37&gt;0,F37*H37/12,IF(D37="descartável",(((SUM($C$32:$C$33)/2)+$C$34)*E37*H37)/12,IF(D37="pessoal",(E37*H37*I37)/12,(E37*H37*J37)/12))),0)</f>
        <v>0</v>
      </c>
      <c r="L37" s="69">
        <f t="shared" ref="L37:L52" si="9">IFERROR(K37*12, 0)</f>
        <v>0</v>
      </c>
      <c r="M37" s="69">
        <f t="shared" ref="M37:M52" si="10">IFERROR(K37*60,0)</f>
        <v>0</v>
      </c>
    </row>
    <row r="38" spans="1:13" s="61" customFormat="1" ht="20.25" hidden="1" customHeight="1" x14ac:dyDescent="0.25">
      <c r="A38" s="67" t="s">
        <v>111</v>
      </c>
      <c r="B38" s="68" t="s">
        <v>293</v>
      </c>
      <c r="C38" s="69" t="s">
        <v>288</v>
      </c>
      <c r="D38" s="69" t="s">
        <v>289</v>
      </c>
      <c r="E38" s="222">
        <v>26</v>
      </c>
      <c r="F38" s="222">
        <v>0</v>
      </c>
      <c r="G38" s="68" t="s">
        <v>290</v>
      </c>
      <c r="H38" s="70">
        <f>VLOOKUP(B38,custoEPI!$B$6:$E$29,4,FALSE)</f>
        <v>0</v>
      </c>
      <c r="I38" s="71">
        <f t="shared" si="6"/>
        <v>0</v>
      </c>
      <c r="J38" s="71">
        <f t="shared" si="7"/>
        <v>0</v>
      </c>
      <c r="K38" s="69">
        <f t="shared" si="8"/>
        <v>0</v>
      </c>
      <c r="L38" s="69">
        <f t="shared" si="9"/>
        <v>0</v>
      </c>
      <c r="M38" s="69">
        <f t="shared" si="10"/>
        <v>0</v>
      </c>
    </row>
    <row r="39" spans="1:13" s="61" customFormat="1" ht="20.25" hidden="1" customHeight="1" x14ac:dyDescent="0.25">
      <c r="A39" s="67"/>
      <c r="B39" s="68"/>
      <c r="C39" s="69"/>
      <c r="D39" s="69"/>
      <c r="E39" s="222"/>
      <c r="F39" s="222"/>
      <c r="G39" s="68"/>
      <c r="H39" s="70" t="e">
        <f>VLOOKUP(B39,custoEPI!$B$6:$E$29,4,FALSE)</f>
        <v>#N/A</v>
      </c>
      <c r="I39" s="71">
        <f t="shared" si="6"/>
        <v>0</v>
      </c>
      <c r="J39" s="71" t="str">
        <f t="shared" si="7"/>
        <v>sem descrição</v>
      </c>
      <c r="K39" s="69">
        <f t="shared" si="8"/>
        <v>0</v>
      </c>
      <c r="L39" s="69">
        <f t="shared" si="9"/>
        <v>0</v>
      </c>
      <c r="M39" s="69">
        <f t="shared" si="10"/>
        <v>0</v>
      </c>
    </row>
    <row r="40" spans="1:13" s="61" customFormat="1" ht="20.25" hidden="1" customHeight="1" x14ac:dyDescent="0.25">
      <c r="A40" s="67" t="s">
        <v>113</v>
      </c>
      <c r="B40" s="68" t="s">
        <v>294</v>
      </c>
      <c r="C40" s="69" t="s">
        <v>288</v>
      </c>
      <c r="D40" s="69" t="s">
        <v>289</v>
      </c>
      <c r="E40" s="222">
        <v>25</v>
      </c>
      <c r="F40" s="222">
        <v>0</v>
      </c>
      <c r="G40" s="68" t="s">
        <v>290</v>
      </c>
      <c r="H40" s="70">
        <f>VLOOKUP(B40,custoEPI!$B$6:$E$29,4,FALSE)</f>
        <v>0</v>
      </c>
      <c r="I40" s="71">
        <f t="shared" si="6"/>
        <v>0</v>
      </c>
      <c r="J40" s="71">
        <f t="shared" si="7"/>
        <v>0</v>
      </c>
      <c r="K40" s="69">
        <f t="shared" si="8"/>
        <v>0</v>
      </c>
      <c r="L40" s="69">
        <f t="shared" si="9"/>
        <v>0</v>
      </c>
      <c r="M40" s="69">
        <f t="shared" si="10"/>
        <v>0</v>
      </c>
    </row>
    <row r="41" spans="1:13" s="61" customFormat="1" ht="20.25" hidden="1" customHeight="1" x14ac:dyDescent="0.25">
      <c r="A41" s="67" t="s">
        <v>114</v>
      </c>
      <c r="B41" s="68" t="s">
        <v>307</v>
      </c>
      <c r="C41" s="69" t="s">
        <v>300</v>
      </c>
      <c r="D41" s="69" t="s">
        <v>292</v>
      </c>
      <c r="E41" s="222">
        <v>1</v>
      </c>
      <c r="F41" s="222">
        <v>0</v>
      </c>
      <c r="G41" s="68" t="s">
        <v>290</v>
      </c>
      <c r="H41" s="70">
        <f>VLOOKUP(B41,custoEPI!$B$6:$E$29,4,FALSE)</f>
        <v>0</v>
      </c>
      <c r="I41" s="71">
        <f t="shared" si="6"/>
        <v>0</v>
      </c>
      <c r="J41" s="71">
        <f t="shared" si="7"/>
        <v>0</v>
      </c>
      <c r="K41" s="69">
        <f t="shared" si="8"/>
        <v>0</v>
      </c>
      <c r="L41" s="69">
        <f t="shared" si="9"/>
        <v>0</v>
      </c>
      <c r="M41" s="69">
        <f t="shared" si="10"/>
        <v>0</v>
      </c>
    </row>
    <row r="42" spans="1:13" s="61" customFormat="1" ht="20.25" hidden="1" customHeight="1" x14ac:dyDescent="0.25">
      <c r="A42" s="67" t="s">
        <v>115</v>
      </c>
      <c r="B42" s="68" t="s">
        <v>295</v>
      </c>
      <c r="C42" s="69" t="s">
        <v>296</v>
      </c>
      <c r="D42" s="69" t="s">
        <v>292</v>
      </c>
      <c r="E42" s="222">
        <v>1</v>
      </c>
      <c r="F42" s="222">
        <v>0</v>
      </c>
      <c r="G42" s="68" t="s">
        <v>290</v>
      </c>
      <c r="H42" s="70">
        <f>VLOOKUP(B42,custoEPI!$B$6:$E$29,4,FALSE)</f>
        <v>0</v>
      </c>
      <c r="I42" s="71">
        <f t="shared" si="6"/>
        <v>0</v>
      </c>
      <c r="J42" s="71">
        <f t="shared" si="7"/>
        <v>0</v>
      </c>
      <c r="K42" s="69">
        <f t="shared" si="8"/>
        <v>0</v>
      </c>
      <c r="L42" s="69">
        <f t="shared" si="9"/>
        <v>0</v>
      </c>
      <c r="M42" s="69">
        <f t="shared" si="10"/>
        <v>0</v>
      </c>
    </row>
    <row r="43" spans="1:13" s="61" customFormat="1" ht="20.25" hidden="1" customHeight="1" x14ac:dyDescent="0.25">
      <c r="A43" s="67" t="s">
        <v>116</v>
      </c>
      <c r="B43" s="68" t="s">
        <v>299</v>
      </c>
      <c r="C43" s="69" t="s">
        <v>300</v>
      </c>
      <c r="D43" s="69" t="s">
        <v>292</v>
      </c>
      <c r="E43" s="222">
        <v>2</v>
      </c>
      <c r="F43" s="222">
        <v>0</v>
      </c>
      <c r="G43" s="68" t="s">
        <v>290</v>
      </c>
      <c r="H43" s="70">
        <f>VLOOKUP(B43,custoEPI!$B$6:$E$29,4,FALSE)</f>
        <v>0</v>
      </c>
      <c r="I43" s="71">
        <f t="shared" si="6"/>
        <v>0</v>
      </c>
      <c r="J43" s="71">
        <f t="shared" si="7"/>
        <v>0</v>
      </c>
      <c r="K43" s="69">
        <f t="shared" si="8"/>
        <v>0</v>
      </c>
      <c r="L43" s="69">
        <f t="shared" si="9"/>
        <v>0</v>
      </c>
      <c r="M43" s="69">
        <f t="shared" si="10"/>
        <v>0</v>
      </c>
    </row>
    <row r="44" spans="1:13" s="61" customFormat="1" ht="20.25" hidden="1" customHeight="1" x14ac:dyDescent="0.25">
      <c r="A44" s="67"/>
      <c r="B44" s="68"/>
      <c r="C44" s="69"/>
      <c r="D44" s="69"/>
      <c r="E44" s="222"/>
      <c r="F44" s="222"/>
      <c r="G44" s="68"/>
      <c r="H44" s="70" t="e">
        <f>VLOOKUP(B44,custoEPI!$B$6:$E$29,4,FALSE)</f>
        <v>#N/A</v>
      </c>
      <c r="I44" s="71"/>
      <c r="J44" s="71" t="str">
        <f t="shared" si="7"/>
        <v>sem descrição</v>
      </c>
      <c r="K44" s="69" t="str">
        <f t="shared" ref="K44:K51" si="11">IF(C44="mensal",J44*H44*E44,IF(C44="trimestral",(J44*H44*E44)/3,IF(C44="semestral",(J44*H44*E44)/6,IF(C44="anual",(J44*H44*E44/12),"informar entrega"))))</f>
        <v>informar entrega</v>
      </c>
      <c r="L44" s="69">
        <f t="shared" si="9"/>
        <v>0</v>
      </c>
      <c r="M44" s="69">
        <f t="shared" si="10"/>
        <v>0</v>
      </c>
    </row>
    <row r="45" spans="1:13" s="61" customFormat="1" ht="20.25" hidden="1" customHeight="1" x14ac:dyDescent="0.25">
      <c r="A45" s="67" t="s">
        <v>125</v>
      </c>
      <c r="B45" s="68"/>
      <c r="C45" s="69"/>
      <c r="D45" s="69"/>
      <c r="E45" s="222"/>
      <c r="F45" s="222"/>
      <c r="G45" s="68"/>
      <c r="H45" s="70" t="e">
        <f>VLOOKUP(B45,custoEPI!$B$6:$E$29,4,FALSE)</f>
        <v>#N/A</v>
      </c>
      <c r="I45" s="70"/>
      <c r="J45" s="71" t="str">
        <f t="shared" si="7"/>
        <v>sem descrição</v>
      </c>
      <c r="K45" s="69" t="str">
        <f t="shared" si="11"/>
        <v>informar entrega</v>
      </c>
      <c r="L45" s="69">
        <f t="shared" si="9"/>
        <v>0</v>
      </c>
      <c r="M45" s="69">
        <f t="shared" si="10"/>
        <v>0</v>
      </c>
    </row>
    <row r="46" spans="1:13" s="61" customFormat="1" ht="20.25" hidden="1" customHeight="1" x14ac:dyDescent="0.25">
      <c r="A46" s="67" t="s">
        <v>127</v>
      </c>
      <c r="B46" s="68"/>
      <c r="C46" s="69"/>
      <c r="D46" s="69"/>
      <c r="E46" s="222"/>
      <c r="F46" s="222"/>
      <c r="G46" s="68"/>
      <c r="H46" s="70"/>
      <c r="I46" s="70"/>
      <c r="J46" s="71" t="str">
        <f t="shared" si="7"/>
        <v>sem descrição</v>
      </c>
      <c r="K46" s="69" t="str">
        <f t="shared" si="11"/>
        <v>informar entrega</v>
      </c>
      <c r="L46" s="69">
        <f t="shared" si="9"/>
        <v>0</v>
      </c>
      <c r="M46" s="69">
        <f t="shared" si="10"/>
        <v>0</v>
      </c>
    </row>
    <row r="47" spans="1:13" s="61" customFormat="1" ht="20.25" hidden="1" customHeight="1" x14ac:dyDescent="0.25">
      <c r="A47" s="67" t="s">
        <v>129</v>
      </c>
      <c r="B47" s="68"/>
      <c r="C47" s="69"/>
      <c r="D47" s="69"/>
      <c r="E47" s="222"/>
      <c r="F47" s="222"/>
      <c r="G47" s="68"/>
      <c r="H47" s="70"/>
      <c r="I47" s="70"/>
      <c r="J47" s="71" t="str">
        <f t="shared" si="7"/>
        <v>sem descrição</v>
      </c>
      <c r="K47" s="69" t="str">
        <f t="shared" si="11"/>
        <v>informar entrega</v>
      </c>
      <c r="L47" s="69">
        <f t="shared" si="9"/>
        <v>0</v>
      </c>
      <c r="M47" s="69">
        <f t="shared" si="10"/>
        <v>0</v>
      </c>
    </row>
    <row r="48" spans="1:13" s="61" customFormat="1" ht="20.25" hidden="1" customHeight="1" x14ac:dyDescent="0.25">
      <c r="A48" s="67" t="s">
        <v>131</v>
      </c>
      <c r="B48" s="68"/>
      <c r="C48" s="69"/>
      <c r="D48" s="69"/>
      <c r="E48" s="222"/>
      <c r="F48" s="222"/>
      <c r="G48" s="68"/>
      <c r="H48" s="70"/>
      <c r="I48" s="70"/>
      <c r="J48" s="71" t="str">
        <f t="shared" si="7"/>
        <v>sem descrição</v>
      </c>
      <c r="K48" s="69" t="str">
        <f t="shared" si="11"/>
        <v>informar entrega</v>
      </c>
      <c r="L48" s="69">
        <f t="shared" si="9"/>
        <v>0</v>
      </c>
      <c r="M48" s="69">
        <f t="shared" si="10"/>
        <v>0</v>
      </c>
    </row>
    <row r="49" spans="1:13" s="61" customFormat="1" ht="20.25" hidden="1" customHeight="1" x14ac:dyDescent="0.25">
      <c r="A49" s="67" t="s">
        <v>188</v>
      </c>
      <c r="B49" s="68"/>
      <c r="C49" s="69"/>
      <c r="D49" s="69"/>
      <c r="E49" s="222"/>
      <c r="F49" s="222"/>
      <c r="G49" s="68"/>
      <c r="H49" s="70"/>
      <c r="I49" s="70"/>
      <c r="J49" s="71" t="str">
        <f t="shared" si="7"/>
        <v>sem descrição</v>
      </c>
      <c r="K49" s="69" t="str">
        <f t="shared" si="11"/>
        <v>informar entrega</v>
      </c>
      <c r="L49" s="69">
        <f t="shared" si="9"/>
        <v>0</v>
      </c>
      <c r="M49" s="69">
        <f t="shared" si="10"/>
        <v>0</v>
      </c>
    </row>
    <row r="50" spans="1:13" s="61" customFormat="1" ht="20.25" hidden="1" customHeight="1" x14ac:dyDescent="0.25">
      <c r="A50" s="67" t="s">
        <v>192</v>
      </c>
      <c r="B50" s="68"/>
      <c r="C50" s="69"/>
      <c r="D50" s="69"/>
      <c r="E50" s="222"/>
      <c r="F50" s="222"/>
      <c r="G50" s="68"/>
      <c r="H50" s="70"/>
      <c r="I50" s="70"/>
      <c r="J50" s="71" t="str">
        <f t="shared" si="7"/>
        <v>sem descrição</v>
      </c>
      <c r="K50" s="69" t="str">
        <f t="shared" si="11"/>
        <v>informar entrega</v>
      </c>
      <c r="L50" s="69">
        <f t="shared" si="9"/>
        <v>0</v>
      </c>
      <c r="M50" s="69">
        <f t="shared" si="10"/>
        <v>0</v>
      </c>
    </row>
    <row r="51" spans="1:13" s="61" customFormat="1" ht="20.25" hidden="1" customHeight="1" x14ac:dyDescent="0.25">
      <c r="A51" s="67" t="s">
        <v>195</v>
      </c>
      <c r="B51" s="68"/>
      <c r="C51" s="69"/>
      <c r="D51" s="69"/>
      <c r="E51" s="222"/>
      <c r="F51" s="222"/>
      <c r="G51" s="68"/>
      <c r="H51" s="70"/>
      <c r="I51" s="70"/>
      <c r="J51" s="71" t="str">
        <f t="shared" si="7"/>
        <v>sem descrição</v>
      </c>
      <c r="K51" s="69" t="str">
        <f t="shared" si="11"/>
        <v>informar entrega</v>
      </c>
      <c r="L51" s="69">
        <f t="shared" si="9"/>
        <v>0</v>
      </c>
      <c r="M51" s="69">
        <f t="shared" si="10"/>
        <v>0</v>
      </c>
    </row>
    <row r="52" spans="1:13" s="61" customFormat="1" ht="20.25" hidden="1" customHeight="1" x14ac:dyDescent="0.25">
      <c r="A52" s="67" t="s">
        <v>199</v>
      </c>
      <c r="B52" s="68"/>
      <c r="C52" s="69"/>
      <c r="D52" s="69"/>
      <c r="E52" s="222"/>
      <c r="F52" s="222"/>
      <c r="G52" s="68"/>
      <c r="H52" s="70"/>
      <c r="I52" s="70"/>
      <c r="J52" s="71" t="str">
        <f t="shared" si="7"/>
        <v>sem descrição</v>
      </c>
      <c r="K52" s="69" t="str">
        <f>IF(C52="mensal",J52*H52*E52,IF(C52="trimestral",(J52*H52*E52)/3,IF(C52="semestral",(J52*H52*E52)/6,IF(C52="anual",(J52*H52*E52/12),"informar período"))))</f>
        <v>informar período</v>
      </c>
      <c r="L52" s="69">
        <f t="shared" si="9"/>
        <v>0</v>
      </c>
      <c r="M52" s="69">
        <f t="shared" si="10"/>
        <v>0</v>
      </c>
    </row>
    <row r="53" spans="1:13" s="61" customFormat="1" ht="20.25" hidden="1" customHeight="1" x14ac:dyDescent="0.25">
      <c r="A53" s="152" t="s">
        <v>301</v>
      </c>
      <c r="B53" s="147"/>
      <c r="C53" s="147"/>
      <c r="D53" s="147"/>
      <c r="E53" s="147"/>
      <c r="F53" s="147"/>
      <c r="G53" s="147"/>
      <c r="H53" s="147"/>
      <c r="I53" s="139"/>
      <c r="J53" s="155"/>
      <c r="K53" s="156">
        <f>SUM(K36:K52)</f>
        <v>0</v>
      </c>
      <c r="L53" s="157">
        <f>K53*12</f>
        <v>0</v>
      </c>
      <c r="M53" s="158">
        <f>K53*60</f>
        <v>0</v>
      </c>
    </row>
    <row r="54" spans="1:13" s="61" customFormat="1" ht="20.25" hidden="1" customHeight="1" x14ac:dyDescent="0.25">
      <c r="A54" s="152" t="s">
        <v>302</v>
      </c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59" t="e">
        <f>K53/SUM(C32:M34)</f>
        <v>#DIV/0!</v>
      </c>
    </row>
    <row r="55" spans="1:13" s="61" customFormat="1" ht="20.25" customHeight="1" x14ac:dyDescent="0.25">
      <c r="A55" s="235" t="s">
        <v>273</v>
      </c>
      <c r="B55" s="143" t="s">
        <v>19</v>
      </c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4"/>
    </row>
    <row r="56" spans="1:13" s="61" customFormat="1" ht="20.25" customHeight="1" x14ac:dyDescent="0.25">
      <c r="A56" s="62">
        <v>1</v>
      </c>
      <c r="B56" s="63" t="s">
        <v>274</v>
      </c>
      <c r="C56" s="216" t="s">
        <v>170</v>
      </c>
      <c r="D56" s="217"/>
      <c r="E56" s="217"/>
      <c r="F56" s="217"/>
      <c r="G56" s="217"/>
      <c r="H56" s="145"/>
      <c r="I56" s="145"/>
      <c r="J56" s="145"/>
      <c r="K56" s="145"/>
      <c r="L56" s="145"/>
      <c r="M56" s="146"/>
    </row>
    <row r="57" spans="1:13" s="61" customFormat="1" ht="20.25" customHeight="1" x14ac:dyDescent="0.25">
      <c r="A57" s="62">
        <v>2</v>
      </c>
      <c r="B57" s="63" t="str">
        <f>'planilha - proposta'!D22</f>
        <v>Auxiliar de Cozinha - 12x36d</v>
      </c>
      <c r="C57" s="216">
        <v>4</v>
      </c>
      <c r="D57" s="217"/>
      <c r="E57" s="217"/>
      <c r="F57" s="217"/>
      <c r="G57" s="217"/>
      <c r="H57" s="145"/>
      <c r="I57" s="145"/>
      <c r="J57" s="145"/>
      <c r="K57" s="145"/>
      <c r="L57" s="145"/>
      <c r="M57" s="146"/>
    </row>
    <row r="58" spans="1:13" s="61" customFormat="1" ht="20.25" hidden="1" customHeight="1" x14ac:dyDescent="0.25">
      <c r="A58" s="62">
        <v>3</v>
      </c>
      <c r="B58" s="63" t="str">
        <f>'planilha - proposta'!D23</f>
        <v>Auxiliar de Cozinha - 12x36n</v>
      </c>
      <c r="C58" s="216">
        <v>0</v>
      </c>
      <c r="D58" s="217"/>
      <c r="E58" s="217"/>
      <c r="F58" s="217"/>
      <c r="G58" s="217"/>
      <c r="H58" s="145"/>
      <c r="I58" s="145"/>
      <c r="J58" s="145"/>
      <c r="K58" s="145"/>
      <c r="L58" s="145"/>
      <c r="M58" s="146"/>
    </row>
    <row r="59" spans="1:13" s="61" customFormat="1" ht="20.25" hidden="1" customHeight="1" x14ac:dyDescent="0.25">
      <c r="A59" s="62">
        <v>4</v>
      </c>
      <c r="B59" s="63" t="str">
        <f>'planilha - proposta'!D24</f>
        <v>Auxiliar de Cozinha - 44h</v>
      </c>
      <c r="C59" s="216">
        <v>0</v>
      </c>
      <c r="D59" s="217"/>
      <c r="E59" s="217"/>
      <c r="F59" s="217"/>
      <c r="G59" s="217"/>
      <c r="H59" s="145"/>
      <c r="I59" s="145"/>
      <c r="J59" s="145"/>
      <c r="K59" s="145"/>
      <c r="L59" s="145"/>
      <c r="M59" s="146"/>
    </row>
    <row r="60" spans="1:13" s="61" customFormat="1" ht="52.5" customHeight="1" x14ac:dyDescent="0.25">
      <c r="A60" s="64" t="s">
        <v>273</v>
      </c>
      <c r="B60" s="65" t="s">
        <v>275</v>
      </c>
      <c r="C60" s="218" t="s">
        <v>276</v>
      </c>
      <c r="D60" s="218" t="s">
        <v>277</v>
      </c>
      <c r="E60" s="218" t="s">
        <v>278</v>
      </c>
      <c r="F60" s="218" t="s">
        <v>303</v>
      </c>
      <c r="G60" s="223" t="s">
        <v>280</v>
      </c>
      <c r="H60" s="65" t="s">
        <v>304</v>
      </c>
      <c r="I60" s="66" t="s">
        <v>305</v>
      </c>
      <c r="J60" s="66" t="s">
        <v>309</v>
      </c>
      <c r="K60" s="65" t="s">
        <v>284</v>
      </c>
      <c r="L60" s="65" t="s">
        <v>285</v>
      </c>
      <c r="M60" s="66" t="s">
        <v>286</v>
      </c>
    </row>
    <row r="61" spans="1:13" s="61" customFormat="1" ht="20.25" customHeight="1" x14ac:dyDescent="0.25">
      <c r="A61" s="67" t="s">
        <v>108</v>
      </c>
      <c r="B61" s="68" t="s">
        <v>391</v>
      </c>
      <c r="C61" s="69" t="s">
        <v>298</v>
      </c>
      <c r="D61" s="69" t="s">
        <v>310</v>
      </c>
      <c r="E61" s="222">
        <v>0</v>
      </c>
      <c r="F61" s="222">
        <v>2</v>
      </c>
      <c r="G61" s="68" t="s">
        <v>290</v>
      </c>
      <c r="H61" s="70">
        <f>VLOOKUP(B61,custoEPI!$B$6:$E$29,4,FALSE)</f>
        <v>0</v>
      </c>
      <c r="I61" s="71">
        <f t="shared" ref="I61:I69" si="12">SUM($C$57:$M$59)</f>
        <v>4</v>
      </c>
      <c r="J61" s="71">
        <f t="shared" ref="J61:J77" si="13">IF(B61="","sem descrição",IF($C$57&gt;=$C$58,IF($C$59&gt;0,$C$57/2+$C$59,$C$57/2),IF($C$59&gt;0,$C$58/5+$C$59,$C$59)))</f>
        <v>2</v>
      </c>
      <c r="K61" s="69">
        <f>IF(C61="mensal",IF(F61&gt;0,F61*H61,IF(D61="descartável",((SUM($C$57:$C$58)/2)+$C$59)*E61*H61,IF(D61="pessoal",E61*H61*I61,E61*H61*J61))),0)+IF(C61="trimestral",IF(F61&gt;0,F61*H61/3,IF(D61="descartável",(((SUM($C$57:$C$58)/2)+$C$59)*E61*H61)/3,IF(D61="pessoal",(E61*H61*I61)/3,(E61*H61*J61)/3))),0)+IF(C61="semestral",IF(F61&gt;0,F61*H61/6,IF(D61="descartável",(((SUM($C$57:$C$58)/2)+$C$59)*E61*H61)/6,IF(D61="pessoal",(E61*H61*I61)/6,(E61*H61*J61)/6))),0)+IF(C61="anual",IF(F61&gt;0,F61*H61/12,IF(D61="descartável",(((SUM($C$57:$C$58)/2)+$C$59)*E61*H61)/12,IF(D61="pessoal",(E61*H61*I61)/12,(E61*H61*J61)/12))),0)</f>
        <v>0</v>
      </c>
      <c r="L61" s="69">
        <f>IFERROR(K61*12, 0)</f>
        <v>0</v>
      </c>
      <c r="M61" s="69">
        <f>IFERROR(K61*60,0)</f>
        <v>0</v>
      </c>
    </row>
    <row r="62" spans="1:13" s="61" customFormat="1" ht="20.25" customHeight="1" x14ac:dyDescent="0.25">
      <c r="A62" s="67" t="s">
        <v>110</v>
      </c>
      <c r="B62" s="68" t="s">
        <v>311</v>
      </c>
      <c r="C62" s="69" t="s">
        <v>298</v>
      </c>
      <c r="D62" s="69" t="s">
        <v>292</v>
      </c>
      <c r="E62" s="222">
        <v>1</v>
      </c>
      <c r="F62" s="222">
        <v>0</v>
      </c>
      <c r="G62" s="68" t="s">
        <v>290</v>
      </c>
      <c r="H62" s="70">
        <f>VLOOKUP(B62,custoEPI!$B$6:$E$29,4,FALSE)</f>
        <v>0</v>
      </c>
      <c r="I62" s="71">
        <f t="shared" si="12"/>
        <v>4</v>
      </c>
      <c r="J62" s="71">
        <f t="shared" si="13"/>
        <v>2</v>
      </c>
      <c r="K62" s="69">
        <f t="shared" ref="K62:K68" si="14">IF(C62="mensal",IF(F62&gt;0,F62*H62,IF(D62="descartável",((SUM($C$57:$C$58)/2)+$C$59)*E62*H62,IF(D62="pessoal",E62*H62*I62,E62*H62*J62))),0)+IF(C62="trimestral",IF(F62&gt;0,F62*H62/3,IF(D62="descartável",(((SUM($C$57:$C$58)/2)+$C$59)*E62*H62)/3,IF(D62="pessoal",(E62*H62*I62)/3,(E62*H62*J62)/3))),0)+IF(C62="semestral",IF(F62&gt;0,F62*H62/6,IF(D62="descartável",(((SUM($C$57:$C$58)/2)+$C$59)*E62*H62)/6,IF(D62="pessoal",(E62*H62*I62)/6,(E62*H62*J62)/6))),0)+IF(C62="anual",IF(F62&gt;0,F62*H62/12,IF(D62="descartável",(((SUM($C$57:$C$58)/2)+$C$59)*E62*H62)/12,IF(D62="pessoal",(E62*H62*I62)/12,(E62*H62*J62)/12))),0)</f>
        <v>0</v>
      </c>
      <c r="L62" s="69">
        <f t="shared" ref="L62:L77" si="15">IFERROR(K62*12, 0)</f>
        <v>0</v>
      </c>
      <c r="M62" s="69">
        <f t="shared" ref="M62:M77" si="16">IFERROR(K62*60,0)</f>
        <v>0</v>
      </c>
    </row>
    <row r="63" spans="1:13" s="61" customFormat="1" ht="20.25" customHeight="1" x14ac:dyDescent="0.25">
      <c r="A63" s="67" t="s">
        <v>111</v>
      </c>
      <c r="B63" s="68" t="s">
        <v>312</v>
      </c>
      <c r="C63" s="69" t="s">
        <v>300</v>
      </c>
      <c r="D63" s="69" t="s">
        <v>292</v>
      </c>
      <c r="E63" s="222">
        <v>1</v>
      </c>
      <c r="F63" s="222">
        <v>0</v>
      </c>
      <c r="G63" s="68" t="s">
        <v>290</v>
      </c>
      <c r="H63" s="70">
        <f>VLOOKUP(B63,custoEPI!$B$6:$E$29,4,FALSE)</f>
        <v>0</v>
      </c>
      <c r="I63" s="71">
        <f t="shared" si="12"/>
        <v>4</v>
      </c>
      <c r="J63" s="71">
        <f t="shared" si="13"/>
        <v>2</v>
      </c>
      <c r="K63" s="69">
        <f t="shared" si="14"/>
        <v>0</v>
      </c>
      <c r="L63" s="69">
        <f t="shared" si="15"/>
        <v>0</v>
      </c>
      <c r="M63" s="69">
        <f t="shared" si="16"/>
        <v>0</v>
      </c>
    </row>
    <row r="64" spans="1:13" s="61" customFormat="1" ht="20.25" customHeight="1" x14ac:dyDescent="0.25">
      <c r="A64" s="67" t="s">
        <v>113</v>
      </c>
      <c r="B64" s="68" t="s">
        <v>287</v>
      </c>
      <c r="C64" s="69" t="s">
        <v>288</v>
      </c>
      <c r="D64" s="69" t="s">
        <v>289</v>
      </c>
      <c r="E64" s="222">
        <v>90</v>
      </c>
      <c r="F64" s="222">
        <v>0</v>
      </c>
      <c r="G64" s="68" t="s">
        <v>290</v>
      </c>
      <c r="H64" s="70">
        <f>VLOOKUP(B64,custoEPI!$B$6:$E$29,4,FALSE)</f>
        <v>0</v>
      </c>
      <c r="I64" s="71">
        <f t="shared" si="12"/>
        <v>4</v>
      </c>
      <c r="J64" s="71">
        <f t="shared" si="13"/>
        <v>2</v>
      </c>
      <c r="K64" s="69">
        <f t="shared" si="14"/>
        <v>0</v>
      </c>
      <c r="L64" s="69">
        <f t="shared" si="15"/>
        <v>0</v>
      </c>
      <c r="M64" s="69">
        <f t="shared" si="16"/>
        <v>0</v>
      </c>
    </row>
    <row r="65" spans="1:13" s="61" customFormat="1" ht="20.25" customHeight="1" x14ac:dyDescent="0.25">
      <c r="A65" s="67" t="s">
        <v>114</v>
      </c>
      <c r="B65" s="68" t="s">
        <v>294</v>
      </c>
      <c r="C65" s="69" t="s">
        <v>288</v>
      </c>
      <c r="D65" s="69" t="s">
        <v>289</v>
      </c>
      <c r="E65" s="222">
        <f>3*30</f>
        <v>90</v>
      </c>
      <c r="F65" s="222">
        <v>0</v>
      </c>
      <c r="G65" s="68" t="s">
        <v>290</v>
      </c>
      <c r="H65" s="70">
        <f>VLOOKUP(B65,custoEPI!$B$6:$E$29,4,FALSE)</f>
        <v>0</v>
      </c>
      <c r="I65" s="71">
        <f t="shared" si="12"/>
        <v>4</v>
      </c>
      <c r="J65" s="71">
        <f t="shared" si="13"/>
        <v>2</v>
      </c>
      <c r="K65" s="69">
        <f t="shared" si="14"/>
        <v>0</v>
      </c>
      <c r="L65" s="69">
        <f t="shared" si="15"/>
        <v>0</v>
      </c>
      <c r="M65" s="69">
        <f t="shared" si="16"/>
        <v>0</v>
      </c>
    </row>
    <row r="66" spans="1:13" s="61" customFormat="1" ht="20.25" customHeight="1" x14ac:dyDescent="0.25">
      <c r="A66" s="67" t="s">
        <v>115</v>
      </c>
      <c r="B66" s="68" t="s">
        <v>313</v>
      </c>
      <c r="C66" s="69" t="s">
        <v>288</v>
      </c>
      <c r="D66" s="69" t="s">
        <v>289</v>
      </c>
      <c r="E66" s="222">
        <v>48</v>
      </c>
      <c r="F66" s="222">
        <v>0</v>
      </c>
      <c r="G66" s="68" t="s">
        <v>290</v>
      </c>
      <c r="H66" s="70">
        <f>VLOOKUP(B66,custoEPI!$B$6:$E$29,4,FALSE)</f>
        <v>0</v>
      </c>
      <c r="I66" s="71">
        <f t="shared" si="12"/>
        <v>4</v>
      </c>
      <c r="J66" s="71">
        <f t="shared" si="13"/>
        <v>2</v>
      </c>
      <c r="K66" s="69">
        <f t="shared" si="14"/>
        <v>0</v>
      </c>
      <c r="L66" s="69">
        <f t="shared" si="15"/>
        <v>0</v>
      </c>
      <c r="M66" s="69">
        <f t="shared" si="16"/>
        <v>0</v>
      </c>
    </row>
    <row r="67" spans="1:13" s="61" customFormat="1" ht="20.25" customHeight="1" x14ac:dyDescent="0.25">
      <c r="A67" s="67" t="s">
        <v>116</v>
      </c>
      <c r="B67" s="68" t="s">
        <v>314</v>
      </c>
      <c r="C67" s="69" t="s">
        <v>288</v>
      </c>
      <c r="D67" s="69" t="s">
        <v>292</v>
      </c>
      <c r="E67" s="222">
        <v>1</v>
      </c>
      <c r="F67" s="222">
        <v>0</v>
      </c>
      <c r="G67" s="68" t="s">
        <v>315</v>
      </c>
      <c r="H67" s="70">
        <f>VLOOKUP(B67,custoEPI!$B$6:$E$29,4,FALSE)</f>
        <v>0</v>
      </c>
      <c r="I67" s="71">
        <f t="shared" si="12"/>
        <v>4</v>
      </c>
      <c r="J67" s="71">
        <f t="shared" si="13"/>
        <v>2</v>
      </c>
      <c r="K67" s="69">
        <f t="shared" si="14"/>
        <v>0</v>
      </c>
      <c r="L67" s="69">
        <f t="shared" si="15"/>
        <v>0</v>
      </c>
      <c r="M67" s="69">
        <f t="shared" si="16"/>
        <v>0</v>
      </c>
    </row>
    <row r="68" spans="1:13" s="61" customFormat="1" ht="20.25" customHeight="1" x14ac:dyDescent="0.25">
      <c r="A68" s="67" t="s">
        <v>118</v>
      </c>
      <c r="B68" s="68" t="s">
        <v>316</v>
      </c>
      <c r="C68" s="69" t="s">
        <v>300</v>
      </c>
      <c r="D68" s="69" t="s">
        <v>310</v>
      </c>
      <c r="E68" s="222">
        <v>1</v>
      </c>
      <c r="F68" s="222">
        <v>0</v>
      </c>
      <c r="G68" s="68" t="s">
        <v>315</v>
      </c>
      <c r="H68" s="70">
        <f>VLOOKUP(B68,custoEPI!$B$6:$E$29,4,FALSE)</f>
        <v>0</v>
      </c>
      <c r="I68" s="71">
        <f t="shared" si="12"/>
        <v>4</v>
      </c>
      <c r="J68" s="71">
        <f t="shared" si="13"/>
        <v>2</v>
      </c>
      <c r="K68" s="69">
        <f t="shared" si="14"/>
        <v>0</v>
      </c>
      <c r="L68" s="69">
        <f t="shared" si="15"/>
        <v>0</v>
      </c>
      <c r="M68" s="69">
        <f t="shared" si="16"/>
        <v>0</v>
      </c>
    </row>
    <row r="69" spans="1:13" s="61" customFormat="1" ht="20.25" hidden="1" customHeight="1" x14ac:dyDescent="0.25">
      <c r="A69" s="67"/>
      <c r="B69" s="68"/>
      <c r="C69" s="69"/>
      <c r="D69" s="69"/>
      <c r="E69" s="222"/>
      <c r="F69" s="222"/>
      <c r="G69" s="68"/>
      <c r="H69" s="70" t="e">
        <f>VLOOKUP(B69,custoEPI!$B$6:$E$29,4,FALSE)</f>
        <v>#N/A</v>
      </c>
      <c r="I69" s="71">
        <f t="shared" si="12"/>
        <v>4</v>
      </c>
      <c r="J69" s="71" t="str">
        <f t="shared" si="13"/>
        <v>sem descrição</v>
      </c>
      <c r="K69" s="69" t="str">
        <f t="shared" ref="K69:K76" si="17">IF(C69="mensal",J69*H69*E69,IF(C69="trimestral",(J69*H69*E69)/3,IF(C69="semestral",(J69*H69*E69)/6,IF(C69="anual",(J69*H69*E69/12),"informar entrega"))))</f>
        <v>informar entrega</v>
      </c>
      <c r="L69" s="69">
        <f t="shared" si="15"/>
        <v>0</v>
      </c>
      <c r="M69" s="69">
        <f t="shared" si="16"/>
        <v>0</v>
      </c>
    </row>
    <row r="70" spans="1:13" s="61" customFormat="1" ht="20.25" hidden="1" customHeight="1" x14ac:dyDescent="0.25">
      <c r="A70" s="67" t="s">
        <v>125</v>
      </c>
      <c r="B70" s="68"/>
      <c r="C70" s="69"/>
      <c r="D70" s="69"/>
      <c r="E70" s="222"/>
      <c r="F70" s="222"/>
      <c r="G70" s="68"/>
      <c r="H70" s="70" t="e">
        <f>VLOOKUP(B70,custoEPI!$B$6:$E$29,4,FALSE)</f>
        <v>#N/A</v>
      </c>
      <c r="I70" s="70"/>
      <c r="J70" s="71" t="str">
        <f t="shared" si="13"/>
        <v>sem descrição</v>
      </c>
      <c r="K70" s="69" t="str">
        <f t="shared" si="17"/>
        <v>informar entrega</v>
      </c>
      <c r="L70" s="69">
        <f t="shared" si="15"/>
        <v>0</v>
      </c>
      <c r="M70" s="69">
        <f t="shared" si="16"/>
        <v>0</v>
      </c>
    </row>
    <row r="71" spans="1:13" s="61" customFormat="1" ht="20.25" hidden="1" customHeight="1" x14ac:dyDescent="0.25">
      <c r="A71" s="67" t="s">
        <v>127</v>
      </c>
      <c r="B71" s="68"/>
      <c r="C71" s="69"/>
      <c r="D71" s="69"/>
      <c r="E71" s="222"/>
      <c r="F71" s="222"/>
      <c r="G71" s="68"/>
      <c r="H71" s="70"/>
      <c r="I71" s="70"/>
      <c r="J71" s="71" t="str">
        <f t="shared" si="13"/>
        <v>sem descrição</v>
      </c>
      <c r="K71" s="69" t="str">
        <f t="shared" si="17"/>
        <v>informar entrega</v>
      </c>
      <c r="L71" s="69">
        <f t="shared" si="15"/>
        <v>0</v>
      </c>
      <c r="M71" s="69">
        <f t="shared" si="16"/>
        <v>0</v>
      </c>
    </row>
    <row r="72" spans="1:13" s="61" customFormat="1" ht="20.25" hidden="1" customHeight="1" x14ac:dyDescent="0.25">
      <c r="A72" s="67" t="s">
        <v>129</v>
      </c>
      <c r="B72" s="68"/>
      <c r="C72" s="69"/>
      <c r="D72" s="69"/>
      <c r="E72" s="222"/>
      <c r="F72" s="222"/>
      <c r="G72" s="68"/>
      <c r="H72" s="70"/>
      <c r="I72" s="70"/>
      <c r="J72" s="71" t="str">
        <f t="shared" si="13"/>
        <v>sem descrição</v>
      </c>
      <c r="K72" s="69" t="str">
        <f t="shared" si="17"/>
        <v>informar entrega</v>
      </c>
      <c r="L72" s="69">
        <f t="shared" si="15"/>
        <v>0</v>
      </c>
      <c r="M72" s="69">
        <f t="shared" si="16"/>
        <v>0</v>
      </c>
    </row>
    <row r="73" spans="1:13" s="61" customFormat="1" ht="20.25" hidden="1" customHeight="1" x14ac:dyDescent="0.25">
      <c r="A73" s="67" t="s">
        <v>131</v>
      </c>
      <c r="B73" s="68"/>
      <c r="C73" s="69"/>
      <c r="D73" s="69"/>
      <c r="E73" s="222"/>
      <c r="F73" s="222"/>
      <c r="G73" s="68"/>
      <c r="H73" s="70"/>
      <c r="I73" s="70"/>
      <c r="J73" s="71" t="str">
        <f t="shared" si="13"/>
        <v>sem descrição</v>
      </c>
      <c r="K73" s="69" t="str">
        <f t="shared" si="17"/>
        <v>informar entrega</v>
      </c>
      <c r="L73" s="69">
        <f t="shared" si="15"/>
        <v>0</v>
      </c>
      <c r="M73" s="69">
        <f t="shared" si="16"/>
        <v>0</v>
      </c>
    </row>
    <row r="74" spans="1:13" s="61" customFormat="1" ht="20.25" hidden="1" customHeight="1" x14ac:dyDescent="0.25">
      <c r="A74" s="67" t="s">
        <v>188</v>
      </c>
      <c r="B74" s="68"/>
      <c r="C74" s="69"/>
      <c r="D74" s="69"/>
      <c r="E74" s="222"/>
      <c r="F74" s="222"/>
      <c r="G74" s="68"/>
      <c r="H74" s="70"/>
      <c r="I74" s="70"/>
      <c r="J74" s="71" t="str">
        <f t="shared" si="13"/>
        <v>sem descrição</v>
      </c>
      <c r="K74" s="69" t="str">
        <f t="shared" si="17"/>
        <v>informar entrega</v>
      </c>
      <c r="L74" s="69">
        <f t="shared" si="15"/>
        <v>0</v>
      </c>
      <c r="M74" s="69">
        <f t="shared" si="16"/>
        <v>0</v>
      </c>
    </row>
    <row r="75" spans="1:13" s="61" customFormat="1" ht="20.25" hidden="1" customHeight="1" x14ac:dyDescent="0.25">
      <c r="A75" s="67" t="s">
        <v>192</v>
      </c>
      <c r="B75" s="68"/>
      <c r="C75" s="69"/>
      <c r="D75" s="69"/>
      <c r="E75" s="222"/>
      <c r="F75" s="222"/>
      <c r="G75" s="68"/>
      <c r="H75" s="70"/>
      <c r="I75" s="70"/>
      <c r="J75" s="71" t="str">
        <f t="shared" si="13"/>
        <v>sem descrição</v>
      </c>
      <c r="K75" s="69" t="str">
        <f t="shared" si="17"/>
        <v>informar entrega</v>
      </c>
      <c r="L75" s="69">
        <f t="shared" si="15"/>
        <v>0</v>
      </c>
      <c r="M75" s="69">
        <f t="shared" si="16"/>
        <v>0</v>
      </c>
    </row>
    <row r="76" spans="1:13" s="61" customFormat="1" ht="20.25" hidden="1" customHeight="1" x14ac:dyDescent="0.25">
      <c r="A76" s="67" t="s">
        <v>195</v>
      </c>
      <c r="B76" s="68"/>
      <c r="C76" s="69"/>
      <c r="D76" s="69"/>
      <c r="E76" s="222"/>
      <c r="F76" s="222"/>
      <c r="G76" s="68"/>
      <c r="H76" s="70"/>
      <c r="I76" s="70"/>
      <c r="J76" s="71" t="str">
        <f t="shared" si="13"/>
        <v>sem descrição</v>
      </c>
      <c r="K76" s="69" t="str">
        <f t="shared" si="17"/>
        <v>informar entrega</v>
      </c>
      <c r="L76" s="69">
        <f t="shared" si="15"/>
        <v>0</v>
      </c>
      <c r="M76" s="69">
        <f t="shared" si="16"/>
        <v>0</v>
      </c>
    </row>
    <row r="77" spans="1:13" s="61" customFormat="1" ht="20.25" hidden="1" customHeight="1" x14ac:dyDescent="0.25">
      <c r="A77" s="67" t="s">
        <v>199</v>
      </c>
      <c r="B77" s="68"/>
      <c r="C77" s="69"/>
      <c r="D77" s="69"/>
      <c r="E77" s="222"/>
      <c r="F77" s="222"/>
      <c r="G77" s="68"/>
      <c r="H77" s="70"/>
      <c r="I77" s="70"/>
      <c r="J77" s="71" t="str">
        <f t="shared" si="13"/>
        <v>sem descrição</v>
      </c>
      <c r="K77" s="69" t="str">
        <f>IF(C77="mensal",J77*H77*E77,IF(C77="trimestral",(J77*H77*E77)/3,IF(C77="semestral",(J77*H77*E77)/6,IF(C77="anual",(J77*H77*E77/12),"informar período"))))</f>
        <v>informar período</v>
      </c>
      <c r="L77" s="69">
        <f t="shared" si="15"/>
        <v>0</v>
      </c>
      <c r="M77" s="69">
        <f t="shared" si="16"/>
        <v>0</v>
      </c>
    </row>
    <row r="78" spans="1:13" s="61" customFormat="1" ht="20.25" customHeight="1" x14ac:dyDescent="0.25">
      <c r="A78" s="152" t="s">
        <v>320</v>
      </c>
      <c r="B78" s="147"/>
      <c r="C78" s="147"/>
      <c r="D78" s="147"/>
      <c r="E78" s="147"/>
      <c r="F78" s="147"/>
      <c r="G78" s="147"/>
      <c r="H78" s="147"/>
      <c r="I78" s="139"/>
      <c r="J78" s="155"/>
      <c r="K78" s="156">
        <f>SUM(K61:K77)</f>
        <v>0</v>
      </c>
      <c r="L78" s="157">
        <f>K78*12</f>
        <v>0</v>
      </c>
      <c r="M78" s="158">
        <f>K78*60</f>
        <v>0</v>
      </c>
    </row>
    <row r="79" spans="1:13" s="61" customFormat="1" ht="20.25" customHeight="1" x14ac:dyDescent="0.25">
      <c r="A79" s="152" t="s">
        <v>302</v>
      </c>
      <c r="B79" s="147"/>
      <c r="C79" s="147"/>
      <c r="D79" s="147"/>
      <c r="E79" s="147"/>
      <c r="F79" s="147"/>
      <c r="G79" s="147"/>
      <c r="H79" s="147"/>
      <c r="I79" s="139"/>
      <c r="J79" s="155"/>
      <c r="K79" s="156"/>
      <c r="L79" s="157"/>
      <c r="M79" s="158">
        <f>K78/SUM(C57:M59)</f>
        <v>0</v>
      </c>
    </row>
    <row r="80" spans="1:13" s="61" customFormat="1" ht="20.25" customHeight="1" x14ac:dyDescent="0.25">
      <c r="A80" s="235" t="s">
        <v>273</v>
      </c>
      <c r="B80" s="143" t="s">
        <v>19</v>
      </c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4"/>
    </row>
    <row r="81" spans="1:13" s="61" customFormat="1" ht="20.25" customHeight="1" x14ac:dyDescent="0.25">
      <c r="A81" s="62">
        <v>1</v>
      </c>
      <c r="B81" s="63" t="s">
        <v>274</v>
      </c>
      <c r="C81" s="216" t="s">
        <v>175</v>
      </c>
      <c r="D81" s="217"/>
      <c r="E81" s="217"/>
      <c r="F81" s="217"/>
      <c r="G81" s="217"/>
      <c r="H81" s="145"/>
      <c r="I81" s="145"/>
      <c r="J81" s="145"/>
      <c r="K81" s="145"/>
      <c r="L81" s="145"/>
      <c r="M81" s="146"/>
    </row>
    <row r="82" spans="1:13" s="61" customFormat="1" ht="20.25" customHeight="1" x14ac:dyDescent="0.25">
      <c r="A82" s="62">
        <v>2</v>
      </c>
      <c r="B82" s="63" t="str">
        <f>'planilha - proposta'!D25</f>
        <v>Auxiliar de Nutrição - 12x36d</v>
      </c>
      <c r="C82" s="216">
        <v>2</v>
      </c>
      <c r="D82" s="217"/>
      <c r="E82" s="217"/>
      <c r="F82" s="217"/>
      <c r="G82" s="217"/>
      <c r="H82" s="145"/>
      <c r="I82" s="145"/>
      <c r="J82" s="145"/>
      <c r="K82" s="145"/>
      <c r="L82" s="145"/>
      <c r="M82" s="146"/>
    </row>
    <row r="83" spans="1:13" s="61" customFormat="1" ht="20.25" customHeight="1" x14ac:dyDescent="0.25">
      <c r="A83" s="62">
        <v>3</v>
      </c>
      <c r="B83" s="63" t="str">
        <f>'planilha - proposta'!D26</f>
        <v>Auxiliar de Nutrição - 12x36n</v>
      </c>
      <c r="C83" s="216">
        <v>2</v>
      </c>
      <c r="D83" s="217"/>
      <c r="E83" s="217"/>
      <c r="F83" s="217"/>
      <c r="G83" s="217"/>
      <c r="H83" s="145"/>
      <c r="I83" s="145"/>
      <c r="J83" s="145"/>
      <c r="K83" s="145"/>
      <c r="L83" s="145"/>
      <c r="M83" s="146"/>
    </row>
    <row r="84" spans="1:13" s="61" customFormat="1" ht="20.25" hidden="1" customHeight="1" x14ac:dyDescent="0.25">
      <c r="A84" s="62">
        <v>4</v>
      </c>
      <c r="B84" s="63" t="str">
        <f>'planilha - proposta'!D27</f>
        <v>Auxiliar de Nutrição - 44h</v>
      </c>
      <c r="C84" s="216">
        <v>0</v>
      </c>
      <c r="D84" s="217"/>
      <c r="E84" s="217"/>
      <c r="F84" s="217"/>
      <c r="G84" s="217"/>
      <c r="H84" s="145"/>
      <c r="I84" s="145"/>
      <c r="J84" s="145"/>
      <c r="K84" s="145"/>
      <c r="L84" s="145"/>
      <c r="M84" s="146"/>
    </row>
    <row r="85" spans="1:13" s="61" customFormat="1" ht="52.5" customHeight="1" x14ac:dyDescent="0.25">
      <c r="A85" s="64" t="s">
        <v>273</v>
      </c>
      <c r="B85" s="65" t="s">
        <v>275</v>
      </c>
      <c r="C85" s="218" t="s">
        <v>276</v>
      </c>
      <c r="D85" s="218" t="s">
        <v>277</v>
      </c>
      <c r="E85" s="218" t="s">
        <v>278</v>
      </c>
      <c r="F85" s="218" t="s">
        <v>303</v>
      </c>
      <c r="G85" s="223" t="s">
        <v>280</v>
      </c>
      <c r="H85" s="65" t="s">
        <v>304</v>
      </c>
      <c r="I85" s="66" t="s">
        <v>305</v>
      </c>
      <c r="J85" s="66" t="s">
        <v>318</v>
      </c>
      <c r="K85" s="65" t="s">
        <v>284</v>
      </c>
      <c r="L85" s="65" t="s">
        <v>285</v>
      </c>
      <c r="M85" s="66" t="s">
        <v>286</v>
      </c>
    </row>
    <row r="86" spans="1:13" s="61" customFormat="1" ht="20.25" hidden="1" customHeight="1" x14ac:dyDescent="0.25">
      <c r="A86" s="67"/>
      <c r="B86" s="68"/>
      <c r="C86" s="69"/>
      <c r="D86" s="69"/>
      <c r="E86" s="222"/>
      <c r="F86" s="222"/>
      <c r="G86" s="68"/>
      <c r="H86" s="70"/>
      <c r="I86" s="71">
        <f t="shared" ref="I86:I92" si="18">SUM($C$82:$M$84)</f>
        <v>4</v>
      </c>
      <c r="J86" s="71" t="str">
        <f t="shared" ref="J86:J101" si="19">IF(B86="","sem descrição",IF($C$82&gt;=$C$83,IF($C$84&gt;0,$C$82/2+$C$84,$C$82/2),IF($C$84&gt;0,$C$83/5+$C$84,$C$84)))</f>
        <v>sem descrição</v>
      </c>
      <c r="K86" s="69">
        <f>IF(C86="mensal",IF(F86&gt;0,F86*H86,IF(D86="descartável",((SUM($C$82:$C$83)/2)+$C$84)*E86*H86,IF(D86="pessoal",E86*H86*I86,E86*H86*J86))),0)+IF(C86="trimestral",IF(F86&gt;0,F86*H86/3,IF(D86="descartável",(((SUM($C$82:$C$83)/2)+$C$84)*E86*H86)/3,IF(D86="pessoal",(E86*H86*I86)/3,(E86*H86*J86)/3))),0)+IF(C86="semestral",IF(F86&gt;0,F86*H86/6,IF(D86="descartável",(((SUM($C$82:$C$83)/2)+$C$84)*E86*H86)/6,IF(D86="pessoal",(E86*H86*I86)/6,(E86*H86*J86)/6))),0)+IF(C86="anual",IF(F86&gt;0,F86*H86/12,IF(D86="descartável",(((SUM($C$82:$C$83)/2)+$C$84)*E86*H86)/12,IF(D86="pessoal",(E86*H86*I86)/12,(E86*H86*J86)/12))),0)</f>
        <v>0</v>
      </c>
      <c r="L86" s="69">
        <f>IFERROR(K86*12, 0)</f>
        <v>0</v>
      </c>
      <c r="M86" s="69">
        <f>IFERROR(K86*60,0)</f>
        <v>0</v>
      </c>
    </row>
    <row r="87" spans="1:13" s="61" customFormat="1" ht="20.25" customHeight="1" x14ac:dyDescent="0.25">
      <c r="A87" s="67" t="s">
        <v>108</v>
      </c>
      <c r="B87" s="68" t="s">
        <v>294</v>
      </c>
      <c r="C87" s="69" t="s">
        <v>288</v>
      </c>
      <c r="D87" s="69" t="s">
        <v>289</v>
      </c>
      <c r="E87" s="222">
        <v>90</v>
      </c>
      <c r="F87" s="222">
        <v>0</v>
      </c>
      <c r="G87" s="68" t="s">
        <v>290</v>
      </c>
      <c r="H87" s="70">
        <f>VLOOKUP(B87,custoEPI!$B$6:$E$29,4,FALSE)</f>
        <v>0</v>
      </c>
      <c r="I87" s="71">
        <f t="shared" si="18"/>
        <v>4</v>
      </c>
      <c r="J87" s="71">
        <f t="shared" si="19"/>
        <v>1</v>
      </c>
      <c r="K87" s="69">
        <f t="shared" ref="K87:K92" si="20">IF(C87="mensal",IF(F87&gt;0,F87*H87,IF(D87="descartável",((SUM($C$82:$C$83)/2)+$C$84)*E87*H87,IF(D87="pessoal",E87*H87*I87,E87*H87*J87))),0)+IF(C87="trimestral",IF(F87&gt;0,F87*H87/3,IF(D87="descartável",(((SUM($C$82:$C$83)/2)+$C$84)*E87*H87)/3,IF(D87="pessoal",(E87*H87*I87)/3,(E87*H87*J87)/3))),0)+IF(C87="semestral",IF(F87&gt;0,F87*H87/6,IF(D87="descartável",(((SUM($C$82:$C$83)/2)+$C$84)*E87*H87)/6,IF(D87="pessoal",(E87*H87*I87)/6,(E87*H87*J87)/6))),0)+IF(C87="anual",IF(F87&gt;0,F87*H87/12,IF(D87="descartável",(((SUM($C$82:$C$83)/2)+$C$84)*E87*H87)/12,IF(D87="pessoal",(E87*H87*I87)/12,(E87*H87*J87)/12))),0)</f>
        <v>0</v>
      </c>
      <c r="L87" s="69">
        <f t="shared" ref="L87:L102" si="21">IFERROR(K87*12, 0)</f>
        <v>0</v>
      </c>
      <c r="M87" s="69">
        <f t="shared" ref="M87:M102" si="22">IFERROR(K87*60,0)</f>
        <v>0</v>
      </c>
    </row>
    <row r="88" spans="1:13" s="61" customFormat="1" ht="20.25" customHeight="1" x14ac:dyDescent="0.25">
      <c r="A88" s="67" t="s">
        <v>110</v>
      </c>
      <c r="B88" s="68" t="s">
        <v>287</v>
      </c>
      <c r="C88" s="69" t="s">
        <v>288</v>
      </c>
      <c r="D88" s="69" t="s">
        <v>289</v>
      </c>
      <c r="E88" s="222">
        <f>3*30</f>
        <v>90</v>
      </c>
      <c r="F88" s="222">
        <v>0</v>
      </c>
      <c r="G88" s="68" t="s">
        <v>290</v>
      </c>
      <c r="H88" s="70">
        <f>VLOOKUP(B88,custoEPI!$B$6:$E$29,4,FALSE)</f>
        <v>0</v>
      </c>
      <c r="I88" s="71">
        <f t="shared" si="18"/>
        <v>4</v>
      </c>
      <c r="J88" s="71">
        <f t="shared" si="19"/>
        <v>1</v>
      </c>
      <c r="K88" s="69">
        <f t="shared" si="20"/>
        <v>0</v>
      </c>
      <c r="L88" s="69">
        <f t="shared" si="21"/>
        <v>0</v>
      </c>
      <c r="M88" s="69">
        <f t="shared" si="22"/>
        <v>0</v>
      </c>
    </row>
    <row r="89" spans="1:13" s="61" customFormat="1" ht="20.25" customHeight="1" x14ac:dyDescent="0.25">
      <c r="A89" s="67" t="s">
        <v>111</v>
      </c>
      <c r="B89" s="68" t="s">
        <v>313</v>
      </c>
      <c r="C89" s="69" t="s">
        <v>288</v>
      </c>
      <c r="D89" s="69" t="s">
        <v>289</v>
      </c>
      <c r="E89" s="222">
        <v>48</v>
      </c>
      <c r="F89" s="222">
        <v>0</v>
      </c>
      <c r="G89" s="68" t="s">
        <v>290</v>
      </c>
      <c r="H89" s="70">
        <f>VLOOKUP(B89,custoEPI!$B$6:$E$29,4,FALSE)</f>
        <v>0</v>
      </c>
      <c r="I89" s="71">
        <f t="shared" si="18"/>
        <v>4</v>
      </c>
      <c r="J89" s="71">
        <f t="shared" si="19"/>
        <v>1</v>
      </c>
      <c r="K89" s="69">
        <f t="shared" si="20"/>
        <v>0</v>
      </c>
      <c r="L89" s="69">
        <f t="shared" si="21"/>
        <v>0</v>
      </c>
      <c r="M89" s="69">
        <f t="shared" si="22"/>
        <v>0</v>
      </c>
    </row>
    <row r="90" spans="1:13" s="61" customFormat="1" ht="20.25" customHeight="1" x14ac:dyDescent="0.25">
      <c r="A90" s="67" t="s">
        <v>113</v>
      </c>
      <c r="B90" s="68" t="s">
        <v>319</v>
      </c>
      <c r="C90" s="69" t="s">
        <v>288</v>
      </c>
      <c r="D90" s="69" t="s">
        <v>289</v>
      </c>
      <c r="E90" s="222">
        <f>(100*12)/8</f>
        <v>150</v>
      </c>
      <c r="F90" s="222">
        <v>0</v>
      </c>
      <c r="G90" s="68" t="s">
        <v>290</v>
      </c>
      <c r="H90" s="70">
        <f>VLOOKUP(B90,custoEPI!$B$6:$E$29,4,FALSE)</f>
        <v>0</v>
      </c>
      <c r="I90" s="71">
        <f t="shared" si="18"/>
        <v>4</v>
      </c>
      <c r="J90" s="71">
        <f t="shared" si="19"/>
        <v>1</v>
      </c>
      <c r="K90" s="69">
        <f t="shared" si="20"/>
        <v>0</v>
      </c>
      <c r="L90" s="69">
        <f t="shared" si="21"/>
        <v>0</v>
      </c>
      <c r="M90" s="69">
        <f t="shared" si="22"/>
        <v>0</v>
      </c>
    </row>
    <row r="91" spans="1:13" s="61" customFormat="1" ht="20.25" customHeight="1" x14ac:dyDescent="0.25">
      <c r="A91" s="67" t="s">
        <v>114</v>
      </c>
      <c r="B91" s="68" t="s">
        <v>299</v>
      </c>
      <c r="C91" s="69" t="s">
        <v>300</v>
      </c>
      <c r="D91" s="69" t="s">
        <v>292</v>
      </c>
      <c r="E91" s="222">
        <v>2</v>
      </c>
      <c r="F91" s="222">
        <v>0</v>
      </c>
      <c r="G91" s="68" t="s">
        <v>290</v>
      </c>
      <c r="H91" s="70">
        <f>VLOOKUP(B91,custoEPI!$B$6:$E$29,4,FALSE)</f>
        <v>0</v>
      </c>
      <c r="I91" s="71">
        <f t="shared" si="18"/>
        <v>4</v>
      </c>
      <c r="J91" s="71">
        <f t="shared" si="19"/>
        <v>1</v>
      </c>
      <c r="K91" s="69">
        <f t="shared" si="20"/>
        <v>0</v>
      </c>
      <c r="L91" s="69">
        <f t="shared" si="21"/>
        <v>0</v>
      </c>
      <c r="M91" s="69">
        <f t="shared" si="22"/>
        <v>0</v>
      </c>
    </row>
    <row r="92" spans="1:13" s="61" customFormat="1" ht="20.25" customHeight="1" x14ac:dyDescent="0.25">
      <c r="A92" s="67" t="s">
        <v>115</v>
      </c>
      <c r="B92" s="68" t="s">
        <v>295</v>
      </c>
      <c r="C92" s="69" t="s">
        <v>296</v>
      </c>
      <c r="D92" s="69" t="s">
        <v>292</v>
      </c>
      <c r="E92" s="222">
        <v>1</v>
      </c>
      <c r="F92" s="222">
        <v>0</v>
      </c>
      <c r="G92" s="68" t="s">
        <v>290</v>
      </c>
      <c r="H92" s="70">
        <f>VLOOKUP(B92,custoEPI!$B$6:$E$29,4,FALSE)</f>
        <v>0</v>
      </c>
      <c r="I92" s="71">
        <f t="shared" si="18"/>
        <v>4</v>
      </c>
      <c r="J92" s="71">
        <f t="shared" si="19"/>
        <v>1</v>
      </c>
      <c r="K92" s="69">
        <f t="shared" si="20"/>
        <v>0</v>
      </c>
      <c r="L92" s="69">
        <f t="shared" si="21"/>
        <v>0</v>
      </c>
      <c r="M92" s="69">
        <f t="shared" si="22"/>
        <v>0</v>
      </c>
    </row>
    <row r="93" spans="1:13" s="61" customFormat="1" ht="20.25" hidden="1" customHeight="1" x14ac:dyDescent="0.25">
      <c r="A93" s="67" t="s">
        <v>118</v>
      </c>
      <c r="B93" s="68"/>
      <c r="C93" s="69"/>
      <c r="D93" s="69"/>
      <c r="E93" s="222"/>
      <c r="F93" s="222"/>
      <c r="G93" s="68"/>
      <c r="H93" s="70" t="e">
        <f>VLOOKUP(B93,custoEPI!$B$6:$E$29,4,FALSE)</f>
        <v>#N/A</v>
      </c>
      <c r="I93" s="71"/>
      <c r="J93" s="71" t="str">
        <f t="shared" si="19"/>
        <v>sem descrição</v>
      </c>
      <c r="K93" s="69" t="str">
        <f t="shared" ref="K93:K101" si="23">IF(C93="mensal",J93*H93*E93,IF(C93="trimestral",(J93*H93*E93)/3,IF(C93="semestral",(J93*H93*E93)/6,IF(C93="anual",(J93*H93*E93/12),"informar entrega"))))</f>
        <v>informar entrega</v>
      </c>
      <c r="L93" s="69">
        <f t="shared" si="21"/>
        <v>0</v>
      </c>
      <c r="M93" s="69">
        <f t="shared" si="22"/>
        <v>0</v>
      </c>
    </row>
    <row r="94" spans="1:13" s="61" customFormat="1" ht="20.25" hidden="1" customHeight="1" x14ac:dyDescent="0.25">
      <c r="A94" s="67" t="s">
        <v>121</v>
      </c>
      <c r="B94" s="68"/>
      <c r="C94" s="69"/>
      <c r="D94" s="69"/>
      <c r="E94" s="222"/>
      <c r="F94" s="222"/>
      <c r="G94" s="68"/>
      <c r="H94" s="70" t="e">
        <f>VLOOKUP(B94,custoEPI!$B$6:$E$29,4,FALSE)</f>
        <v>#N/A</v>
      </c>
      <c r="I94" s="71"/>
      <c r="J94" s="71" t="str">
        <f t="shared" si="19"/>
        <v>sem descrição</v>
      </c>
      <c r="K94" s="69" t="str">
        <f t="shared" si="23"/>
        <v>informar entrega</v>
      </c>
      <c r="L94" s="69">
        <f t="shared" si="21"/>
        <v>0</v>
      </c>
      <c r="M94" s="69">
        <f t="shared" si="22"/>
        <v>0</v>
      </c>
    </row>
    <row r="95" spans="1:13" s="61" customFormat="1" ht="20.25" hidden="1" customHeight="1" x14ac:dyDescent="0.25">
      <c r="A95" s="67" t="s">
        <v>125</v>
      </c>
      <c r="B95" s="68"/>
      <c r="C95" s="69"/>
      <c r="D95" s="69"/>
      <c r="E95" s="222"/>
      <c r="F95" s="222"/>
      <c r="G95" s="68"/>
      <c r="H95" s="70"/>
      <c r="I95" s="71"/>
      <c r="J95" s="71" t="str">
        <f t="shared" si="19"/>
        <v>sem descrição</v>
      </c>
      <c r="K95" s="69" t="str">
        <f t="shared" si="23"/>
        <v>informar entrega</v>
      </c>
      <c r="L95" s="69">
        <f t="shared" si="21"/>
        <v>0</v>
      </c>
      <c r="M95" s="69">
        <f t="shared" si="22"/>
        <v>0</v>
      </c>
    </row>
    <row r="96" spans="1:13" s="61" customFormat="1" ht="20.25" hidden="1" customHeight="1" x14ac:dyDescent="0.25">
      <c r="A96" s="67" t="s">
        <v>127</v>
      </c>
      <c r="B96" s="68"/>
      <c r="C96" s="69"/>
      <c r="D96" s="69"/>
      <c r="E96" s="222"/>
      <c r="F96" s="222"/>
      <c r="G96" s="68"/>
      <c r="H96" s="70"/>
      <c r="I96" s="70"/>
      <c r="J96" s="71" t="str">
        <f t="shared" si="19"/>
        <v>sem descrição</v>
      </c>
      <c r="K96" s="69" t="str">
        <f t="shared" si="23"/>
        <v>informar entrega</v>
      </c>
      <c r="L96" s="69">
        <f t="shared" si="21"/>
        <v>0</v>
      </c>
      <c r="M96" s="69">
        <f t="shared" si="22"/>
        <v>0</v>
      </c>
    </row>
    <row r="97" spans="1:13" s="61" customFormat="1" ht="20.25" hidden="1" customHeight="1" x14ac:dyDescent="0.25">
      <c r="A97" s="67" t="s">
        <v>129</v>
      </c>
      <c r="B97" s="68"/>
      <c r="C97" s="69"/>
      <c r="D97" s="69"/>
      <c r="E97" s="222"/>
      <c r="F97" s="222"/>
      <c r="G97" s="68"/>
      <c r="H97" s="70"/>
      <c r="I97" s="70"/>
      <c r="J97" s="71" t="str">
        <f t="shared" si="19"/>
        <v>sem descrição</v>
      </c>
      <c r="K97" s="69" t="str">
        <f t="shared" si="23"/>
        <v>informar entrega</v>
      </c>
      <c r="L97" s="69">
        <f t="shared" si="21"/>
        <v>0</v>
      </c>
      <c r="M97" s="69">
        <f t="shared" si="22"/>
        <v>0</v>
      </c>
    </row>
    <row r="98" spans="1:13" s="61" customFormat="1" ht="20.25" hidden="1" customHeight="1" x14ac:dyDescent="0.25">
      <c r="A98" s="67" t="s">
        <v>131</v>
      </c>
      <c r="B98" s="68"/>
      <c r="C98" s="69"/>
      <c r="D98" s="69"/>
      <c r="E98" s="222"/>
      <c r="F98" s="222"/>
      <c r="G98" s="68"/>
      <c r="H98" s="70"/>
      <c r="I98" s="70"/>
      <c r="J98" s="71" t="str">
        <f t="shared" si="19"/>
        <v>sem descrição</v>
      </c>
      <c r="K98" s="69" t="str">
        <f t="shared" si="23"/>
        <v>informar entrega</v>
      </c>
      <c r="L98" s="69">
        <f t="shared" si="21"/>
        <v>0</v>
      </c>
      <c r="M98" s="69">
        <f t="shared" si="22"/>
        <v>0</v>
      </c>
    </row>
    <row r="99" spans="1:13" s="61" customFormat="1" ht="20.25" hidden="1" customHeight="1" x14ac:dyDescent="0.25">
      <c r="A99" s="67" t="s">
        <v>188</v>
      </c>
      <c r="B99" s="68"/>
      <c r="C99" s="69"/>
      <c r="D99" s="69"/>
      <c r="E99" s="222"/>
      <c r="F99" s="222"/>
      <c r="G99" s="68"/>
      <c r="H99" s="70"/>
      <c r="I99" s="70"/>
      <c r="J99" s="71" t="str">
        <f t="shared" si="19"/>
        <v>sem descrição</v>
      </c>
      <c r="K99" s="69" t="str">
        <f t="shared" si="23"/>
        <v>informar entrega</v>
      </c>
      <c r="L99" s="69">
        <f t="shared" si="21"/>
        <v>0</v>
      </c>
      <c r="M99" s="69">
        <f t="shared" si="22"/>
        <v>0</v>
      </c>
    </row>
    <row r="100" spans="1:13" s="61" customFormat="1" ht="20.25" hidden="1" customHeight="1" x14ac:dyDescent="0.25">
      <c r="A100" s="67" t="s">
        <v>192</v>
      </c>
      <c r="B100" s="68"/>
      <c r="C100" s="69"/>
      <c r="D100" s="69"/>
      <c r="E100" s="222"/>
      <c r="F100" s="222"/>
      <c r="G100" s="68"/>
      <c r="H100" s="70"/>
      <c r="I100" s="70"/>
      <c r="J100" s="71" t="str">
        <f t="shared" si="19"/>
        <v>sem descrição</v>
      </c>
      <c r="K100" s="69" t="str">
        <f t="shared" si="23"/>
        <v>informar entrega</v>
      </c>
      <c r="L100" s="69">
        <f t="shared" si="21"/>
        <v>0</v>
      </c>
      <c r="M100" s="69">
        <f t="shared" si="22"/>
        <v>0</v>
      </c>
    </row>
    <row r="101" spans="1:13" s="61" customFormat="1" ht="20.25" hidden="1" customHeight="1" x14ac:dyDescent="0.25">
      <c r="A101" s="67" t="s">
        <v>195</v>
      </c>
      <c r="B101" s="68"/>
      <c r="C101" s="69"/>
      <c r="D101" s="69"/>
      <c r="E101" s="222"/>
      <c r="F101" s="222"/>
      <c r="G101" s="68"/>
      <c r="H101" s="70"/>
      <c r="I101" s="70"/>
      <c r="J101" s="71" t="str">
        <f t="shared" si="19"/>
        <v>sem descrição</v>
      </c>
      <c r="K101" s="69" t="str">
        <f t="shared" si="23"/>
        <v>informar entrega</v>
      </c>
      <c r="L101" s="69">
        <f t="shared" si="21"/>
        <v>0</v>
      </c>
      <c r="M101" s="69">
        <f t="shared" si="22"/>
        <v>0</v>
      </c>
    </row>
    <row r="102" spans="1:13" s="61" customFormat="1" ht="20.25" hidden="1" customHeight="1" x14ac:dyDescent="0.25">
      <c r="A102" s="67" t="s">
        <v>199</v>
      </c>
      <c r="B102" s="68"/>
      <c r="C102" s="69"/>
      <c r="D102" s="69"/>
      <c r="E102" s="222"/>
      <c r="F102" s="222"/>
      <c r="G102" s="68"/>
      <c r="H102" s="70"/>
      <c r="I102" s="70"/>
      <c r="J102" s="71" t="str">
        <f>IF(B102="","sem descrição",$C$84)</f>
        <v>sem descrição</v>
      </c>
      <c r="K102" s="69" t="str">
        <f>IF(C102="mensal",J102*H102*E102,IF(C102="trimestral",(J102*H102*E102)/3,IF(C102="semestral",(J102*H102*E102)/6,IF(C102="anual",(J102*H102*E102/12),"informar período"))))</f>
        <v>informar período</v>
      </c>
      <c r="L102" s="69">
        <f t="shared" si="21"/>
        <v>0</v>
      </c>
      <c r="M102" s="69">
        <f t="shared" si="22"/>
        <v>0</v>
      </c>
    </row>
    <row r="103" spans="1:13" s="61" customFormat="1" ht="20.25" customHeight="1" x14ac:dyDescent="0.25">
      <c r="A103" s="152" t="s">
        <v>308</v>
      </c>
      <c r="B103" s="147"/>
      <c r="C103" s="147"/>
      <c r="D103" s="147"/>
      <c r="E103" s="147"/>
      <c r="F103" s="147"/>
      <c r="G103" s="147"/>
      <c r="H103" s="147"/>
      <c r="I103" s="139"/>
      <c r="J103" s="155"/>
      <c r="K103" s="156">
        <f>SUM(K86:K102)</f>
        <v>0</v>
      </c>
      <c r="L103" s="157">
        <f>K103*12</f>
        <v>0</v>
      </c>
      <c r="M103" s="158">
        <f>K103*60</f>
        <v>0</v>
      </c>
    </row>
    <row r="104" spans="1:13" s="61" customFormat="1" ht="20.25" customHeight="1" x14ac:dyDescent="0.25">
      <c r="A104" s="152" t="s">
        <v>302</v>
      </c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59">
        <f>K103/SUM(C82:M84)</f>
        <v>0</v>
      </c>
    </row>
    <row r="105" spans="1:13" s="61" customFormat="1" ht="20.25" customHeight="1" x14ac:dyDescent="0.25">
      <c r="A105" s="235" t="s">
        <v>273</v>
      </c>
      <c r="B105" s="143" t="s">
        <v>19</v>
      </c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4"/>
    </row>
    <row r="106" spans="1:13" s="61" customFormat="1" ht="20.25" customHeight="1" x14ac:dyDescent="0.25">
      <c r="A106" s="62">
        <v>1</v>
      </c>
      <c r="B106" s="63" t="s">
        <v>274</v>
      </c>
      <c r="C106" s="216" t="s">
        <v>180</v>
      </c>
      <c r="D106" s="217"/>
      <c r="E106" s="217"/>
      <c r="F106" s="217"/>
      <c r="G106" s="217"/>
      <c r="H106" s="145"/>
      <c r="I106" s="145"/>
      <c r="J106" s="145"/>
      <c r="K106" s="145"/>
      <c r="L106" s="145"/>
      <c r="M106" s="146"/>
    </row>
    <row r="107" spans="1:13" s="61" customFormat="1" ht="20.25" customHeight="1" x14ac:dyDescent="0.25">
      <c r="A107" s="62">
        <v>2</v>
      </c>
      <c r="B107" s="63" t="str">
        <f>'planilha - proposta'!D28</f>
        <v>Açougueiro - 12x36d</v>
      </c>
      <c r="C107" s="216">
        <v>2</v>
      </c>
      <c r="D107" s="217"/>
      <c r="E107" s="217"/>
      <c r="F107" s="217"/>
      <c r="G107" s="217"/>
      <c r="H107" s="145"/>
      <c r="I107" s="145"/>
      <c r="J107" s="145"/>
      <c r="K107" s="145"/>
      <c r="L107" s="145"/>
      <c r="M107" s="146"/>
    </row>
    <row r="108" spans="1:13" s="61" customFormat="1" ht="20.25" hidden="1" customHeight="1" x14ac:dyDescent="0.25">
      <c r="A108" s="62"/>
      <c r="B108" s="63"/>
      <c r="C108" s="216">
        <v>0</v>
      </c>
      <c r="D108" s="217"/>
      <c r="E108" s="217"/>
      <c r="F108" s="217"/>
      <c r="G108" s="217"/>
      <c r="H108" s="145"/>
      <c r="I108" s="145"/>
      <c r="J108" s="145"/>
      <c r="K108" s="145"/>
      <c r="L108" s="145"/>
      <c r="M108" s="146"/>
    </row>
    <row r="109" spans="1:13" s="61" customFormat="1" ht="20.25" hidden="1" customHeight="1" x14ac:dyDescent="0.25">
      <c r="A109" s="62">
        <v>3</v>
      </c>
      <c r="B109" s="63" t="str">
        <f>'planilha - proposta'!D29</f>
        <v>Açougueiro - 44h</v>
      </c>
      <c r="C109" s="216">
        <v>0</v>
      </c>
      <c r="D109" s="217"/>
      <c r="E109" s="217"/>
      <c r="F109" s="217"/>
      <c r="G109" s="217"/>
      <c r="H109" s="145"/>
      <c r="I109" s="145"/>
      <c r="J109" s="145"/>
      <c r="K109" s="145"/>
      <c r="L109" s="145"/>
      <c r="M109" s="146"/>
    </row>
    <row r="110" spans="1:13" s="61" customFormat="1" ht="52.5" customHeight="1" x14ac:dyDescent="0.25">
      <c r="A110" s="64" t="s">
        <v>273</v>
      </c>
      <c r="B110" s="65" t="s">
        <v>275</v>
      </c>
      <c r="C110" s="218" t="s">
        <v>276</v>
      </c>
      <c r="D110" s="218" t="s">
        <v>277</v>
      </c>
      <c r="E110" s="218" t="s">
        <v>278</v>
      </c>
      <c r="F110" s="218" t="s">
        <v>303</v>
      </c>
      <c r="G110" s="223" t="s">
        <v>280</v>
      </c>
      <c r="H110" s="65" t="s">
        <v>304</v>
      </c>
      <c r="I110" s="66" t="s">
        <v>305</v>
      </c>
      <c r="J110" s="66" t="s">
        <v>318</v>
      </c>
      <c r="K110" s="65" t="s">
        <v>284</v>
      </c>
      <c r="L110" s="65" t="s">
        <v>285</v>
      </c>
      <c r="M110" s="66" t="s">
        <v>286</v>
      </c>
    </row>
    <row r="111" spans="1:13" s="61" customFormat="1" ht="20.25" customHeight="1" x14ac:dyDescent="0.25">
      <c r="A111" s="67" t="s">
        <v>108</v>
      </c>
      <c r="B111" s="68" t="s">
        <v>391</v>
      </c>
      <c r="C111" s="69" t="s">
        <v>298</v>
      </c>
      <c r="D111" s="69" t="s">
        <v>310</v>
      </c>
      <c r="E111" s="222">
        <v>0</v>
      </c>
      <c r="F111" s="222">
        <v>2</v>
      </c>
      <c r="G111" s="68" t="s">
        <v>290</v>
      </c>
      <c r="H111" s="70">
        <f>VLOOKUP(B111,custoEPI!$B$6:$E$29,4,FALSE)</f>
        <v>0</v>
      </c>
      <c r="I111" s="71">
        <f t="shared" ref="I111:I118" si="24">SUM($C$107:$M$109)</f>
        <v>2</v>
      </c>
      <c r="J111" s="71">
        <f t="shared" ref="J111:J127" si="25">IF(B111="","sem descrição",IF($C$107&gt;=$C$108,IF($C$109&gt;0,$C$107/2+$C$109,$C$107/2),IF($C$109&gt;0,$C$108/5+$C$109,$C$109)))</f>
        <v>1</v>
      </c>
      <c r="K111" s="69">
        <f>IF(C111="mensal",IF(F111&gt;0,F111*H111,IF(D111="descartável",((SUM($C$107:$C$108)/2)+$C$109)*E111*H111,IF(D111="pessoal",E111*H111*I111,E111*H111*J111))),0)+IF(C111="trimestral",IF(F111&gt;0,F111*H111/3,IF(D111="descartável",(((SUM($C$107:$C$108)/2)+$C$109)*E111*H111)/3,IF(D111="pessoal",(E111*H111*I111)/3,(E111*H111*J111)/3))),0)+IF(C111="semestral",IF(F111&gt;0,F111*H111/6,IF(D111="descartável",(((SUM($C$107:$C$108)/2)+$C$109)*E111*H111)/6,IF(D111="pessoal",(E111*H111*I111)/6,(E111*H111*J111)/6))),0)+IF(C111="anual",IF(F111&gt;0,F111*H111/12,IF(D111="descartável",(((SUM($C$107:$C$108)/2)+$C$109)*E111*H111)/12,IF(D111="pessoal",(E111*H111*I111)/12,(E111*H111*J111)/12))),0)</f>
        <v>0</v>
      </c>
      <c r="L111" s="69">
        <f>IFERROR(K111*12, 0)</f>
        <v>0</v>
      </c>
      <c r="M111" s="69">
        <f>IFERROR(K111*60,0)</f>
        <v>0</v>
      </c>
    </row>
    <row r="112" spans="1:13" s="61" customFormat="1" ht="20.25" customHeight="1" x14ac:dyDescent="0.25">
      <c r="A112" s="67" t="s">
        <v>110</v>
      </c>
      <c r="B112" s="68" t="s">
        <v>312</v>
      </c>
      <c r="C112" s="69" t="s">
        <v>300</v>
      </c>
      <c r="D112" s="69" t="s">
        <v>292</v>
      </c>
      <c r="E112" s="222">
        <v>1</v>
      </c>
      <c r="F112" s="222">
        <v>0</v>
      </c>
      <c r="G112" s="68" t="s">
        <v>290</v>
      </c>
      <c r="H112" s="70">
        <f>VLOOKUP(B112,custoEPI!$B$6:$E$29,4,FALSE)</f>
        <v>0</v>
      </c>
      <c r="I112" s="71">
        <f t="shared" si="24"/>
        <v>2</v>
      </c>
      <c r="J112" s="71">
        <f t="shared" si="25"/>
        <v>1</v>
      </c>
      <c r="K112" s="69">
        <f t="shared" ref="K112:K118" si="26">IF(C112="mensal",IF(F112&gt;0,F112*H112,IF(D112="descartável",((SUM($C$107:$C$108)/2)+$C$109)*E112*H112,IF(D112="pessoal",E112*H112*I112,E112*H112*J112))),0)+IF(C112="trimestral",IF(F112&gt;0,F112*H112/3,IF(D112="descartável",(((SUM($C$107:$C$108)/2)+$C$109)*E112*H112)/3,IF(D112="pessoal",(E112*H112*I112)/3,(E112*H112*J112)/3))),0)+IF(C112="semestral",IF(F112&gt;0,F112*H112/6,IF(D112="descartável",(((SUM($C$107:$C$108)/2)+$C$109)*E112*H112)/6,IF(D112="pessoal",(E112*H112*I112)/6,(E112*H112*J112)/6))),0)+IF(C112="anual",IF(F112&gt;0,F112*H112/12,IF(D112="descartável",(((SUM($C$107:$C$108)/2)+$C$109)*E112*H112)/12,IF(D112="pessoal",(E112*H112*I112)/12,(E112*H112*J112)/12))),0)</f>
        <v>0</v>
      </c>
      <c r="L112" s="69">
        <f t="shared" ref="L112:L127" si="27">IFERROR(K112*12, 0)</f>
        <v>0</v>
      </c>
      <c r="M112" s="69">
        <f t="shared" ref="M112:M127" si="28">IFERROR(K112*60,0)</f>
        <v>0</v>
      </c>
    </row>
    <row r="113" spans="1:13" s="61" customFormat="1" ht="20.25" customHeight="1" x14ac:dyDescent="0.25">
      <c r="A113" s="67" t="s">
        <v>111</v>
      </c>
      <c r="B113" s="68" t="s">
        <v>294</v>
      </c>
      <c r="C113" s="69" t="s">
        <v>288</v>
      </c>
      <c r="D113" s="69" t="s">
        <v>289</v>
      </c>
      <c r="E113" s="222">
        <f>3*26</f>
        <v>78</v>
      </c>
      <c r="F113" s="222">
        <v>0</v>
      </c>
      <c r="G113" s="68" t="s">
        <v>290</v>
      </c>
      <c r="H113" s="70">
        <f>VLOOKUP(B113,custoEPI!$B$6:$E$29,4,FALSE)</f>
        <v>0</v>
      </c>
      <c r="I113" s="71">
        <f t="shared" si="24"/>
        <v>2</v>
      </c>
      <c r="J113" s="71">
        <f t="shared" si="25"/>
        <v>1</v>
      </c>
      <c r="K113" s="69">
        <f t="shared" si="26"/>
        <v>0</v>
      </c>
      <c r="L113" s="69">
        <f t="shared" si="27"/>
        <v>0</v>
      </c>
      <c r="M113" s="69">
        <f t="shared" si="28"/>
        <v>0</v>
      </c>
    </row>
    <row r="114" spans="1:13" s="61" customFormat="1" ht="20.25" customHeight="1" x14ac:dyDescent="0.25">
      <c r="A114" s="67" t="s">
        <v>113</v>
      </c>
      <c r="B114" s="68" t="s">
        <v>287</v>
      </c>
      <c r="C114" s="69" t="s">
        <v>288</v>
      </c>
      <c r="D114" s="69" t="s">
        <v>289</v>
      </c>
      <c r="E114" s="222">
        <f>3*26</f>
        <v>78</v>
      </c>
      <c r="F114" s="222">
        <v>0</v>
      </c>
      <c r="G114" s="68" t="s">
        <v>290</v>
      </c>
      <c r="H114" s="70">
        <f>VLOOKUP(B114,custoEPI!$B$6:$E$29,4,FALSE)</f>
        <v>0</v>
      </c>
      <c r="I114" s="71">
        <f t="shared" si="24"/>
        <v>2</v>
      </c>
      <c r="J114" s="71">
        <f t="shared" si="25"/>
        <v>1</v>
      </c>
      <c r="K114" s="69">
        <f t="shared" si="26"/>
        <v>0</v>
      </c>
      <c r="L114" s="69">
        <f t="shared" si="27"/>
        <v>0</v>
      </c>
      <c r="M114" s="69">
        <f t="shared" si="28"/>
        <v>0</v>
      </c>
    </row>
    <row r="115" spans="1:13" s="61" customFormat="1" ht="20.25" customHeight="1" x14ac:dyDescent="0.25">
      <c r="A115" s="67" t="s">
        <v>114</v>
      </c>
      <c r="B115" s="68" t="s">
        <v>313</v>
      </c>
      <c r="C115" s="69" t="s">
        <v>288</v>
      </c>
      <c r="D115" s="69" t="s">
        <v>289</v>
      </c>
      <c r="E115" s="222">
        <v>48</v>
      </c>
      <c r="F115" s="222">
        <v>0</v>
      </c>
      <c r="G115" s="68" t="s">
        <v>290</v>
      </c>
      <c r="H115" s="70">
        <f>VLOOKUP(B115,custoEPI!$B$6:$E$29,4,FALSE)</f>
        <v>0</v>
      </c>
      <c r="I115" s="71">
        <f t="shared" si="24"/>
        <v>2</v>
      </c>
      <c r="J115" s="71">
        <f t="shared" si="25"/>
        <v>1</v>
      </c>
      <c r="K115" s="69">
        <f t="shared" si="26"/>
        <v>0</v>
      </c>
      <c r="L115" s="69">
        <f t="shared" si="27"/>
        <v>0</v>
      </c>
      <c r="M115" s="69">
        <f t="shared" si="28"/>
        <v>0</v>
      </c>
    </row>
    <row r="116" spans="1:13" s="61" customFormat="1" ht="20.25" hidden="1" customHeight="1" x14ac:dyDescent="0.25">
      <c r="A116" s="67"/>
      <c r="B116" s="68"/>
      <c r="C116" s="69"/>
      <c r="D116" s="69"/>
      <c r="E116" s="222"/>
      <c r="F116" s="222"/>
      <c r="G116" s="68"/>
      <c r="H116" s="70" t="e">
        <f>VLOOKUP(B116,custoEPI!$B$6:$E$29,4,FALSE)</f>
        <v>#N/A</v>
      </c>
      <c r="I116" s="71">
        <f t="shared" si="24"/>
        <v>2</v>
      </c>
      <c r="J116" s="71" t="str">
        <f t="shared" si="25"/>
        <v>sem descrição</v>
      </c>
      <c r="K116" s="69">
        <f t="shared" si="26"/>
        <v>0</v>
      </c>
      <c r="L116" s="69">
        <f t="shared" si="27"/>
        <v>0</v>
      </c>
      <c r="M116" s="69">
        <f t="shared" si="28"/>
        <v>0</v>
      </c>
    </row>
    <row r="117" spans="1:13" s="61" customFormat="1" ht="20.25" hidden="1" customHeight="1" x14ac:dyDescent="0.25">
      <c r="A117" s="67"/>
      <c r="B117" s="68"/>
      <c r="C117" s="69"/>
      <c r="D117" s="69"/>
      <c r="E117" s="222"/>
      <c r="F117" s="222"/>
      <c r="G117" s="68"/>
      <c r="H117" s="70" t="e">
        <f>VLOOKUP(B117,custoEPI!$B$6:$E$29,4,FALSE)</f>
        <v>#N/A</v>
      </c>
      <c r="I117" s="71">
        <f t="shared" si="24"/>
        <v>2</v>
      </c>
      <c r="J117" s="71" t="str">
        <f t="shared" si="25"/>
        <v>sem descrição</v>
      </c>
      <c r="K117" s="69">
        <f t="shared" si="26"/>
        <v>0</v>
      </c>
      <c r="L117" s="69">
        <f t="shared" si="27"/>
        <v>0</v>
      </c>
      <c r="M117" s="69">
        <f t="shared" si="28"/>
        <v>0</v>
      </c>
    </row>
    <row r="118" spans="1:13" s="61" customFormat="1" ht="20.25" customHeight="1" x14ac:dyDescent="0.25">
      <c r="A118" s="67" t="s">
        <v>115</v>
      </c>
      <c r="B118" s="68" t="s">
        <v>307</v>
      </c>
      <c r="C118" s="69" t="s">
        <v>300</v>
      </c>
      <c r="D118" s="69" t="s">
        <v>292</v>
      </c>
      <c r="E118" s="222">
        <v>1</v>
      </c>
      <c r="F118" s="222">
        <v>0</v>
      </c>
      <c r="G118" s="68" t="s">
        <v>290</v>
      </c>
      <c r="H118" s="70">
        <f>VLOOKUP(B118,custoEPI!$B$6:$E$29,4,FALSE)</f>
        <v>0</v>
      </c>
      <c r="I118" s="71">
        <f t="shared" si="24"/>
        <v>2</v>
      </c>
      <c r="J118" s="71">
        <f t="shared" si="25"/>
        <v>1</v>
      </c>
      <c r="K118" s="69">
        <f t="shared" si="26"/>
        <v>0</v>
      </c>
      <c r="L118" s="69">
        <f t="shared" si="27"/>
        <v>0</v>
      </c>
      <c r="M118" s="69">
        <f t="shared" si="28"/>
        <v>0</v>
      </c>
    </row>
    <row r="119" spans="1:13" s="61" customFormat="1" ht="20.25" hidden="1" customHeight="1" x14ac:dyDescent="0.25">
      <c r="A119" s="67" t="s">
        <v>121</v>
      </c>
      <c r="B119" s="68"/>
      <c r="C119" s="69"/>
      <c r="D119" s="69"/>
      <c r="E119" s="222"/>
      <c r="F119" s="222"/>
      <c r="G119" s="68"/>
      <c r="H119" s="70"/>
      <c r="I119" s="71"/>
      <c r="J119" s="71" t="str">
        <f t="shared" si="25"/>
        <v>sem descrição</v>
      </c>
      <c r="K119" s="69" t="str">
        <f t="shared" ref="K119:K126" si="29">IF(C119="mensal",J119*H119*E119,IF(C119="trimestral",(J119*H119*E119)/3,IF(C119="semestral",(J119*H119*E119)/6,IF(C119="anual",(J119*H119*E119/12),"informar entrega"))))</f>
        <v>informar entrega</v>
      </c>
      <c r="L119" s="69">
        <f t="shared" si="27"/>
        <v>0</v>
      </c>
      <c r="M119" s="69">
        <f t="shared" si="28"/>
        <v>0</v>
      </c>
    </row>
    <row r="120" spans="1:13" s="61" customFormat="1" ht="20.25" hidden="1" customHeight="1" x14ac:dyDescent="0.25">
      <c r="A120" s="67" t="s">
        <v>125</v>
      </c>
      <c r="B120" s="68"/>
      <c r="C120" s="69"/>
      <c r="D120" s="69"/>
      <c r="E120" s="222"/>
      <c r="F120" s="222"/>
      <c r="G120" s="68"/>
      <c r="H120" s="70"/>
      <c r="I120" s="71"/>
      <c r="J120" s="71" t="str">
        <f t="shared" si="25"/>
        <v>sem descrição</v>
      </c>
      <c r="K120" s="69" t="str">
        <f t="shared" si="29"/>
        <v>informar entrega</v>
      </c>
      <c r="L120" s="69">
        <f t="shared" si="27"/>
        <v>0</v>
      </c>
      <c r="M120" s="69">
        <f t="shared" si="28"/>
        <v>0</v>
      </c>
    </row>
    <row r="121" spans="1:13" s="61" customFormat="1" ht="20.25" hidden="1" customHeight="1" x14ac:dyDescent="0.25">
      <c r="A121" s="67" t="s">
        <v>127</v>
      </c>
      <c r="B121" s="68"/>
      <c r="C121" s="69"/>
      <c r="D121" s="69"/>
      <c r="E121" s="222"/>
      <c r="F121" s="222"/>
      <c r="G121" s="68"/>
      <c r="H121" s="70"/>
      <c r="I121" s="70"/>
      <c r="J121" s="71" t="str">
        <f t="shared" si="25"/>
        <v>sem descrição</v>
      </c>
      <c r="K121" s="69" t="str">
        <f t="shared" si="29"/>
        <v>informar entrega</v>
      </c>
      <c r="L121" s="69">
        <f t="shared" si="27"/>
        <v>0</v>
      </c>
      <c r="M121" s="69">
        <f t="shared" si="28"/>
        <v>0</v>
      </c>
    </row>
    <row r="122" spans="1:13" s="61" customFormat="1" ht="20.25" hidden="1" customHeight="1" x14ac:dyDescent="0.25">
      <c r="A122" s="67" t="s">
        <v>129</v>
      </c>
      <c r="B122" s="68"/>
      <c r="C122" s="69"/>
      <c r="D122" s="69"/>
      <c r="E122" s="222"/>
      <c r="F122" s="222"/>
      <c r="G122" s="68"/>
      <c r="H122" s="70"/>
      <c r="I122" s="70"/>
      <c r="J122" s="71" t="str">
        <f t="shared" si="25"/>
        <v>sem descrição</v>
      </c>
      <c r="K122" s="69" t="str">
        <f t="shared" si="29"/>
        <v>informar entrega</v>
      </c>
      <c r="L122" s="69">
        <f t="shared" si="27"/>
        <v>0</v>
      </c>
      <c r="M122" s="69">
        <f t="shared" si="28"/>
        <v>0</v>
      </c>
    </row>
    <row r="123" spans="1:13" s="61" customFormat="1" ht="20.25" hidden="1" customHeight="1" x14ac:dyDescent="0.25">
      <c r="A123" s="67" t="s">
        <v>131</v>
      </c>
      <c r="B123" s="68"/>
      <c r="C123" s="69"/>
      <c r="D123" s="69"/>
      <c r="E123" s="222"/>
      <c r="F123" s="222"/>
      <c r="G123" s="68"/>
      <c r="H123" s="70"/>
      <c r="I123" s="70"/>
      <c r="J123" s="71" t="str">
        <f t="shared" si="25"/>
        <v>sem descrição</v>
      </c>
      <c r="K123" s="69" t="str">
        <f t="shared" si="29"/>
        <v>informar entrega</v>
      </c>
      <c r="L123" s="69">
        <f t="shared" si="27"/>
        <v>0</v>
      </c>
      <c r="M123" s="69">
        <f t="shared" si="28"/>
        <v>0</v>
      </c>
    </row>
    <row r="124" spans="1:13" s="61" customFormat="1" ht="20.25" hidden="1" customHeight="1" x14ac:dyDescent="0.25">
      <c r="A124" s="67" t="s">
        <v>188</v>
      </c>
      <c r="B124" s="68"/>
      <c r="C124" s="69"/>
      <c r="D124" s="69"/>
      <c r="E124" s="222"/>
      <c r="F124" s="222"/>
      <c r="G124" s="68"/>
      <c r="H124" s="70"/>
      <c r="I124" s="70"/>
      <c r="J124" s="71" t="str">
        <f t="shared" si="25"/>
        <v>sem descrição</v>
      </c>
      <c r="K124" s="69" t="str">
        <f t="shared" si="29"/>
        <v>informar entrega</v>
      </c>
      <c r="L124" s="69">
        <f t="shared" si="27"/>
        <v>0</v>
      </c>
      <c r="M124" s="69">
        <f t="shared" si="28"/>
        <v>0</v>
      </c>
    </row>
    <row r="125" spans="1:13" s="61" customFormat="1" ht="20.25" hidden="1" customHeight="1" x14ac:dyDescent="0.25">
      <c r="A125" s="67" t="s">
        <v>192</v>
      </c>
      <c r="B125" s="68"/>
      <c r="C125" s="69"/>
      <c r="D125" s="69"/>
      <c r="E125" s="222"/>
      <c r="F125" s="222"/>
      <c r="G125" s="68"/>
      <c r="H125" s="70"/>
      <c r="I125" s="70"/>
      <c r="J125" s="71" t="str">
        <f t="shared" si="25"/>
        <v>sem descrição</v>
      </c>
      <c r="K125" s="69" t="str">
        <f t="shared" si="29"/>
        <v>informar entrega</v>
      </c>
      <c r="L125" s="69">
        <f t="shared" si="27"/>
        <v>0</v>
      </c>
      <c r="M125" s="69">
        <f t="shared" si="28"/>
        <v>0</v>
      </c>
    </row>
    <row r="126" spans="1:13" s="61" customFormat="1" ht="20.25" hidden="1" customHeight="1" x14ac:dyDescent="0.25">
      <c r="A126" s="67" t="s">
        <v>195</v>
      </c>
      <c r="B126" s="68"/>
      <c r="C126" s="69"/>
      <c r="D126" s="69"/>
      <c r="E126" s="222"/>
      <c r="F126" s="222"/>
      <c r="G126" s="68"/>
      <c r="H126" s="70"/>
      <c r="I126" s="70"/>
      <c r="J126" s="71" t="str">
        <f t="shared" si="25"/>
        <v>sem descrição</v>
      </c>
      <c r="K126" s="69" t="str">
        <f t="shared" si="29"/>
        <v>informar entrega</v>
      </c>
      <c r="L126" s="69">
        <f t="shared" si="27"/>
        <v>0</v>
      </c>
      <c r="M126" s="69">
        <f t="shared" si="28"/>
        <v>0</v>
      </c>
    </row>
    <row r="127" spans="1:13" s="61" customFormat="1" ht="20.25" hidden="1" customHeight="1" x14ac:dyDescent="0.25">
      <c r="A127" s="67" t="s">
        <v>199</v>
      </c>
      <c r="B127" s="68"/>
      <c r="C127" s="69"/>
      <c r="D127" s="69"/>
      <c r="E127" s="222"/>
      <c r="F127" s="222"/>
      <c r="G127" s="68"/>
      <c r="H127" s="70"/>
      <c r="I127" s="70"/>
      <c r="J127" s="71" t="str">
        <f t="shared" si="25"/>
        <v>sem descrição</v>
      </c>
      <c r="K127" s="69" t="str">
        <f>IF(C127="mensal",J127*H127*E127,IF(C127="trimestral",(J127*H127*E127)/3,IF(C127="semestral",(J127*H127*E127)/6,IF(C127="anual",(J127*H127*E127/12),"informar período"))))</f>
        <v>informar período</v>
      </c>
      <c r="L127" s="69">
        <f t="shared" si="27"/>
        <v>0</v>
      </c>
      <c r="M127" s="69">
        <f t="shared" si="28"/>
        <v>0</v>
      </c>
    </row>
    <row r="128" spans="1:13" s="61" customFormat="1" ht="20.25" customHeight="1" x14ac:dyDescent="0.25">
      <c r="A128" s="152" t="s">
        <v>308</v>
      </c>
      <c r="B128" s="147"/>
      <c r="C128" s="147"/>
      <c r="D128" s="147"/>
      <c r="E128" s="147"/>
      <c r="F128" s="147"/>
      <c r="G128" s="147"/>
      <c r="H128" s="147"/>
      <c r="I128" s="139"/>
      <c r="J128" s="155"/>
      <c r="K128" s="156">
        <f>SUM(K111:K127)</f>
        <v>0</v>
      </c>
      <c r="L128" s="157">
        <f>K128*12</f>
        <v>0</v>
      </c>
      <c r="M128" s="158">
        <f>K128*60</f>
        <v>0</v>
      </c>
    </row>
    <row r="129" spans="1:13" s="61" customFormat="1" ht="20.25" customHeight="1" x14ac:dyDescent="0.25">
      <c r="A129" s="152" t="s">
        <v>302</v>
      </c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59">
        <f>K128/SUM(C107:M109)</f>
        <v>0</v>
      </c>
    </row>
    <row r="130" spans="1:13" s="61" customFormat="1" ht="20.25" customHeight="1" x14ac:dyDescent="0.25">
      <c r="A130" s="235" t="s">
        <v>273</v>
      </c>
      <c r="B130" s="143" t="s">
        <v>19</v>
      </c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4"/>
    </row>
    <row r="131" spans="1:13" s="61" customFormat="1" ht="20.25" customHeight="1" x14ac:dyDescent="0.25">
      <c r="A131" s="62">
        <v>1</v>
      </c>
      <c r="B131" s="63" t="s">
        <v>274</v>
      </c>
      <c r="C131" s="216" t="s">
        <v>184</v>
      </c>
      <c r="D131" s="217"/>
      <c r="E131" s="217"/>
      <c r="F131" s="217"/>
      <c r="G131" s="217"/>
      <c r="H131" s="145"/>
      <c r="I131" s="145"/>
      <c r="J131" s="145"/>
      <c r="K131" s="145"/>
      <c r="L131" s="145"/>
      <c r="M131" s="146"/>
    </row>
    <row r="132" spans="1:13" s="61" customFormat="1" ht="20.25" customHeight="1" x14ac:dyDescent="0.25">
      <c r="A132" s="62">
        <v>2</v>
      </c>
      <c r="B132" s="63" t="str">
        <f>'planilha - proposta'!D30</f>
        <v>Camareira - 12x36d</v>
      </c>
      <c r="C132" s="216">
        <v>4</v>
      </c>
      <c r="D132" s="217"/>
      <c r="E132" s="217"/>
      <c r="F132" s="217"/>
      <c r="G132" s="217"/>
      <c r="H132" s="145"/>
      <c r="I132" s="145"/>
      <c r="J132" s="145"/>
      <c r="K132" s="145"/>
      <c r="L132" s="145"/>
      <c r="M132" s="146"/>
    </row>
    <row r="133" spans="1:13" s="61" customFormat="1" ht="20.25" customHeight="1" x14ac:dyDescent="0.25">
      <c r="A133" s="62">
        <v>3</v>
      </c>
      <c r="B133" s="63" t="str">
        <f>'planilha - proposta'!D31</f>
        <v>Camareira - 12x36n</v>
      </c>
      <c r="C133" s="216">
        <v>2</v>
      </c>
      <c r="D133" s="217"/>
      <c r="E133" s="217"/>
      <c r="F133" s="217"/>
      <c r="G133" s="217"/>
      <c r="H133" s="145"/>
      <c r="I133" s="145"/>
      <c r="J133" s="145"/>
      <c r="K133" s="145"/>
      <c r="L133" s="145"/>
      <c r="M133" s="146"/>
    </row>
    <row r="134" spans="1:13" s="61" customFormat="1" ht="20.25" hidden="1" customHeight="1" x14ac:dyDescent="0.25">
      <c r="A134" s="62">
        <v>4</v>
      </c>
      <c r="B134" s="63" t="str">
        <f>'planilha - proposta'!D32</f>
        <v>Camareira - 44h</v>
      </c>
      <c r="C134" s="216">
        <v>0</v>
      </c>
      <c r="D134" s="217"/>
      <c r="E134" s="217"/>
      <c r="F134" s="217"/>
      <c r="G134" s="217"/>
      <c r="H134" s="145"/>
      <c r="I134" s="145"/>
      <c r="J134" s="145"/>
      <c r="K134" s="145"/>
      <c r="L134" s="145"/>
      <c r="M134" s="146"/>
    </row>
    <row r="135" spans="1:13" s="61" customFormat="1" ht="52.5" customHeight="1" x14ac:dyDescent="0.25">
      <c r="A135" s="64" t="s">
        <v>273</v>
      </c>
      <c r="B135" s="65" t="s">
        <v>275</v>
      </c>
      <c r="C135" s="218" t="s">
        <v>276</v>
      </c>
      <c r="D135" s="218" t="s">
        <v>277</v>
      </c>
      <c r="E135" s="218" t="s">
        <v>278</v>
      </c>
      <c r="F135" s="218" t="s">
        <v>303</v>
      </c>
      <c r="G135" s="223" t="s">
        <v>280</v>
      </c>
      <c r="H135" s="65" t="s">
        <v>304</v>
      </c>
      <c r="I135" s="66" t="s">
        <v>305</v>
      </c>
      <c r="J135" s="66" t="s">
        <v>318</v>
      </c>
      <c r="K135" s="65" t="s">
        <v>284</v>
      </c>
      <c r="L135" s="65" t="s">
        <v>285</v>
      </c>
      <c r="M135" s="66" t="s">
        <v>286</v>
      </c>
    </row>
    <row r="136" spans="1:13" s="61" customFormat="1" ht="20.25" customHeight="1" x14ac:dyDescent="0.25">
      <c r="A136" s="67" t="s">
        <v>108</v>
      </c>
      <c r="B136" s="68" t="s">
        <v>293</v>
      </c>
      <c r="C136" s="69" t="s">
        <v>288</v>
      </c>
      <c r="D136" s="69" t="s">
        <v>289</v>
      </c>
      <c r="E136" s="222">
        <v>180</v>
      </c>
      <c r="F136" s="222">
        <v>0</v>
      </c>
      <c r="G136" s="68" t="s">
        <v>290</v>
      </c>
      <c r="H136" s="70">
        <f>VLOOKUP(B136,custoEPI!$B$6:$E$29,4,FALSE)</f>
        <v>0</v>
      </c>
      <c r="I136" s="71">
        <f t="shared" ref="I136:I142" si="30">SUM($C$132:$M$134)</f>
        <v>6</v>
      </c>
      <c r="J136" s="71">
        <f t="shared" ref="J136:J152" si="31">IF(B136="","sem descrição",IF($C$132&gt;=$C$133,IF($C$134&gt;0,$C$132/2+$C$134,$C$132/2),IF($C$134&gt;0,$C$133/5+$C$134,$C$134)))</f>
        <v>2</v>
      </c>
      <c r="K136" s="69">
        <f>IF(C136="mensal",IF(F136&gt;0,F136*H136,IF(D136="descartável",((SUM($C$132:$C$133)/2)+$C$134)*E136*H136,IF(D136="pessoal",E136*H136*I136,E136*H136*J136))),0)+IF(C136="trimestral",IF(F136&gt;0,F136*H136/3,IF(D136="descartável",(((SUM($C$132:$C$133)/2)+$C$134)*E136*H136)/3,IF(D136="pessoal",(E136*H136*I136)/3,(E136*H136*J136)/3))),0)+IF(C136="semestral",IF(F136&gt;0,F136*H136/6,IF(D136="descartável",(((SUM($C$132:$C$133)/2)+$C$134)*E136*H136)/6,IF(D136="pessoal",(E136*H136*I136)/6,(E136*H136*J136)/6))),0)+IF(C136="anual",IF(F136&gt;0,F136*H136/12,IF(D136="descartável",(((SUM($C$132:$C$133)/2)+$C$134)*E136*H136)/12,IF(D136="pessoal",(E136*H136*I136)/12,(E136*H136*J136)/12))),0)</f>
        <v>0</v>
      </c>
      <c r="L136" s="69">
        <f>IFERROR(K136*12, 0)</f>
        <v>0</v>
      </c>
      <c r="M136" s="69">
        <f>IFERROR(K136*60,0)</f>
        <v>0</v>
      </c>
    </row>
    <row r="137" spans="1:13" s="61" customFormat="1" ht="20.25" customHeight="1" x14ac:dyDescent="0.25">
      <c r="A137" s="67" t="s">
        <v>110</v>
      </c>
      <c r="B137" s="68" t="s">
        <v>287</v>
      </c>
      <c r="C137" s="69" t="s">
        <v>288</v>
      </c>
      <c r="D137" s="69" t="s">
        <v>289</v>
      </c>
      <c r="E137" s="222">
        <f>3*30</f>
        <v>90</v>
      </c>
      <c r="F137" s="222">
        <v>0</v>
      </c>
      <c r="G137" s="68" t="s">
        <v>290</v>
      </c>
      <c r="H137" s="70">
        <f>VLOOKUP(B137,custoEPI!$B$6:$E$29,4,FALSE)</f>
        <v>0</v>
      </c>
      <c r="I137" s="71">
        <f t="shared" si="30"/>
        <v>6</v>
      </c>
      <c r="J137" s="71">
        <f t="shared" si="31"/>
        <v>2</v>
      </c>
      <c r="K137" s="69">
        <f t="shared" ref="K137:K140" si="32">IF(C137="mensal",IF(F137&gt;0,F137*H137,IF(D137="descartável",((SUM($C$132:$C$133)/2)+$C$134)*E137*H137,IF(D137="pessoal",E137*H137*I137,E137*H137*J137))),0)+IF(C137="trimestral",IF(F137&gt;0,F137*H137/3,IF(D137="descartável",(((SUM($C$132:$C$133)/2)+$C$134)*E137*H137)/3,IF(D137="pessoal",(E137*H137*I137)/3,(E137*H137*J137)/3))),0)+IF(C137="semestral",IF(F137&gt;0,F137*H137/6,IF(D137="descartável",(((SUM($C$132:$C$133)/2)+$C$134)*E137*H137)/6,IF(D137="pessoal",(E137*H137*I137)/6,(E137*H137*J137)/6))),0)+IF(C137="anual",IF(F137&gt;0,F137*H137/12,IF(D137="descartável",(((SUM($C$132:$C$133)/2)+$C$134)*E137*H137)/12,IF(D137="pessoal",(E137*H137*I137)/12,(E137*H137*J137)/12))),0)</f>
        <v>0</v>
      </c>
      <c r="L137" s="69">
        <f t="shared" ref="L137:L152" si="33">IFERROR(K137*12, 0)</f>
        <v>0</v>
      </c>
      <c r="M137" s="69">
        <f t="shared" ref="M137:M152" si="34">IFERROR(K137*60,0)</f>
        <v>0</v>
      </c>
    </row>
    <row r="138" spans="1:13" s="61" customFormat="1" ht="20.25" customHeight="1" x14ac:dyDescent="0.25">
      <c r="A138" s="67" t="s">
        <v>111</v>
      </c>
      <c r="B138" s="68" t="s">
        <v>294</v>
      </c>
      <c r="C138" s="69" t="s">
        <v>288</v>
      </c>
      <c r="D138" s="69" t="s">
        <v>289</v>
      </c>
      <c r="E138" s="222">
        <v>27</v>
      </c>
      <c r="F138" s="222">
        <v>0</v>
      </c>
      <c r="G138" s="68" t="s">
        <v>290</v>
      </c>
      <c r="H138" s="70">
        <f>VLOOKUP(B138,custoEPI!$B$6:$E$29,4,FALSE)</f>
        <v>0</v>
      </c>
      <c r="I138" s="71">
        <f t="shared" si="30"/>
        <v>6</v>
      </c>
      <c r="J138" s="71">
        <f t="shared" si="31"/>
        <v>2</v>
      </c>
      <c r="K138" s="69">
        <f t="shared" si="32"/>
        <v>0</v>
      </c>
      <c r="L138" s="69">
        <f t="shared" si="33"/>
        <v>0</v>
      </c>
      <c r="M138" s="69">
        <f t="shared" si="34"/>
        <v>0</v>
      </c>
    </row>
    <row r="139" spans="1:13" s="61" customFormat="1" ht="20.25" hidden="1" customHeight="1" x14ac:dyDescent="0.25">
      <c r="A139" s="67"/>
      <c r="B139" s="68"/>
      <c r="C139" s="69"/>
      <c r="D139" s="69"/>
      <c r="E139" s="222"/>
      <c r="F139" s="222"/>
      <c r="G139" s="68"/>
      <c r="H139" s="70" t="e">
        <f>VLOOKUP(B139,custoEPI!$B$6:$E$29,4,FALSE)</f>
        <v>#N/A</v>
      </c>
      <c r="I139" s="71">
        <f t="shared" si="30"/>
        <v>6</v>
      </c>
      <c r="J139" s="71" t="str">
        <f t="shared" si="31"/>
        <v>sem descrição</v>
      </c>
      <c r="K139" s="69">
        <f t="shared" si="32"/>
        <v>0</v>
      </c>
      <c r="L139" s="69">
        <f t="shared" si="33"/>
        <v>0</v>
      </c>
      <c r="M139" s="69">
        <f t="shared" si="34"/>
        <v>0</v>
      </c>
    </row>
    <row r="140" spans="1:13" s="61" customFormat="1" ht="20.25" customHeight="1" x14ac:dyDescent="0.25">
      <c r="A140" s="67" t="s">
        <v>113</v>
      </c>
      <c r="B140" s="68" t="s">
        <v>307</v>
      </c>
      <c r="C140" s="69" t="s">
        <v>300</v>
      </c>
      <c r="D140" s="69" t="s">
        <v>292</v>
      </c>
      <c r="E140" s="222">
        <v>1</v>
      </c>
      <c r="F140" s="222">
        <v>0</v>
      </c>
      <c r="G140" s="68" t="s">
        <v>290</v>
      </c>
      <c r="H140" s="70">
        <f>VLOOKUP(B140,custoEPI!$B$6:$E$29,4,FALSE)</f>
        <v>0</v>
      </c>
      <c r="I140" s="71">
        <f t="shared" si="30"/>
        <v>6</v>
      </c>
      <c r="J140" s="71">
        <f t="shared" si="31"/>
        <v>2</v>
      </c>
      <c r="K140" s="69">
        <f t="shared" si="32"/>
        <v>0</v>
      </c>
      <c r="L140" s="69">
        <f t="shared" si="33"/>
        <v>0</v>
      </c>
      <c r="M140" s="69">
        <f t="shared" si="34"/>
        <v>0</v>
      </c>
    </row>
    <row r="141" spans="1:13" s="61" customFormat="1" ht="20.25" hidden="1" customHeight="1" x14ac:dyDescent="0.25">
      <c r="A141" s="67"/>
      <c r="B141" s="68"/>
      <c r="C141" s="69"/>
      <c r="D141" s="69"/>
      <c r="E141" s="222"/>
      <c r="F141" s="222"/>
      <c r="G141" s="68"/>
      <c r="H141" s="70" t="e">
        <f>VLOOKUP(B141,custoEPI!$B$6:$E$29,4,FALSE)</f>
        <v>#N/A</v>
      </c>
      <c r="I141" s="71">
        <f t="shared" si="30"/>
        <v>6</v>
      </c>
      <c r="J141" s="71" t="str">
        <f t="shared" si="31"/>
        <v>sem descrição</v>
      </c>
      <c r="K141" s="69" t="str">
        <f t="shared" ref="K141:K151" si="35">IF(C141="mensal",J141*H141*E141,IF(C141="trimestral",(J141*H141*E141)/3,IF(C141="semestral",(J141*H141*E141)/6,IF(C141="anual",(J141*H141*E141/12),"informar entrega"))))</f>
        <v>informar entrega</v>
      </c>
      <c r="L141" s="69">
        <f t="shared" si="33"/>
        <v>0</v>
      </c>
      <c r="M141" s="69">
        <f t="shared" si="34"/>
        <v>0</v>
      </c>
    </row>
    <row r="142" spans="1:13" s="61" customFormat="1" ht="20.25" hidden="1" customHeight="1" x14ac:dyDescent="0.25">
      <c r="A142" s="67"/>
      <c r="B142" s="68"/>
      <c r="C142" s="69"/>
      <c r="D142" s="69"/>
      <c r="E142" s="222"/>
      <c r="F142" s="222"/>
      <c r="G142" s="68"/>
      <c r="H142" s="70" t="e">
        <f>VLOOKUP(B142,custoEPI!$B$6:$E$29,4,FALSE)</f>
        <v>#N/A</v>
      </c>
      <c r="I142" s="71">
        <f t="shared" si="30"/>
        <v>6</v>
      </c>
      <c r="J142" s="71" t="str">
        <f t="shared" si="31"/>
        <v>sem descrição</v>
      </c>
      <c r="K142" s="69" t="str">
        <f t="shared" si="35"/>
        <v>informar entrega</v>
      </c>
      <c r="L142" s="69">
        <f t="shared" si="33"/>
        <v>0</v>
      </c>
      <c r="M142" s="69">
        <f t="shared" si="34"/>
        <v>0</v>
      </c>
    </row>
    <row r="143" spans="1:13" s="61" customFormat="1" ht="20.25" hidden="1" customHeight="1" x14ac:dyDescent="0.25">
      <c r="A143" s="67"/>
      <c r="B143" s="68"/>
      <c r="C143" s="69"/>
      <c r="D143" s="69"/>
      <c r="E143" s="222"/>
      <c r="F143" s="222"/>
      <c r="G143" s="68" t="s">
        <v>290</v>
      </c>
      <c r="H143" s="70" t="e">
        <f>VLOOKUP(B143,custoEPI!$B$6:$E$29,4,FALSE)</f>
        <v>#N/A</v>
      </c>
      <c r="I143" s="71"/>
      <c r="J143" s="71" t="str">
        <f t="shared" si="31"/>
        <v>sem descrição</v>
      </c>
      <c r="K143" s="69" t="str">
        <f t="shared" si="35"/>
        <v>informar entrega</v>
      </c>
      <c r="L143" s="69">
        <f t="shared" si="33"/>
        <v>0</v>
      </c>
      <c r="M143" s="69">
        <f t="shared" si="34"/>
        <v>0</v>
      </c>
    </row>
    <row r="144" spans="1:13" s="61" customFormat="1" ht="20.25" hidden="1" customHeight="1" x14ac:dyDescent="0.25">
      <c r="A144" s="67" t="s">
        <v>121</v>
      </c>
      <c r="B144" s="68"/>
      <c r="C144" s="69"/>
      <c r="D144" s="69"/>
      <c r="E144" s="222"/>
      <c r="F144" s="222"/>
      <c r="G144" s="68"/>
      <c r="H144" s="70"/>
      <c r="I144" s="71"/>
      <c r="J144" s="71" t="str">
        <f t="shared" si="31"/>
        <v>sem descrição</v>
      </c>
      <c r="K144" s="69" t="str">
        <f t="shared" si="35"/>
        <v>informar entrega</v>
      </c>
      <c r="L144" s="69">
        <f t="shared" si="33"/>
        <v>0</v>
      </c>
      <c r="M144" s="69">
        <f t="shared" si="34"/>
        <v>0</v>
      </c>
    </row>
    <row r="145" spans="1:13" s="61" customFormat="1" ht="20.25" hidden="1" customHeight="1" x14ac:dyDescent="0.25">
      <c r="A145" s="67" t="s">
        <v>125</v>
      </c>
      <c r="B145" s="68"/>
      <c r="C145" s="69"/>
      <c r="D145" s="69"/>
      <c r="E145" s="222"/>
      <c r="F145" s="222"/>
      <c r="G145" s="68"/>
      <c r="H145" s="70"/>
      <c r="I145" s="71"/>
      <c r="J145" s="71" t="str">
        <f t="shared" si="31"/>
        <v>sem descrição</v>
      </c>
      <c r="K145" s="69" t="str">
        <f t="shared" si="35"/>
        <v>informar entrega</v>
      </c>
      <c r="L145" s="69">
        <f t="shared" si="33"/>
        <v>0</v>
      </c>
      <c r="M145" s="69">
        <f t="shared" si="34"/>
        <v>0</v>
      </c>
    </row>
    <row r="146" spans="1:13" s="61" customFormat="1" ht="20.25" hidden="1" customHeight="1" x14ac:dyDescent="0.25">
      <c r="A146" s="67" t="s">
        <v>127</v>
      </c>
      <c r="B146" s="68"/>
      <c r="C146" s="69"/>
      <c r="D146" s="69"/>
      <c r="E146" s="222"/>
      <c r="F146" s="222"/>
      <c r="G146" s="68"/>
      <c r="H146" s="70"/>
      <c r="I146" s="70"/>
      <c r="J146" s="71" t="str">
        <f t="shared" si="31"/>
        <v>sem descrição</v>
      </c>
      <c r="K146" s="69" t="str">
        <f t="shared" si="35"/>
        <v>informar entrega</v>
      </c>
      <c r="L146" s="69">
        <f t="shared" si="33"/>
        <v>0</v>
      </c>
      <c r="M146" s="69">
        <f t="shared" si="34"/>
        <v>0</v>
      </c>
    </row>
    <row r="147" spans="1:13" s="61" customFormat="1" ht="20.25" hidden="1" customHeight="1" x14ac:dyDescent="0.25">
      <c r="A147" s="67" t="s">
        <v>129</v>
      </c>
      <c r="B147" s="68"/>
      <c r="C147" s="69"/>
      <c r="D147" s="69"/>
      <c r="E147" s="222"/>
      <c r="F147" s="222"/>
      <c r="G147" s="68"/>
      <c r="H147" s="70"/>
      <c r="I147" s="70"/>
      <c r="J147" s="71" t="str">
        <f t="shared" si="31"/>
        <v>sem descrição</v>
      </c>
      <c r="K147" s="69" t="str">
        <f t="shared" si="35"/>
        <v>informar entrega</v>
      </c>
      <c r="L147" s="69">
        <f t="shared" si="33"/>
        <v>0</v>
      </c>
      <c r="M147" s="69">
        <f t="shared" si="34"/>
        <v>0</v>
      </c>
    </row>
    <row r="148" spans="1:13" s="61" customFormat="1" ht="20.25" hidden="1" customHeight="1" x14ac:dyDescent="0.25">
      <c r="A148" s="67" t="s">
        <v>131</v>
      </c>
      <c r="B148" s="68"/>
      <c r="C148" s="69"/>
      <c r="D148" s="69"/>
      <c r="E148" s="222"/>
      <c r="F148" s="222"/>
      <c r="G148" s="68"/>
      <c r="H148" s="70"/>
      <c r="I148" s="70"/>
      <c r="J148" s="71" t="str">
        <f t="shared" si="31"/>
        <v>sem descrição</v>
      </c>
      <c r="K148" s="69" t="str">
        <f t="shared" si="35"/>
        <v>informar entrega</v>
      </c>
      <c r="L148" s="69">
        <f t="shared" si="33"/>
        <v>0</v>
      </c>
      <c r="M148" s="69">
        <f t="shared" si="34"/>
        <v>0</v>
      </c>
    </row>
    <row r="149" spans="1:13" s="61" customFormat="1" ht="20.25" hidden="1" customHeight="1" x14ac:dyDescent="0.25">
      <c r="A149" s="67" t="s">
        <v>188</v>
      </c>
      <c r="B149" s="68"/>
      <c r="C149" s="69"/>
      <c r="D149" s="69"/>
      <c r="E149" s="222"/>
      <c r="F149" s="222"/>
      <c r="G149" s="68"/>
      <c r="H149" s="70"/>
      <c r="I149" s="70"/>
      <c r="J149" s="71" t="str">
        <f t="shared" si="31"/>
        <v>sem descrição</v>
      </c>
      <c r="K149" s="69" t="str">
        <f t="shared" si="35"/>
        <v>informar entrega</v>
      </c>
      <c r="L149" s="69">
        <f t="shared" si="33"/>
        <v>0</v>
      </c>
      <c r="M149" s="69">
        <f t="shared" si="34"/>
        <v>0</v>
      </c>
    </row>
    <row r="150" spans="1:13" s="61" customFormat="1" ht="20.25" hidden="1" customHeight="1" x14ac:dyDescent="0.25">
      <c r="A150" s="67" t="s">
        <v>192</v>
      </c>
      <c r="B150" s="68"/>
      <c r="C150" s="69"/>
      <c r="D150" s="69"/>
      <c r="E150" s="222"/>
      <c r="F150" s="222"/>
      <c r="G150" s="68"/>
      <c r="H150" s="70"/>
      <c r="I150" s="70"/>
      <c r="J150" s="71" t="str">
        <f t="shared" si="31"/>
        <v>sem descrição</v>
      </c>
      <c r="K150" s="69" t="str">
        <f t="shared" si="35"/>
        <v>informar entrega</v>
      </c>
      <c r="L150" s="69">
        <f t="shared" si="33"/>
        <v>0</v>
      </c>
      <c r="M150" s="69">
        <f t="shared" si="34"/>
        <v>0</v>
      </c>
    </row>
    <row r="151" spans="1:13" s="61" customFormat="1" ht="20.25" hidden="1" customHeight="1" x14ac:dyDescent="0.25">
      <c r="A151" s="67" t="s">
        <v>195</v>
      </c>
      <c r="B151" s="68"/>
      <c r="C151" s="69"/>
      <c r="D151" s="69"/>
      <c r="E151" s="222"/>
      <c r="F151" s="222"/>
      <c r="G151" s="68"/>
      <c r="H151" s="70"/>
      <c r="I151" s="70"/>
      <c r="J151" s="71" t="str">
        <f t="shared" si="31"/>
        <v>sem descrição</v>
      </c>
      <c r="K151" s="69" t="str">
        <f t="shared" si="35"/>
        <v>informar entrega</v>
      </c>
      <c r="L151" s="69">
        <f t="shared" si="33"/>
        <v>0</v>
      </c>
      <c r="M151" s="69">
        <f t="shared" si="34"/>
        <v>0</v>
      </c>
    </row>
    <row r="152" spans="1:13" s="61" customFormat="1" ht="20.25" hidden="1" customHeight="1" x14ac:dyDescent="0.25">
      <c r="A152" s="67" t="s">
        <v>199</v>
      </c>
      <c r="B152" s="68"/>
      <c r="C152" s="69"/>
      <c r="D152" s="69"/>
      <c r="E152" s="222"/>
      <c r="F152" s="222"/>
      <c r="G152" s="68"/>
      <c r="H152" s="70"/>
      <c r="I152" s="70"/>
      <c r="J152" s="71" t="str">
        <f t="shared" si="31"/>
        <v>sem descrição</v>
      </c>
      <c r="K152" s="69" t="str">
        <f>IF(C152="mensal",J152*H152*E152,IF(C152="trimestral",(J152*H152*E152)/3,IF(C152="semestral",(J152*H152*E152)/6,IF(C152="anual",(J152*H152*E152/12),"informar período"))))</f>
        <v>informar período</v>
      </c>
      <c r="L152" s="69">
        <f t="shared" si="33"/>
        <v>0</v>
      </c>
      <c r="M152" s="69">
        <f t="shared" si="34"/>
        <v>0</v>
      </c>
    </row>
    <row r="153" spans="1:13" s="61" customFormat="1" ht="20.25" customHeight="1" x14ac:dyDescent="0.25">
      <c r="A153" s="152" t="s">
        <v>328</v>
      </c>
      <c r="B153" s="147"/>
      <c r="C153" s="147"/>
      <c r="D153" s="147"/>
      <c r="E153" s="147"/>
      <c r="F153" s="147"/>
      <c r="G153" s="147"/>
      <c r="H153" s="147"/>
      <c r="I153" s="139"/>
      <c r="J153" s="155"/>
      <c r="K153" s="156">
        <f>SUM(K136:K152)</f>
        <v>0</v>
      </c>
      <c r="L153" s="157">
        <f>K153*12</f>
        <v>0</v>
      </c>
      <c r="M153" s="158">
        <f>K153*60</f>
        <v>0</v>
      </c>
    </row>
    <row r="154" spans="1:13" s="61" customFormat="1" ht="20.25" customHeight="1" x14ac:dyDescent="0.25">
      <c r="A154" s="152" t="s">
        <v>302</v>
      </c>
      <c r="B154" s="147"/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  <c r="M154" s="159">
        <f>K153/SUM(C132:M134)</f>
        <v>0</v>
      </c>
    </row>
    <row r="155" spans="1:13" s="61" customFormat="1" ht="20.25" customHeight="1" x14ac:dyDescent="0.25">
      <c r="A155" s="235" t="s">
        <v>273</v>
      </c>
      <c r="B155" s="143" t="s">
        <v>19</v>
      </c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  <c r="M155" s="154"/>
    </row>
    <row r="156" spans="1:13" s="61" customFormat="1" ht="20.25" customHeight="1" x14ac:dyDescent="0.25">
      <c r="A156" s="62">
        <v>1</v>
      </c>
      <c r="B156" s="63" t="s">
        <v>274</v>
      </c>
      <c r="C156" s="216" t="s">
        <v>190</v>
      </c>
      <c r="D156" s="217"/>
      <c r="E156" s="217"/>
      <c r="F156" s="217"/>
      <c r="G156" s="217"/>
      <c r="H156" s="145"/>
      <c r="I156" s="145"/>
      <c r="J156" s="145"/>
      <c r="K156" s="145"/>
      <c r="L156" s="145"/>
      <c r="M156" s="146"/>
    </row>
    <row r="157" spans="1:13" s="61" customFormat="1" ht="20.25" customHeight="1" x14ac:dyDescent="0.25">
      <c r="A157" s="62">
        <v>2</v>
      </c>
      <c r="B157" s="63" t="str">
        <f>'planilha - proposta'!D33</f>
        <v>Copeiro Hospitalar - 12x36d</v>
      </c>
      <c r="C157" s="216">
        <v>12</v>
      </c>
      <c r="D157" s="217"/>
      <c r="E157" s="217"/>
      <c r="F157" s="217"/>
      <c r="G157" s="217"/>
      <c r="H157" s="145"/>
      <c r="I157" s="145"/>
      <c r="J157" s="145"/>
      <c r="K157" s="145"/>
      <c r="L157" s="145"/>
      <c r="M157" s="146"/>
    </row>
    <row r="158" spans="1:13" s="61" customFormat="1" ht="20.25" customHeight="1" x14ac:dyDescent="0.25">
      <c r="A158" s="62">
        <v>3</v>
      </c>
      <c r="B158" s="63" t="str">
        <f>'planilha - proposta'!D34</f>
        <v>Copeiro Hospitalar - 12x36n</v>
      </c>
      <c r="C158" s="216">
        <v>2</v>
      </c>
      <c r="D158" s="217"/>
      <c r="E158" s="217"/>
      <c r="F158" s="217"/>
      <c r="G158" s="217"/>
      <c r="H158" s="145"/>
      <c r="I158" s="145"/>
      <c r="J158" s="145"/>
      <c r="K158" s="145"/>
      <c r="L158" s="145"/>
      <c r="M158" s="146"/>
    </row>
    <row r="159" spans="1:13" s="61" customFormat="1" ht="20.25" hidden="1" customHeight="1" x14ac:dyDescent="0.25">
      <c r="A159" s="62">
        <v>4</v>
      </c>
      <c r="B159" s="63" t="str">
        <f>'planilha - proposta'!D35</f>
        <v>Copeiro Hospitalar - 44h</v>
      </c>
      <c r="C159" s="216">
        <v>0</v>
      </c>
      <c r="D159" s="217"/>
      <c r="E159" s="217"/>
      <c r="F159" s="217"/>
      <c r="G159" s="217"/>
      <c r="H159" s="145"/>
      <c r="I159" s="145"/>
      <c r="J159" s="145"/>
      <c r="K159" s="145"/>
      <c r="L159" s="145"/>
      <c r="M159" s="146"/>
    </row>
    <row r="160" spans="1:13" s="61" customFormat="1" ht="52.5" customHeight="1" x14ac:dyDescent="0.25">
      <c r="A160" s="64" t="s">
        <v>273</v>
      </c>
      <c r="B160" s="65" t="s">
        <v>275</v>
      </c>
      <c r="C160" s="218" t="s">
        <v>276</v>
      </c>
      <c r="D160" s="218" t="s">
        <v>277</v>
      </c>
      <c r="E160" s="218" t="s">
        <v>278</v>
      </c>
      <c r="F160" s="218" t="s">
        <v>303</v>
      </c>
      <c r="G160" s="223" t="s">
        <v>280</v>
      </c>
      <c r="H160" s="65" t="s">
        <v>304</v>
      </c>
      <c r="I160" s="66" t="s">
        <v>305</v>
      </c>
      <c r="J160" s="66" t="s">
        <v>318</v>
      </c>
      <c r="K160" s="65" t="s">
        <v>284</v>
      </c>
      <c r="L160" s="65" t="s">
        <v>285</v>
      </c>
      <c r="M160" s="66" t="s">
        <v>286</v>
      </c>
    </row>
    <row r="161" spans="1:13" s="61" customFormat="1" ht="20.25" customHeight="1" x14ac:dyDescent="0.25">
      <c r="A161" s="67" t="s">
        <v>108</v>
      </c>
      <c r="B161" s="68" t="s">
        <v>312</v>
      </c>
      <c r="C161" s="69" t="s">
        <v>300</v>
      </c>
      <c r="D161" s="69" t="s">
        <v>292</v>
      </c>
      <c r="E161" s="222">
        <v>1</v>
      </c>
      <c r="F161" s="222">
        <v>0</v>
      </c>
      <c r="G161" s="68" t="s">
        <v>290</v>
      </c>
      <c r="H161" s="70">
        <f>VLOOKUP(B161,custoEPI!$B$6:$E$29,4,FALSE)</f>
        <v>0</v>
      </c>
      <c r="I161" s="71">
        <f t="shared" ref="I161:I177" si="36">SUM($C$157:$M$159)</f>
        <v>14</v>
      </c>
      <c r="J161" s="71">
        <f t="shared" ref="J161:J177" si="37">IF(B161="","sem descrição",IF($C$157&gt;=$C$158,IF($C$159&gt;0,$C$157/2+$C$159,$C$157/2),IF($C$159&gt;0,$C$158/5+$C$159,$C$159)))</f>
        <v>6</v>
      </c>
      <c r="K161" s="69">
        <f>IF(C161="mensal",IF(F161&gt;0,F161*H161,IF(D161="descartável",((SUM($C$157:$C$158)/2)+$C$159)*E161*H161,IF(D161="pessoal",E161*H161*I161,E161*H161*J161))),0)+IF(C161="trimestral",IF(F161&gt;0,F161*H161/3,IF(D161="descartável",(((SUM($C$157:$C$158)/2)+$C$159)*E161*H161)/3,IF(D161="pessoal",(E161*H161*I161)/3,(E161*H161*J161)/3))),0)+IF(C161="semestral",IF(F161&gt;0,F161*H161/6,IF(D161="descartável",(((SUM($C$157:$C$158)/2)+$C$159)*E161*H161)/6,IF(D161="pessoal",(E161*H161*I161)/6,(E161*H161*J161)/6))),0)+IF(C161="anual",IF(F161&gt;0,F161*H161/12,IF(D161="descartável",(((SUM($C$157:$C$158)/2)+$C$159)*E161*H161)/12,IF(D161="pessoal",(E161*H161*I161)/12,(E161*H161*J161)/12))),0)</f>
        <v>0</v>
      </c>
      <c r="L161" s="69">
        <f>IFERROR(K161*12, 0)</f>
        <v>0</v>
      </c>
      <c r="M161" s="69">
        <f>IFERROR(K161*60,0)</f>
        <v>0</v>
      </c>
    </row>
    <row r="162" spans="1:13" s="61" customFormat="1" ht="20.25" customHeight="1" x14ac:dyDescent="0.25">
      <c r="A162" s="67" t="s">
        <v>110</v>
      </c>
      <c r="B162" s="68" t="s">
        <v>287</v>
      </c>
      <c r="C162" s="69" t="s">
        <v>288</v>
      </c>
      <c r="D162" s="69" t="s">
        <v>289</v>
      </c>
      <c r="E162" s="222">
        <v>90</v>
      </c>
      <c r="F162" s="222">
        <v>0</v>
      </c>
      <c r="G162" s="68" t="s">
        <v>290</v>
      </c>
      <c r="H162" s="70">
        <f>VLOOKUP(B162,custoEPI!$B$6:$E$29,4,FALSE)</f>
        <v>0</v>
      </c>
      <c r="I162" s="71">
        <f t="shared" si="36"/>
        <v>14</v>
      </c>
      <c r="J162" s="71">
        <f t="shared" si="37"/>
        <v>6</v>
      </c>
      <c r="K162" s="69">
        <f t="shared" ref="K162:K167" si="38">IF(C162="mensal",IF(F162&gt;0,F162*H162,IF(D162="descartável",((SUM($C$157:$C$158)/2)+$C$159)*E162*H162,IF(D162="pessoal",E162*H162*I162,E162*H162*J162))),0)+IF(C162="trimestral",IF(F162&gt;0,F162*H162/3,IF(D162="descartável",(((SUM($C$157:$C$158)/2)+$C$159)*E162*H162)/3,IF(D162="pessoal",(E162*H162*I162)/3,(E162*H162*J162)/3))),0)+IF(C162="semestral",IF(F162&gt;0,F162*H162/6,IF(D162="descartável",(((SUM($C$157:$C$158)/2)+$C$159)*E162*H162)/6,IF(D162="pessoal",(E162*H162*I162)/6,(E162*H162*J162)/6))),0)+IF(C162="anual",IF(F162&gt;0,F162*H162/12,IF(D162="descartável",(((SUM($C$157:$C$158)/2)+$C$159)*E162*H162)/12,IF(D162="pessoal",(E162*H162*I162)/12,(E162*H162*J162)/12))),0)</f>
        <v>0</v>
      </c>
      <c r="L162" s="69">
        <f t="shared" ref="L162:L177" si="39">IFERROR(K162*12, 0)</f>
        <v>0</v>
      </c>
      <c r="M162" s="69">
        <f t="shared" ref="M162:M177" si="40">IFERROR(K162*60,0)</f>
        <v>0</v>
      </c>
    </row>
    <row r="163" spans="1:13" s="61" customFormat="1" ht="20.25" customHeight="1" x14ac:dyDescent="0.25">
      <c r="A163" s="67" t="s">
        <v>111</v>
      </c>
      <c r="B163" s="68" t="s">
        <v>294</v>
      </c>
      <c r="C163" s="69" t="s">
        <v>288</v>
      </c>
      <c r="D163" s="69" t="s">
        <v>289</v>
      </c>
      <c r="E163" s="222">
        <f>3*30</f>
        <v>90</v>
      </c>
      <c r="F163" s="222">
        <v>0</v>
      </c>
      <c r="G163" s="68" t="s">
        <v>290</v>
      </c>
      <c r="H163" s="70">
        <f>VLOOKUP(B163,custoEPI!$B$6:$E$29,4,FALSE)</f>
        <v>0</v>
      </c>
      <c r="I163" s="71">
        <f t="shared" si="36"/>
        <v>14</v>
      </c>
      <c r="J163" s="71">
        <f t="shared" si="37"/>
        <v>6</v>
      </c>
      <c r="K163" s="69">
        <f t="shared" si="38"/>
        <v>0</v>
      </c>
      <c r="L163" s="69">
        <f t="shared" si="39"/>
        <v>0</v>
      </c>
      <c r="M163" s="69">
        <f t="shared" si="40"/>
        <v>0</v>
      </c>
    </row>
    <row r="164" spans="1:13" s="61" customFormat="1" ht="20.25" customHeight="1" x14ac:dyDescent="0.25">
      <c r="A164" s="67" t="s">
        <v>113</v>
      </c>
      <c r="B164" s="68" t="s">
        <v>313</v>
      </c>
      <c r="C164" s="69" t="s">
        <v>288</v>
      </c>
      <c r="D164" s="69" t="s">
        <v>289</v>
      </c>
      <c r="E164" s="222">
        <v>48</v>
      </c>
      <c r="F164" s="222">
        <v>0</v>
      </c>
      <c r="G164" s="68" t="s">
        <v>290</v>
      </c>
      <c r="H164" s="70">
        <f>VLOOKUP(B164,custoEPI!$B$6:$E$29,4,FALSE)</f>
        <v>0</v>
      </c>
      <c r="I164" s="71">
        <f t="shared" si="36"/>
        <v>14</v>
      </c>
      <c r="J164" s="71">
        <f t="shared" si="37"/>
        <v>6</v>
      </c>
      <c r="K164" s="69">
        <f t="shared" si="38"/>
        <v>0</v>
      </c>
      <c r="L164" s="69">
        <f t="shared" si="39"/>
        <v>0</v>
      </c>
      <c r="M164" s="69">
        <f t="shared" si="40"/>
        <v>0</v>
      </c>
    </row>
    <row r="165" spans="1:13" s="61" customFormat="1" ht="20.25" customHeight="1" x14ac:dyDescent="0.25">
      <c r="A165" s="67" t="s">
        <v>114</v>
      </c>
      <c r="B165" s="68" t="s">
        <v>314</v>
      </c>
      <c r="C165" s="69" t="s">
        <v>300</v>
      </c>
      <c r="D165" s="69" t="s">
        <v>292</v>
      </c>
      <c r="E165" s="222">
        <v>1</v>
      </c>
      <c r="F165" s="222">
        <v>0</v>
      </c>
      <c r="G165" s="68" t="s">
        <v>315</v>
      </c>
      <c r="H165" s="70">
        <f>VLOOKUP(B165,custoEPI!$B$6:$E$29,4,FALSE)</f>
        <v>0</v>
      </c>
      <c r="I165" s="71">
        <f t="shared" si="36"/>
        <v>14</v>
      </c>
      <c r="J165" s="71">
        <f t="shared" si="37"/>
        <v>6</v>
      </c>
      <c r="K165" s="69">
        <f t="shared" si="38"/>
        <v>0</v>
      </c>
      <c r="L165" s="69">
        <f t="shared" si="39"/>
        <v>0</v>
      </c>
      <c r="M165" s="69">
        <f t="shared" si="40"/>
        <v>0</v>
      </c>
    </row>
    <row r="166" spans="1:13" s="61" customFormat="1" ht="20.25" customHeight="1" x14ac:dyDescent="0.25">
      <c r="A166" s="67" t="s">
        <v>115</v>
      </c>
      <c r="B166" s="68" t="s">
        <v>307</v>
      </c>
      <c r="C166" s="69" t="s">
        <v>300</v>
      </c>
      <c r="D166" s="69" t="s">
        <v>292</v>
      </c>
      <c r="E166" s="222">
        <v>1</v>
      </c>
      <c r="F166" s="222">
        <v>0</v>
      </c>
      <c r="G166" s="68" t="s">
        <v>290</v>
      </c>
      <c r="H166" s="70">
        <f>VLOOKUP(B166,custoEPI!$B$6:$E$29,4,FALSE)</f>
        <v>0</v>
      </c>
      <c r="I166" s="71">
        <f t="shared" si="36"/>
        <v>14</v>
      </c>
      <c r="J166" s="71">
        <f t="shared" si="37"/>
        <v>6</v>
      </c>
      <c r="K166" s="69">
        <f t="shared" si="38"/>
        <v>0</v>
      </c>
      <c r="L166" s="69">
        <f t="shared" si="39"/>
        <v>0</v>
      </c>
      <c r="M166" s="69">
        <f t="shared" si="40"/>
        <v>0</v>
      </c>
    </row>
    <row r="167" spans="1:13" s="61" customFormat="1" ht="20.25" customHeight="1" x14ac:dyDescent="0.25">
      <c r="A167" s="67" t="s">
        <v>116</v>
      </c>
      <c r="B167" s="68" t="s">
        <v>291</v>
      </c>
      <c r="C167" s="69" t="s">
        <v>288</v>
      </c>
      <c r="D167" s="69" t="s">
        <v>292</v>
      </c>
      <c r="E167" s="222">
        <v>2</v>
      </c>
      <c r="F167" s="222">
        <v>0</v>
      </c>
      <c r="G167" s="68" t="s">
        <v>290</v>
      </c>
      <c r="H167" s="70">
        <f>VLOOKUP(B167,custoEPI!$B$6:$E$29,4,FALSE)</f>
        <v>0</v>
      </c>
      <c r="I167" s="71">
        <f t="shared" si="36"/>
        <v>14</v>
      </c>
      <c r="J167" s="71">
        <f t="shared" si="37"/>
        <v>6</v>
      </c>
      <c r="K167" s="69">
        <f t="shared" si="38"/>
        <v>0</v>
      </c>
      <c r="L167" s="69">
        <f t="shared" si="39"/>
        <v>0</v>
      </c>
      <c r="M167" s="69">
        <f t="shared" si="40"/>
        <v>0</v>
      </c>
    </row>
    <row r="168" spans="1:13" s="61" customFormat="1" ht="20.25" hidden="1" customHeight="1" x14ac:dyDescent="0.25">
      <c r="A168" s="67" t="s">
        <v>118</v>
      </c>
      <c r="B168" s="68"/>
      <c r="C168" s="69"/>
      <c r="D168" s="69"/>
      <c r="E168" s="222"/>
      <c r="F168" s="222"/>
      <c r="G168" s="68"/>
      <c r="H168" s="70" t="e">
        <f>VLOOKUP(B168,custoEPI!$B$6:$E$29,4,FALSE)</f>
        <v>#N/A</v>
      </c>
      <c r="I168" s="71">
        <f t="shared" si="36"/>
        <v>14</v>
      </c>
      <c r="J168" s="71" t="str">
        <f t="shared" si="37"/>
        <v>sem descrição</v>
      </c>
      <c r="K168" s="69" t="str">
        <f t="shared" ref="K168:K176" si="41">IF(C168="mensal",J168*H168*E168,IF(C168="trimestral",(J168*H168*E168)/3,IF(C168="semestral",(J168*H168*E168)/6,IF(C168="anual",(J168*H168*E168/12),"informar entrega"))))</f>
        <v>informar entrega</v>
      </c>
      <c r="L168" s="69">
        <f t="shared" si="39"/>
        <v>0</v>
      </c>
      <c r="M168" s="69">
        <f t="shared" si="40"/>
        <v>0</v>
      </c>
    </row>
    <row r="169" spans="1:13" s="61" customFormat="1" ht="20.25" hidden="1" customHeight="1" x14ac:dyDescent="0.25">
      <c r="A169" s="67" t="s">
        <v>121</v>
      </c>
      <c r="B169" s="68"/>
      <c r="C169" s="69"/>
      <c r="D169" s="69"/>
      <c r="E169" s="222"/>
      <c r="F169" s="222"/>
      <c r="G169" s="68"/>
      <c r="H169" s="70"/>
      <c r="I169" s="71">
        <f t="shared" si="36"/>
        <v>14</v>
      </c>
      <c r="J169" s="71" t="str">
        <f t="shared" si="37"/>
        <v>sem descrição</v>
      </c>
      <c r="K169" s="69" t="str">
        <f t="shared" si="41"/>
        <v>informar entrega</v>
      </c>
      <c r="L169" s="69">
        <f t="shared" si="39"/>
        <v>0</v>
      </c>
      <c r="M169" s="69">
        <f t="shared" si="40"/>
        <v>0</v>
      </c>
    </row>
    <row r="170" spans="1:13" s="61" customFormat="1" ht="20.25" hidden="1" customHeight="1" x14ac:dyDescent="0.25">
      <c r="A170" s="67" t="s">
        <v>125</v>
      </c>
      <c r="B170" s="68"/>
      <c r="C170" s="69"/>
      <c r="D170" s="69"/>
      <c r="E170" s="222"/>
      <c r="F170" s="222"/>
      <c r="G170" s="68"/>
      <c r="H170" s="70"/>
      <c r="I170" s="71">
        <f t="shared" si="36"/>
        <v>14</v>
      </c>
      <c r="J170" s="71" t="str">
        <f t="shared" si="37"/>
        <v>sem descrição</v>
      </c>
      <c r="K170" s="69" t="str">
        <f t="shared" si="41"/>
        <v>informar entrega</v>
      </c>
      <c r="L170" s="69">
        <f t="shared" si="39"/>
        <v>0</v>
      </c>
      <c r="M170" s="69">
        <f t="shared" si="40"/>
        <v>0</v>
      </c>
    </row>
    <row r="171" spans="1:13" s="61" customFormat="1" ht="20.25" hidden="1" customHeight="1" x14ac:dyDescent="0.25">
      <c r="A171" s="67" t="s">
        <v>127</v>
      </c>
      <c r="B171" s="68"/>
      <c r="C171" s="69"/>
      <c r="D171" s="69"/>
      <c r="E171" s="222"/>
      <c r="F171" s="222"/>
      <c r="G171" s="68"/>
      <c r="H171" s="70"/>
      <c r="I171" s="71">
        <f t="shared" si="36"/>
        <v>14</v>
      </c>
      <c r="J171" s="71" t="str">
        <f t="shared" si="37"/>
        <v>sem descrição</v>
      </c>
      <c r="K171" s="69" t="str">
        <f t="shared" si="41"/>
        <v>informar entrega</v>
      </c>
      <c r="L171" s="69">
        <f t="shared" si="39"/>
        <v>0</v>
      </c>
      <c r="M171" s="69">
        <f t="shared" si="40"/>
        <v>0</v>
      </c>
    </row>
    <row r="172" spans="1:13" s="61" customFormat="1" ht="20.25" hidden="1" customHeight="1" x14ac:dyDescent="0.25">
      <c r="A172" s="67" t="s">
        <v>129</v>
      </c>
      <c r="B172" s="68"/>
      <c r="C172" s="69"/>
      <c r="D172" s="69"/>
      <c r="E172" s="222"/>
      <c r="F172" s="222"/>
      <c r="G172" s="68"/>
      <c r="H172" s="70"/>
      <c r="I172" s="71">
        <f t="shared" si="36"/>
        <v>14</v>
      </c>
      <c r="J172" s="71" t="str">
        <f t="shared" si="37"/>
        <v>sem descrição</v>
      </c>
      <c r="K172" s="69" t="str">
        <f t="shared" si="41"/>
        <v>informar entrega</v>
      </c>
      <c r="L172" s="69">
        <f t="shared" si="39"/>
        <v>0</v>
      </c>
      <c r="M172" s="69">
        <f t="shared" si="40"/>
        <v>0</v>
      </c>
    </row>
    <row r="173" spans="1:13" s="61" customFormat="1" ht="20.25" hidden="1" customHeight="1" x14ac:dyDescent="0.25">
      <c r="A173" s="67" t="s">
        <v>131</v>
      </c>
      <c r="B173" s="68"/>
      <c r="C173" s="69"/>
      <c r="D173" s="69"/>
      <c r="E173" s="222"/>
      <c r="F173" s="222"/>
      <c r="G173" s="68"/>
      <c r="H173" s="70"/>
      <c r="I173" s="71">
        <f t="shared" si="36"/>
        <v>14</v>
      </c>
      <c r="J173" s="71" t="str">
        <f t="shared" si="37"/>
        <v>sem descrição</v>
      </c>
      <c r="K173" s="69" t="str">
        <f t="shared" si="41"/>
        <v>informar entrega</v>
      </c>
      <c r="L173" s="69">
        <f t="shared" si="39"/>
        <v>0</v>
      </c>
      <c r="M173" s="69">
        <f t="shared" si="40"/>
        <v>0</v>
      </c>
    </row>
    <row r="174" spans="1:13" s="61" customFormat="1" ht="20.25" hidden="1" customHeight="1" x14ac:dyDescent="0.25">
      <c r="A174" s="67" t="s">
        <v>188</v>
      </c>
      <c r="B174" s="68"/>
      <c r="C174" s="69"/>
      <c r="D174" s="69"/>
      <c r="E174" s="222"/>
      <c r="F174" s="222"/>
      <c r="G174" s="68"/>
      <c r="H174" s="70"/>
      <c r="I174" s="71">
        <f t="shared" si="36"/>
        <v>14</v>
      </c>
      <c r="J174" s="71" t="str">
        <f t="shared" si="37"/>
        <v>sem descrição</v>
      </c>
      <c r="K174" s="69" t="str">
        <f t="shared" si="41"/>
        <v>informar entrega</v>
      </c>
      <c r="L174" s="69">
        <f t="shared" si="39"/>
        <v>0</v>
      </c>
      <c r="M174" s="69">
        <f t="shared" si="40"/>
        <v>0</v>
      </c>
    </row>
    <row r="175" spans="1:13" s="61" customFormat="1" ht="20.25" hidden="1" customHeight="1" x14ac:dyDescent="0.25">
      <c r="A175" s="67" t="s">
        <v>192</v>
      </c>
      <c r="B175" s="68"/>
      <c r="C175" s="69"/>
      <c r="D175" s="69"/>
      <c r="E175" s="222"/>
      <c r="F175" s="222"/>
      <c r="G175" s="68"/>
      <c r="H175" s="70"/>
      <c r="I175" s="71">
        <f t="shared" si="36"/>
        <v>14</v>
      </c>
      <c r="J175" s="71" t="str">
        <f t="shared" si="37"/>
        <v>sem descrição</v>
      </c>
      <c r="K175" s="69" t="str">
        <f t="shared" si="41"/>
        <v>informar entrega</v>
      </c>
      <c r="L175" s="69">
        <f t="shared" si="39"/>
        <v>0</v>
      </c>
      <c r="M175" s="69">
        <f t="shared" si="40"/>
        <v>0</v>
      </c>
    </row>
    <row r="176" spans="1:13" s="61" customFormat="1" ht="20.25" hidden="1" customHeight="1" x14ac:dyDescent="0.25">
      <c r="A176" s="67" t="s">
        <v>195</v>
      </c>
      <c r="B176" s="68"/>
      <c r="C176" s="69"/>
      <c r="D176" s="69"/>
      <c r="E176" s="222"/>
      <c r="F176" s="222"/>
      <c r="G176" s="68"/>
      <c r="H176" s="70"/>
      <c r="I176" s="71">
        <f t="shared" si="36"/>
        <v>14</v>
      </c>
      <c r="J176" s="71" t="str">
        <f t="shared" si="37"/>
        <v>sem descrição</v>
      </c>
      <c r="K176" s="69" t="str">
        <f t="shared" si="41"/>
        <v>informar entrega</v>
      </c>
      <c r="L176" s="69">
        <f t="shared" si="39"/>
        <v>0</v>
      </c>
      <c r="M176" s="69">
        <f t="shared" si="40"/>
        <v>0</v>
      </c>
    </row>
    <row r="177" spans="1:13" s="61" customFormat="1" ht="20.25" hidden="1" customHeight="1" x14ac:dyDescent="0.25">
      <c r="A177" s="67" t="s">
        <v>199</v>
      </c>
      <c r="B177" s="68"/>
      <c r="C177" s="69"/>
      <c r="D177" s="69"/>
      <c r="E177" s="222"/>
      <c r="F177" s="222"/>
      <c r="G177" s="68"/>
      <c r="H177" s="70"/>
      <c r="I177" s="71">
        <f t="shared" si="36"/>
        <v>14</v>
      </c>
      <c r="J177" s="71" t="str">
        <f t="shared" si="37"/>
        <v>sem descrição</v>
      </c>
      <c r="K177" s="69" t="str">
        <f>IF(C177="mensal",J177*H177*E177,IF(C177="trimestral",(J177*H177*E177)/3,IF(C177="semestral",(J177*H177*E177)/6,IF(C177="anual",(J177*H177*E177/12),"informar período"))))</f>
        <v>informar período</v>
      </c>
      <c r="L177" s="69">
        <f t="shared" si="39"/>
        <v>0</v>
      </c>
      <c r="M177" s="69">
        <f t="shared" si="40"/>
        <v>0</v>
      </c>
    </row>
    <row r="178" spans="1:13" s="61" customFormat="1" ht="20.25" customHeight="1" x14ac:dyDescent="0.25">
      <c r="A178" s="152" t="s">
        <v>301</v>
      </c>
      <c r="B178" s="147"/>
      <c r="C178" s="147"/>
      <c r="D178" s="147"/>
      <c r="E178" s="147"/>
      <c r="F178" s="147"/>
      <c r="G178" s="147"/>
      <c r="H178" s="147"/>
      <c r="I178" s="139"/>
      <c r="J178" s="155"/>
      <c r="K178" s="156">
        <f>SUM(K161:K177)</f>
        <v>0</v>
      </c>
      <c r="L178" s="157">
        <f>K178*12</f>
        <v>0</v>
      </c>
      <c r="M178" s="158">
        <f>K178*60</f>
        <v>0</v>
      </c>
    </row>
    <row r="179" spans="1:13" s="61" customFormat="1" ht="20.25" customHeight="1" x14ac:dyDescent="0.25">
      <c r="A179" s="152" t="s">
        <v>302</v>
      </c>
      <c r="B179" s="147"/>
      <c r="C179" s="147"/>
      <c r="D179" s="147"/>
      <c r="E179" s="147"/>
      <c r="F179" s="147"/>
      <c r="G179" s="147"/>
      <c r="H179" s="147"/>
      <c r="I179" s="147"/>
      <c r="J179" s="147"/>
      <c r="K179" s="147"/>
      <c r="L179" s="147"/>
      <c r="M179" s="159">
        <f>K178/SUM(C157:M159)</f>
        <v>0</v>
      </c>
    </row>
    <row r="180" spans="1:13" s="61" customFormat="1" ht="20.25" customHeight="1" x14ac:dyDescent="0.25">
      <c r="A180" s="235" t="s">
        <v>273</v>
      </c>
      <c r="B180" s="143" t="s">
        <v>19</v>
      </c>
      <c r="C180" s="153"/>
      <c r="D180" s="153"/>
      <c r="E180" s="153"/>
      <c r="F180" s="153"/>
      <c r="G180" s="153"/>
      <c r="H180" s="153"/>
      <c r="I180" s="153"/>
      <c r="J180" s="153"/>
      <c r="K180" s="153"/>
      <c r="L180" s="153"/>
      <c r="M180" s="154"/>
    </row>
    <row r="181" spans="1:13" s="61" customFormat="1" ht="20.25" customHeight="1" x14ac:dyDescent="0.25">
      <c r="A181" s="62">
        <v>1</v>
      </c>
      <c r="B181" s="63" t="s">
        <v>274</v>
      </c>
      <c r="C181" s="216" t="s">
        <v>197</v>
      </c>
      <c r="D181" s="217"/>
      <c r="E181" s="217"/>
      <c r="F181" s="217"/>
      <c r="G181" s="217"/>
      <c r="H181" s="145"/>
      <c r="I181" s="145"/>
      <c r="J181" s="145"/>
      <c r="K181" s="145"/>
      <c r="L181" s="145"/>
      <c r="M181" s="146"/>
    </row>
    <row r="182" spans="1:13" s="61" customFormat="1" ht="20.25" hidden="1" customHeight="1" x14ac:dyDescent="0.25">
      <c r="A182" s="62"/>
      <c r="B182" s="63"/>
      <c r="C182" s="216">
        <v>0</v>
      </c>
      <c r="D182" s="217"/>
      <c r="E182" s="217"/>
      <c r="F182" s="217"/>
      <c r="G182" s="217"/>
      <c r="H182" s="145"/>
      <c r="I182" s="145"/>
      <c r="J182" s="145"/>
      <c r="K182" s="145"/>
      <c r="L182" s="145"/>
      <c r="M182" s="146"/>
    </row>
    <row r="183" spans="1:13" s="61" customFormat="1" ht="20.25" hidden="1" customHeight="1" x14ac:dyDescent="0.25">
      <c r="A183" s="62"/>
      <c r="B183" s="63"/>
      <c r="C183" s="213">
        <v>0</v>
      </c>
      <c r="D183" s="214"/>
      <c r="E183" s="214"/>
      <c r="F183" s="214"/>
      <c r="G183" s="214"/>
      <c r="H183" s="148"/>
      <c r="I183" s="148"/>
      <c r="J183" s="148"/>
      <c r="K183" s="148"/>
      <c r="L183" s="148"/>
      <c r="M183" s="149"/>
    </row>
    <row r="184" spans="1:13" s="61" customFormat="1" ht="20.25" customHeight="1" x14ac:dyDescent="0.25">
      <c r="A184" s="62">
        <v>2</v>
      </c>
      <c r="B184" s="63" t="str">
        <f>'planilha - proposta'!D36</f>
        <v>Costureiro - 44h</v>
      </c>
      <c r="C184" s="216">
        <v>1</v>
      </c>
      <c r="D184" s="217"/>
      <c r="E184" s="217"/>
      <c r="F184" s="217"/>
      <c r="G184" s="217"/>
      <c r="H184" s="145"/>
      <c r="I184" s="145"/>
      <c r="J184" s="145"/>
      <c r="K184" s="145"/>
      <c r="L184" s="145"/>
      <c r="M184" s="146"/>
    </row>
    <row r="185" spans="1:13" s="61" customFormat="1" ht="52.5" customHeight="1" x14ac:dyDescent="0.25">
      <c r="A185" s="64" t="s">
        <v>273</v>
      </c>
      <c r="B185" s="65" t="s">
        <v>275</v>
      </c>
      <c r="C185" s="218" t="s">
        <v>276</v>
      </c>
      <c r="D185" s="218" t="s">
        <v>277</v>
      </c>
      <c r="E185" s="218" t="s">
        <v>278</v>
      </c>
      <c r="F185" s="218" t="s">
        <v>303</v>
      </c>
      <c r="G185" s="223" t="s">
        <v>280</v>
      </c>
      <c r="H185" s="65" t="s">
        <v>304</v>
      </c>
      <c r="I185" s="66" t="s">
        <v>305</v>
      </c>
      <c r="J185" s="66" t="s">
        <v>318</v>
      </c>
      <c r="K185" s="65" t="s">
        <v>284</v>
      </c>
      <c r="L185" s="65" t="s">
        <v>285</v>
      </c>
      <c r="M185" s="66" t="s">
        <v>286</v>
      </c>
    </row>
    <row r="186" spans="1:13" s="61" customFormat="1" ht="20.25" customHeight="1" x14ac:dyDescent="0.25">
      <c r="A186" s="67" t="s">
        <v>108</v>
      </c>
      <c r="B186" s="68" t="s">
        <v>287</v>
      </c>
      <c r="C186" s="69" t="s">
        <v>288</v>
      </c>
      <c r="D186" s="69" t="s">
        <v>289</v>
      </c>
      <c r="E186" s="222">
        <f>3*26</f>
        <v>78</v>
      </c>
      <c r="F186" s="222">
        <v>0</v>
      </c>
      <c r="G186" s="68" t="s">
        <v>290</v>
      </c>
      <c r="H186" s="70">
        <f>VLOOKUP(B186,custoEPI!$B$6:$E$29,4,FALSE)</f>
        <v>0</v>
      </c>
      <c r="I186" s="71">
        <f>SUM($C$182:$M$184)</f>
        <v>1</v>
      </c>
      <c r="J186" s="71">
        <f t="shared" ref="J186:J202" si="42">IF(B186="","sem descrição",IF($C$182&gt;=$C$183,IF($C$184&gt;0,$C$182/2+$C$184,$C$182/2),IF($C$184&gt;0,$C$183/5+$C$184,$C$184)))</f>
        <v>1</v>
      </c>
      <c r="K186" s="69">
        <f>IF(C186="mensal",IF(F186&gt;0,F186*H186,IF(D186="descartável",((SUM($C$182:$C$183)/2)+$C$184)*E186*H186,IF(D186="pessoal",E186*H186*I186,E186*H186*J186))),0)+IF(C186="trimestral",IF(F186&gt;0,F186*H186/3,IF(D186="descartável",(((SUM($C$182:$C$183)/2)+$C$184)*E186*H186)/3,IF(D186="pessoal",(E186*H186*I186)/3,(E186*H186*J186)/3))),0)+IF(C186="semestral",IF(F186&gt;0,F186*H186/6,IF(D186="descartável",(((SUM($C$182:$C$183)/2)+$C$184)*E186*H186)/6,IF(D186="pessoal",(E186*H186*I186)/6,(E186*H186*J186)/6))),0)+IF(C186="anual",IF(F186&gt;0,F186*H186/12,IF(D186="descartável",(((SUM($C$182:$C$183)/2)+$C$159)*E186*H186)/12,IF(D186="pessoal",(E186*H186*I186)/12,(E186*H186*J186)/12))),0)</f>
        <v>0</v>
      </c>
      <c r="L186" s="69">
        <f>IFERROR(K186*12, 0)</f>
        <v>0</v>
      </c>
      <c r="M186" s="69">
        <f>IFERROR(K186*60,0)</f>
        <v>0</v>
      </c>
    </row>
    <row r="187" spans="1:13" s="61" customFormat="1" ht="20.25" hidden="1" customHeight="1" x14ac:dyDescent="0.25">
      <c r="A187" s="67"/>
      <c r="B187" s="68"/>
      <c r="C187" s="69"/>
      <c r="D187" s="69"/>
      <c r="E187" s="222"/>
      <c r="F187" s="222"/>
      <c r="G187" s="68"/>
      <c r="H187" s="70" t="e">
        <f>VLOOKUP(B187,custoEPI!$B$6:$E$29,4,FALSE)</f>
        <v>#N/A</v>
      </c>
      <c r="I187" s="71">
        <f>SUM($C$182:$M$184)</f>
        <v>1</v>
      </c>
      <c r="J187" s="71" t="str">
        <f t="shared" si="42"/>
        <v>sem descrição</v>
      </c>
      <c r="K187" s="69" t="str">
        <f t="shared" ref="K187:K201" si="43">IF(C187="mensal",J187*H187*E187,IF(C187="trimestral",(J187*H187*E187)/3,IF(C187="semestral",(J187*H187*E187)/6,IF(C187="anual",(J187*H187*E187/12),"informar entrega"))))</f>
        <v>informar entrega</v>
      </c>
      <c r="L187" s="69">
        <f t="shared" ref="L187:L202" si="44">IFERROR(K187*12, 0)</f>
        <v>0</v>
      </c>
      <c r="M187" s="69">
        <f t="shared" ref="M187:M202" si="45">IFERROR(K187*60,0)</f>
        <v>0</v>
      </c>
    </row>
    <row r="188" spans="1:13" s="61" customFormat="1" ht="20.25" hidden="1" customHeight="1" x14ac:dyDescent="0.25">
      <c r="A188" s="67"/>
      <c r="B188" s="68"/>
      <c r="C188" s="69"/>
      <c r="D188" s="69"/>
      <c r="E188" s="222"/>
      <c r="F188" s="222"/>
      <c r="G188" s="68"/>
      <c r="H188" s="70" t="e">
        <f>VLOOKUP(B188,custoEPI!$B$6:$E$29,4,FALSE)</f>
        <v>#N/A</v>
      </c>
      <c r="I188" s="71">
        <f>SUM($C$182:$M$184)</f>
        <v>1</v>
      </c>
      <c r="J188" s="71" t="str">
        <f t="shared" si="42"/>
        <v>sem descrição</v>
      </c>
      <c r="K188" s="69" t="str">
        <f t="shared" si="43"/>
        <v>informar entrega</v>
      </c>
      <c r="L188" s="69">
        <f t="shared" si="44"/>
        <v>0</v>
      </c>
      <c r="M188" s="69">
        <f t="shared" si="45"/>
        <v>0</v>
      </c>
    </row>
    <row r="189" spans="1:13" s="61" customFormat="1" ht="20.25" hidden="1" customHeight="1" x14ac:dyDescent="0.25">
      <c r="A189" s="67" t="s">
        <v>113</v>
      </c>
      <c r="B189" s="68"/>
      <c r="C189" s="69"/>
      <c r="D189" s="69"/>
      <c r="E189" s="222"/>
      <c r="F189" s="222"/>
      <c r="G189" s="68" t="s">
        <v>290</v>
      </c>
      <c r="H189" s="70" t="e">
        <f>VLOOKUP(B189,custoEPI!$B$6:$E$29,4,FALSE)</f>
        <v>#N/A</v>
      </c>
      <c r="I189" s="71"/>
      <c r="J189" s="71" t="str">
        <f t="shared" si="42"/>
        <v>sem descrição</v>
      </c>
      <c r="K189" s="69" t="str">
        <f t="shared" si="43"/>
        <v>informar entrega</v>
      </c>
      <c r="L189" s="69">
        <f t="shared" si="44"/>
        <v>0</v>
      </c>
      <c r="M189" s="69">
        <f t="shared" si="45"/>
        <v>0</v>
      </c>
    </row>
    <row r="190" spans="1:13" s="61" customFormat="1" ht="20.25" hidden="1" customHeight="1" x14ac:dyDescent="0.25">
      <c r="A190" s="67" t="s">
        <v>114</v>
      </c>
      <c r="B190" s="68"/>
      <c r="C190" s="69"/>
      <c r="D190" s="69"/>
      <c r="E190" s="222"/>
      <c r="F190" s="222"/>
      <c r="G190" s="68" t="s">
        <v>290</v>
      </c>
      <c r="H190" s="70" t="e">
        <f>VLOOKUP(B190,custoEPI!$B$6:$E$29,4,FALSE)</f>
        <v>#N/A</v>
      </c>
      <c r="I190" s="71"/>
      <c r="J190" s="71" t="str">
        <f t="shared" si="42"/>
        <v>sem descrição</v>
      </c>
      <c r="K190" s="69" t="str">
        <f t="shared" si="43"/>
        <v>informar entrega</v>
      </c>
      <c r="L190" s="69">
        <f t="shared" si="44"/>
        <v>0</v>
      </c>
      <c r="M190" s="69">
        <f t="shared" si="45"/>
        <v>0</v>
      </c>
    </row>
    <row r="191" spans="1:13" s="61" customFormat="1" ht="20.25" hidden="1" customHeight="1" x14ac:dyDescent="0.25">
      <c r="A191" s="67" t="s">
        <v>115</v>
      </c>
      <c r="B191" s="68"/>
      <c r="C191" s="69"/>
      <c r="D191" s="69"/>
      <c r="E191" s="222"/>
      <c r="F191" s="222"/>
      <c r="G191" s="68" t="s">
        <v>290</v>
      </c>
      <c r="H191" s="70" t="e">
        <f>VLOOKUP(B191,custoEPI!$B$6:$E$29,4,FALSE)</f>
        <v>#N/A</v>
      </c>
      <c r="I191" s="71"/>
      <c r="J191" s="71" t="str">
        <f t="shared" si="42"/>
        <v>sem descrição</v>
      </c>
      <c r="K191" s="69" t="str">
        <f t="shared" si="43"/>
        <v>informar entrega</v>
      </c>
      <c r="L191" s="69">
        <f t="shared" si="44"/>
        <v>0</v>
      </c>
      <c r="M191" s="69">
        <f t="shared" si="45"/>
        <v>0</v>
      </c>
    </row>
    <row r="192" spans="1:13" s="61" customFormat="1" ht="20.25" hidden="1" customHeight="1" x14ac:dyDescent="0.25">
      <c r="A192" s="67" t="s">
        <v>116</v>
      </c>
      <c r="B192" s="68"/>
      <c r="C192" s="69"/>
      <c r="D192" s="69"/>
      <c r="E192" s="222"/>
      <c r="F192" s="222"/>
      <c r="G192" s="68" t="s">
        <v>290</v>
      </c>
      <c r="H192" s="70" t="e">
        <f>VLOOKUP(B192,custoEPI!$B$6:$E$29,4,FALSE)</f>
        <v>#N/A</v>
      </c>
      <c r="I192" s="71"/>
      <c r="J192" s="71" t="str">
        <f t="shared" si="42"/>
        <v>sem descrição</v>
      </c>
      <c r="K192" s="69" t="str">
        <f t="shared" si="43"/>
        <v>informar entrega</v>
      </c>
      <c r="L192" s="69">
        <f t="shared" si="44"/>
        <v>0</v>
      </c>
      <c r="M192" s="69">
        <f t="shared" si="45"/>
        <v>0</v>
      </c>
    </row>
    <row r="193" spans="1:13" s="61" customFormat="1" ht="20.25" hidden="1" customHeight="1" x14ac:dyDescent="0.25">
      <c r="A193" s="67" t="s">
        <v>118</v>
      </c>
      <c r="B193" s="68"/>
      <c r="C193" s="69"/>
      <c r="D193" s="69"/>
      <c r="E193" s="222"/>
      <c r="F193" s="222"/>
      <c r="G193" s="68" t="s">
        <v>290</v>
      </c>
      <c r="H193" s="70" t="e">
        <f>VLOOKUP(B193,custoEPI!$B$6:$E$29,4,FALSE)</f>
        <v>#N/A</v>
      </c>
      <c r="I193" s="71"/>
      <c r="J193" s="71" t="str">
        <f t="shared" si="42"/>
        <v>sem descrição</v>
      </c>
      <c r="K193" s="69" t="str">
        <f t="shared" si="43"/>
        <v>informar entrega</v>
      </c>
      <c r="L193" s="69">
        <f t="shared" si="44"/>
        <v>0</v>
      </c>
      <c r="M193" s="69">
        <f t="shared" si="45"/>
        <v>0</v>
      </c>
    </row>
    <row r="194" spans="1:13" s="61" customFormat="1" ht="20.25" hidden="1" customHeight="1" x14ac:dyDescent="0.25">
      <c r="A194" s="67" t="s">
        <v>121</v>
      </c>
      <c r="B194" s="68"/>
      <c r="C194" s="69"/>
      <c r="D194" s="69"/>
      <c r="E194" s="222"/>
      <c r="F194" s="222"/>
      <c r="G194" s="68"/>
      <c r="H194" s="70"/>
      <c r="I194" s="71"/>
      <c r="J194" s="71" t="str">
        <f t="shared" si="42"/>
        <v>sem descrição</v>
      </c>
      <c r="K194" s="69" t="str">
        <f t="shared" si="43"/>
        <v>informar entrega</v>
      </c>
      <c r="L194" s="69">
        <f t="shared" si="44"/>
        <v>0</v>
      </c>
      <c r="M194" s="69">
        <f t="shared" si="45"/>
        <v>0</v>
      </c>
    </row>
    <row r="195" spans="1:13" s="61" customFormat="1" ht="20.25" hidden="1" customHeight="1" x14ac:dyDescent="0.25">
      <c r="A195" s="67" t="s">
        <v>125</v>
      </c>
      <c r="B195" s="68"/>
      <c r="C195" s="69"/>
      <c r="D195" s="69"/>
      <c r="E195" s="222"/>
      <c r="F195" s="222"/>
      <c r="G195" s="68"/>
      <c r="H195" s="70"/>
      <c r="I195" s="71"/>
      <c r="J195" s="71" t="str">
        <f t="shared" si="42"/>
        <v>sem descrição</v>
      </c>
      <c r="K195" s="69" t="str">
        <f t="shared" si="43"/>
        <v>informar entrega</v>
      </c>
      <c r="L195" s="69">
        <f t="shared" si="44"/>
        <v>0</v>
      </c>
      <c r="M195" s="69">
        <f t="shared" si="45"/>
        <v>0</v>
      </c>
    </row>
    <row r="196" spans="1:13" s="61" customFormat="1" ht="20.25" hidden="1" customHeight="1" x14ac:dyDescent="0.25">
      <c r="A196" s="67" t="s">
        <v>127</v>
      </c>
      <c r="B196" s="68"/>
      <c r="C196" s="69"/>
      <c r="D196" s="69"/>
      <c r="E196" s="222"/>
      <c r="F196" s="222"/>
      <c r="G196" s="68"/>
      <c r="H196" s="70"/>
      <c r="I196" s="70"/>
      <c r="J196" s="71" t="str">
        <f t="shared" si="42"/>
        <v>sem descrição</v>
      </c>
      <c r="K196" s="69" t="str">
        <f t="shared" si="43"/>
        <v>informar entrega</v>
      </c>
      <c r="L196" s="69">
        <f t="shared" si="44"/>
        <v>0</v>
      </c>
      <c r="M196" s="69">
        <f t="shared" si="45"/>
        <v>0</v>
      </c>
    </row>
    <row r="197" spans="1:13" s="61" customFormat="1" ht="20.25" hidden="1" customHeight="1" x14ac:dyDescent="0.25">
      <c r="A197" s="67" t="s">
        <v>129</v>
      </c>
      <c r="B197" s="68"/>
      <c r="C197" s="69"/>
      <c r="D197" s="69"/>
      <c r="E197" s="222"/>
      <c r="F197" s="222"/>
      <c r="G197" s="68"/>
      <c r="H197" s="70"/>
      <c r="I197" s="70"/>
      <c r="J197" s="71" t="str">
        <f t="shared" si="42"/>
        <v>sem descrição</v>
      </c>
      <c r="K197" s="69" t="str">
        <f t="shared" si="43"/>
        <v>informar entrega</v>
      </c>
      <c r="L197" s="69">
        <f t="shared" si="44"/>
        <v>0</v>
      </c>
      <c r="M197" s="69">
        <f t="shared" si="45"/>
        <v>0</v>
      </c>
    </row>
    <row r="198" spans="1:13" s="61" customFormat="1" ht="20.25" hidden="1" customHeight="1" x14ac:dyDescent="0.25">
      <c r="A198" s="67" t="s">
        <v>131</v>
      </c>
      <c r="B198" s="68"/>
      <c r="C198" s="69"/>
      <c r="D198" s="69"/>
      <c r="E198" s="222"/>
      <c r="F198" s="222"/>
      <c r="G198" s="68"/>
      <c r="H198" s="70"/>
      <c r="I198" s="70"/>
      <c r="J198" s="71" t="str">
        <f t="shared" si="42"/>
        <v>sem descrição</v>
      </c>
      <c r="K198" s="69" t="str">
        <f t="shared" si="43"/>
        <v>informar entrega</v>
      </c>
      <c r="L198" s="69">
        <f t="shared" si="44"/>
        <v>0</v>
      </c>
      <c r="M198" s="69">
        <f t="shared" si="45"/>
        <v>0</v>
      </c>
    </row>
    <row r="199" spans="1:13" s="61" customFormat="1" ht="20.25" hidden="1" customHeight="1" x14ac:dyDescent="0.25">
      <c r="A199" s="67" t="s">
        <v>188</v>
      </c>
      <c r="B199" s="68"/>
      <c r="C199" s="69"/>
      <c r="D199" s="69"/>
      <c r="E199" s="222"/>
      <c r="F199" s="222"/>
      <c r="G199" s="68"/>
      <c r="H199" s="70"/>
      <c r="I199" s="70"/>
      <c r="J199" s="71" t="str">
        <f t="shared" si="42"/>
        <v>sem descrição</v>
      </c>
      <c r="K199" s="69" t="str">
        <f t="shared" si="43"/>
        <v>informar entrega</v>
      </c>
      <c r="L199" s="69">
        <f t="shared" si="44"/>
        <v>0</v>
      </c>
      <c r="M199" s="69">
        <f t="shared" si="45"/>
        <v>0</v>
      </c>
    </row>
    <row r="200" spans="1:13" s="61" customFormat="1" ht="20.25" hidden="1" customHeight="1" x14ac:dyDescent="0.25">
      <c r="A200" s="67" t="s">
        <v>192</v>
      </c>
      <c r="B200" s="68"/>
      <c r="C200" s="69"/>
      <c r="D200" s="69"/>
      <c r="E200" s="222"/>
      <c r="F200" s="222"/>
      <c r="G200" s="68"/>
      <c r="H200" s="70"/>
      <c r="I200" s="70"/>
      <c r="J200" s="71" t="str">
        <f t="shared" si="42"/>
        <v>sem descrição</v>
      </c>
      <c r="K200" s="69" t="str">
        <f t="shared" si="43"/>
        <v>informar entrega</v>
      </c>
      <c r="L200" s="69">
        <f t="shared" si="44"/>
        <v>0</v>
      </c>
      <c r="M200" s="69">
        <f t="shared" si="45"/>
        <v>0</v>
      </c>
    </row>
    <row r="201" spans="1:13" s="61" customFormat="1" ht="20.25" hidden="1" customHeight="1" x14ac:dyDescent="0.25">
      <c r="A201" s="67" t="s">
        <v>195</v>
      </c>
      <c r="B201" s="68"/>
      <c r="C201" s="69"/>
      <c r="D201" s="69"/>
      <c r="E201" s="222"/>
      <c r="F201" s="222"/>
      <c r="G201" s="68"/>
      <c r="H201" s="70"/>
      <c r="I201" s="70"/>
      <c r="J201" s="71" t="str">
        <f t="shared" si="42"/>
        <v>sem descrição</v>
      </c>
      <c r="K201" s="69" t="str">
        <f t="shared" si="43"/>
        <v>informar entrega</v>
      </c>
      <c r="L201" s="69">
        <f t="shared" si="44"/>
        <v>0</v>
      </c>
      <c r="M201" s="69">
        <f t="shared" si="45"/>
        <v>0</v>
      </c>
    </row>
    <row r="202" spans="1:13" s="61" customFormat="1" ht="20.25" hidden="1" customHeight="1" x14ac:dyDescent="0.25">
      <c r="A202" s="67" t="s">
        <v>199</v>
      </c>
      <c r="B202" s="68"/>
      <c r="C202" s="69"/>
      <c r="D202" s="69"/>
      <c r="E202" s="222"/>
      <c r="F202" s="222"/>
      <c r="G202" s="68"/>
      <c r="H202" s="70"/>
      <c r="I202" s="70"/>
      <c r="J202" s="71" t="str">
        <f t="shared" si="42"/>
        <v>sem descrição</v>
      </c>
      <c r="K202" s="69" t="str">
        <f>IF(C202="mensal",J202*H202*E202,IF(C202="trimestral",(J202*H202*E202)/3,IF(C202="semestral",(J202*H202*E202)/6,IF(C202="anual",(J202*H202*E202/12),"informar período"))))</f>
        <v>informar período</v>
      </c>
      <c r="L202" s="69">
        <f t="shared" si="44"/>
        <v>0</v>
      </c>
      <c r="M202" s="69">
        <f t="shared" si="45"/>
        <v>0</v>
      </c>
    </row>
    <row r="203" spans="1:13" s="61" customFormat="1" ht="20.25" customHeight="1" x14ac:dyDescent="0.25">
      <c r="A203" s="152" t="s">
        <v>330</v>
      </c>
      <c r="B203" s="147"/>
      <c r="C203" s="147"/>
      <c r="D203" s="147"/>
      <c r="E203" s="147"/>
      <c r="F203" s="147"/>
      <c r="G203" s="147"/>
      <c r="H203" s="147"/>
      <c r="I203" s="139"/>
      <c r="J203" s="155"/>
      <c r="K203" s="156">
        <f>SUM(K186:K202)</f>
        <v>0</v>
      </c>
      <c r="L203" s="157">
        <f>K203*12</f>
        <v>0</v>
      </c>
      <c r="M203" s="158">
        <f>K203*60</f>
        <v>0</v>
      </c>
    </row>
    <row r="204" spans="1:13" s="61" customFormat="1" ht="20.25" customHeight="1" x14ac:dyDescent="0.25">
      <c r="A204" s="152" t="s">
        <v>302</v>
      </c>
      <c r="B204" s="147"/>
      <c r="C204" s="147"/>
      <c r="D204" s="147"/>
      <c r="E204" s="147"/>
      <c r="F204" s="147"/>
      <c r="G204" s="147"/>
      <c r="H204" s="147"/>
      <c r="I204" s="147"/>
      <c r="J204" s="147"/>
      <c r="K204" s="147"/>
      <c r="L204" s="147"/>
      <c r="M204" s="159">
        <f>K203/SUM(C182:M184)</f>
        <v>0</v>
      </c>
    </row>
    <row r="205" spans="1:13" s="61" customFormat="1" ht="20.25" customHeight="1" x14ac:dyDescent="0.25">
      <c r="A205" s="235" t="s">
        <v>273</v>
      </c>
      <c r="B205" s="143" t="s">
        <v>19</v>
      </c>
      <c r="C205" s="153"/>
      <c r="D205" s="153"/>
      <c r="E205" s="153"/>
      <c r="F205" s="153"/>
      <c r="G205" s="153"/>
      <c r="H205" s="153"/>
      <c r="I205" s="153"/>
      <c r="J205" s="153"/>
      <c r="K205" s="153"/>
      <c r="L205" s="153"/>
      <c r="M205" s="154"/>
    </row>
    <row r="206" spans="1:13" s="61" customFormat="1" ht="20.25" customHeight="1" x14ac:dyDescent="0.25">
      <c r="A206" s="62">
        <v>1</v>
      </c>
      <c r="B206" s="63" t="s">
        <v>274</v>
      </c>
      <c r="C206" s="216" t="s">
        <v>201</v>
      </c>
      <c r="D206" s="217"/>
      <c r="E206" s="217"/>
      <c r="F206" s="217"/>
      <c r="G206" s="217"/>
      <c r="H206" s="145"/>
      <c r="I206" s="145"/>
      <c r="J206" s="145"/>
      <c r="K206" s="145"/>
      <c r="L206" s="145"/>
      <c r="M206" s="146"/>
    </row>
    <row r="207" spans="1:13" s="61" customFormat="1" ht="20.25" customHeight="1" x14ac:dyDescent="0.25">
      <c r="A207" s="62">
        <v>2</v>
      </c>
      <c r="B207" s="63" t="str">
        <f>'planilha - proposta'!D37</f>
        <v>Cozinheiro Hospitalar - 12x36d</v>
      </c>
      <c r="C207" s="216">
        <v>4</v>
      </c>
      <c r="D207" s="217"/>
      <c r="E207" s="217"/>
      <c r="F207" s="217"/>
      <c r="G207" s="217"/>
      <c r="H207" s="145"/>
      <c r="I207" s="145"/>
      <c r="J207" s="145"/>
      <c r="K207" s="145"/>
      <c r="L207" s="145"/>
      <c r="M207" s="146"/>
    </row>
    <row r="208" spans="1:13" s="61" customFormat="1" ht="20.25" hidden="1" customHeight="1" x14ac:dyDescent="0.25">
      <c r="A208" s="62">
        <v>3</v>
      </c>
      <c r="B208" s="63" t="str">
        <f>'planilha - proposta'!D38</f>
        <v>Cozinheiro Hospitalar - 12x36n</v>
      </c>
      <c r="C208" s="216">
        <v>0</v>
      </c>
      <c r="D208" s="217"/>
      <c r="E208" s="217"/>
      <c r="F208" s="217"/>
      <c r="G208" s="217"/>
      <c r="H208" s="145"/>
      <c r="I208" s="145"/>
      <c r="J208" s="145"/>
      <c r="K208" s="145"/>
      <c r="L208" s="145"/>
      <c r="M208" s="146"/>
    </row>
    <row r="209" spans="1:13" s="61" customFormat="1" ht="20.25" hidden="1" customHeight="1" x14ac:dyDescent="0.25">
      <c r="A209" s="62">
        <v>4</v>
      </c>
      <c r="B209" s="63" t="str">
        <f>'planilha - proposta'!D39</f>
        <v>Cozinheiro Hospitalar - 44h</v>
      </c>
      <c r="C209" s="216">
        <v>0</v>
      </c>
      <c r="D209" s="217"/>
      <c r="E209" s="217"/>
      <c r="F209" s="217"/>
      <c r="G209" s="217"/>
      <c r="H209" s="145"/>
      <c r="I209" s="145"/>
      <c r="J209" s="145"/>
      <c r="K209" s="145"/>
      <c r="L209" s="145"/>
      <c r="M209" s="146"/>
    </row>
    <row r="210" spans="1:13" s="61" customFormat="1" ht="52.5" customHeight="1" x14ac:dyDescent="0.25">
      <c r="A210" s="64" t="s">
        <v>273</v>
      </c>
      <c r="B210" s="65" t="s">
        <v>275</v>
      </c>
      <c r="C210" s="218" t="s">
        <v>276</v>
      </c>
      <c r="D210" s="218" t="s">
        <v>277</v>
      </c>
      <c r="E210" s="218" t="s">
        <v>278</v>
      </c>
      <c r="F210" s="218" t="s">
        <v>303</v>
      </c>
      <c r="G210" s="223" t="s">
        <v>280</v>
      </c>
      <c r="H210" s="65" t="s">
        <v>304</v>
      </c>
      <c r="I210" s="66" t="s">
        <v>305</v>
      </c>
      <c r="J210" s="66" t="s">
        <v>318</v>
      </c>
      <c r="K210" s="65" t="s">
        <v>284</v>
      </c>
      <c r="L210" s="65" t="s">
        <v>285</v>
      </c>
      <c r="M210" s="66" t="s">
        <v>286</v>
      </c>
    </row>
    <row r="211" spans="1:13" s="61" customFormat="1" ht="20.25" customHeight="1" x14ac:dyDescent="0.25">
      <c r="A211" s="67" t="s">
        <v>108</v>
      </c>
      <c r="B211" s="68" t="s">
        <v>311</v>
      </c>
      <c r="C211" s="69" t="s">
        <v>298</v>
      </c>
      <c r="D211" s="69" t="s">
        <v>292</v>
      </c>
      <c r="E211" s="222">
        <v>1</v>
      </c>
      <c r="F211" s="222">
        <v>0</v>
      </c>
      <c r="G211" s="68" t="s">
        <v>290</v>
      </c>
      <c r="H211" s="70">
        <f>VLOOKUP(B211,custoEPI!$B$6:$E$29,4,FALSE)</f>
        <v>0</v>
      </c>
      <c r="I211" s="71">
        <f t="shared" ref="I211:I219" si="46">SUM($C$207:$M$209)</f>
        <v>4</v>
      </c>
      <c r="J211" s="71">
        <f t="shared" ref="J211:J227" si="47">IF(B211="","sem descrição",IF($C$207&gt;=$C$208,IF($C$209&gt;0,$C$207/2+$C$209,$C$207/2),IF($C$209&gt;0,$C$208/5+$C$209,$C$209)))</f>
        <v>2</v>
      </c>
      <c r="K211" s="69">
        <f>IF(C211="mensal",IF(F211&gt;0,F211*H211,IF(D211="descartável",((SUM($C$207:$C$208)/2)+$C$209)*E211*H211,IF(D211="pessoal",E211*H211*I211,E211*H211*J211))),0)+IF(C211="trimestral",IF(F211&gt;0,F211*H211/3,IF(D211="descartável",(((SUM($C$207:$C$208)/2)+$C$209)*E211*H211)/3,IF(D211="pessoal",(E211*H211*I211)/3,(E211*H211*J211)/3))),0)+IF(C211="semestral",IF(F211&gt;0,F211*H211/6,IF(D211="descartável",(((SUM($C$207:$C$208)/2)+$C$209)*E211*H211)/6,IF(D211="pessoal",(E211*H211*I211)/6,(E211*H211*J211)/6))),0)+IF(C211="anual",IF(F211&gt;0,F211*H211/12,IF(D211="descartável",(((SUM($C$207:$C$208)/2)+$C$209)*E211*H211)/12,IF(D211="pessoal",(E211*H211*I211)/12,(E211*H211*J211)/12))),0)</f>
        <v>0</v>
      </c>
      <c r="L211" s="69">
        <f>IFERROR(K211*12, 0)</f>
        <v>0</v>
      </c>
      <c r="M211" s="69">
        <f>IFERROR(K211*60,0)</f>
        <v>0</v>
      </c>
    </row>
    <row r="212" spans="1:13" s="61" customFormat="1" ht="20.25" customHeight="1" x14ac:dyDescent="0.25">
      <c r="A212" s="67" t="s">
        <v>110</v>
      </c>
      <c r="B212" s="68" t="s">
        <v>312</v>
      </c>
      <c r="C212" s="69" t="s">
        <v>300</v>
      </c>
      <c r="D212" s="69" t="s">
        <v>292</v>
      </c>
      <c r="E212" s="222">
        <v>1</v>
      </c>
      <c r="F212" s="222">
        <v>0</v>
      </c>
      <c r="G212" s="68" t="s">
        <v>290</v>
      </c>
      <c r="H212" s="70">
        <f>VLOOKUP(B212,custoEPI!$B$6:$E$29,4,FALSE)</f>
        <v>0</v>
      </c>
      <c r="I212" s="71">
        <f t="shared" si="46"/>
        <v>4</v>
      </c>
      <c r="J212" s="71">
        <f t="shared" si="47"/>
        <v>2</v>
      </c>
      <c r="K212" s="69">
        <f t="shared" ref="K212:K219" si="48">IF(C212="mensal",IF(F212&gt;0,F212*H212,IF(D212="descartável",((SUM($C$207:$C$208)/2)+$C$209)*E212*H212,IF(D212="pessoal",E212*H212*I212,E212*H212*J212))),0)+IF(C212="trimestral",IF(F212&gt;0,F212*H212/3,IF(D212="descartável",(((SUM($C$207:$C$208)/2)+$C$209)*E212*H212)/3,IF(D212="pessoal",(E212*H212*I212)/3,(E212*H212*J212)/3))),0)+IF(C212="semestral",IF(F212&gt;0,F212*H212/6,IF(D212="descartável",(((SUM($C$207:$C$208)/2)+$C$209)*E212*H212)/6,IF(D212="pessoal",(E212*H212*I212)/6,(E212*H212*J212)/6))),0)+IF(C212="anual",IF(F212&gt;0,F212*H212/12,IF(D212="descartável",(((SUM($C$207:$C$208)/2)+$C$209)*E212*H212)/12,IF(D212="pessoal",(E212*H212*I212)/12,(E212*H212*J212)/12))),0)</f>
        <v>0</v>
      </c>
      <c r="L212" s="69">
        <f t="shared" ref="L212:L227" si="49">IFERROR(K212*12, 0)</f>
        <v>0</v>
      </c>
      <c r="M212" s="69">
        <f t="shared" ref="M212:M227" si="50">IFERROR(K212*60,0)</f>
        <v>0</v>
      </c>
    </row>
    <row r="213" spans="1:13" s="61" customFormat="1" ht="20.25" customHeight="1" x14ac:dyDescent="0.25">
      <c r="A213" s="67" t="s">
        <v>111</v>
      </c>
      <c r="B213" s="68" t="s">
        <v>316</v>
      </c>
      <c r="C213" s="69" t="s">
        <v>298</v>
      </c>
      <c r="D213" s="69" t="s">
        <v>310</v>
      </c>
      <c r="E213" s="222">
        <v>1</v>
      </c>
      <c r="F213" s="222">
        <v>0</v>
      </c>
      <c r="G213" s="68" t="s">
        <v>315</v>
      </c>
      <c r="H213" s="70">
        <f>VLOOKUP(B213,custoEPI!$B$6:$E$29,4,FALSE)</f>
        <v>0</v>
      </c>
      <c r="I213" s="71">
        <f t="shared" si="46"/>
        <v>4</v>
      </c>
      <c r="J213" s="71">
        <f t="shared" si="47"/>
        <v>2</v>
      </c>
      <c r="K213" s="69">
        <f t="shared" si="48"/>
        <v>0</v>
      </c>
      <c r="L213" s="69">
        <f t="shared" si="49"/>
        <v>0</v>
      </c>
      <c r="M213" s="69">
        <f t="shared" si="50"/>
        <v>0</v>
      </c>
    </row>
    <row r="214" spans="1:13" s="61" customFormat="1" ht="20.25" hidden="1" customHeight="1" x14ac:dyDescent="0.25">
      <c r="A214" s="67"/>
      <c r="B214" s="68"/>
      <c r="C214" s="69"/>
      <c r="D214" s="69"/>
      <c r="E214" s="222"/>
      <c r="F214" s="222"/>
      <c r="G214" s="68"/>
      <c r="H214" s="70" t="e">
        <f>VLOOKUP(B214,custoEPI!$B$6:$E$29,4,FALSE)</f>
        <v>#N/A</v>
      </c>
      <c r="I214" s="71">
        <f t="shared" si="46"/>
        <v>4</v>
      </c>
      <c r="J214" s="71" t="str">
        <f t="shared" si="47"/>
        <v>sem descrição</v>
      </c>
      <c r="K214" s="69">
        <f t="shared" si="48"/>
        <v>0</v>
      </c>
      <c r="L214" s="69">
        <f t="shared" si="49"/>
        <v>0</v>
      </c>
      <c r="M214" s="69">
        <f t="shared" si="50"/>
        <v>0</v>
      </c>
    </row>
    <row r="215" spans="1:13" s="61" customFormat="1" ht="20.25" customHeight="1" x14ac:dyDescent="0.25">
      <c r="A215" s="67" t="s">
        <v>113</v>
      </c>
      <c r="B215" s="68" t="s">
        <v>287</v>
      </c>
      <c r="C215" s="69" t="s">
        <v>288</v>
      </c>
      <c r="D215" s="69" t="s">
        <v>289</v>
      </c>
      <c r="E215" s="222">
        <v>90</v>
      </c>
      <c r="F215" s="222">
        <v>0</v>
      </c>
      <c r="G215" s="68" t="s">
        <v>290</v>
      </c>
      <c r="H215" s="70">
        <f>VLOOKUP(B215,custoEPI!$B$6:$E$29,4,FALSE)</f>
        <v>0</v>
      </c>
      <c r="I215" s="71">
        <f t="shared" si="46"/>
        <v>4</v>
      </c>
      <c r="J215" s="71">
        <f t="shared" si="47"/>
        <v>2</v>
      </c>
      <c r="K215" s="69">
        <f t="shared" si="48"/>
        <v>0</v>
      </c>
      <c r="L215" s="69">
        <f t="shared" si="49"/>
        <v>0</v>
      </c>
      <c r="M215" s="69">
        <f t="shared" si="50"/>
        <v>0</v>
      </c>
    </row>
    <row r="216" spans="1:13" s="61" customFormat="1" ht="20.25" hidden="1" customHeight="1" x14ac:dyDescent="0.25">
      <c r="A216" s="67"/>
      <c r="B216" s="68"/>
      <c r="C216" s="69"/>
      <c r="D216" s="69"/>
      <c r="E216" s="222"/>
      <c r="F216" s="222"/>
      <c r="G216" s="68"/>
      <c r="H216" s="70" t="e">
        <f>VLOOKUP(B216,custoEPI!$B$6:$E$29,4,FALSE)</f>
        <v>#N/A</v>
      </c>
      <c r="I216" s="71">
        <f t="shared" si="46"/>
        <v>4</v>
      </c>
      <c r="J216" s="71" t="str">
        <f t="shared" si="47"/>
        <v>sem descrição</v>
      </c>
      <c r="K216" s="69">
        <f t="shared" si="48"/>
        <v>0</v>
      </c>
      <c r="L216" s="69">
        <f t="shared" si="49"/>
        <v>0</v>
      </c>
      <c r="M216" s="69">
        <f t="shared" si="50"/>
        <v>0</v>
      </c>
    </row>
    <row r="217" spans="1:13" s="61" customFormat="1" ht="20.25" customHeight="1" x14ac:dyDescent="0.25">
      <c r="A217" s="67" t="s">
        <v>114</v>
      </c>
      <c r="B217" s="68" t="s">
        <v>314</v>
      </c>
      <c r="C217" s="69" t="s">
        <v>288</v>
      </c>
      <c r="D217" s="69" t="s">
        <v>292</v>
      </c>
      <c r="E217" s="222">
        <v>1</v>
      </c>
      <c r="F217" s="222">
        <v>0</v>
      </c>
      <c r="G217" s="68" t="s">
        <v>315</v>
      </c>
      <c r="H217" s="70">
        <f>VLOOKUP(B217,custoEPI!$B$6:$E$29,4,FALSE)</f>
        <v>0</v>
      </c>
      <c r="I217" s="71">
        <f t="shared" si="46"/>
        <v>4</v>
      </c>
      <c r="J217" s="71">
        <f t="shared" si="47"/>
        <v>2</v>
      </c>
      <c r="K217" s="69">
        <f t="shared" si="48"/>
        <v>0</v>
      </c>
      <c r="L217" s="69">
        <f t="shared" si="49"/>
        <v>0</v>
      </c>
      <c r="M217" s="69">
        <f t="shared" si="50"/>
        <v>0</v>
      </c>
    </row>
    <row r="218" spans="1:13" s="61" customFormat="1" ht="20.25" customHeight="1" x14ac:dyDescent="0.25">
      <c r="A218" s="67" t="s">
        <v>115</v>
      </c>
      <c r="B218" s="68" t="s">
        <v>313</v>
      </c>
      <c r="C218" s="69" t="s">
        <v>288</v>
      </c>
      <c r="D218" s="69" t="s">
        <v>289</v>
      </c>
      <c r="E218" s="222">
        <v>48</v>
      </c>
      <c r="F218" s="222">
        <v>0</v>
      </c>
      <c r="G218" s="68" t="s">
        <v>290</v>
      </c>
      <c r="H218" s="70">
        <f>VLOOKUP(B218,custoEPI!$B$6:$E$29,4,FALSE)</f>
        <v>0</v>
      </c>
      <c r="I218" s="71">
        <f t="shared" si="46"/>
        <v>4</v>
      </c>
      <c r="J218" s="71">
        <f t="shared" si="47"/>
        <v>2</v>
      </c>
      <c r="K218" s="69">
        <f t="shared" si="48"/>
        <v>0</v>
      </c>
      <c r="L218" s="69">
        <f t="shared" si="49"/>
        <v>0</v>
      </c>
      <c r="M218" s="69">
        <f t="shared" si="50"/>
        <v>0</v>
      </c>
    </row>
    <row r="219" spans="1:13" s="61" customFormat="1" ht="20.25" customHeight="1" x14ac:dyDescent="0.25">
      <c r="A219" s="67" t="s">
        <v>116</v>
      </c>
      <c r="B219" s="68" t="s">
        <v>307</v>
      </c>
      <c r="C219" s="69" t="s">
        <v>300</v>
      </c>
      <c r="D219" s="69" t="s">
        <v>292</v>
      </c>
      <c r="E219" s="222">
        <v>1</v>
      </c>
      <c r="F219" s="222">
        <v>0</v>
      </c>
      <c r="G219" s="68" t="s">
        <v>290</v>
      </c>
      <c r="H219" s="70">
        <f>VLOOKUP(B219,custoEPI!$B$6:$E$29,4,FALSE)</f>
        <v>0</v>
      </c>
      <c r="I219" s="71">
        <f t="shared" si="46"/>
        <v>4</v>
      </c>
      <c r="J219" s="71">
        <f t="shared" si="47"/>
        <v>2</v>
      </c>
      <c r="K219" s="69">
        <f t="shared" si="48"/>
        <v>0</v>
      </c>
      <c r="L219" s="69">
        <f t="shared" si="49"/>
        <v>0</v>
      </c>
      <c r="M219" s="69">
        <f t="shared" si="50"/>
        <v>0</v>
      </c>
    </row>
    <row r="220" spans="1:13" s="61" customFormat="1" ht="20.25" hidden="1" customHeight="1" x14ac:dyDescent="0.25">
      <c r="A220" s="67" t="s">
        <v>125</v>
      </c>
      <c r="B220" s="68"/>
      <c r="C220" s="69"/>
      <c r="D220" s="69"/>
      <c r="E220" s="222"/>
      <c r="F220" s="222"/>
      <c r="G220" s="68"/>
      <c r="H220" s="70"/>
      <c r="I220" s="71"/>
      <c r="J220" s="71" t="str">
        <f t="shared" si="47"/>
        <v>sem descrição</v>
      </c>
      <c r="K220" s="69" t="str">
        <f t="shared" ref="K220:K226" si="51">IF(C220="mensal",J220*H220*E220,IF(C220="trimestral",(J220*H220*E220)/3,IF(C220="semestral",(J220*H220*E220)/6,IF(C220="anual",(J220*H220*E220/12),"informar entrega"))))</f>
        <v>informar entrega</v>
      </c>
      <c r="L220" s="69">
        <f t="shared" si="49"/>
        <v>0</v>
      </c>
      <c r="M220" s="69">
        <f t="shared" si="50"/>
        <v>0</v>
      </c>
    </row>
    <row r="221" spans="1:13" s="61" customFormat="1" ht="20.25" hidden="1" customHeight="1" x14ac:dyDescent="0.25">
      <c r="A221" s="67" t="s">
        <v>127</v>
      </c>
      <c r="B221" s="68"/>
      <c r="C221" s="69"/>
      <c r="D221" s="69"/>
      <c r="E221" s="222"/>
      <c r="F221" s="222"/>
      <c r="G221" s="68"/>
      <c r="H221" s="70"/>
      <c r="I221" s="70"/>
      <c r="J221" s="71" t="str">
        <f t="shared" si="47"/>
        <v>sem descrição</v>
      </c>
      <c r="K221" s="69" t="str">
        <f t="shared" si="51"/>
        <v>informar entrega</v>
      </c>
      <c r="L221" s="69">
        <f t="shared" si="49"/>
        <v>0</v>
      </c>
      <c r="M221" s="69">
        <f t="shared" si="50"/>
        <v>0</v>
      </c>
    </row>
    <row r="222" spans="1:13" s="61" customFormat="1" ht="20.25" hidden="1" customHeight="1" x14ac:dyDescent="0.25">
      <c r="A222" s="67" t="s">
        <v>129</v>
      </c>
      <c r="B222" s="68"/>
      <c r="C222" s="69"/>
      <c r="D222" s="69"/>
      <c r="E222" s="222"/>
      <c r="F222" s="222"/>
      <c r="G222" s="68"/>
      <c r="H222" s="70"/>
      <c r="I222" s="70"/>
      <c r="J222" s="71" t="str">
        <f t="shared" si="47"/>
        <v>sem descrição</v>
      </c>
      <c r="K222" s="69" t="str">
        <f t="shared" si="51"/>
        <v>informar entrega</v>
      </c>
      <c r="L222" s="69">
        <f t="shared" si="49"/>
        <v>0</v>
      </c>
      <c r="M222" s="69">
        <f t="shared" si="50"/>
        <v>0</v>
      </c>
    </row>
    <row r="223" spans="1:13" s="61" customFormat="1" ht="20.25" hidden="1" customHeight="1" x14ac:dyDescent="0.25">
      <c r="A223" s="67" t="s">
        <v>131</v>
      </c>
      <c r="B223" s="68"/>
      <c r="C223" s="69"/>
      <c r="D223" s="69"/>
      <c r="E223" s="222"/>
      <c r="F223" s="222"/>
      <c r="G223" s="68"/>
      <c r="H223" s="70"/>
      <c r="I223" s="70"/>
      <c r="J223" s="71" t="str">
        <f t="shared" si="47"/>
        <v>sem descrição</v>
      </c>
      <c r="K223" s="69" t="str">
        <f t="shared" si="51"/>
        <v>informar entrega</v>
      </c>
      <c r="L223" s="69">
        <f t="shared" si="49"/>
        <v>0</v>
      </c>
      <c r="M223" s="69">
        <f t="shared" si="50"/>
        <v>0</v>
      </c>
    </row>
    <row r="224" spans="1:13" s="61" customFormat="1" ht="20.25" hidden="1" customHeight="1" x14ac:dyDescent="0.25">
      <c r="A224" s="67" t="s">
        <v>188</v>
      </c>
      <c r="B224" s="68"/>
      <c r="C224" s="69"/>
      <c r="D224" s="69"/>
      <c r="E224" s="222"/>
      <c r="F224" s="222"/>
      <c r="G224" s="68"/>
      <c r="H224" s="70"/>
      <c r="I224" s="70"/>
      <c r="J224" s="71" t="str">
        <f t="shared" si="47"/>
        <v>sem descrição</v>
      </c>
      <c r="K224" s="69" t="str">
        <f t="shared" si="51"/>
        <v>informar entrega</v>
      </c>
      <c r="L224" s="69">
        <f t="shared" si="49"/>
        <v>0</v>
      </c>
      <c r="M224" s="69">
        <f t="shared" si="50"/>
        <v>0</v>
      </c>
    </row>
    <row r="225" spans="1:13" s="61" customFormat="1" ht="20.25" hidden="1" customHeight="1" x14ac:dyDescent="0.25">
      <c r="A225" s="67" t="s">
        <v>192</v>
      </c>
      <c r="B225" s="68"/>
      <c r="C225" s="69"/>
      <c r="D225" s="69"/>
      <c r="E225" s="222"/>
      <c r="F225" s="222"/>
      <c r="G225" s="68"/>
      <c r="H225" s="70"/>
      <c r="I225" s="70"/>
      <c r="J225" s="71" t="str">
        <f t="shared" si="47"/>
        <v>sem descrição</v>
      </c>
      <c r="K225" s="69" t="str">
        <f t="shared" si="51"/>
        <v>informar entrega</v>
      </c>
      <c r="L225" s="69">
        <f t="shared" si="49"/>
        <v>0</v>
      </c>
      <c r="M225" s="69">
        <f t="shared" si="50"/>
        <v>0</v>
      </c>
    </row>
    <row r="226" spans="1:13" s="61" customFormat="1" ht="20.25" hidden="1" customHeight="1" x14ac:dyDescent="0.25">
      <c r="A226" s="67" t="s">
        <v>195</v>
      </c>
      <c r="B226" s="68"/>
      <c r="C226" s="69"/>
      <c r="D226" s="69"/>
      <c r="E226" s="222"/>
      <c r="F226" s="222"/>
      <c r="G226" s="68"/>
      <c r="H226" s="70"/>
      <c r="I226" s="70"/>
      <c r="J226" s="71" t="str">
        <f t="shared" si="47"/>
        <v>sem descrição</v>
      </c>
      <c r="K226" s="69" t="str">
        <f t="shared" si="51"/>
        <v>informar entrega</v>
      </c>
      <c r="L226" s="69">
        <f t="shared" si="49"/>
        <v>0</v>
      </c>
      <c r="M226" s="69">
        <f t="shared" si="50"/>
        <v>0</v>
      </c>
    </row>
    <row r="227" spans="1:13" s="61" customFormat="1" ht="20.25" hidden="1" customHeight="1" x14ac:dyDescent="0.25">
      <c r="A227" s="67" t="s">
        <v>199</v>
      </c>
      <c r="B227" s="68"/>
      <c r="C227" s="69"/>
      <c r="D227" s="69"/>
      <c r="E227" s="222"/>
      <c r="F227" s="222"/>
      <c r="G227" s="68"/>
      <c r="H227" s="70"/>
      <c r="I227" s="70"/>
      <c r="J227" s="71" t="str">
        <f t="shared" si="47"/>
        <v>sem descrição</v>
      </c>
      <c r="K227" s="69" t="str">
        <f>IF(C227="mensal",J227*H227*E227,IF(C227="trimestral",(J227*H227*E227)/3,IF(C227="semestral",(J227*H227*E227)/6,IF(C227="anual",(J227*H227*E227/12),"informar período"))))</f>
        <v>informar período</v>
      </c>
      <c r="L227" s="69">
        <f t="shared" si="49"/>
        <v>0</v>
      </c>
      <c r="M227" s="69">
        <f t="shared" si="50"/>
        <v>0</v>
      </c>
    </row>
    <row r="228" spans="1:13" s="61" customFormat="1" ht="20.25" customHeight="1" x14ac:dyDescent="0.25">
      <c r="A228" s="152" t="s">
        <v>301</v>
      </c>
      <c r="B228" s="147"/>
      <c r="C228" s="147"/>
      <c r="D228" s="147"/>
      <c r="E228" s="147"/>
      <c r="F228" s="147"/>
      <c r="G228" s="147"/>
      <c r="H228" s="147"/>
      <c r="I228" s="139"/>
      <c r="J228" s="155"/>
      <c r="K228" s="156">
        <f>SUM(K211:K227)</f>
        <v>0</v>
      </c>
      <c r="L228" s="157">
        <f>K228*12</f>
        <v>0</v>
      </c>
      <c r="M228" s="158">
        <f>K228*60</f>
        <v>0</v>
      </c>
    </row>
    <row r="229" spans="1:13" s="61" customFormat="1" ht="20.25" customHeight="1" x14ac:dyDescent="0.25">
      <c r="A229" s="152" t="s">
        <v>302</v>
      </c>
      <c r="B229" s="147"/>
      <c r="C229" s="147"/>
      <c r="D229" s="147"/>
      <c r="E229" s="147"/>
      <c r="F229" s="147"/>
      <c r="G229" s="147"/>
      <c r="H229" s="147"/>
      <c r="I229" s="147"/>
      <c r="J229" s="147"/>
      <c r="K229" s="147"/>
      <c r="L229" s="147"/>
      <c r="M229" s="159">
        <f>K228/SUM(C207:M209)</f>
        <v>0</v>
      </c>
    </row>
    <row r="230" spans="1:13" s="61" customFormat="1" ht="20.25" customHeight="1" x14ac:dyDescent="0.25">
      <c r="A230" s="235" t="s">
        <v>273</v>
      </c>
      <c r="B230" s="143" t="s">
        <v>19</v>
      </c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4"/>
    </row>
    <row r="231" spans="1:13" s="61" customFormat="1" ht="20.25" customHeight="1" x14ac:dyDescent="0.25">
      <c r="A231" s="62">
        <v>1</v>
      </c>
      <c r="B231" s="63" t="s">
        <v>274</v>
      </c>
      <c r="C231" s="216" t="s">
        <v>207</v>
      </c>
      <c r="D231" s="217"/>
      <c r="E231" s="217"/>
      <c r="F231" s="217"/>
      <c r="G231" s="217"/>
      <c r="H231" s="145"/>
      <c r="I231" s="145"/>
      <c r="J231" s="145"/>
      <c r="K231" s="145"/>
      <c r="L231" s="145"/>
      <c r="M231" s="146"/>
    </row>
    <row r="232" spans="1:13" s="61" customFormat="1" ht="20.25" customHeight="1" x14ac:dyDescent="0.25">
      <c r="A232" s="62">
        <v>2</v>
      </c>
      <c r="B232" s="63" t="str">
        <f>'planilha - proposta'!D40</f>
        <v>Despenseiro/Armazenista - 12x36d</v>
      </c>
      <c r="C232" s="216">
        <v>2</v>
      </c>
      <c r="D232" s="217"/>
      <c r="E232" s="217"/>
      <c r="F232" s="217"/>
      <c r="G232" s="217"/>
      <c r="H232" s="145"/>
      <c r="I232" s="145"/>
      <c r="J232" s="145"/>
      <c r="K232" s="145"/>
      <c r="L232" s="145"/>
      <c r="M232" s="146"/>
    </row>
    <row r="233" spans="1:13" s="61" customFormat="1" ht="20.25" hidden="1" customHeight="1" x14ac:dyDescent="0.25">
      <c r="A233" s="62">
        <v>3</v>
      </c>
      <c r="B233" s="63" t="str">
        <f>'planilha - proposta'!D41</f>
        <v>Despenseiro/Armazenista - 12x36n</v>
      </c>
      <c r="C233" s="216">
        <v>0</v>
      </c>
      <c r="D233" s="217"/>
      <c r="E233" s="217"/>
      <c r="F233" s="217"/>
      <c r="G233" s="217"/>
      <c r="H233" s="145"/>
      <c r="I233" s="145"/>
      <c r="J233" s="145"/>
      <c r="K233" s="145"/>
      <c r="L233" s="145"/>
      <c r="M233" s="146"/>
    </row>
    <row r="234" spans="1:13" s="61" customFormat="1" ht="20.25" customHeight="1" x14ac:dyDescent="0.25">
      <c r="A234" s="62">
        <v>4</v>
      </c>
      <c r="B234" s="63" t="str">
        <f>'planilha - proposta'!D42</f>
        <v>Despenseiro/Armazenista - 44h</v>
      </c>
      <c r="C234" s="216">
        <v>2</v>
      </c>
      <c r="D234" s="217"/>
      <c r="E234" s="217"/>
      <c r="F234" s="217"/>
      <c r="G234" s="217"/>
      <c r="H234" s="145"/>
      <c r="I234" s="145"/>
      <c r="J234" s="145"/>
      <c r="K234" s="145"/>
      <c r="L234" s="145"/>
      <c r="M234" s="146"/>
    </row>
    <row r="235" spans="1:13" s="61" customFormat="1" ht="52.5" customHeight="1" x14ac:dyDescent="0.25">
      <c r="A235" s="64" t="s">
        <v>273</v>
      </c>
      <c r="B235" s="65" t="s">
        <v>275</v>
      </c>
      <c r="C235" s="218" t="s">
        <v>276</v>
      </c>
      <c r="D235" s="218" t="s">
        <v>277</v>
      </c>
      <c r="E235" s="218" t="s">
        <v>278</v>
      </c>
      <c r="F235" s="218" t="s">
        <v>303</v>
      </c>
      <c r="G235" s="223" t="s">
        <v>280</v>
      </c>
      <c r="H235" s="65" t="s">
        <v>304</v>
      </c>
      <c r="I235" s="66" t="s">
        <v>305</v>
      </c>
      <c r="J235" s="66" t="s">
        <v>318</v>
      </c>
      <c r="K235" s="65" t="s">
        <v>284</v>
      </c>
      <c r="L235" s="65" t="s">
        <v>285</v>
      </c>
      <c r="M235" s="66" t="s">
        <v>286</v>
      </c>
    </row>
    <row r="236" spans="1:13" s="61" customFormat="1" ht="20.25" customHeight="1" x14ac:dyDescent="0.25">
      <c r="A236" s="67" t="s">
        <v>108</v>
      </c>
      <c r="B236" s="68" t="s">
        <v>322</v>
      </c>
      <c r="C236" s="69" t="s">
        <v>300</v>
      </c>
      <c r="D236" s="69" t="s">
        <v>292</v>
      </c>
      <c r="E236" s="222">
        <v>1</v>
      </c>
      <c r="F236" s="222">
        <v>0</v>
      </c>
      <c r="G236" s="68" t="s">
        <v>290</v>
      </c>
      <c r="H236" s="70">
        <f>VLOOKUP(B236,custoEPI!$B$6:$E$29,4,FALSE)</f>
        <v>0</v>
      </c>
      <c r="I236" s="71">
        <f t="shared" ref="I236:I241" si="52">SUM($C$232:$M$234)</f>
        <v>4</v>
      </c>
      <c r="J236" s="71">
        <f t="shared" ref="J236:J252" si="53">IF(B236="","sem descrição",IF($C$232&gt;=$C$233,IF($C$234&gt;0,$C$232/2+$C$234,$C$232/2),IF($C$234&gt;0,$C$233/5+$C$234,$C$234)))</f>
        <v>3</v>
      </c>
      <c r="K236" s="69">
        <f>IF(C236="mensal",IF(F236&gt;0,F236*H236,IF(D236="descartável",((SUM($C$232:$C$233)/2)+$C$234)*E236*H236,IF(D236="pessoal",E236*H236*I236,E236*H236*J236))),0)+IF(C236="trimestral",IF(F236&gt;0,F236*H236/3,IF(D236="descartável",(((SUM($C$232:$C$233)/2)+$C$234)*E236*H236)/3,IF(D236="pessoal",(E236*H236*I236)/3,(E236*H236*J236)/3))),0)+IF(C236="semestral",IF(F236&gt;0,F236*H236/6,IF(D236="descartável",(((SUM($C$232:$C$233)/2)+$C$234)*E236*H236)/6,IF(D236="pessoal",(E236*H236*I236)/6,(E236*H236*J236)/6))),0)+IF(C236="anual",IF(F236&gt;0,F236*H236/12,IF(D236="descartável",(((SUM($C$232:$C$233)/2)+$C$234)*E236*H236)/12,IF(D236="pessoal",(E236*H236*I236)/12,(E236*H236*J236)/12))),0)</f>
        <v>0</v>
      </c>
      <c r="L236" s="69">
        <f>IFERROR(K236*12, 0)</f>
        <v>0</v>
      </c>
      <c r="M236" s="69">
        <f>IFERROR(K236*60,0)</f>
        <v>0</v>
      </c>
    </row>
    <row r="237" spans="1:13" s="61" customFormat="1" ht="20.25" customHeight="1" x14ac:dyDescent="0.25">
      <c r="A237" s="67" t="s">
        <v>110</v>
      </c>
      <c r="B237" s="68" t="s">
        <v>323</v>
      </c>
      <c r="C237" s="69" t="s">
        <v>296</v>
      </c>
      <c r="D237" s="69" t="s">
        <v>292</v>
      </c>
      <c r="E237" s="222">
        <v>1</v>
      </c>
      <c r="F237" s="222">
        <v>0</v>
      </c>
      <c r="G237" s="68" t="s">
        <v>315</v>
      </c>
      <c r="H237" s="70">
        <f>VLOOKUP(B237,custoEPI!$B$6:$E$29,4,FALSE)</f>
        <v>0</v>
      </c>
      <c r="I237" s="71">
        <f t="shared" si="52"/>
        <v>4</v>
      </c>
      <c r="J237" s="71">
        <f t="shared" si="53"/>
        <v>3</v>
      </c>
      <c r="K237" s="69">
        <f t="shared" ref="K237:K241" si="54">IF(C237="mensal",IF(F237&gt;0,F237*H237,IF(D237="descartável",((SUM($C$232:$C$233)/2)+$C$234)*E237*H237,IF(D237="pessoal",E237*H237*I237,E237*H237*J237))),0)+IF(C237="trimestral",IF(F237&gt;0,F237*H237/3,IF(D237="descartável",(((SUM($C$232:$C$233)/2)+$C$234)*E237*H237)/3,IF(D237="pessoal",(E237*H237*I237)/3,(E237*H237*J237)/3))),0)+IF(C237="semestral",IF(F237&gt;0,F237*H237/6,IF(D237="descartável",(((SUM($C$232:$C$233)/2)+$C$234)*E237*H237)/6,IF(D237="pessoal",(E237*H237*I237)/6,(E237*H237*J237)/6))),0)+IF(C237="anual",IF(F237&gt;0,F237*H237/12,IF(D237="descartável",(((SUM($C$232:$C$233)/2)+$C$234)*E237*H237)/12,IF(D237="pessoal",(E237*H237*I237)/12,(E237*H237*J237)/12))),0)</f>
        <v>0</v>
      </c>
      <c r="L237" s="69">
        <f t="shared" ref="L237:L252" si="55">IFERROR(K237*12, 0)</f>
        <v>0</v>
      </c>
      <c r="M237" s="69">
        <f t="shared" ref="M237:M252" si="56">IFERROR(K237*60,0)</f>
        <v>0</v>
      </c>
    </row>
    <row r="238" spans="1:13" s="61" customFormat="1" ht="20.25" customHeight="1" x14ac:dyDescent="0.25">
      <c r="A238" s="67" t="s">
        <v>111</v>
      </c>
      <c r="B238" s="68" t="s">
        <v>313</v>
      </c>
      <c r="C238" s="69" t="s">
        <v>288</v>
      </c>
      <c r="D238" s="69" t="s">
        <v>289</v>
      </c>
      <c r="E238" s="222">
        <v>48</v>
      </c>
      <c r="F238" s="222">
        <v>0</v>
      </c>
      <c r="G238" s="68" t="s">
        <v>290</v>
      </c>
      <c r="H238" s="70">
        <f>VLOOKUP(B238,custoEPI!$B$6:$E$29,4,FALSE)</f>
        <v>0</v>
      </c>
      <c r="I238" s="71">
        <f t="shared" si="52"/>
        <v>4</v>
      </c>
      <c r="J238" s="71">
        <f t="shared" si="53"/>
        <v>3</v>
      </c>
      <c r="K238" s="69">
        <f t="shared" si="54"/>
        <v>0</v>
      </c>
      <c r="L238" s="69">
        <f t="shared" si="55"/>
        <v>0</v>
      </c>
      <c r="M238" s="69">
        <f t="shared" si="56"/>
        <v>0</v>
      </c>
    </row>
    <row r="239" spans="1:13" s="61" customFormat="1" ht="20.25" customHeight="1" x14ac:dyDescent="0.25">
      <c r="A239" s="67" t="s">
        <v>113</v>
      </c>
      <c r="B239" s="68" t="s">
        <v>287</v>
      </c>
      <c r="C239" s="69" t="s">
        <v>288</v>
      </c>
      <c r="D239" s="69" t="s">
        <v>289</v>
      </c>
      <c r="E239" s="222">
        <f>3*30</f>
        <v>90</v>
      </c>
      <c r="F239" s="222">
        <v>0</v>
      </c>
      <c r="G239" s="68" t="s">
        <v>290</v>
      </c>
      <c r="H239" s="70">
        <f>VLOOKUP(B239,custoEPI!$B$6:$E$29,4,FALSE)</f>
        <v>0</v>
      </c>
      <c r="I239" s="71">
        <f t="shared" si="52"/>
        <v>4</v>
      </c>
      <c r="J239" s="71">
        <f t="shared" si="53"/>
        <v>3</v>
      </c>
      <c r="K239" s="69">
        <f t="shared" si="54"/>
        <v>0</v>
      </c>
      <c r="L239" s="69">
        <f t="shared" si="55"/>
        <v>0</v>
      </c>
      <c r="M239" s="69">
        <f t="shared" si="56"/>
        <v>0</v>
      </c>
    </row>
    <row r="240" spans="1:13" s="61" customFormat="1" ht="20.25" customHeight="1" x14ac:dyDescent="0.25">
      <c r="A240" s="67" t="s">
        <v>114</v>
      </c>
      <c r="B240" s="68" t="s">
        <v>294</v>
      </c>
      <c r="C240" s="69" t="s">
        <v>288</v>
      </c>
      <c r="D240" s="69" t="s">
        <v>289</v>
      </c>
      <c r="E240" s="222">
        <f>3*30</f>
        <v>90</v>
      </c>
      <c r="F240" s="222">
        <v>0</v>
      </c>
      <c r="G240" s="68" t="s">
        <v>290</v>
      </c>
      <c r="H240" s="70">
        <f>VLOOKUP(B240,custoEPI!$B$6:$E$29,4,FALSE)</f>
        <v>0</v>
      </c>
      <c r="I240" s="71">
        <f t="shared" si="52"/>
        <v>4</v>
      </c>
      <c r="J240" s="71">
        <f t="shared" si="53"/>
        <v>3</v>
      </c>
      <c r="K240" s="69">
        <f t="shared" si="54"/>
        <v>0</v>
      </c>
      <c r="L240" s="69">
        <f t="shared" si="55"/>
        <v>0</v>
      </c>
      <c r="M240" s="69">
        <f t="shared" si="56"/>
        <v>0</v>
      </c>
    </row>
    <row r="241" spans="1:13" s="61" customFormat="1" ht="20.25" customHeight="1" x14ac:dyDescent="0.25">
      <c r="A241" s="67" t="s">
        <v>115</v>
      </c>
      <c r="B241" s="68" t="s">
        <v>307</v>
      </c>
      <c r="C241" s="69" t="s">
        <v>300</v>
      </c>
      <c r="D241" s="69" t="s">
        <v>292</v>
      </c>
      <c r="E241" s="222">
        <v>1</v>
      </c>
      <c r="F241" s="222">
        <v>0</v>
      </c>
      <c r="G241" s="68" t="s">
        <v>290</v>
      </c>
      <c r="H241" s="70">
        <f>VLOOKUP(B241,custoEPI!$B$6:$E$29,4,FALSE)</f>
        <v>0</v>
      </c>
      <c r="I241" s="71">
        <f t="shared" si="52"/>
        <v>4</v>
      </c>
      <c r="J241" s="71">
        <f t="shared" si="53"/>
        <v>3</v>
      </c>
      <c r="K241" s="69">
        <f t="shared" si="54"/>
        <v>0</v>
      </c>
      <c r="L241" s="69">
        <f t="shared" si="55"/>
        <v>0</v>
      </c>
      <c r="M241" s="69">
        <f t="shared" si="56"/>
        <v>0</v>
      </c>
    </row>
    <row r="242" spans="1:13" s="61" customFormat="1" ht="20.25" hidden="1" customHeight="1" x14ac:dyDescent="0.25">
      <c r="A242" s="67" t="s">
        <v>116</v>
      </c>
      <c r="B242" s="68"/>
      <c r="C242" s="69"/>
      <c r="D242" s="69"/>
      <c r="E242" s="222"/>
      <c r="F242" s="222"/>
      <c r="G242" s="68" t="s">
        <v>290</v>
      </c>
      <c r="H242" s="70" t="e">
        <f>VLOOKUP(B242,custoEPI!$B$6:$E$29,4,FALSE)</f>
        <v>#N/A</v>
      </c>
      <c r="I242" s="71"/>
      <c r="J242" s="71" t="str">
        <f t="shared" si="53"/>
        <v>sem descrição</v>
      </c>
      <c r="K242" s="69" t="str">
        <f t="shared" ref="K242:K251" si="57">IF(C242="mensal",J242*H242*E242,IF(C242="trimestral",(J242*H242*E242)/3,IF(C242="semestral",(J242*H242*E242)/6,IF(C242="anual",(J242*H242*E242/12),"informar entrega"))))</f>
        <v>informar entrega</v>
      </c>
      <c r="L242" s="69">
        <f t="shared" si="55"/>
        <v>0</v>
      </c>
      <c r="M242" s="69">
        <f t="shared" si="56"/>
        <v>0</v>
      </c>
    </row>
    <row r="243" spans="1:13" s="61" customFormat="1" ht="20.25" hidden="1" customHeight="1" x14ac:dyDescent="0.25">
      <c r="A243" s="67" t="s">
        <v>118</v>
      </c>
      <c r="B243" s="68"/>
      <c r="C243" s="69"/>
      <c r="D243" s="69"/>
      <c r="E243" s="222"/>
      <c r="F243" s="222"/>
      <c r="G243" s="68" t="s">
        <v>290</v>
      </c>
      <c r="H243" s="70" t="e">
        <f>VLOOKUP(B243,custoEPI!$B$6:$E$29,4,FALSE)</f>
        <v>#N/A</v>
      </c>
      <c r="I243" s="71"/>
      <c r="J243" s="71" t="str">
        <f t="shared" si="53"/>
        <v>sem descrição</v>
      </c>
      <c r="K243" s="69" t="str">
        <f t="shared" si="57"/>
        <v>informar entrega</v>
      </c>
      <c r="L243" s="69">
        <f t="shared" si="55"/>
        <v>0</v>
      </c>
      <c r="M243" s="69">
        <f t="shared" si="56"/>
        <v>0</v>
      </c>
    </row>
    <row r="244" spans="1:13" s="61" customFormat="1" ht="20.25" hidden="1" customHeight="1" x14ac:dyDescent="0.25">
      <c r="A244" s="67" t="s">
        <v>121</v>
      </c>
      <c r="B244" s="68"/>
      <c r="C244" s="69"/>
      <c r="D244" s="69"/>
      <c r="E244" s="222"/>
      <c r="F244" s="222"/>
      <c r="G244" s="68"/>
      <c r="H244" s="70" t="e">
        <f>VLOOKUP(B244,custoEPI!$B$6:$E$29,4,FALSE)</f>
        <v>#N/A</v>
      </c>
      <c r="I244" s="71"/>
      <c r="J244" s="71" t="str">
        <f t="shared" si="53"/>
        <v>sem descrição</v>
      </c>
      <c r="K244" s="69" t="str">
        <f t="shared" si="57"/>
        <v>informar entrega</v>
      </c>
      <c r="L244" s="69">
        <f t="shared" si="55"/>
        <v>0</v>
      </c>
      <c r="M244" s="69">
        <f t="shared" si="56"/>
        <v>0</v>
      </c>
    </row>
    <row r="245" spans="1:13" s="61" customFormat="1" ht="20.25" hidden="1" customHeight="1" x14ac:dyDescent="0.25">
      <c r="A245" s="67" t="s">
        <v>125</v>
      </c>
      <c r="B245" s="68"/>
      <c r="C245" s="69"/>
      <c r="D245" s="69"/>
      <c r="E245" s="222"/>
      <c r="F245" s="222"/>
      <c r="G245" s="68"/>
      <c r="H245" s="70"/>
      <c r="I245" s="71"/>
      <c r="J245" s="71" t="str">
        <f t="shared" si="53"/>
        <v>sem descrição</v>
      </c>
      <c r="K245" s="69" t="str">
        <f t="shared" si="57"/>
        <v>informar entrega</v>
      </c>
      <c r="L245" s="69">
        <f t="shared" si="55"/>
        <v>0</v>
      </c>
      <c r="M245" s="69">
        <f t="shared" si="56"/>
        <v>0</v>
      </c>
    </row>
    <row r="246" spans="1:13" s="61" customFormat="1" ht="20.25" hidden="1" customHeight="1" x14ac:dyDescent="0.25">
      <c r="A246" s="67" t="s">
        <v>127</v>
      </c>
      <c r="B246" s="68"/>
      <c r="C246" s="69"/>
      <c r="D246" s="69"/>
      <c r="E246" s="222"/>
      <c r="F246" s="222"/>
      <c r="G246" s="68"/>
      <c r="H246" s="70"/>
      <c r="I246" s="70"/>
      <c r="J246" s="71" t="str">
        <f t="shared" si="53"/>
        <v>sem descrição</v>
      </c>
      <c r="K246" s="69" t="str">
        <f t="shared" si="57"/>
        <v>informar entrega</v>
      </c>
      <c r="L246" s="69">
        <f t="shared" si="55"/>
        <v>0</v>
      </c>
      <c r="M246" s="69">
        <f t="shared" si="56"/>
        <v>0</v>
      </c>
    </row>
    <row r="247" spans="1:13" s="61" customFormat="1" ht="20.25" hidden="1" customHeight="1" x14ac:dyDescent="0.25">
      <c r="A247" s="67" t="s">
        <v>129</v>
      </c>
      <c r="B247" s="68"/>
      <c r="C247" s="69"/>
      <c r="D247" s="69"/>
      <c r="E247" s="222"/>
      <c r="F247" s="222"/>
      <c r="G247" s="68"/>
      <c r="H247" s="70"/>
      <c r="I247" s="70"/>
      <c r="J247" s="71" t="str">
        <f t="shared" si="53"/>
        <v>sem descrição</v>
      </c>
      <c r="K247" s="69" t="str">
        <f t="shared" si="57"/>
        <v>informar entrega</v>
      </c>
      <c r="L247" s="69">
        <f t="shared" si="55"/>
        <v>0</v>
      </c>
      <c r="M247" s="69">
        <f t="shared" si="56"/>
        <v>0</v>
      </c>
    </row>
    <row r="248" spans="1:13" s="61" customFormat="1" ht="20.25" hidden="1" customHeight="1" x14ac:dyDescent="0.25">
      <c r="A248" s="67" t="s">
        <v>131</v>
      </c>
      <c r="B248" s="68"/>
      <c r="C248" s="69"/>
      <c r="D248" s="69"/>
      <c r="E248" s="222"/>
      <c r="F248" s="222"/>
      <c r="G248" s="68"/>
      <c r="H248" s="70"/>
      <c r="I248" s="70"/>
      <c r="J248" s="71" t="str">
        <f t="shared" si="53"/>
        <v>sem descrição</v>
      </c>
      <c r="K248" s="69" t="str">
        <f t="shared" si="57"/>
        <v>informar entrega</v>
      </c>
      <c r="L248" s="69">
        <f t="shared" si="55"/>
        <v>0</v>
      </c>
      <c r="M248" s="69">
        <f t="shared" si="56"/>
        <v>0</v>
      </c>
    </row>
    <row r="249" spans="1:13" s="61" customFormat="1" ht="20.25" hidden="1" customHeight="1" x14ac:dyDescent="0.25">
      <c r="A249" s="67" t="s">
        <v>188</v>
      </c>
      <c r="B249" s="68"/>
      <c r="C249" s="69"/>
      <c r="D249" s="69"/>
      <c r="E249" s="222"/>
      <c r="F249" s="222"/>
      <c r="G249" s="68"/>
      <c r="H249" s="70"/>
      <c r="I249" s="70"/>
      <c r="J249" s="71" t="str">
        <f t="shared" si="53"/>
        <v>sem descrição</v>
      </c>
      <c r="K249" s="69" t="str">
        <f t="shared" si="57"/>
        <v>informar entrega</v>
      </c>
      <c r="L249" s="69">
        <f t="shared" si="55"/>
        <v>0</v>
      </c>
      <c r="M249" s="69">
        <f t="shared" si="56"/>
        <v>0</v>
      </c>
    </row>
    <row r="250" spans="1:13" s="61" customFormat="1" ht="20.25" hidden="1" customHeight="1" x14ac:dyDescent="0.25">
      <c r="A250" s="67" t="s">
        <v>192</v>
      </c>
      <c r="B250" s="68"/>
      <c r="C250" s="69"/>
      <c r="D250" s="69"/>
      <c r="E250" s="222"/>
      <c r="F250" s="222"/>
      <c r="G250" s="68"/>
      <c r="H250" s="70"/>
      <c r="I250" s="70"/>
      <c r="J250" s="71" t="str">
        <f t="shared" si="53"/>
        <v>sem descrição</v>
      </c>
      <c r="K250" s="69" t="str">
        <f t="shared" si="57"/>
        <v>informar entrega</v>
      </c>
      <c r="L250" s="69">
        <f t="shared" si="55"/>
        <v>0</v>
      </c>
      <c r="M250" s="69">
        <f t="shared" si="56"/>
        <v>0</v>
      </c>
    </row>
    <row r="251" spans="1:13" s="61" customFormat="1" ht="20.25" hidden="1" customHeight="1" x14ac:dyDescent="0.25">
      <c r="A251" s="67" t="s">
        <v>195</v>
      </c>
      <c r="B251" s="68"/>
      <c r="C251" s="69"/>
      <c r="D251" s="69"/>
      <c r="E251" s="222"/>
      <c r="F251" s="222"/>
      <c r="G251" s="68"/>
      <c r="H251" s="70"/>
      <c r="I251" s="70"/>
      <c r="J251" s="71" t="str">
        <f t="shared" si="53"/>
        <v>sem descrição</v>
      </c>
      <c r="K251" s="69" t="str">
        <f t="shared" si="57"/>
        <v>informar entrega</v>
      </c>
      <c r="L251" s="69">
        <f t="shared" si="55"/>
        <v>0</v>
      </c>
      <c r="M251" s="69">
        <f t="shared" si="56"/>
        <v>0</v>
      </c>
    </row>
    <row r="252" spans="1:13" s="61" customFormat="1" ht="20.25" hidden="1" customHeight="1" x14ac:dyDescent="0.25">
      <c r="A252" s="67" t="s">
        <v>199</v>
      </c>
      <c r="B252" s="68"/>
      <c r="C252" s="69"/>
      <c r="D252" s="69"/>
      <c r="E252" s="222"/>
      <c r="F252" s="222"/>
      <c r="G252" s="68"/>
      <c r="H252" s="70"/>
      <c r="I252" s="70"/>
      <c r="J252" s="71" t="str">
        <f t="shared" si="53"/>
        <v>sem descrição</v>
      </c>
      <c r="K252" s="69" t="str">
        <f>IF(C252="mensal",J252*H252*E252,IF(C252="trimestral",(J252*H252*E252)/3,IF(C252="semestral",(J252*H252*E252)/6,IF(C252="anual",(J252*H252*E252/12),"informar período"))))</f>
        <v>informar período</v>
      </c>
      <c r="L252" s="69">
        <f t="shared" si="55"/>
        <v>0</v>
      </c>
      <c r="M252" s="69">
        <f t="shared" si="56"/>
        <v>0</v>
      </c>
    </row>
    <row r="253" spans="1:13" s="61" customFormat="1" ht="20.25" customHeight="1" x14ac:dyDescent="0.25">
      <c r="A253" s="152" t="s">
        <v>308</v>
      </c>
      <c r="B253" s="147"/>
      <c r="C253" s="147"/>
      <c r="D253" s="147"/>
      <c r="E253" s="147"/>
      <c r="F253" s="147"/>
      <c r="G253" s="147"/>
      <c r="H253" s="147"/>
      <c r="I253" s="139"/>
      <c r="J253" s="155"/>
      <c r="K253" s="156">
        <f>SUM(K236:K252)</f>
        <v>0</v>
      </c>
      <c r="L253" s="157">
        <f>K253*12</f>
        <v>0</v>
      </c>
      <c r="M253" s="158">
        <f>K253*60</f>
        <v>0</v>
      </c>
    </row>
    <row r="254" spans="1:13" s="61" customFormat="1" ht="20.25" customHeight="1" x14ac:dyDescent="0.25">
      <c r="A254" s="152" t="s">
        <v>302</v>
      </c>
      <c r="B254" s="147"/>
      <c r="C254" s="147"/>
      <c r="D254" s="147"/>
      <c r="E254" s="147"/>
      <c r="F254" s="147"/>
      <c r="G254" s="147"/>
      <c r="H254" s="147"/>
      <c r="I254" s="147"/>
      <c r="J254" s="147"/>
      <c r="K254" s="147"/>
      <c r="L254" s="147"/>
      <c r="M254" s="159">
        <f>K253/SUM(C232:M234)</f>
        <v>0</v>
      </c>
    </row>
    <row r="255" spans="1:13" s="61" customFormat="1" ht="20.25" customHeight="1" x14ac:dyDescent="0.25">
      <c r="A255" s="235" t="s">
        <v>273</v>
      </c>
      <c r="B255" s="143" t="s">
        <v>19</v>
      </c>
      <c r="C255" s="153"/>
      <c r="D255" s="153"/>
      <c r="E255" s="153"/>
      <c r="F255" s="153"/>
      <c r="G255" s="153"/>
      <c r="H255" s="153"/>
      <c r="I255" s="153"/>
      <c r="J255" s="153"/>
      <c r="K255" s="153"/>
      <c r="L255" s="153"/>
      <c r="M255" s="154"/>
    </row>
    <row r="256" spans="1:13" s="61" customFormat="1" ht="20.25" customHeight="1" x14ac:dyDescent="0.25">
      <c r="A256" s="62">
        <v>1</v>
      </c>
      <c r="B256" s="63" t="s">
        <v>274</v>
      </c>
      <c r="C256" s="216" t="s">
        <v>213</v>
      </c>
      <c r="D256" s="217"/>
      <c r="E256" s="217"/>
      <c r="F256" s="217"/>
      <c r="G256" s="217"/>
      <c r="H256" s="145"/>
      <c r="I256" s="145"/>
      <c r="J256" s="145"/>
      <c r="K256" s="145"/>
      <c r="L256" s="145"/>
      <c r="M256" s="146"/>
    </row>
    <row r="257" spans="1:13" s="61" customFormat="1" ht="20.25" customHeight="1" x14ac:dyDescent="0.25">
      <c r="A257" s="62">
        <v>2</v>
      </c>
      <c r="B257" s="63" t="str">
        <f>'planilha - proposta'!D43</f>
        <v>Operador de Câmara Fria - 12X36d</v>
      </c>
      <c r="C257" s="216">
        <v>2</v>
      </c>
      <c r="D257" s="217"/>
      <c r="E257" s="217"/>
      <c r="F257" s="217"/>
      <c r="G257" s="217"/>
      <c r="H257" s="145"/>
      <c r="I257" s="145"/>
      <c r="J257" s="145"/>
      <c r="K257" s="145"/>
      <c r="L257" s="145"/>
      <c r="M257" s="146"/>
    </row>
    <row r="258" spans="1:13" s="61" customFormat="1" ht="20.25" hidden="1" customHeight="1" x14ac:dyDescent="0.25">
      <c r="A258" s="62"/>
      <c r="B258" s="63"/>
      <c r="C258" s="213">
        <v>0</v>
      </c>
      <c r="D258" s="214"/>
      <c r="E258" s="214"/>
      <c r="F258" s="214"/>
      <c r="G258" s="214"/>
      <c r="H258" s="148"/>
      <c r="I258" s="148"/>
      <c r="J258" s="148"/>
      <c r="K258" s="148"/>
      <c r="L258" s="148"/>
      <c r="M258" s="149"/>
    </row>
    <row r="259" spans="1:13" s="61" customFormat="1" ht="20.25" hidden="1" customHeight="1" x14ac:dyDescent="0.25">
      <c r="A259" s="62"/>
      <c r="B259" s="63"/>
      <c r="C259" s="215">
        <v>0</v>
      </c>
      <c r="D259" s="215"/>
      <c r="E259" s="215"/>
      <c r="F259" s="215"/>
      <c r="G259" s="215"/>
      <c r="H259" s="144"/>
      <c r="I259" s="144"/>
      <c r="J259" s="144"/>
      <c r="K259" s="144"/>
      <c r="L259" s="144"/>
      <c r="M259" s="144"/>
    </row>
    <row r="260" spans="1:13" s="61" customFormat="1" ht="52.5" customHeight="1" x14ac:dyDescent="0.25">
      <c r="A260" s="64" t="s">
        <v>273</v>
      </c>
      <c r="B260" s="65" t="s">
        <v>275</v>
      </c>
      <c r="C260" s="218" t="s">
        <v>276</v>
      </c>
      <c r="D260" s="218" t="s">
        <v>277</v>
      </c>
      <c r="E260" s="218" t="s">
        <v>278</v>
      </c>
      <c r="F260" s="218" t="s">
        <v>303</v>
      </c>
      <c r="G260" s="223" t="s">
        <v>280</v>
      </c>
      <c r="H260" s="65" t="s">
        <v>304</v>
      </c>
      <c r="I260" s="66" t="s">
        <v>305</v>
      </c>
      <c r="J260" s="66" t="s">
        <v>318</v>
      </c>
      <c r="K260" s="65" t="s">
        <v>284</v>
      </c>
      <c r="L260" s="65" t="s">
        <v>285</v>
      </c>
      <c r="M260" s="66" t="s">
        <v>286</v>
      </c>
    </row>
    <row r="261" spans="1:13" s="61" customFormat="1" ht="20.25" customHeight="1" x14ac:dyDescent="0.25">
      <c r="A261" s="67" t="s">
        <v>108</v>
      </c>
      <c r="B261" s="68" t="s">
        <v>324</v>
      </c>
      <c r="C261" s="69" t="s">
        <v>298</v>
      </c>
      <c r="D261" s="69" t="s">
        <v>292</v>
      </c>
      <c r="E261" s="222">
        <v>1</v>
      </c>
      <c r="F261" s="222">
        <v>0</v>
      </c>
      <c r="G261" s="68" t="s">
        <v>290</v>
      </c>
      <c r="H261" s="70">
        <f>VLOOKUP(B261,custoEPI!$B$6:$E$29,4,FALSE)</f>
        <v>0</v>
      </c>
      <c r="I261" s="71">
        <f t="shared" ref="I261:I269" si="58">SUM($C$257:$M$259)</f>
        <v>2</v>
      </c>
      <c r="J261" s="71">
        <f t="shared" ref="J261:J277" si="59">IF(B261="","sem descrição",IF($C$257&gt;=$C$258,IF($C$259&gt;0,$C$257/2+$C$259,$C$257/2),IF($C$259&gt;0,$C$258/5+$C$259,$C$259)))</f>
        <v>1</v>
      </c>
      <c r="K261" s="69">
        <f>IF(C261="mensal",IF(F261&gt;0,F261*H261,IF(D261="descartável",((SUM($C$257:$C$258)/2)+$C$259)*E261*H261,IF(D261="pessoal",E261*H261*I261,E261*H261*J261))),0)+IF(C261="trimestral",IF(F261&gt;0,F261*H261/3,IF(D261="descartável",(((SUM($C$257:$C$258)/2)+$C$259)*E261*H261)/3,IF(D261="pessoal",(E261*H261*I261)/3,(E261*H261*J261)/3))),0)+IF(C261="semestral",IF(F261&gt;0,F261*H261/6,IF(D261="descartável",(((SUM($C$257:$C$258)/2)+$C$259)*E261*H261)/6,IF(D261="pessoal",(E261*H261*I261)/6,(E261*H261*J261)/6))),0)+IF(C261="anual",IF(F261&gt;0,F261*H261/12,IF(D261="descartável",(((SUM($C$257:$C$258)/2)+$C$259)*E261*H261)/12,IF(D261="pessoal",(E261*H261*I261)/12,(E261*H261*J261)/12))),0)</f>
        <v>0</v>
      </c>
      <c r="L261" s="69">
        <f>IFERROR(K261*12, 0)</f>
        <v>0</v>
      </c>
      <c r="M261" s="69">
        <f>IFERROR(K261*60,0)</f>
        <v>0</v>
      </c>
    </row>
    <row r="262" spans="1:13" s="61" customFormat="1" ht="20.25" customHeight="1" x14ac:dyDescent="0.25">
      <c r="A262" s="67" t="s">
        <v>110</v>
      </c>
      <c r="B262" s="68" t="s">
        <v>325</v>
      </c>
      <c r="C262" s="69" t="s">
        <v>298</v>
      </c>
      <c r="D262" s="69" t="s">
        <v>292</v>
      </c>
      <c r="E262" s="222">
        <v>1</v>
      </c>
      <c r="F262" s="222">
        <v>0</v>
      </c>
      <c r="G262" s="68" t="s">
        <v>290</v>
      </c>
      <c r="H262" s="70">
        <f>VLOOKUP(B262,custoEPI!$B$6:$E$29,4,FALSE)</f>
        <v>0</v>
      </c>
      <c r="I262" s="71">
        <f t="shared" si="58"/>
        <v>2</v>
      </c>
      <c r="J262" s="71">
        <f t="shared" si="59"/>
        <v>1</v>
      </c>
      <c r="K262" s="69">
        <f t="shared" ref="K262:K269" si="60">IF(C262="mensal",IF(F262&gt;0,F262*H262,IF(D262="descartável",((SUM($C$257:$C$258)/2)+$C$259)*E262*H262,IF(D262="pessoal",E262*H262*I262,E262*H262*J262))),0)+IF(C262="trimestral",IF(F262&gt;0,F262*H262/3,IF(D262="descartável",(((SUM($C$257:$C$258)/2)+$C$259)*E262*H262)/3,IF(D262="pessoal",(E262*H262*I262)/3,(E262*H262*J262)/3))),0)+IF(C262="semestral",IF(F262&gt;0,F262*H262/6,IF(D262="descartável",(((SUM($C$257:$C$258)/2)+$C$259)*E262*H262)/6,IF(D262="pessoal",(E262*H262*I262)/6,(E262*H262*J262)/6))),0)+IF(C262="anual",IF(F262&gt;0,F262*H262/12,IF(D262="descartável",(((SUM($C$257:$C$258)/2)+$C$259)*E262*H262)/12,IF(D262="pessoal",(E262*H262*I262)/12,(E262*H262*J262)/12))),0)</f>
        <v>0</v>
      </c>
      <c r="L262" s="69">
        <f t="shared" ref="L262:L277" si="61">IFERROR(K262*12, 0)</f>
        <v>0</v>
      </c>
      <c r="M262" s="69">
        <f t="shared" ref="M262:M277" si="62">IFERROR(K262*60,0)</f>
        <v>0</v>
      </c>
    </row>
    <row r="263" spans="1:13" s="61" customFormat="1" ht="20.25" customHeight="1" x14ac:dyDescent="0.25">
      <c r="A263" s="67" t="s">
        <v>111</v>
      </c>
      <c r="B263" s="68" t="s">
        <v>294</v>
      </c>
      <c r="C263" s="69" t="s">
        <v>288</v>
      </c>
      <c r="D263" s="69" t="s">
        <v>289</v>
      </c>
      <c r="E263" s="222">
        <f>3*30</f>
        <v>90</v>
      </c>
      <c r="F263" s="222">
        <v>0</v>
      </c>
      <c r="G263" s="68" t="s">
        <v>290</v>
      </c>
      <c r="H263" s="70">
        <f>VLOOKUP(B263,custoEPI!$B$6:$E$29,4,FALSE)</f>
        <v>0</v>
      </c>
      <c r="I263" s="71">
        <f t="shared" si="58"/>
        <v>2</v>
      </c>
      <c r="J263" s="71">
        <f t="shared" si="59"/>
        <v>1</v>
      </c>
      <c r="K263" s="69">
        <f t="shared" si="60"/>
        <v>0</v>
      </c>
      <c r="L263" s="69">
        <f t="shared" si="61"/>
        <v>0</v>
      </c>
      <c r="M263" s="69">
        <f t="shared" si="62"/>
        <v>0</v>
      </c>
    </row>
    <row r="264" spans="1:13" s="61" customFormat="1" ht="20.25" customHeight="1" x14ac:dyDescent="0.25">
      <c r="A264" s="67" t="s">
        <v>113</v>
      </c>
      <c r="B264" s="68" t="s">
        <v>287</v>
      </c>
      <c r="C264" s="69" t="s">
        <v>288</v>
      </c>
      <c r="D264" s="69" t="s">
        <v>289</v>
      </c>
      <c r="E264" s="222">
        <f>30*3</f>
        <v>90</v>
      </c>
      <c r="F264" s="222">
        <v>0</v>
      </c>
      <c r="G264" s="68" t="s">
        <v>290</v>
      </c>
      <c r="H264" s="70">
        <f>VLOOKUP(B264,custoEPI!$B$6:$E$29,4,FALSE)</f>
        <v>0</v>
      </c>
      <c r="I264" s="71">
        <f t="shared" si="58"/>
        <v>2</v>
      </c>
      <c r="J264" s="71">
        <f t="shared" si="59"/>
        <v>1</v>
      </c>
      <c r="K264" s="69">
        <f t="shared" si="60"/>
        <v>0</v>
      </c>
      <c r="L264" s="69">
        <f t="shared" si="61"/>
        <v>0</v>
      </c>
      <c r="M264" s="69">
        <f t="shared" si="62"/>
        <v>0</v>
      </c>
    </row>
    <row r="265" spans="1:13" s="61" customFormat="1" ht="20.25" customHeight="1" x14ac:dyDescent="0.25">
      <c r="A265" s="67" t="s">
        <v>114</v>
      </c>
      <c r="B265" s="68" t="s">
        <v>316</v>
      </c>
      <c r="C265" s="69" t="s">
        <v>298</v>
      </c>
      <c r="D265" s="69" t="s">
        <v>292</v>
      </c>
      <c r="E265" s="222">
        <v>1</v>
      </c>
      <c r="F265" s="222">
        <v>0</v>
      </c>
      <c r="G265" s="68" t="s">
        <v>315</v>
      </c>
      <c r="H265" s="70">
        <f>VLOOKUP(B265,custoEPI!$B$6:$E$29,4,FALSE)</f>
        <v>0</v>
      </c>
      <c r="I265" s="71">
        <f t="shared" si="58"/>
        <v>2</v>
      </c>
      <c r="J265" s="71">
        <f t="shared" si="59"/>
        <v>1</v>
      </c>
      <c r="K265" s="69">
        <f t="shared" si="60"/>
        <v>0</v>
      </c>
      <c r="L265" s="69">
        <f t="shared" si="61"/>
        <v>0</v>
      </c>
      <c r="M265" s="69">
        <f t="shared" si="62"/>
        <v>0</v>
      </c>
    </row>
    <row r="266" spans="1:13" s="61" customFormat="1" ht="20.25" customHeight="1" x14ac:dyDescent="0.25">
      <c r="A266" s="67" t="s">
        <v>115</v>
      </c>
      <c r="B266" s="68" t="s">
        <v>313</v>
      </c>
      <c r="C266" s="69" t="s">
        <v>288</v>
      </c>
      <c r="D266" s="69" t="s">
        <v>289</v>
      </c>
      <c r="E266" s="222">
        <v>48</v>
      </c>
      <c r="F266" s="222">
        <v>0</v>
      </c>
      <c r="G266" s="68" t="s">
        <v>290</v>
      </c>
      <c r="H266" s="70">
        <f>VLOOKUP(B266,custoEPI!$B$6:$E$29,4,FALSE)</f>
        <v>0</v>
      </c>
      <c r="I266" s="71">
        <f t="shared" si="58"/>
        <v>2</v>
      </c>
      <c r="J266" s="71">
        <f t="shared" si="59"/>
        <v>1</v>
      </c>
      <c r="K266" s="69">
        <f t="shared" si="60"/>
        <v>0</v>
      </c>
      <c r="L266" s="69">
        <f t="shared" si="61"/>
        <v>0</v>
      </c>
      <c r="M266" s="69">
        <f t="shared" si="62"/>
        <v>0</v>
      </c>
    </row>
    <row r="267" spans="1:13" s="61" customFormat="1" ht="20.25" customHeight="1" x14ac:dyDescent="0.25">
      <c r="A267" s="67" t="s">
        <v>116</v>
      </c>
      <c r="B267" s="68" t="s">
        <v>322</v>
      </c>
      <c r="C267" s="69" t="s">
        <v>300</v>
      </c>
      <c r="D267" s="69" t="s">
        <v>292</v>
      </c>
      <c r="E267" s="222">
        <v>1</v>
      </c>
      <c r="F267" s="222">
        <v>0</v>
      </c>
      <c r="G267" s="68" t="s">
        <v>290</v>
      </c>
      <c r="H267" s="70">
        <f>VLOOKUP(B267,custoEPI!$B$6:$E$29,4,FALSE)</f>
        <v>0</v>
      </c>
      <c r="I267" s="71">
        <f t="shared" si="58"/>
        <v>2</v>
      </c>
      <c r="J267" s="71">
        <f t="shared" si="59"/>
        <v>1</v>
      </c>
      <c r="K267" s="69">
        <f t="shared" si="60"/>
        <v>0</v>
      </c>
      <c r="L267" s="69">
        <f t="shared" si="61"/>
        <v>0</v>
      </c>
      <c r="M267" s="69">
        <f t="shared" si="62"/>
        <v>0</v>
      </c>
    </row>
    <row r="268" spans="1:13" s="61" customFormat="1" ht="20.25" customHeight="1" x14ac:dyDescent="0.25">
      <c r="A268" s="67" t="s">
        <v>118</v>
      </c>
      <c r="B268" s="68" t="s">
        <v>307</v>
      </c>
      <c r="C268" s="69" t="s">
        <v>300</v>
      </c>
      <c r="D268" s="69" t="s">
        <v>292</v>
      </c>
      <c r="E268" s="222">
        <v>1</v>
      </c>
      <c r="F268" s="222">
        <v>0</v>
      </c>
      <c r="G268" s="68" t="s">
        <v>290</v>
      </c>
      <c r="H268" s="70">
        <f>VLOOKUP(B268,custoEPI!$B$6:$E$29,4,FALSE)</f>
        <v>0</v>
      </c>
      <c r="I268" s="71">
        <f t="shared" si="58"/>
        <v>2</v>
      </c>
      <c r="J268" s="71">
        <f t="shared" si="59"/>
        <v>1</v>
      </c>
      <c r="K268" s="69">
        <f t="shared" si="60"/>
        <v>0</v>
      </c>
      <c r="L268" s="69">
        <f t="shared" si="61"/>
        <v>0</v>
      </c>
      <c r="M268" s="69">
        <f t="shared" si="62"/>
        <v>0</v>
      </c>
    </row>
    <row r="269" spans="1:13" s="61" customFormat="1" ht="20.25" customHeight="1" x14ac:dyDescent="0.25">
      <c r="A269" s="67" t="s">
        <v>121</v>
      </c>
      <c r="B269" s="68" t="s">
        <v>326</v>
      </c>
      <c r="C269" s="69" t="s">
        <v>298</v>
      </c>
      <c r="D269" s="69" t="s">
        <v>292</v>
      </c>
      <c r="E269" s="222">
        <v>1</v>
      </c>
      <c r="F269" s="222">
        <v>0</v>
      </c>
      <c r="G269" s="68" t="s">
        <v>290</v>
      </c>
      <c r="H269" s="70">
        <f>VLOOKUP(B269,custoEPI!$B$6:$E$29,4,FALSE)</f>
        <v>0</v>
      </c>
      <c r="I269" s="71">
        <f t="shared" si="58"/>
        <v>2</v>
      </c>
      <c r="J269" s="71">
        <f t="shared" si="59"/>
        <v>1</v>
      </c>
      <c r="K269" s="69">
        <f t="shared" si="60"/>
        <v>0</v>
      </c>
      <c r="L269" s="69">
        <f t="shared" si="61"/>
        <v>0</v>
      </c>
      <c r="M269" s="69">
        <f t="shared" si="62"/>
        <v>0</v>
      </c>
    </row>
    <row r="270" spans="1:13" s="61" customFormat="1" ht="20.25" hidden="1" customHeight="1" x14ac:dyDescent="0.25">
      <c r="A270" s="67" t="s">
        <v>125</v>
      </c>
      <c r="B270" s="68"/>
      <c r="C270" s="69"/>
      <c r="D270" s="69"/>
      <c r="E270" s="222"/>
      <c r="F270" s="222"/>
      <c r="G270" s="68"/>
      <c r="H270" s="70"/>
      <c r="I270" s="71"/>
      <c r="J270" s="71" t="str">
        <f t="shared" si="59"/>
        <v>sem descrição</v>
      </c>
      <c r="K270" s="69" t="str">
        <f t="shared" ref="K270:K276" si="63">IF(C270="mensal",J270*H270*E270,IF(C270="trimestral",(J270*H270*E270)/3,IF(C270="semestral",(J270*H270*E270)/6,IF(C270="anual",(J270*H270*E270/12),"informar entrega"))))</f>
        <v>informar entrega</v>
      </c>
      <c r="L270" s="69">
        <f t="shared" si="61"/>
        <v>0</v>
      </c>
      <c r="M270" s="69">
        <f t="shared" si="62"/>
        <v>0</v>
      </c>
    </row>
    <row r="271" spans="1:13" s="61" customFormat="1" ht="20.25" hidden="1" customHeight="1" x14ac:dyDescent="0.25">
      <c r="A271" s="67" t="s">
        <v>127</v>
      </c>
      <c r="B271" s="68"/>
      <c r="C271" s="69"/>
      <c r="D271" s="69"/>
      <c r="E271" s="222"/>
      <c r="F271" s="222"/>
      <c r="G271" s="68"/>
      <c r="H271" s="70"/>
      <c r="I271" s="70"/>
      <c r="J271" s="71" t="str">
        <f t="shared" si="59"/>
        <v>sem descrição</v>
      </c>
      <c r="K271" s="69" t="str">
        <f t="shared" si="63"/>
        <v>informar entrega</v>
      </c>
      <c r="L271" s="69">
        <f t="shared" si="61"/>
        <v>0</v>
      </c>
      <c r="M271" s="69">
        <f t="shared" si="62"/>
        <v>0</v>
      </c>
    </row>
    <row r="272" spans="1:13" s="61" customFormat="1" ht="20.25" hidden="1" customHeight="1" x14ac:dyDescent="0.25">
      <c r="A272" s="67" t="s">
        <v>129</v>
      </c>
      <c r="B272" s="68"/>
      <c r="C272" s="69"/>
      <c r="D272" s="69"/>
      <c r="E272" s="222"/>
      <c r="F272" s="222"/>
      <c r="G272" s="68"/>
      <c r="H272" s="70"/>
      <c r="I272" s="70"/>
      <c r="J272" s="71" t="str">
        <f t="shared" si="59"/>
        <v>sem descrição</v>
      </c>
      <c r="K272" s="69" t="str">
        <f t="shared" si="63"/>
        <v>informar entrega</v>
      </c>
      <c r="L272" s="69">
        <f t="shared" si="61"/>
        <v>0</v>
      </c>
      <c r="M272" s="69">
        <f t="shared" si="62"/>
        <v>0</v>
      </c>
    </row>
    <row r="273" spans="1:13" s="61" customFormat="1" ht="20.25" hidden="1" customHeight="1" x14ac:dyDescent="0.25">
      <c r="A273" s="67" t="s">
        <v>131</v>
      </c>
      <c r="B273" s="68"/>
      <c r="C273" s="69"/>
      <c r="D273" s="69"/>
      <c r="E273" s="222"/>
      <c r="F273" s="222"/>
      <c r="G273" s="68"/>
      <c r="H273" s="70"/>
      <c r="I273" s="70"/>
      <c r="J273" s="71" t="str">
        <f t="shared" si="59"/>
        <v>sem descrição</v>
      </c>
      <c r="K273" s="69" t="str">
        <f t="shared" si="63"/>
        <v>informar entrega</v>
      </c>
      <c r="L273" s="69">
        <f t="shared" si="61"/>
        <v>0</v>
      </c>
      <c r="M273" s="69">
        <f t="shared" si="62"/>
        <v>0</v>
      </c>
    </row>
    <row r="274" spans="1:13" s="61" customFormat="1" ht="20.25" hidden="1" customHeight="1" x14ac:dyDescent="0.25">
      <c r="A274" s="67" t="s">
        <v>188</v>
      </c>
      <c r="B274" s="68"/>
      <c r="C274" s="69"/>
      <c r="D274" s="69"/>
      <c r="E274" s="222"/>
      <c r="F274" s="222"/>
      <c r="G274" s="68"/>
      <c r="H274" s="70"/>
      <c r="I274" s="70"/>
      <c r="J274" s="71" t="str">
        <f t="shared" si="59"/>
        <v>sem descrição</v>
      </c>
      <c r="K274" s="69" t="str">
        <f t="shared" si="63"/>
        <v>informar entrega</v>
      </c>
      <c r="L274" s="69">
        <f t="shared" si="61"/>
        <v>0</v>
      </c>
      <c r="M274" s="69">
        <f t="shared" si="62"/>
        <v>0</v>
      </c>
    </row>
    <row r="275" spans="1:13" s="61" customFormat="1" ht="20.25" hidden="1" customHeight="1" x14ac:dyDescent="0.25">
      <c r="A275" s="67" t="s">
        <v>192</v>
      </c>
      <c r="B275" s="68"/>
      <c r="C275" s="69"/>
      <c r="D275" s="69"/>
      <c r="E275" s="222"/>
      <c r="F275" s="222"/>
      <c r="G275" s="68"/>
      <c r="H275" s="70"/>
      <c r="I275" s="70"/>
      <c r="J275" s="71" t="str">
        <f t="shared" si="59"/>
        <v>sem descrição</v>
      </c>
      <c r="K275" s="69" t="str">
        <f t="shared" si="63"/>
        <v>informar entrega</v>
      </c>
      <c r="L275" s="69">
        <f t="shared" si="61"/>
        <v>0</v>
      </c>
      <c r="M275" s="69">
        <f t="shared" si="62"/>
        <v>0</v>
      </c>
    </row>
    <row r="276" spans="1:13" s="61" customFormat="1" ht="20.25" hidden="1" customHeight="1" x14ac:dyDescent="0.25">
      <c r="A276" s="67" t="s">
        <v>195</v>
      </c>
      <c r="B276" s="68"/>
      <c r="C276" s="69"/>
      <c r="D276" s="69"/>
      <c r="E276" s="222"/>
      <c r="F276" s="222"/>
      <c r="G276" s="68"/>
      <c r="H276" s="70"/>
      <c r="I276" s="70"/>
      <c r="J276" s="71" t="str">
        <f t="shared" si="59"/>
        <v>sem descrição</v>
      </c>
      <c r="K276" s="69" t="str">
        <f t="shared" si="63"/>
        <v>informar entrega</v>
      </c>
      <c r="L276" s="69">
        <f t="shared" si="61"/>
        <v>0</v>
      </c>
      <c r="M276" s="69">
        <f t="shared" si="62"/>
        <v>0</v>
      </c>
    </row>
    <row r="277" spans="1:13" s="61" customFormat="1" ht="20.25" hidden="1" customHeight="1" x14ac:dyDescent="0.25">
      <c r="A277" s="67" t="s">
        <v>199</v>
      </c>
      <c r="B277" s="68"/>
      <c r="C277" s="69"/>
      <c r="D277" s="69"/>
      <c r="E277" s="222"/>
      <c r="F277" s="222"/>
      <c r="G277" s="68"/>
      <c r="H277" s="70"/>
      <c r="I277" s="70"/>
      <c r="J277" s="71" t="str">
        <f t="shared" si="59"/>
        <v>sem descrição</v>
      </c>
      <c r="K277" s="69" t="str">
        <f>IF(C277="mensal",J277*H277*E277,IF(C277="trimestral",(J277*H277*E277)/3,IF(C277="semestral",(J277*H277*E277)/6,IF(C277="anual",(J277*H277*E277/12),"informar período"))))</f>
        <v>informar período</v>
      </c>
      <c r="L277" s="69">
        <f t="shared" si="61"/>
        <v>0</v>
      </c>
      <c r="M277" s="69">
        <f t="shared" si="62"/>
        <v>0</v>
      </c>
    </row>
    <row r="278" spans="1:13" s="61" customFormat="1" ht="20.25" customHeight="1" x14ac:dyDescent="0.25">
      <c r="A278" s="152" t="s">
        <v>317</v>
      </c>
      <c r="B278" s="147"/>
      <c r="C278" s="147"/>
      <c r="D278" s="147"/>
      <c r="E278" s="147"/>
      <c r="F278" s="147"/>
      <c r="G278" s="147"/>
      <c r="H278" s="147"/>
      <c r="I278" s="139"/>
      <c r="J278" s="155"/>
      <c r="K278" s="156">
        <f>SUM(K261:K277)</f>
        <v>0</v>
      </c>
      <c r="L278" s="157">
        <f>K278*12</f>
        <v>0</v>
      </c>
      <c r="M278" s="158">
        <f>K278*60</f>
        <v>0</v>
      </c>
    </row>
    <row r="279" spans="1:13" s="61" customFormat="1" ht="20.25" customHeight="1" x14ac:dyDescent="0.25">
      <c r="A279" s="152" t="s">
        <v>302</v>
      </c>
      <c r="B279" s="147"/>
      <c r="C279" s="147"/>
      <c r="D279" s="147"/>
      <c r="E279" s="147"/>
      <c r="F279" s="147"/>
      <c r="G279" s="147"/>
      <c r="H279" s="147"/>
      <c r="I279" s="147"/>
      <c r="J279" s="147"/>
      <c r="K279" s="147"/>
      <c r="L279" s="147"/>
      <c r="M279" s="159">
        <f>K278/SUM(C257:M259)</f>
        <v>0</v>
      </c>
    </row>
    <row r="280" spans="1:13" s="61" customFormat="1" ht="20.25" hidden="1" customHeight="1" x14ac:dyDescent="0.25">
      <c r="A280" s="235" t="s">
        <v>273</v>
      </c>
      <c r="B280" s="143" t="s">
        <v>19</v>
      </c>
      <c r="C280" s="153"/>
      <c r="D280" s="153"/>
      <c r="E280" s="153"/>
      <c r="F280" s="153"/>
      <c r="G280" s="153"/>
      <c r="H280" s="153"/>
      <c r="I280" s="153"/>
      <c r="J280" s="153"/>
      <c r="K280" s="153"/>
      <c r="L280" s="153"/>
      <c r="M280" s="154"/>
    </row>
    <row r="281" spans="1:13" s="61" customFormat="1" ht="20.25" hidden="1" customHeight="1" x14ac:dyDescent="0.25">
      <c r="A281" s="62">
        <v>1</v>
      </c>
      <c r="B281" s="63" t="s">
        <v>274</v>
      </c>
      <c r="C281" s="216" t="s">
        <v>217</v>
      </c>
      <c r="D281" s="217"/>
      <c r="E281" s="217"/>
      <c r="F281" s="217"/>
      <c r="G281" s="217"/>
      <c r="H281" s="145"/>
      <c r="I281" s="145"/>
      <c r="J281" s="145"/>
      <c r="K281" s="145"/>
      <c r="L281" s="145"/>
      <c r="M281" s="146"/>
    </row>
    <row r="282" spans="1:13" s="61" customFormat="1" ht="20.25" hidden="1" customHeight="1" x14ac:dyDescent="0.25">
      <c r="A282" s="62">
        <v>2</v>
      </c>
      <c r="B282" s="63" t="str">
        <f>'planilha - proposta'!D44</f>
        <v>Governanta em Hotelaria - 12x36d</v>
      </c>
      <c r="C282" s="216">
        <v>0</v>
      </c>
      <c r="D282" s="217"/>
      <c r="E282" s="217"/>
      <c r="F282" s="217"/>
      <c r="G282" s="217"/>
      <c r="H282" s="145"/>
      <c r="I282" s="145"/>
      <c r="J282" s="145"/>
      <c r="K282" s="145"/>
      <c r="L282" s="145"/>
      <c r="M282" s="146"/>
    </row>
    <row r="283" spans="1:13" s="61" customFormat="1" ht="20.25" hidden="1" customHeight="1" x14ac:dyDescent="0.25">
      <c r="A283" s="62">
        <v>3</v>
      </c>
      <c r="B283" s="63" t="str">
        <f>'planilha - proposta'!D45</f>
        <v>Governanta em Hotelaria - 12x36n</v>
      </c>
      <c r="C283" s="216">
        <v>0</v>
      </c>
      <c r="D283" s="217"/>
      <c r="E283" s="217"/>
      <c r="F283" s="217"/>
      <c r="G283" s="217"/>
      <c r="H283" s="145"/>
      <c r="I283" s="145"/>
      <c r="J283" s="145"/>
      <c r="K283" s="145"/>
      <c r="L283" s="145"/>
      <c r="M283" s="146"/>
    </row>
    <row r="284" spans="1:13" s="61" customFormat="1" ht="20.25" hidden="1" customHeight="1" x14ac:dyDescent="0.25">
      <c r="A284" s="62">
        <v>4</v>
      </c>
      <c r="B284" s="63" t="str">
        <f>'planilha - proposta'!D46</f>
        <v>Governanta em Hotelaria - 44h</v>
      </c>
      <c r="C284" s="216">
        <v>0</v>
      </c>
      <c r="D284" s="217"/>
      <c r="E284" s="217"/>
      <c r="F284" s="217"/>
      <c r="G284" s="217"/>
      <c r="H284" s="145"/>
      <c r="I284" s="145"/>
      <c r="J284" s="145"/>
      <c r="K284" s="145"/>
      <c r="L284" s="145"/>
      <c r="M284" s="146"/>
    </row>
    <row r="285" spans="1:13" s="61" customFormat="1" ht="52.5" hidden="1" customHeight="1" x14ac:dyDescent="0.25">
      <c r="A285" s="64" t="s">
        <v>273</v>
      </c>
      <c r="B285" s="65" t="s">
        <v>275</v>
      </c>
      <c r="C285" s="218" t="s">
        <v>276</v>
      </c>
      <c r="D285" s="218" t="s">
        <v>277</v>
      </c>
      <c r="E285" s="218" t="s">
        <v>278</v>
      </c>
      <c r="F285" s="218" t="s">
        <v>303</v>
      </c>
      <c r="G285" s="223" t="s">
        <v>280</v>
      </c>
      <c r="H285" s="65" t="s">
        <v>304</v>
      </c>
      <c r="I285" s="66" t="s">
        <v>305</v>
      </c>
      <c r="J285" s="66" t="s">
        <v>318</v>
      </c>
      <c r="K285" s="65" t="s">
        <v>284</v>
      </c>
      <c r="L285" s="65" t="s">
        <v>285</v>
      </c>
      <c r="M285" s="66" t="s">
        <v>286</v>
      </c>
    </row>
    <row r="286" spans="1:13" s="61" customFormat="1" ht="20.25" hidden="1" customHeight="1" x14ac:dyDescent="0.25">
      <c r="A286" s="67" t="s">
        <v>108</v>
      </c>
      <c r="B286" s="68" t="s">
        <v>287</v>
      </c>
      <c r="C286" s="69" t="s">
        <v>288</v>
      </c>
      <c r="D286" s="69" t="s">
        <v>289</v>
      </c>
      <c r="E286" s="222">
        <f>3*30</f>
        <v>90</v>
      </c>
      <c r="F286" s="222">
        <v>0</v>
      </c>
      <c r="G286" s="68" t="s">
        <v>290</v>
      </c>
      <c r="H286" s="70">
        <f>VLOOKUP(B286,custoEPI!$B$6:$E$29,4,FALSE)</f>
        <v>0</v>
      </c>
      <c r="I286" s="71">
        <f>SUM($C$282:$M$284)</f>
        <v>0</v>
      </c>
      <c r="J286" s="71">
        <f t="shared" ref="J286:J302" si="64">IF(B286="","sem descrição",IF($C$282&gt;=$C$283,IF($C$284&gt;0,$C$282/2+$C$284,$C$282/2),IF($C$284&gt;0,$C$283/5+$C$284,$C$284)))</f>
        <v>0</v>
      </c>
      <c r="K286" s="69">
        <f>IF(C286="mensal",IF(F286&gt;0,F286*H286,IF(D286="descartável",((SUM($C$282:$C$283)/2)+$C$284)*E286*H286,IF(D286="pessoal",E286*H286*I286,E286*H286*J286))),0)+IF(C286="trimestral",IF(F286&gt;0,F286*H286/3,IF(D286="descartável",(((SUM($C$282:$C$283)/2)+$C$284)*E286*H286)/3,IF(D286="pessoal",(E286*H286*I286)/3,(E286*H286*J286)/3))),0)+IF(C286="semestral",IF(F286&gt;0,F286*H286/6,IF(D286="descartável",(((SUM($C$282:$C$283)/2)+$C$284)*E286*H286)/6,IF(D286="pessoal",(E286*H286*I286)/6,(E286*H286*J286)/6))),0)+IF(C286="anual",IF(F286&gt;0,F286*H286/12,IF(D286="descartável",(((SUM($C$282:$C$283)/2)+$C$284)*E286*H286)/12,IF(D286="pessoal",(E286*H286*I286)/12,(E286*H286*J286)/12))),0)</f>
        <v>0</v>
      </c>
      <c r="L286" s="69">
        <f>IFERROR(K286*12, 0)</f>
        <v>0</v>
      </c>
      <c r="M286" s="69">
        <f>IFERROR(K286*60,0)</f>
        <v>0</v>
      </c>
    </row>
    <row r="287" spans="1:13" s="61" customFormat="1" ht="20.25" hidden="1" customHeight="1" x14ac:dyDescent="0.25">
      <c r="A287" s="67" t="s">
        <v>110</v>
      </c>
      <c r="B287" s="68" t="s">
        <v>294</v>
      </c>
      <c r="C287" s="69" t="s">
        <v>288</v>
      </c>
      <c r="D287" s="69" t="s">
        <v>289</v>
      </c>
      <c r="E287" s="222">
        <f>2*30</f>
        <v>60</v>
      </c>
      <c r="F287" s="222">
        <v>0</v>
      </c>
      <c r="G287" s="68" t="s">
        <v>290</v>
      </c>
      <c r="H287" s="70">
        <f>VLOOKUP(B287,custoEPI!$B$6:$E$29,4,FALSE)</f>
        <v>0</v>
      </c>
      <c r="I287" s="71">
        <f>SUM($C$282:$M$284)</f>
        <v>0</v>
      </c>
      <c r="J287" s="71">
        <f t="shared" si="64"/>
        <v>0</v>
      </c>
      <c r="K287" s="69">
        <f t="shared" ref="K287:K288" si="65">IF(C287="mensal",IF(F287&gt;0,F287*H287,IF(D287="descartável",((SUM($C$282:$C$283)/2)+$C$284)*E287*H287,IF(D287="pessoal",E287*H287*I287,E287*H287*J287))),0)+IF(C287="trimestral",IF(F287&gt;0,F287*H287/3,IF(D287="descartável",(((SUM($C$282:$C$283)/2)+$C$284)*E287*H287)/3,IF(D287="pessoal",(E287*H287*I287)/3,(E287*H287*J287)/3))),0)+IF(C287="semestral",IF(F287&gt;0,F287*H287/6,IF(D287="descartável",(((SUM($C$282:$C$283)/2)+$C$284)*E287*H287)/6,IF(D287="pessoal",(E287*H287*I287)/6,(E287*H287*J287)/6))),0)+IF(C287="anual",IF(F287&gt;0,F287*H287/12,IF(D287="descartável",(((SUM($C$282:$C$283)/2)+$C$284)*E287*H287)/12,IF(D287="pessoal",(E287*H287*I287)/12,(E287*H287*J287)/12))),0)</f>
        <v>0</v>
      </c>
      <c r="L287" s="69">
        <f t="shared" ref="L287:L302" si="66">IFERROR(K287*12, 0)</f>
        <v>0</v>
      </c>
      <c r="M287" s="69">
        <f t="shared" ref="M287:M302" si="67">IFERROR(K287*60,0)</f>
        <v>0</v>
      </c>
    </row>
    <row r="288" spans="1:13" s="61" customFormat="1" ht="20.25" hidden="1" customHeight="1" x14ac:dyDescent="0.25">
      <c r="A288" s="67" t="s">
        <v>111</v>
      </c>
      <c r="B288" s="68" t="s">
        <v>295</v>
      </c>
      <c r="C288" s="69" t="s">
        <v>296</v>
      </c>
      <c r="D288" s="69" t="s">
        <v>292</v>
      </c>
      <c r="E288" s="222">
        <v>1</v>
      </c>
      <c r="F288" s="222">
        <v>0</v>
      </c>
      <c r="G288" s="68" t="s">
        <v>290</v>
      </c>
      <c r="H288" s="70">
        <f>VLOOKUP(B288,custoEPI!$B$6:$E$29,4,FALSE)</f>
        <v>0</v>
      </c>
      <c r="I288" s="71">
        <f>SUM($C$282:$M$284)</f>
        <v>0</v>
      </c>
      <c r="J288" s="71">
        <f t="shared" si="64"/>
        <v>0</v>
      </c>
      <c r="K288" s="69">
        <f t="shared" si="65"/>
        <v>0</v>
      </c>
      <c r="L288" s="69">
        <f t="shared" si="66"/>
        <v>0</v>
      </c>
      <c r="M288" s="69">
        <f t="shared" si="67"/>
        <v>0</v>
      </c>
    </row>
    <row r="289" spans="1:13" s="61" customFormat="1" ht="20.25" hidden="1" customHeight="1" x14ac:dyDescent="0.25">
      <c r="A289" s="67"/>
      <c r="B289" s="68"/>
      <c r="C289" s="69"/>
      <c r="D289" s="69"/>
      <c r="E289" s="222"/>
      <c r="F289" s="222"/>
      <c r="G289" s="68" t="s">
        <v>290</v>
      </c>
      <c r="H289" s="70" t="e">
        <f>VLOOKUP(B289,custoEPI!$B$6:$E$29,4,FALSE)</f>
        <v>#N/A</v>
      </c>
      <c r="I289" s="71"/>
      <c r="J289" s="71" t="str">
        <f t="shared" si="64"/>
        <v>sem descrição</v>
      </c>
      <c r="K289" s="69" t="str">
        <f t="shared" ref="K289:K301" si="68">IF(C289="mensal",J289*H289*E289,IF(C289="trimestral",(J289*H289*E289)/3,IF(C289="semestral",(J289*H289*E289)/6,IF(C289="anual",(J289*H289*E289/12),"informar entrega"))))</f>
        <v>informar entrega</v>
      </c>
      <c r="L289" s="69">
        <f t="shared" si="66"/>
        <v>0</v>
      </c>
      <c r="M289" s="69">
        <f t="shared" si="67"/>
        <v>0</v>
      </c>
    </row>
    <row r="290" spans="1:13" s="61" customFormat="1" ht="20.25" hidden="1" customHeight="1" x14ac:dyDescent="0.25">
      <c r="A290" s="67" t="s">
        <v>114</v>
      </c>
      <c r="B290" s="68"/>
      <c r="C290" s="69"/>
      <c r="D290" s="69"/>
      <c r="E290" s="222"/>
      <c r="F290" s="222"/>
      <c r="G290" s="68" t="s">
        <v>290</v>
      </c>
      <c r="H290" s="70" t="e">
        <f>VLOOKUP(B290,custoEPI!$B$6:$E$29,4,FALSE)</f>
        <v>#N/A</v>
      </c>
      <c r="I290" s="71"/>
      <c r="J290" s="71" t="str">
        <f t="shared" si="64"/>
        <v>sem descrição</v>
      </c>
      <c r="K290" s="69" t="str">
        <f t="shared" si="68"/>
        <v>informar entrega</v>
      </c>
      <c r="L290" s="69">
        <f t="shared" si="66"/>
        <v>0</v>
      </c>
      <c r="M290" s="69">
        <f t="shared" si="67"/>
        <v>0</v>
      </c>
    </row>
    <row r="291" spans="1:13" s="61" customFormat="1" ht="20.25" hidden="1" customHeight="1" x14ac:dyDescent="0.25">
      <c r="A291" s="67" t="s">
        <v>115</v>
      </c>
      <c r="B291" s="68"/>
      <c r="C291" s="69"/>
      <c r="D291" s="69"/>
      <c r="E291" s="222"/>
      <c r="F291" s="222"/>
      <c r="G291" s="68" t="s">
        <v>290</v>
      </c>
      <c r="H291" s="70" t="e">
        <f>VLOOKUP(B291,custoEPI!$B$6:$E$29,4,FALSE)</f>
        <v>#N/A</v>
      </c>
      <c r="I291" s="71"/>
      <c r="J291" s="71" t="str">
        <f t="shared" si="64"/>
        <v>sem descrição</v>
      </c>
      <c r="K291" s="69" t="str">
        <f t="shared" si="68"/>
        <v>informar entrega</v>
      </c>
      <c r="L291" s="69">
        <f t="shared" si="66"/>
        <v>0</v>
      </c>
      <c r="M291" s="69">
        <f t="shared" si="67"/>
        <v>0</v>
      </c>
    </row>
    <row r="292" spans="1:13" s="61" customFormat="1" ht="20.25" hidden="1" customHeight="1" x14ac:dyDescent="0.25">
      <c r="A292" s="67" t="s">
        <v>116</v>
      </c>
      <c r="B292" s="68"/>
      <c r="C292" s="69"/>
      <c r="D292" s="69"/>
      <c r="E292" s="222"/>
      <c r="F292" s="222"/>
      <c r="G292" s="68" t="s">
        <v>290</v>
      </c>
      <c r="H292" s="70" t="e">
        <f>VLOOKUP(B292,custoEPI!$B$6:$E$29,4,FALSE)</f>
        <v>#N/A</v>
      </c>
      <c r="I292" s="71"/>
      <c r="J292" s="71" t="str">
        <f t="shared" si="64"/>
        <v>sem descrição</v>
      </c>
      <c r="K292" s="69" t="str">
        <f t="shared" si="68"/>
        <v>informar entrega</v>
      </c>
      <c r="L292" s="69">
        <f t="shared" si="66"/>
        <v>0</v>
      </c>
      <c r="M292" s="69">
        <f t="shared" si="67"/>
        <v>0</v>
      </c>
    </row>
    <row r="293" spans="1:13" s="61" customFormat="1" ht="20.25" hidden="1" customHeight="1" x14ac:dyDescent="0.25">
      <c r="A293" s="67" t="s">
        <v>118</v>
      </c>
      <c r="B293" s="68"/>
      <c r="C293" s="69"/>
      <c r="D293" s="69"/>
      <c r="E293" s="222"/>
      <c r="F293" s="222"/>
      <c r="G293" s="68" t="s">
        <v>290</v>
      </c>
      <c r="H293" s="70" t="e">
        <f>VLOOKUP(B293,custoEPI!$B$6:$E$29,4,FALSE)</f>
        <v>#N/A</v>
      </c>
      <c r="I293" s="71"/>
      <c r="J293" s="71" t="str">
        <f t="shared" si="64"/>
        <v>sem descrição</v>
      </c>
      <c r="K293" s="69" t="str">
        <f t="shared" si="68"/>
        <v>informar entrega</v>
      </c>
      <c r="L293" s="69">
        <f t="shared" si="66"/>
        <v>0</v>
      </c>
      <c r="M293" s="69">
        <f t="shared" si="67"/>
        <v>0</v>
      </c>
    </row>
    <row r="294" spans="1:13" s="61" customFormat="1" ht="20.25" hidden="1" customHeight="1" x14ac:dyDescent="0.25">
      <c r="A294" s="67" t="s">
        <v>121</v>
      </c>
      <c r="B294" s="68"/>
      <c r="C294" s="69"/>
      <c r="D294" s="69"/>
      <c r="E294" s="222"/>
      <c r="F294" s="222"/>
      <c r="G294" s="68"/>
      <c r="H294" s="70" t="e">
        <f>VLOOKUP(B294,custoEPI!$B$6:$E$29,4,FALSE)</f>
        <v>#N/A</v>
      </c>
      <c r="I294" s="71"/>
      <c r="J294" s="71" t="str">
        <f t="shared" si="64"/>
        <v>sem descrição</v>
      </c>
      <c r="K294" s="69" t="str">
        <f t="shared" si="68"/>
        <v>informar entrega</v>
      </c>
      <c r="L294" s="69">
        <f t="shared" si="66"/>
        <v>0</v>
      </c>
      <c r="M294" s="69">
        <f t="shared" si="67"/>
        <v>0</v>
      </c>
    </row>
    <row r="295" spans="1:13" s="61" customFormat="1" ht="20.25" hidden="1" customHeight="1" x14ac:dyDescent="0.25">
      <c r="A295" s="67" t="s">
        <v>125</v>
      </c>
      <c r="B295" s="68"/>
      <c r="C295" s="69"/>
      <c r="D295" s="69"/>
      <c r="E295" s="222"/>
      <c r="F295" s="222"/>
      <c r="G295" s="68"/>
      <c r="H295" s="70"/>
      <c r="I295" s="71"/>
      <c r="J295" s="71" t="str">
        <f t="shared" si="64"/>
        <v>sem descrição</v>
      </c>
      <c r="K295" s="69" t="str">
        <f t="shared" si="68"/>
        <v>informar entrega</v>
      </c>
      <c r="L295" s="69">
        <f t="shared" si="66"/>
        <v>0</v>
      </c>
      <c r="M295" s="69">
        <f t="shared" si="67"/>
        <v>0</v>
      </c>
    </row>
    <row r="296" spans="1:13" s="61" customFormat="1" ht="20.25" hidden="1" customHeight="1" x14ac:dyDescent="0.25">
      <c r="A296" s="67" t="s">
        <v>127</v>
      </c>
      <c r="B296" s="68"/>
      <c r="C296" s="69"/>
      <c r="D296" s="69"/>
      <c r="E296" s="222"/>
      <c r="F296" s="222"/>
      <c r="G296" s="68"/>
      <c r="H296" s="70"/>
      <c r="I296" s="70"/>
      <c r="J296" s="71" t="str">
        <f t="shared" si="64"/>
        <v>sem descrição</v>
      </c>
      <c r="K296" s="69" t="str">
        <f t="shared" si="68"/>
        <v>informar entrega</v>
      </c>
      <c r="L296" s="69">
        <f t="shared" si="66"/>
        <v>0</v>
      </c>
      <c r="M296" s="69">
        <f t="shared" si="67"/>
        <v>0</v>
      </c>
    </row>
    <row r="297" spans="1:13" s="61" customFormat="1" ht="20.25" hidden="1" customHeight="1" x14ac:dyDescent="0.25">
      <c r="A297" s="67" t="s">
        <v>129</v>
      </c>
      <c r="B297" s="68"/>
      <c r="C297" s="69"/>
      <c r="D297" s="69"/>
      <c r="E297" s="222"/>
      <c r="F297" s="222"/>
      <c r="G297" s="68"/>
      <c r="H297" s="70"/>
      <c r="I297" s="70"/>
      <c r="J297" s="71" t="str">
        <f t="shared" si="64"/>
        <v>sem descrição</v>
      </c>
      <c r="K297" s="69" t="str">
        <f t="shared" si="68"/>
        <v>informar entrega</v>
      </c>
      <c r="L297" s="69">
        <f t="shared" si="66"/>
        <v>0</v>
      </c>
      <c r="M297" s="69">
        <f t="shared" si="67"/>
        <v>0</v>
      </c>
    </row>
    <row r="298" spans="1:13" s="61" customFormat="1" ht="20.25" hidden="1" customHeight="1" x14ac:dyDescent="0.25">
      <c r="A298" s="67" t="s">
        <v>131</v>
      </c>
      <c r="B298" s="68"/>
      <c r="C298" s="69"/>
      <c r="D298" s="69"/>
      <c r="E298" s="222"/>
      <c r="F298" s="222"/>
      <c r="G298" s="68"/>
      <c r="H298" s="70"/>
      <c r="I298" s="70"/>
      <c r="J298" s="71" t="str">
        <f t="shared" si="64"/>
        <v>sem descrição</v>
      </c>
      <c r="K298" s="69" t="str">
        <f t="shared" si="68"/>
        <v>informar entrega</v>
      </c>
      <c r="L298" s="69">
        <f t="shared" si="66"/>
        <v>0</v>
      </c>
      <c r="M298" s="69">
        <f t="shared" si="67"/>
        <v>0</v>
      </c>
    </row>
    <row r="299" spans="1:13" s="61" customFormat="1" ht="20.25" hidden="1" customHeight="1" x14ac:dyDescent="0.25">
      <c r="A299" s="67" t="s">
        <v>188</v>
      </c>
      <c r="B299" s="68"/>
      <c r="C299" s="69"/>
      <c r="D299" s="69"/>
      <c r="E299" s="222"/>
      <c r="F299" s="222"/>
      <c r="G299" s="68"/>
      <c r="H299" s="70"/>
      <c r="I299" s="70"/>
      <c r="J299" s="71" t="str">
        <f t="shared" si="64"/>
        <v>sem descrição</v>
      </c>
      <c r="K299" s="69" t="str">
        <f t="shared" si="68"/>
        <v>informar entrega</v>
      </c>
      <c r="L299" s="69">
        <f t="shared" si="66"/>
        <v>0</v>
      </c>
      <c r="M299" s="69">
        <f t="shared" si="67"/>
        <v>0</v>
      </c>
    </row>
    <row r="300" spans="1:13" s="61" customFormat="1" ht="20.25" hidden="1" customHeight="1" x14ac:dyDescent="0.25">
      <c r="A300" s="67" t="s">
        <v>192</v>
      </c>
      <c r="B300" s="68"/>
      <c r="C300" s="69"/>
      <c r="D300" s="69"/>
      <c r="E300" s="222"/>
      <c r="F300" s="222"/>
      <c r="G300" s="68"/>
      <c r="H300" s="70"/>
      <c r="I300" s="70"/>
      <c r="J300" s="71" t="str">
        <f t="shared" si="64"/>
        <v>sem descrição</v>
      </c>
      <c r="K300" s="69" t="str">
        <f t="shared" si="68"/>
        <v>informar entrega</v>
      </c>
      <c r="L300" s="69">
        <f t="shared" si="66"/>
        <v>0</v>
      </c>
      <c r="M300" s="69">
        <f t="shared" si="67"/>
        <v>0</v>
      </c>
    </row>
    <row r="301" spans="1:13" s="61" customFormat="1" ht="20.25" hidden="1" customHeight="1" x14ac:dyDescent="0.25">
      <c r="A301" s="67" t="s">
        <v>195</v>
      </c>
      <c r="B301" s="68"/>
      <c r="C301" s="69"/>
      <c r="D301" s="69"/>
      <c r="E301" s="222"/>
      <c r="F301" s="222"/>
      <c r="G301" s="68"/>
      <c r="H301" s="70"/>
      <c r="I301" s="70"/>
      <c r="J301" s="71" t="str">
        <f t="shared" si="64"/>
        <v>sem descrição</v>
      </c>
      <c r="K301" s="69" t="str">
        <f t="shared" si="68"/>
        <v>informar entrega</v>
      </c>
      <c r="L301" s="69">
        <f t="shared" si="66"/>
        <v>0</v>
      </c>
      <c r="M301" s="69">
        <f t="shared" si="67"/>
        <v>0</v>
      </c>
    </row>
    <row r="302" spans="1:13" s="61" customFormat="1" ht="20.25" hidden="1" customHeight="1" x14ac:dyDescent="0.25">
      <c r="A302" s="67" t="s">
        <v>199</v>
      </c>
      <c r="B302" s="68"/>
      <c r="C302" s="69"/>
      <c r="D302" s="69"/>
      <c r="E302" s="222"/>
      <c r="F302" s="222"/>
      <c r="G302" s="68"/>
      <c r="H302" s="70"/>
      <c r="I302" s="70"/>
      <c r="J302" s="71" t="str">
        <f t="shared" si="64"/>
        <v>sem descrição</v>
      </c>
      <c r="K302" s="69" t="str">
        <f>IF(C302="mensal",J302*H302*E302,IF(C302="trimestral",(J302*H302*E302)/3,IF(C302="semestral",(J302*H302*E302)/6,IF(C302="anual",(J302*H302*E302/12),"informar período"))))</f>
        <v>informar período</v>
      </c>
      <c r="L302" s="69">
        <f t="shared" si="66"/>
        <v>0</v>
      </c>
      <c r="M302" s="69">
        <f t="shared" si="67"/>
        <v>0</v>
      </c>
    </row>
    <row r="303" spans="1:13" s="61" customFormat="1" ht="20.25" hidden="1" customHeight="1" x14ac:dyDescent="0.25">
      <c r="A303" s="152" t="s">
        <v>321</v>
      </c>
      <c r="B303" s="147"/>
      <c r="C303" s="147"/>
      <c r="D303" s="147"/>
      <c r="E303" s="147"/>
      <c r="F303" s="147"/>
      <c r="G303" s="147"/>
      <c r="H303" s="147"/>
      <c r="I303" s="139"/>
      <c r="J303" s="155"/>
      <c r="K303" s="156">
        <f>SUM(K286:K302)</f>
        <v>0</v>
      </c>
      <c r="L303" s="157">
        <f>K303*12</f>
        <v>0</v>
      </c>
      <c r="M303" s="158">
        <f>K303*60</f>
        <v>0</v>
      </c>
    </row>
    <row r="304" spans="1:13" s="61" customFormat="1" ht="20.25" hidden="1" customHeight="1" x14ac:dyDescent="0.25">
      <c r="A304" s="152" t="s">
        <v>302</v>
      </c>
      <c r="B304" s="147"/>
      <c r="C304" s="147"/>
      <c r="D304" s="147"/>
      <c r="E304" s="147"/>
      <c r="F304" s="147"/>
      <c r="G304" s="147"/>
      <c r="H304" s="147"/>
      <c r="I304" s="147"/>
      <c r="J304" s="147"/>
      <c r="K304" s="147"/>
      <c r="L304" s="147"/>
      <c r="M304" s="159" t="e">
        <f>K303/SUM(C282:M284)</f>
        <v>#DIV/0!</v>
      </c>
    </row>
    <row r="305" spans="1:13" s="61" customFormat="1" ht="20.25" customHeight="1" x14ac:dyDescent="0.25">
      <c r="A305" s="235" t="s">
        <v>273</v>
      </c>
      <c r="B305" s="143" t="s">
        <v>19</v>
      </c>
      <c r="C305" s="153"/>
      <c r="D305" s="153"/>
      <c r="E305" s="153"/>
      <c r="F305" s="153"/>
      <c r="G305" s="153"/>
      <c r="H305" s="153"/>
      <c r="I305" s="153"/>
      <c r="J305" s="153"/>
      <c r="K305" s="153"/>
      <c r="L305" s="153"/>
      <c r="M305" s="154"/>
    </row>
    <row r="306" spans="1:13" s="61" customFormat="1" ht="20.25" customHeight="1" x14ac:dyDescent="0.25">
      <c r="A306" s="62">
        <v>1</v>
      </c>
      <c r="B306" s="63" t="s">
        <v>274</v>
      </c>
      <c r="C306" s="216" t="s">
        <v>224</v>
      </c>
      <c r="D306" s="217"/>
      <c r="E306" s="217"/>
      <c r="F306" s="217"/>
      <c r="G306" s="217"/>
      <c r="H306" s="145"/>
      <c r="I306" s="145"/>
      <c r="J306" s="145"/>
      <c r="K306" s="145"/>
      <c r="L306" s="145"/>
      <c r="M306" s="146"/>
    </row>
    <row r="307" spans="1:13" s="61" customFormat="1" ht="20.25" customHeight="1" x14ac:dyDescent="0.25">
      <c r="A307" s="62">
        <v>2</v>
      </c>
      <c r="B307" s="63" t="str">
        <f>'planilha - proposta'!D47</f>
        <v>Auxiliar de Lavanderia - 12x36d</v>
      </c>
      <c r="C307" s="216">
        <v>8</v>
      </c>
      <c r="D307" s="217"/>
      <c r="E307" s="217"/>
      <c r="F307" s="217"/>
      <c r="G307" s="217"/>
      <c r="H307" s="145"/>
      <c r="I307" s="145"/>
      <c r="J307" s="145"/>
      <c r="K307" s="145"/>
      <c r="L307" s="145"/>
      <c r="M307" s="146"/>
    </row>
    <row r="308" spans="1:13" s="61" customFormat="1" ht="20.25" customHeight="1" x14ac:dyDescent="0.25">
      <c r="A308" s="62">
        <v>3</v>
      </c>
      <c r="B308" s="63" t="str">
        <f>'planilha - proposta'!D48</f>
        <v>Auxiliar de Lavanderia - 12x36n</v>
      </c>
      <c r="C308" s="216">
        <v>4</v>
      </c>
      <c r="D308" s="217"/>
      <c r="E308" s="217"/>
      <c r="F308" s="217"/>
      <c r="G308" s="217"/>
      <c r="H308" s="145"/>
      <c r="I308" s="145"/>
      <c r="J308" s="145"/>
      <c r="K308" s="145"/>
      <c r="L308" s="145"/>
      <c r="M308" s="146"/>
    </row>
    <row r="309" spans="1:13" s="61" customFormat="1" ht="20.25" hidden="1" customHeight="1" x14ac:dyDescent="0.25">
      <c r="A309" s="62">
        <v>4</v>
      </c>
      <c r="B309" s="63" t="str">
        <f>'planilha - proposta'!D49</f>
        <v>Auxiliar de Lavanderia - 44h</v>
      </c>
      <c r="C309" s="216">
        <v>0</v>
      </c>
      <c r="D309" s="217"/>
      <c r="E309" s="217"/>
      <c r="F309" s="217"/>
      <c r="G309" s="217"/>
      <c r="H309" s="145"/>
      <c r="I309" s="145"/>
      <c r="J309" s="145"/>
      <c r="K309" s="145"/>
      <c r="L309" s="145"/>
      <c r="M309" s="146"/>
    </row>
    <row r="310" spans="1:13" s="61" customFormat="1" ht="52.5" customHeight="1" x14ac:dyDescent="0.25">
      <c r="A310" s="64" t="s">
        <v>273</v>
      </c>
      <c r="B310" s="65" t="s">
        <v>275</v>
      </c>
      <c r="C310" s="218" t="s">
        <v>276</v>
      </c>
      <c r="D310" s="218" t="s">
        <v>277</v>
      </c>
      <c r="E310" s="218" t="s">
        <v>278</v>
      </c>
      <c r="F310" s="218" t="s">
        <v>303</v>
      </c>
      <c r="G310" s="223" t="s">
        <v>280</v>
      </c>
      <c r="H310" s="65" t="s">
        <v>304</v>
      </c>
      <c r="I310" s="66" t="s">
        <v>305</v>
      </c>
      <c r="J310" s="66" t="s">
        <v>318</v>
      </c>
      <c r="K310" s="65" t="s">
        <v>284</v>
      </c>
      <c r="L310" s="65" t="s">
        <v>285</v>
      </c>
      <c r="M310" s="66" t="s">
        <v>286</v>
      </c>
    </row>
    <row r="311" spans="1:13" s="61" customFormat="1" ht="20.25" customHeight="1" x14ac:dyDescent="0.25">
      <c r="A311" s="67" t="s">
        <v>108</v>
      </c>
      <c r="B311" s="68" t="s">
        <v>293</v>
      </c>
      <c r="C311" s="69" t="s">
        <v>288</v>
      </c>
      <c r="D311" s="69" t="s">
        <v>289</v>
      </c>
      <c r="E311" s="222">
        <v>104</v>
      </c>
      <c r="F311" s="222">
        <v>0</v>
      </c>
      <c r="G311" s="68" t="s">
        <v>290</v>
      </c>
      <c r="H311" s="70">
        <f>VLOOKUP(B311,custoEPI!$B$6:$E$29,4,FALSE)</f>
        <v>0</v>
      </c>
      <c r="I311" s="71">
        <f t="shared" ref="I311:I319" si="69">SUM($C$307:$M$309)</f>
        <v>12</v>
      </c>
      <c r="J311" s="71">
        <f t="shared" ref="J311:J327" si="70">IF(B311="","sem descrição",IF($C$307&gt;=$C$308,IF($C$309&gt;0,$C$307/2+$C$309,$C$307/2),IF($C$309&gt;0,$C$308/5+$C$309,$C$309)))</f>
        <v>4</v>
      </c>
      <c r="K311" s="69">
        <f>IF(C311="mensal",IF(F311&gt;0,F311*H311,IF(D311="descartável",((SUM($C$307:$C$308)/2)+$C$309)*E311*H311,IF(D311="pessoal",E311*H311*I311,E311*H311*J311))),0)+IF(C311="trimestral",IF(F311&gt;0,F311*H311/3,IF(D311="descartável",(((SUM($C$307:$C$308)/2)+$C$309)*E311*H311)/3,IF(D311="pessoal",(E311*H311*I311)/3,(E311*H311*J311)/3))),0)+IF(C311="semestral",IF(F311&gt;0,F311*H311/6,IF(D311="descartável",(((SUM($C$307:$C$308)/2)+$C$309)*E311*H311)/6,IF(D311="pessoal",(E311*H311*I311)/6,(E311*H311*J311)/6))),0)+IF(C311="anual",IF(F311&gt;0,F311*H311/12,IF(D311="descartável",(((SUM($C$307:$C$308)/2)+$C$309)*E311*H311)/12,IF(D311="pessoal",(E311*H311*I311)/12,(E311*H311*J311)/12))),0)</f>
        <v>0</v>
      </c>
      <c r="L311" s="69">
        <f>IFERROR(K311*12, 0)</f>
        <v>0</v>
      </c>
      <c r="M311" s="69">
        <f>IFERROR(K311*60,0)</f>
        <v>0</v>
      </c>
    </row>
    <row r="312" spans="1:13" s="61" customFormat="1" ht="20.25" customHeight="1" x14ac:dyDescent="0.25">
      <c r="A312" s="67" t="s">
        <v>110</v>
      </c>
      <c r="B312" s="68" t="s">
        <v>327</v>
      </c>
      <c r="C312" s="69" t="s">
        <v>288</v>
      </c>
      <c r="D312" s="69" t="s">
        <v>292</v>
      </c>
      <c r="E312" s="222">
        <v>1</v>
      </c>
      <c r="F312" s="222">
        <v>0</v>
      </c>
      <c r="G312" s="68" t="s">
        <v>315</v>
      </c>
      <c r="H312" s="70">
        <f>VLOOKUP(B312,custoEPI!$B$6:$E$29,4,FALSE)</f>
        <v>0</v>
      </c>
      <c r="I312" s="71">
        <f t="shared" si="69"/>
        <v>12</v>
      </c>
      <c r="J312" s="71">
        <f t="shared" si="70"/>
        <v>4</v>
      </c>
      <c r="K312" s="69">
        <f t="shared" ref="K312:K319" si="71">IF(C312="mensal",IF(F312&gt;0,F312*H312,IF(D312="descartável",((SUM($C$307:$C$308)/2)+$C$309)*E312*H312,IF(D312="pessoal",E312*H312*I312,E312*H312*J312))),0)+IF(C312="trimestral",IF(F312&gt;0,F312*H312/3,IF(D312="descartável",(((SUM($C$307:$C$308)/2)+$C$309)*E312*H312)/3,IF(D312="pessoal",(E312*H312*I312)/3,(E312*H312*J312)/3))),0)+IF(C312="semestral",IF(F312&gt;0,F312*H312/6,IF(D312="descartável",(((SUM($C$307:$C$308)/2)+$C$309)*E312*H312)/6,IF(D312="pessoal",(E312*H312*I312)/6,(E312*H312*J312)/6))),0)+IF(C312="anual",IF(F312&gt;0,F312*H312/12,IF(D312="descartável",(((SUM($C$307:$C$308)/2)+$C$309)*E312*H312)/12,IF(D312="pessoal",(E312*H312*I312)/12,(E312*H312*J312)/12))),0)</f>
        <v>0</v>
      </c>
      <c r="L312" s="69">
        <f t="shared" ref="L312:L327" si="72">IFERROR(K312*12, 0)</f>
        <v>0</v>
      </c>
      <c r="M312" s="69">
        <f t="shared" ref="M312:M327" si="73">IFERROR(K312*60,0)</f>
        <v>0</v>
      </c>
    </row>
    <row r="313" spans="1:13" s="61" customFormat="1" ht="20.25" customHeight="1" x14ac:dyDescent="0.25">
      <c r="A313" s="67" t="s">
        <v>111</v>
      </c>
      <c r="B313" s="68" t="s">
        <v>287</v>
      </c>
      <c r="C313" s="69" t="s">
        <v>288</v>
      </c>
      <c r="D313" s="69" t="s">
        <v>289</v>
      </c>
      <c r="E313" s="222">
        <f>3*30</f>
        <v>90</v>
      </c>
      <c r="F313" s="222">
        <v>0</v>
      </c>
      <c r="G313" s="68" t="s">
        <v>290</v>
      </c>
      <c r="H313" s="70">
        <f>VLOOKUP(B313,custoEPI!$B$6:$E$29,4,FALSE)</f>
        <v>0</v>
      </c>
      <c r="I313" s="71">
        <f t="shared" si="69"/>
        <v>12</v>
      </c>
      <c r="J313" s="71">
        <f t="shared" si="70"/>
        <v>4</v>
      </c>
      <c r="K313" s="69">
        <f t="shared" si="71"/>
        <v>0</v>
      </c>
      <c r="L313" s="69">
        <f t="shared" si="72"/>
        <v>0</v>
      </c>
      <c r="M313" s="69">
        <f t="shared" si="73"/>
        <v>0</v>
      </c>
    </row>
    <row r="314" spans="1:13" s="61" customFormat="1" ht="20.25" customHeight="1" x14ac:dyDescent="0.25">
      <c r="A314" s="67" t="s">
        <v>113</v>
      </c>
      <c r="B314" s="68" t="s">
        <v>291</v>
      </c>
      <c r="C314" s="69" t="s">
        <v>288</v>
      </c>
      <c r="D314" s="69" t="s">
        <v>292</v>
      </c>
      <c r="E314" s="222">
        <v>2</v>
      </c>
      <c r="F314" s="222">
        <v>0</v>
      </c>
      <c r="G314" s="68" t="s">
        <v>290</v>
      </c>
      <c r="H314" s="70">
        <f>VLOOKUP(B314,custoEPI!$B$6:$E$29,4,FALSE)</f>
        <v>0</v>
      </c>
      <c r="I314" s="71">
        <f t="shared" si="69"/>
        <v>12</v>
      </c>
      <c r="J314" s="71">
        <f t="shared" si="70"/>
        <v>4</v>
      </c>
      <c r="K314" s="69">
        <f t="shared" si="71"/>
        <v>0</v>
      </c>
      <c r="L314" s="69">
        <f t="shared" si="72"/>
        <v>0</v>
      </c>
      <c r="M314" s="69">
        <f t="shared" si="73"/>
        <v>0</v>
      </c>
    </row>
    <row r="315" spans="1:13" s="61" customFormat="1" ht="20.25" customHeight="1" x14ac:dyDescent="0.25">
      <c r="A315" s="67" t="s">
        <v>114</v>
      </c>
      <c r="B315" s="68" t="s">
        <v>297</v>
      </c>
      <c r="C315" s="69" t="s">
        <v>298</v>
      </c>
      <c r="D315" s="69" t="s">
        <v>292</v>
      </c>
      <c r="E315" s="222">
        <v>0</v>
      </c>
      <c r="F315" s="222">
        <v>6</v>
      </c>
      <c r="G315" s="68" t="s">
        <v>290</v>
      </c>
      <c r="H315" s="70">
        <f>VLOOKUP(B315,custoEPI!$B$6:$E$29,4,FALSE)</f>
        <v>0</v>
      </c>
      <c r="I315" s="71">
        <f t="shared" si="69"/>
        <v>12</v>
      </c>
      <c r="J315" s="71">
        <f t="shared" si="70"/>
        <v>4</v>
      </c>
      <c r="K315" s="69">
        <f t="shared" si="71"/>
        <v>0</v>
      </c>
      <c r="L315" s="69">
        <f t="shared" si="72"/>
        <v>0</v>
      </c>
      <c r="M315" s="69">
        <f t="shared" si="73"/>
        <v>0</v>
      </c>
    </row>
    <row r="316" spans="1:13" s="61" customFormat="1" ht="20.25" customHeight="1" x14ac:dyDescent="0.25">
      <c r="A316" s="67" t="s">
        <v>115</v>
      </c>
      <c r="B316" s="68" t="s">
        <v>295</v>
      </c>
      <c r="C316" s="69" t="s">
        <v>296</v>
      </c>
      <c r="D316" s="69" t="s">
        <v>292</v>
      </c>
      <c r="E316" s="222">
        <v>1</v>
      </c>
      <c r="F316" s="222">
        <v>0</v>
      </c>
      <c r="G316" s="68" t="s">
        <v>290</v>
      </c>
      <c r="H316" s="70">
        <f>VLOOKUP(B316,custoEPI!$B$6:$E$29,4,FALSE)</f>
        <v>0</v>
      </c>
      <c r="I316" s="71">
        <f t="shared" si="69"/>
        <v>12</v>
      </c>
      <c r="J316" s="71">
        <f t="shared" si="70"/>
        <v>4</v>
      </c>
      <c r="K316" s="69">
        <f t="shared" si="71"/>
        <v>0</v>
      </c>
      <c r="L316" s="69">
        <f t="shared" si="72"/>
        <v>0</v>
      </c>
      <c r="M316" s="69">
        <f t="shared" si="73"/>
        <v>0</v>
      </c>
    </row>
    <row r="317" spans="1:13" s="61" customFormat="1" ht="20.25" customHeight="1" x14ac:dyDescent="0.25">
      <c r="A317" s="67" t="s">
        <v>116</v>
      </c>
      <c r="B317" s="68" t="s">
        <v>294</v>
      </c>
      <c r="C317" s="69" t="s">
        <v>288</v>
      </c>
      <c r="D317" s="69" t="s">
        <v>289</v>
      </c>
      <c r="E317" s="222">
        <v>17</v>
      </c>
      <c r="F317" s="222">
        <v>0</v>
      </c>
      <c r="G317" s="68" t="s">
        <v>290</v>
      </c>
      <c r="H317" s="70">
        <f>VLOOKUP(B317,custoEPI!$B$6:$E$29,4,FALSE)</f>
        <v>0</v>
      </c>
      <c r="I317" s="71">
        <f t="shared" si="69"/>
        <v>12</v>
      </c>
      <c r="J317" s="71">
        <f t="shared" si="70"/>
        <v>4</v>
      </c>
      <c r="K317" s="69">
        <f t="shared" si="71"/>
        <v>0</v>
      </c>
      <c r="L317" s="69">
        <f t="shared" si="72"/>
        <v>0</v>
      </c>
      <c r="M317" s="69">
        <f t="shared" si="73"/>
        <v>0</v>
      </c>
    </row>
    <row r="318" spans="1:13" s="61" customFormat="1" ht="20.25" hidden="1" customHeight="1" x14ac:dyDescent="0.25">
      <c r="A318" s="67"/>
      <c r="B318" s="68"/>
      <c r="C318" s="69"/>
      <c r="D318" s="69"/>
      <c r="E318" s="222"/>
      <c r="F318" s="222"/>
      <c r="G318" s="68"/>
      <c r="H318" s="70" t="e">
        <f>VLOOKUP(B318,custoEPI!$B$6:$E$29,4,FALSE)</f>
        <v>#N/A</v>
      </c>
      <c r="I318" s="71">
        <f t="shared" si="69"/>
        <v>12</v>
      </c>
      <c r="J318" s="71" t="str">
        <f t="shared" si="70"/>
        <v>sem descrição</v>
      </c>
      <c r="K318" s="69">
        <f t="shared" si="71"/>
        <v>0</v>
      </c>
      <c r="L318" s="69">
        <f t="shared" si="72"/>
        <v>0</v>
      </c>
      <c r="M318" s="69">
        <f t="shared" si="73"/>
        <v>0</v>
      </c>
    </row>
    <row r="319" spans="1:13" s="61" customFormat="1" ht="20.25" customHeight="1" x14ac:dyDescent="0.25">
      <c r="A319" s="67" t="s">
        <v>118</v>
      </c>
      <c r="B319" s="68" t="s">
        <v>299</v>
      </c>
      <c r="C319" s="69" t="s">
        <v>300</v>
      </c>
      <c r="D319" s="69" t="s">
        <v>292</v>
      </c>
      <c r="E319" s="222">
        <v>2</v>
      </c>
      <c r="F319" s="222">
        <v>0</v>
      </c>
      <c r="G319" s="68" t="s">
        <v>290</v>
      </c>
      <c r="H319" s="70">
        <f>VLOOKUP(B319,custoEPI!$B$6:$E$29,4,FALSE)</f>
        <v>0</v>
      </c>
      <c r="I319" s="71">
        <f t="shared" si="69"/>
        <v>12</v>
      </c>
      <c r="J319" s="71">
        <f t="shared" si="70"/>
        <v>4</v>
      </c>
      <c r="K319" s="69">
        <f t="shared" si="71"/>
        <v>0</v>
      </c>
      <c r="L319" s="69">
        <f t="shared" si="72"/>
        <v>0</v>
      </c>
      <c r="M319" s="69">
        <f t="shared" si="73"/>
        <v>0</v>
      </c>
    </row>
    <row r="320" spans="1:13" s="61" customFormat="1" ht="20.25" hidden="1" customHeight="1" x14ac:dyDescent="0.25">
      <c r="A320" s="67"/>
      <c r="B320" s="68"/>
      <c r="C320" s="69"/>
      <c r="D320" s="69"/>
      <c r="E320" s="222"/>
      <c r="F320" s="222"/>
      <c r="G320" s="68"/>
      <c r="H320" s="70"/>
      <c r="I320" s="71"/>
      <c r="J320" s="71" t="str">
        <f t="shared" si="70"/>
        <v>sem descrição</v>
      </c>
      <c r="K320" s="69" t="str">
        <f t="shared" ref="K320:K326" si="74">IF(C320="mensal",J320*H320*E320,IF(C320="trimestral",(J320*H320*E320)/3,IF(C320="semestral",(J320*H320*E320)/6,IF(C320="anual",(J320*H320*E320/12),"informar entrega"))))</f>
        <v>informar entrega</v>
      </c>
      <c r="L320" s="69">
        <f t="shared" si="72"/>
        <v>0</v>
      </c>
      <c r="M320" s="69">
        <f t="shared" si="73"/>
        <v>0</v>
      </c>
    </row>
    <row r="321" spans="1:13" s="61" customFormat="1" ht="20.25" hidden="1" customHeight="1" x14ac:dyDescent="0.25">
      <c r="A321" s="67" t="s">
        <v>127</v>
      </c>
      <c r="B321" s="68"/>
      <c r="C321" s="69"/>
      <c r="D321" s="69"/>
      <c r="E321" s="222"/>
      <c r="F321" s="222"/>
      <c r="G321" s="68"/>
      <c r="H321" s="70"/>
      <c r="I321" s="70"/>
      <c r="J321" s="71" t="str">
        <f t="shared" si="70"/>
        <v>sem descrição</v>
      </c>
      <c r="K321" s="69" t="str">
        <f t="shared" si="74"/>
        <v>informar entrega</v>
      </c>
      <c r="L321" s="69">
        <f t="shared" si="72"/>
        <v>0</v>
      </c>
      <c r="M321" s="69">
        <f t="shared" si="73"/>
        <v>0</v>
      </c>
    </row>
    <row r="322" spans="1:13" s="61" customFormat="1" ht="20.25" hidden="1" customHeight="1" x14ac:dyDescent="0.25">
      <c r="A322" s="67" t="s">
        <v>129</v>
      </c>
      <c r="B322" s="68"/>
      <c r="C322" s="69"/>
      <c r="D322" s="69"/>
      <c r="E322" s="222"/>
      <c r="F322" s="222"/>
      <c r="G322" s="68"/>
      <c r="H322" s="70"/>
      <c r="I322" s="70"/>
      <c r="J322" s="71" t="str">
        <f t="shared" si="70"/>
        <v>sem descrição</v>
      </c>
      <c r="K322" s="69" t="str">
        <f t="shared" si="74"/>
        <v>informar entrega</v>
      </c>
      <c r="L322" s="69">
        <f t="shared" si="72"/>
        <v>0</v>
      </c>
      <c r="M322" s="69">
        <f t="shared" si="73"/>
        <v>0</v>
      </c>
    </row>
    <row r="323" spans="1:13" s="61" customFormat="1" ht="20.25" hidden="1" customHeight="1" x14ac:dyDescent="0.25">
      <c r="A323" s="67" t="s">
        <v>131</v>
      </c>
      <c r="B323" s="68"/>
      <c r="C323" s="69"/>
      <c r="D323" s="69"/>
      <c r="E323" s="222"/>
      <c r="F323" s="222"/>
      <c r="G323" s="68"/>
      <c r="H323" s="70"/>
      <c r="I323" s="70"/>
      <c r="J323" s="71" t="str">
        <f t="shared" si="70"/>
        <v>sem descrição</v>
      </c>
      <c r="K323" s="69" t="str">
        <f t="shared" si="74"/>
        <v>informar entrega</v>
      </c>
      <c r="L323" s="69">
        <f t="shared" si="72"/>
        <v>0</v>
      </c>
      <c r="M323" s="69">
        <f t="shared" si="73"/>
        <v>0</v>
      </c>
    </row>
    <row r="324" spans="1:13" s="61" customFormat="1" ht="20.25" hidden="1" customHeight="1" x14ac:dyDescent="0.25">
      <c r="A324" s="67" t="s">
        <v>188</v>
      </c>
      <c r="B324" s="68"/>
      <c r="C324" s="69"/>
      <c r="D324" s="69"/>
      <c r="E324" s="222"/>
      <c r="F324" s="222"/>
      <c r="G324" s="68"/>
      <c r="H324" s="70"/>
      <c r="I324" s="70"/>
      <c r="J324" s="71" t="str">
        <f t="shared" si="70"/>
        <v>sem descrição</v>
      </c>
      <c r="K324" s="69" t="str">
        <f t="shared" si="74"/>
        <v>informar entrega</v>
      </c>
      <c r="L324" s="69">
        <f t="shared" si="72"/>
        <v>0</v>
      </c>
      <c r="M324" s="69">
        <f t="shared" si="73"/>
        <v>0</v>
      </c>
    </row>
    <row r="325" spans="1:13" s="61" customFormat="1" ht="20.25" hidden="1" customHeight="1" x14ac:dyDescent="0.25">
      <c r="A325" s="67" t="s">
        <v>192</v>
      </c>
      <c r="B325" s="68"/>
      <c r="C325" s="69"/>
      <c r="D325" s="69"/>
      <c r="E325" s="222"/>
      <c r="F325" s="222"/>
      <c r="G325" s="68"/>
      <c r="H325" s="70"/>
      <c r="I325" s="70"/>
      <c r="J325" s="71" t="str">
        <f t="shared" si="70"/>
        <v>sem descrição</v>
      </c>
      <c r="K325" s="69" t="str">
        <f t="shared" si="74"/>
        <v>informar entrega</v>
      </c>
      <c r="L325" s="69">
        <f t="shared" si="72"/>
        <v>0</v>
      </c>
      <c r="M325" s="69">
        <f t="shared" si="73"/>
        <v>0</v>
      </c>
    </row>
    <row r="326" spans="1:13" s="61" customFormat="1" ht="20.25" hidden="1" customHeight="1" x14ac:dyDescent="0.25">
      <c r="A326" s="67" t="s">
        <v>195</v>
      </c>
      <c r="B326" s="68"/>
      <c r="C326" s="69"/>
      <c r="D326" s="69"/>
      <c r="E326" s="222"/>
      <c r="F326" s="222"/>
      <c r="G326" s="68"/>
      <c r="H326" s="70"/>
      <c r="I326" s="70"/>
      <c r="J326" s="71" t="str">
        <f t="shared" si="70"/>
        <v>sem descrição</v>
      </c>
      <c r="K326" s="69" t="str">
        <f t="shared" si="74"/>
        <v>informar entrega</v>
      </c>
      <c r="L326" s="69">
        <f t="shared" si="72"/>
        <v>0</v>
      </c>
      <c r="M326" s="69">
        <f t="shared" si="73"/>
        <v>0</v>
      </c>
    </row>
    <row r="327" spans="1:13" s="61" customFormat="1" ht="20.25" hidden="1" customHeight="1" x14ac:dyDescent="0.25">
      <c r="A327" s="67" t="s">
        <v>199</v>
      </c>
      <c r="B327" s="68"/>
      <c r="C327" s="69"/>
      <c r="D327" s="69"/>
      <c r="E327" s="222"/>
      <c r="F327" s="222"/>
      <c r="G327" s="68"/>
      <c r="H327" s="70"/>
      <c r="I327" s="70"/>
      <c r="J327" s="71" t="str">
        <f t="shared" si="70"/>
        <v>sem descrição</v>
      </c>
      <c r="K327" s="69" t="str">
        <f>IF(C327="mensal",J327*H327*E327,IF(C327="trimestral",(J327*H327*E327)/3,IF(C327="semestral",(J327*H327*E327)/6,IF(C327="anual",(J327*H327*E327/12),"informar período"))))</f>
        <v>informar período</v>
      </c>
      <c r="L327" s="69">
        <f t="shared" si="72"/>
        <v>0</v>
      </c>
      <c r="M327" s="69">
        <f t="shared" si="73"/>
        <v>0</v>
      </c>
    </row>
    <row r="328" spans="1:13" s="61" customFormat="1" ht="20.25" customHeight="1" x14ac:dyDescent="0.25">
      <c r="A328" s="152" t="s">
        <v>320</v>
      </c>
      <c r="B328" s="147"/>
      <c r="C328" s="147"/>
      <c r="D328" s="147"/>
      <c r="E328" s="147"/>
      <c r="F328" s="147"/>
      <c r="G328" s="147"/>
      <c r="H328" s="147"/>
      <c r="I328" s="139"/>
      <c r="J328" s="155"/>
      <c r="K328" s="156">
        <f>SUM(K311:K327)</f>
        <v>0</v>
      </c>
      <c r="L328" s="157">
        <f>K328*12</f>
        <v>0</v>
      </c>
      <c r="M328" s="158">
        <f>K328*60</f>
        <v>0</v>
      </c>
    </row>
    <row r="329" spans="1:13" s="61" customFormat="1" ht="20.25" customHeight="1" x14ac:dyDescent="0.25">
      <c r="A329" s="152" t="s">
        <v>302</v>
      </c>
      <c r="B329" s="147"/>
      <c r="C329" s="147"/>
      <c r="D329" s="147"/>
      <c r="E329" s="147"/>
      <c r="F329" s="147"/>
      <c r="G329" s="147"/>
      <c r="H329" s="147"/>
      <c r="I329" s="147"/>
      <c r="J329" s="147"/>
      <c r="K329" s="147"/>
      <c r="L329" s="147"/>
      <c r="M329" s="159">
        <f>K328/SUM(C307:M309)</f>
        <v>0</v>
      </c>
    </row>
    <row r="330" spans="1:13" s="61" customFormat="1" ht="20.25" customHeight="1" x14ac:dyDescent="0.25">
      <c r="A330" s="235" t="s">
        <v>273</v>
      </c>
      <c r="B330" s="143" t="s">
        <v>19</v>
      </c>
      <c r="C330" s="153"/>
      <c r="D330" s="153"/>
      <c r="E330" s="153"/>
      <c r="F330" s="153"/>
      <c r="G330" s="153"/>
      <c r="H330" s="153"/>
      <c r="I330" s="153"/>
      <c r="J330" s="153"/>
      <c r="K330" s="153"/>
      <c r="L330" s="153"/>
      <c r="M330" s="154"/>
    </row>
    <row r="331" spans="1:13" s="61" customFormat="1" ht="20.25" customHeight="1" x14ac:dyDescent="0.25">
      <c r="A331" s="62">
        <v>1</v>
      </c>
      <c r="B331" s="63" t="s">
        <v>274</v>
      </c>
      <c r="C331" s="216" t="s">
        <v>232</v>
      </c>
      <c r="D331" s="217"/>
      <c r="E331" s="217"/>
      <c r="F331" s="217"/>
      <c r="G331" s="217"/>
      <c r="H331" s="145"/>
      <c r="I331" s="145"/>
      <c r="J331" s="145"/>
      <c r="K331" s="145"/>
      <c r="L331" s="145"/>
      <c r="M331" s="146"/>
    </row>
    <row r="332" spans="1:13" s="61" customFormat="1" ht="20.25" customHeight="1" x14ac:dyDescent="0.25">
      <c r="A332" s="62">
        <v>2</v>
      </c>
      <c r="B332" s="63" t="str">
        <f>'planilha - proposta'!D50</f>
        <v>Técnico em Nutrição - 12x36d</v>
      </c>
      <c r="C332" s="216">
        <v>2</v>
      </c>
      <c r="D332" s="217"/>
      <c r="E332" s="217"/>
      <c r="F332" s="217"/>
      <c r="G332" s="217"/>
      <c r="H332" s="145"/>
      <c r="I332" s="145"/>
      <c r="J332" s="145"/>
      <c r="K332" s="145"/>
      <c r="L332" s="145"/>
      <c r="M332" s="146"/>
    </row>
    <row r="333" spans="1:13" s="61" customFormat="1" ht="20.25" customHeight="1" x14ac:dyDescent="0.25">
      <c r="A333" s="62">
        <v>3</v>
      </c>
      <c r="B333" s="63" t="str">
        <f>'planilha - proposta'!D51</f>
        <v>Técnico em Nutrição - 12x36n</v>
      </c>
      <c r="C333" s="216">
        <v>2</v>
      </c>
      <c r="D333" s="217"/>
      <c r="E333" s="217"/>
      <c r="F333" s="217"/>
      <c r="G333" s="217"/>
      <c r="H333" s="145"/>
      <c r="I333" s="145"/>
      <c r="J333" s="145"/>
      <c r="K333" s="145"/>
      <c r="L333" s="145"/>
      <c r="M333" s="146"/>
    </row>
    <row r="334" spans="1:13" s="61" customFormat="1" ht="20.25" hidden="1" customHeight="1" x14ac:dyDescent="0.25">
      <c r="A334" s="62">
        <v>4</v>
      </c>
      <c r="B334" s="63" t="str">
        <f>'planilha - proposta'!D52</f>
        <v>Técnico em Nutrição - 44h</v>
      </c>
      <c r="C334" s="216">
        <v>0</v>
      </c>
      <c r="D334" s="217"/>
      <c r="E334" s="217"/>
      <c r="F334" s="217"/>
      <c r="G334" s="217"/>
      <c r="H334" s="145"/>
      <c r="I334" s="145"/>
      <c r="J334" s="145"/>
      <c r="K334" s="145"/>
      <c r="L334" s="145"/>
      <c r="M334" s="146"/>
    </row>
    <row r="335" spans="1:13" s="61" customFormat="1" ht="52.5" customHeight="1" x14ac:dyDescent="0.25">
      <c r="A335" s="64" t="s">
        <v>273</v>
      </c>
      <c r="B335" s="65" t="s">
        <v>275</v>
      </c>
      <c r="C335" s="218" t="s">
        <v>276</v>
      </c>
      <c r="D335" s="218" t="s">
        <v>277</v>
      </c>
      <c r="E335" s="218" t="s">
        <v>278</v>
      </c>
      <c r="F335" s="218" t="s">
        <v>303</v>
      </c>
      <c r="G335" s="223" t="s">
        <v>280</v>
      </c>
      <c r="H335" s="65" t="s">
        <v>304</v>
      </c>
      <c r="I335" s="66" t="s">
        <v>305</v>
      </c>
      <c r="J335" s="66" t="s">
        <v>318</v>
      </c>
      <c r="K335" s="65" t="s">
        <v>284</v>
      </c>
      <c r="L335" s="65" t="s">
        <v>285</v>
      </c>
      <c r="M335" s="66" t="s">
        <v>286</v>
      </c>
    </row>
    <row r="336" spans="1:13" s="61" customFormat="1" ht="20.25" customHeight="1" x14ac:dyDescent="0.25">
      <c r="A336" s="67" t="s">
        <v>108</v>
      </c>
      <c r="B336" s="68" t="s">
        <v>287</v>
      </c>
      <c r="C336" s="69" t="s">
        <v>288</v>
      </c>
      <c r="D336" s="69" t="s">
        <v>289</v>
      </c>
      <c r="E336" s="222">
        <f>3*30</f>
        <v>90</v>
      </c>
      <c r="F336" s="222">
        <v>0</v>
      </c>
      <c r="G336" s="68" t="s">
        <v>290</v>
      </c>
      <c r="H336" s="70">
        <f>VLOOKUP(B336,custoEPI!$B$6:$E$29,4,FALSE)</f>
        <v>0</v>
      </c>
      <c r="I336" s="71">
        <f>SUM($C$332:$M$334)</f>
        <v>4</v>
      </c>
      <c r="J336" s="71">
        <f t="shared" ref="J336:J352" si="75">IF(B336="","sem descrição",IF($C$332&gt;=$C$333,IF($C$334&gt;0,$C$332/2+$C$334,$C$332/2),IF($C$334&gt;0,$C$333/5+$C$334,$C$334)))</f>
        <v>1</v>
      </c>
      <c r="K336" s="69">
        <f>IF(C336="mensal",IF(F336&gt;0,F336*H336,IF(D336="descartável",((SUM($C$332:$C$333)/2)+$C$334)*E336*H336,IF(D336="pessoal",E336*H336*I336,E336*H336*J336))),0)+IF(C336="trimestral",IF(F336&gt;0,F336*H336/3,IF(D336="descartável",(((SUM($C$332:$C$333)/2)+$C$334)*E336*H336)/3,IF(D336="pessoal",(E336*H336*I336)/3,(E336*H336*J336)/3))),0)+IF(C336="semestral",IF(F336&gt;0,F336*H336/6,IF(D336="descartável",(((SUM($C$332:$C$333)/2)+$C$334)*E336*H336)/6,IF(D336="pessoal",(E336*H336*I336)/6,(E336*H336*J336)/6))),0)+IF(C336="anual",IF(F336&gt;0,F336*H336/12,IF(D336="descartável",(((SUM($C$332:$C$333)/2)+$C$334)*E336*H336)/12,IF(D336="pessoal",(E336*H336*I336)/12,(E336*H336*J336)/12))),0)</f>
        <v>0</v>
      </c>
      <c r="L336" s="69">
        <f>IFERROR(K336*12, 0)</f>
        <v>0</v>
      </c>
      <c r="M336" s="69">
        <f>IFERROR(K336*60,0)</f>
        <v>0</v>
      </c>
    </row>
    <row r="337" spans="1:13" s="61" customFormat="1" ht="20.25" customHeight="1" x14ac:dyDescent="0.25">
      <c r="A337" s="67" t="s">
        <v>110</v>
      </c>
      <c r="B337" s="68" t="s">
        <v>294</v>
      </c>
      <c r="C337" s="69" t="s">
        <v>288</v>
      </c>
      <c r="D337" s="69" t="s">
        <v>289</v>
      </c>
      <c r="E337" s="222">
        <f>3*30</f>
        <v>90</v>
      </c>
      <c r="F337" s="222">
        <v>0</v>
      </c>
      <c r="G337" s="68" t="s">
        <v>290</v>
      </c>
      <c r="H337" s="70">
        <f>VLOOKUP(B337,custoEPI!$B$6:$E$29,4,FALSE)</f>
        <v>0</v>
      </c>
      <c r="I337" s="71">
        <f>SUM($C$332:$M$334)</f>
        <v>4</v>
      </c>
      <c r="J337" s="71">
        <f t="shared" si="75"/>
        <v>1</v>
      </c>
      <c r="K337" s="69">
        <f t="shared" ref="K337:K338" si="76">IF(C337="mensal",IF(F337&gt;0,F337*H337,IF(D337="descartável",((SUM($C$332:$C$333)/2)+$C$334)*E337*H337,IF(D337="pessoal",E337*H337*I337,E337*H337*J337))),0)+IF(C337="trimestral",IF(F337&gt;0,F337*H337/3,IF(D337="descartável",(((SUM($C$332:$C$333)/2)+$C$334)*E337*H337)/3,IF(D337="pessoal",(E337*H337*I337)/3,(E337*H337*J337)/3))),0)+IF(C337="semestral",IF(F337&gt;0,F337*H337/6,IF(D337="descartável",(((SUM($C$332:$C$333)/2)+$C$334)*E337*H337)/6,IF(D337="pessoal",(E337*H337*I337)/6,(E337*H337*J337)/6))),0)+IF(C337="anual",IF(F337&gt;0,F337*H337/12,IF(D337="descartável",(((SUM($C$332:$C$333)/2)+$C$334)*E337*H337)/12,IF(D337="pessoal",(E337*H337*I337)/12,(E337*H337*J337)/12))),0)</f>
        <v>0</v>
      </c>
      <c r="L337" s="69">
        <f t="shared" ref="L337:L352" si="77">IFERROR(K337*12, 0)</f>
        <v>0</v>
      </c>
      <c r="M337" s="69">
        <f t="shared" ref="M337:M352" si="78">IFERROR(K337*60,0)</f>
        <v>0</v>
      </c>
    </row>
    <row r="338" spans="1:13" s="61" customFormat="1" ht="20.25" customHeight="1" x14ac:dyDescent="0.25">
      <c r="A338" s="67" t="s">
        <v>111</v>
      </c>
      <c r="B338" s="68" t="s">
        <v>313</v>
      </c>
      <c r="C338" s="69" t="s">
        <v>288</v>
      </c>
      <c r="D338" s="69" t="s">
        <v>289</v>
      </c>
      <c r="E338" s="222">
        <v>48</v>
      </c>
      <c r="F338" s="222">
        <v>0</v>
      </c>
      <c r="G338" s="68" t="s">
        <v>290</v>
      </c>
      <c r="H338" s="70">
        <f>VLOOKUP(B338,custoEPI!$B$6:$E$29,4,FALSE)</f>
        <v>0</v>
      </c>
      <c r="I338" s="71">
        <f>SUM($C$332:$M$334)</f>
        <v>4</v>
      </c>
      <c r="J338" s="71">
        <f t="shared" si="75"/>
        <v>1</v>
      </c>
      <c r="K338" s="69">
        <f t="shared" si="76"/>
        <v>0</v>
      </c>
      <c r="L338" s="69">
        <f t="shared" si="77"/>
        <v>0</v>
      </c>
      <c r="M338" s="69">
        <f t="shared" si="78"/>
        <v>0</v>
      </c>
    </row>
    <row r="339" spans="1:13" s="61" customFormat="1" ht="20.25" hidden="1" customHeight="1" x14ac:dyDescent="0.25">
      <c r="A339" s="67"/>
      <c r="B339" s="68"/>
      <c r="C339" s="69"/>
      <c r="D339" s="69"/>
      <c r="E339" s="222"/>
      <c r="F339" s="222"/>
      <c r="G339" s="68"/>
      <c r="H339" s="70" t="e">
        <f>VLOOKUP(B339,custoEPI!$B$6:$E$29,4,FALSE)</f>
        <v>#N/A</v>
      </c>
      <c r="I339" s="71">
        <f>SUM($C$332:$M$334)</f>
        <v>4</v>
      </c>
      <c r="J339" s="71" t="str">
        <f t="shared" si="75"/>
        <v>sem descrição</v>
      </c>
      <c r="K339" s="69" t="str">
        <f t="shared" ref="K339:K351" si="79">IF(C339="mensal",J339*H339*E339,IF(C339="trimestral",(J339*H339*E339)/3,IF(C339="semestral",(J339*H339*E339)/6,IF(C339="anual",(J339*H339*E339/12),"informar entrega"))))</f>
        <v>informar entrega</v>
      </c>
      <c r="L339" s="69">
        <f t="shared" si="77"/>
        <v>0</v>
      </c>
      <c r="M339" s="69">
        <f t="shared" si="78"/>
        <v>0</v>
      </c>
    </row>
    <row r="340" spans="1:13" s="61" customFormat="1" ht="20.25" hidden="1" customHeight="1" x14ac:dyDescent="0.25">
      <c r="A340" s="67" t="s">
        <v>114</v>
      </c>
      <c r="B340" s="68"/>
      <c r="C340" s="69"/>
      <c r="D340" s="69"/>
      <c r="E340" s="222"/>
      <c r="F340" s="222"/>
      <c r="G340" s="68" t="s">
        <v>290</v>
      </c>
      <c r="H340" s="70" t="e">
        <f>VLOOKUP(B340,custoEPI!$B$6:$E$29,4,FALSE)</f>
        <v>#N/A</v>
      </c>
      <c r="I340" s="71"/>
      <c r="J340" s="71" t="str">
        <f t="shared" si="75"/>
        <v>sem descrição</v>
      </c>
      <c r="K340" s="69" t="str">
        <f t="shared" si="79"/>
        <v>informar entrega</v>
      </c>
      <c r="L340" s="69">
        <f t="shared" si="77"/>
        <v>0</v>
      </c>
      <c r="M340" s="69">
        <f t="shared" si="78"/>
        <v>0</v>
      </c>
    </row>
    <row r="341" spans="1:13" s="61" customFormat="1" ht="20.25" hidden="1" customHeight="1" x14ac:dyDescent="0.25">
      <c r="A341" s="67" t="s">
        <v>115</v>
      </c>
      <c r="B341" s="68"/>
      <c r="C341" s="69"/>
      <c r="D341" s="69"/>
      <c r="E341" s="222"/>
      <c r="F341" s="222"/>
      <c r="G341" s="68" t="s">
        <v>290</v>
      </c>
      <c r="H341" s="70" t="e">
        <f>VLOOKUP(B341,custoEPI!$B$6:$E$29,4,FALSE)</f>
        <v>#N/A</v>
      </c>
      <c r="I341" s="71"/>
      <c r="J341" s="71" t="str">
        <f t="shared" si="75"/>
        <v>sem descrição</v>
      </c>
      <c r="K341" s="69" t="str">
        <f t="shared" si="79"/>
        <v>informar entrega</v>
      </c>
      <c r="L341" s="69">
        <f t="shared" si="77"/>
        <v>0</v>
      </c>
      <c r="M341" s="69">
        <f t="shared" si="78"/>
        <v>0</v>
      </c>
    </row>
    <row r="342" spans="1:13" s="61" customFormat="1" ht="20.25" hidden="1" customHeight="1" x14ac:dyDescent="0.25">
      <c r="A342" s="67" t="s">
        <v>116</v>
      </c>
      <c r="B342" s="68"/>
      <c r="C342" s="69"/>
      <c r="D342" s="69"/>
      <c r="E342" s="222"/>
      <c r="F342" s="222"/>
      <c r="G342" s="68" t="s">
        <v>290</v>
      </c>
      <c r="H342" s="70" t="e">
        <f>VLOOKUP(B342,custoEPI!$B$6:$E$29,4,FALSE)</f>
        <v>#N/A</v>
      </c>
      <c r="I342" s="71"/>
      <c r="J342" s="71" t="str">
        <f t="shared" si="75"/>
        <v>sem descrição</v>
      </c>
      <c r="K342" s="69" t="str">
        <f t="shared" si="79"/>
        <v>informar entrega</v>
      </c>
      <c r="L342" s="69">
        <f t="shared" si="77"/>
        <v>0</v>
      </c>
      <c r="M342" s="69">
        <f t="shared" si="78"/>
        <v>0</v>
      </c>
    </row>
    <row r="343" spans="1:13" s="61" customFormat="1" ht="20.25" hidden="1" customHeight="1" x14ac:dyDescent="0.25">
      <c r="A343" s="67" t="s">
        <v>118</v>
      </c>
      <c r="B343" s="68"/>
      <c r="C343" s="69"/>
      <c r="D343" s="69"/>
      <c r="E343" s="222"/>
      <c r="F343" s="222"/>
      <c r="G343" s="68" t="s">
        <v>290</v>
      </c>
      <c r="H343" s="70" t="e">
        <f>VLOOKUP(B343,custoEPI!$B$6:$E$29,4,FALSE)</f>
        <v>#N/A</v>
      </c>
      <c r="I343" s="71"/>
      <c r="J343" s="71" t="str">
        <f t="shared" si="75"/>
        <v>sem descrição</v>
      </c>
      <c r="K343" s="69" t="str">
        <f t="shared" si="79"/>
        <v>informar entrega</v>
      </c>
      <c r="L343" s="69">
        <f t="shared" si="77"/>
        <v>0</v>
      </c>
      <c r="M343" s="69">
        <f t="shared" si="78"/>
        <v>0</v>
      </c>
    </row>
    <row r="344" spans="1:13" s="61" customFormat="1" ht="20.25" hidden="1" customHeight="1" x14ac:dyDescent="0.25">
      <c r="A344" s="67" t="s">
        <v>121</v>
      </c>
      <c r="B344" s="68"/>
      <c r="C344" s="69"/>
      <c r="D344" s="69"/>
      <c r="E344" s="222"/>
      <c r="F344" s="222"/>
      <c r="G344" s="68"/>
      <c r="H344" s="70" t="e">
        <f>VLOOKUP(B344,custoEPI!$B$6:$E$29,4,FALSE)</f>
        <v>#N/A</v>
      </c>
      <c r="I344" s="71"/>
      <c r="J344" s="71" t="str">
        <f t="shared" si="75"/>
        <v>sem descrição</v>
      </c>
      <c r="K344" s="69" t="str">
        <f t="shared" si="79"/>
        <v>informar entrega</v>
      </c>
      <c r="L344" s="69">
        <f t="shared" si="77"/>
        <v>0</v>
      </c>
      <c r="M344" s="69">
        <f t="shared" si="78"/>
        <v>0</v>
      </c>
    </row>
    <row r="345" spans="1:13" s="61" customFormat="1" ht="20.25" hidden="1" customHeight="1" x14ac:dyDescent="0.25">
      <c r="A345" s="67" t="s">
        <v>125</v>
      </c>
      <c r="B345" s="68"/>
      <c r="C345" s="69"/>
      <c r="D345" s="69"/>
      <c r="E345" s="222"/>
      <c r="F345" s="222"/>
      <c r="G345" s="68"/>
      <c r="H345" s="70"/>
      <c r="I345" s="71"/>
      <c r="J345" s="71" t="str">
        <f t="shared" si="75"/>
        <v>sem descrição</v>
      </c>
      <c r="K345" s="69" t="str">
        <f t="shared" si="79"/>
        <v>informar entrega</v>
      </c>
      <c r="L345" s="69">
        <f t="shared" si="77"/>
        <v>0</v>
      </c>
      <c r="M345" s="69">
        <f t="shared" si="78"/>
        <v>0</v>
      </c>
    </row>
    <row r="346" spans="1:13" s="61" customFormat="1" ht="20.25" hidden="1" customHeight="1" x14ac:dyDescent="0.25">
      <c r="A346" s="67" t="s">
        <v>127</v>
      </c>
      <c r="B346" s="68"/>
      <c r="C346" s="69"/>
      <c r="D346" s="69"/>
      <c r="E346" s="222"/>
      <c r="F346" s="222"/>
      <c r="G346" s="68"/>
      <c r="H346" s="70"/>
      <c r="I346" s="70"/>
      <c r="J346" s="71" t="str">
        <f t="shared" si="75"/>
        <v>sem descrição</v>
      </c>
      <c r="K346" s="69" t="str">
        <f t="shared" si="79"/>
        <v>informar entrega</v>
      </c>
      <c r="L346" s="69">
        <f t="shared" si="77"/>
        <v>0</v>
      </c>
      <c r="M346" s="69">
        <f t="shared" si="78"/>
        <v>0</v>
      </c>
    </row>
    <row r="347" spans="1:13" s="61" customFormat="1" ht="20.25" hidden="1" customHeight="1" x14ac:dyDescent="0.25">
      <c r="A347" s="67" t="s">
        <v>129</v>
      </c>
      <c r="B347" s="68"/>
      <c r="C347" s="69"/>
      <c r="D347" s="69"/>
      <c r="E347" s="222"/>
      <c r="F347" s="222"/>
      <c r="G347" s="68"/>
      <c r="H347" s="70"/>
      <c r="I347" s="70"/>
      <c r="J347" s="71" t="str">
        <f t="shared" si="75"/>
        <v>sem descrição</v>
      </c>
      <c r="K347" s="69" t="str">
        <f t="shared" si="79"/>
        <v>informar entrega</v>
      </c>
      <c r="L347" s="69">
        <f t="shared" si="77"/>
        <v>0</v>
      </c>
      <c r="M347" s="69">
        <f t="shared" si="78"/>
        <v>0</v>
      </c>
    </row>
    <row r="348" spans="1:13" s="61" customFormat="1" ht="20.25" hidden="1" customHeight="1" x14ac:dyDescent="0.25">
      <c r="A348" s="67" t="s">
        <v>131</v>
      </c>
      <c r="B348" s="68"/>
      <c r="C348" s="69"/>
      <c r="D348" s="69"/>
      <c r="E348" s="222"/>
      <c r="F348" s="222"/>
      <c r="G348" s="68"/>
      <c r="H348" s="70"/>
      <c r="I348" s="70"/>
      <c r="J348" s="71" t="str">
        <f t="shared" si="75"/>
        <v>sem descrição</v>
      </c>
      <c r="K348" s="69" t="str">
        <f t="shared" si="79"/>
        <v>informar entrega</v>
      </c>
      <c r="L348" s="69">
        <f t="shared" si="77"/>
        <v>0</v>
      </c>
      <c r="M348" s="69">
        <f t="shared" si="78"/>
        <v>0</v>
      </c>
    </row>
    <row r="349" spans="1:13" s="61" customFormat="1" ht="20.25" hidden="1" customHeight="1" x14ac:dyDescent="0.25">
      <c r="A349" s="67" t="s">
        <v>188</v>
      </c>
      <c r="B349" s="68"/>
      <c r="C349" s="69"/>
      <c r="D349" s="69"/>
      <c r="E349" s="222"/>
      <c r="F349" s="222"/>
      <c r="G349" s="68"/>
      <c r="H349" s="70"/>
      <c r="I349" s="70"/>
      <c r="J349" s="71" t="str">
        <f t="shared" si="75"/>
        <v>sem descrição</v>
      </c>
      <c r="K349" s="69" t="str">
        <f t="shared" si="79"/>
        <v>informar entrega</v>
      </c>
      <c r="L349" s="69">
        <f t="shared" si="77"/>
        <v>0</v>
      </c>
      <c r="M349" s="69">
        <f t="shared" si="78"/>
        <v>0</v>
      </c>
    </row>
    <row r="350" spans="1:13" s="61" customFormat="1" ht="20.25" hidden="1" customHeight="1" x14ac:dyDescent="0.25">
      <c r="A350" s="67" t="s">
        <v>192</v>
      </c>
      <c r="B350" s="68"/>
      <c r="C350" s="69"/>
      <c r="D350" s="69"/>
      <c r="E350" s="222"/>
      <c r="F350" s="222"/>
      <c r="G350" s="68"/>
      <c r="H350" s="70"/>
      <c r="I350" s="70"/>
      <c r="J350" s="71" t="str">
        <f t="shared" si="75"/>
        <v>sem descrição</v>
      </c>
      <c r="K350" s="69" t="str">
        <f t="shared" si="79"/>
        <v>informar entrega</v>
      </c>
      <c r="L350" s="69">
        <f t="shared" si="77"/>
        <v>0</v>
      </c>
      <c r="M350" s="69">
        <f t="shared" si="78"/>
        <v>0</v>
      </c>
    </row>
    <row r="351" spans="1:13" s="61" customFormat="1" ht="20.25" hidden="1" customHeight="1" x14ac:dyDescent="0.25">
      <c r="A351" s="67" t="s">
        <v>195</v>
      </c>
      <c r="B351" s="68"/>
      <c r="C351" s="69"/>
      <c r="D351" s="69"/>
      <c r="E351" s="222"/>
      <c r="F351" s="222"/>
      <c r="G351" s="68"/>
      <c r="H351" s="70"/>
      <c r="I351" s="70"/>
      <c r="J351" s="71" t="str">
        <f t="shared" si="75"/>
        <v>sem descrição</v>
      </c>
      <c r="K351" s="69" t="str">
        <f t="shared" si="79"/>
        <v>informar entrega</v>
      </c>
      <c r="L351" s="69">
        <f t="shared" si="77"/>
        <v>0</v>
      </c>
      <c r="M351" s="69">
        <f t="shared" si="78"/>
        <v>0</v>
      </c>
    </row>
    <row r="352" spans="1:13" s="61" customFormat="1" ht="20.25" hidden="1" customHeight="1" x14ac:dyDescent="0.25">
      <c r="A352" s="67" t="s">
        <v>199</v>
      </c>
      <c r="B352" s="68"/>
      <c r="C352" s="69"/>
      <c r="D352" s="69"/>
      <c r="E352" s="222"/>
      <c r="F352" s="222"/>
      <c r="G352" s="68"/>
      <c r="H352" s="70"/>
      <c r="I352" s="70"/>
      <c r="J352" s="71" t="str">
        <f t="shared" si="75"/>
        <v>sem descrição</v>
      </c>
      <c r="K352" s="69" t="str">
        <f>IF(C352="mensal",J352*H352*E352,IF(C352="trimestral",(J352*H352*E352)/3,IF(C352="semestral",(J352*H352*E352)/6,IF(C352="anual",(J352*H352*E352/12),"informar período"))))</f>
        <v>informar período</v>
      </c>
      <c r="L352" s="69">
        <f t="shared" si="77"/>
        <v>0</v>
      </c>
      <c r="M352" s="69">
        <f t="shared" si="78"/>
        <v>0</v>
      </c>
    </row>
    <row r="353" spans="1:13" s="61" customFormat="1" ht="20.25" customHeight="1" x14ac:dyDescent="0.25">
      <c r="A353" s="152" t="s">
        <v>321</v>
      </c>
      <c r="B353" s="147"/>
      <c r="C353" s="147"/>
      <c r="D353" s="147"/>
      <c r="E353" s="147"/>
      <c r="F353" s="147"/>
      <c r="G353" s="147"/>
      <c r="H353" s="147"/>
      <c r="I353" s="139"/>
      <c r="J353" s="155"/>
      <c r="K353" s="156">
        <f>SUM(K336:K352)</f>
        <v>0</v>
      </c>
      <c r="L353" s="157">
        <f>K353*12</f>
        <v>0</v>
      </c>
      <c r="M353" s="158">
        <f>K353*60</f>
        <v>0</v>
      </c>
    </row>
    <row r="354" spans="1:13" s="61" customFormat="1" ht="20.25" customHeight="1" x14ac:dyDescent="0.25">
      <c r="A354" s="152" t="s">
        <v>302</v>
      </c>
      <c r="B354" s="147"/>
      <c r="C354" s="147"/>
      <c r="D354" s="147"/>
      <c r="E354" s="147"/>
      <c r="F354" s="147"/>
      <c r="G354" s="147"/>
      <c r="H354" s="147"/>
      <c r="I354" s="147"/>
      <c r="J354" s="147"/>
      <c r="K354" s="147"/>
      <c r="L354" s="147"/>
      <c r="M354" s="159">
        <f>K353/SUM(C332:M334)</f>
        <v>0</v>
      </c>
    </row>
    <row r="355" spans="1:13" s="61" customFormat="1" ht="20.25" hidden="1" customHeight="1" x14ac:dyDescent="0.25">
      <c r="A355" s="235" t="s">
        <v>273</v>
      </c>
      <c r="B355" s="143" t="s">
        <v>19</v>
      </c>
      <c r="C355" s="153"/>
      <c r="D355" s="153"/>
      <c r="E355" s="153"/>
      <c r="F355" s="153"/>
      <c r="G355" s="153"/>
      <c r="H355" s="153"/>
      <c r="I355" s="153"/>
      <c r="J355" s="153"/>
      <c r="K355" s="153"/>
      <c r="L355" s="153"/>
      <c r="M355" s="154"/>
    </row>
    <row r="356" spans="1:13" s="61" customFormat="1" ht="20.25" hidden="1" customHeight="1" x14ac:dyDescent="0.25">
      <c r="A356" s="62">
        <v>1</v>
      </c>
      <c r="B356" s="63" t="s">
        <v>274</v>
      </c>
      <c r="C356" s="216" t="s">
        <v>240</v>
      </c>
      <c r="D356" s="217"/>
      <c r="E356" s="217"/>
      <c r="F356" s="217"/>
      <c r="G356" s="217"/>
      <c r="H356" s="145"/>
      <c r="I356" s="145"/>
      <c r="J356" s="145"/>
      <c r="K356" s="145"/>
      <c r="L356" s="145"/>
      <c r="M356" s="146"/>
    </row>
    <row r="357" spans="1:13" s="61" customFormat="1" ht="20.25" hidden="1" customHeight="1" x14ac:dyDescent="0.25">
      <c r="A357" s="62"/>
      <c r="B357" s="63"/>
      <c r="C357" s="216">
        <v>0</v>
      </c>
      <c r="D357" s="217"/>
      <c r="E357" s="217"/>
      <c r="F357" s="217"/>
      <c r="G357" s="217"/>
      <c r="H357" s="145"/>
      <c r="I357" s="145"/>
      <c r="J357" s="145"/>
      <c r="K357" s="145"/>
      <c r="L357" s="145"/>
      <c r="M357" s="146"/>
    </row>
    <row r="358" spans="1:13" s="61" customFormat="1" ht="20.25" hidden="1" customHeight="1" x14ac:dyDescent="0.25">
      <c r="A358" s="62"/>
      <c r="B358" s="63"/>
      <c r="C358" s="213">
        <v>0</v>
      </c>
      <c r="D358" s="214"/>
      <c r="E358" s="214"/>
      <c r="F358" s="214"/>
      <c r="G358" s="214"/>
      <c r="H358" s="148"/>
      <c r="I358" s="148"/>
      <c r="J358" s="148"/>
      <c r="K358" s="148"/>
      <c r="L358" s="148"/>
      <c r="M358" s="149"/>
    </row>
    <row r="359" spans="1:13" s="61" customFormat="1" ht="20.25" hidden="1" customHeight="1" x14ac:dyDescent="0.25">
      <c r="A359" s="62">
        <v>2</v>
      </c>
      <c r="B359" s="63" t="str">
        <f>'planilha - proposta'!D53</f>
        <v>Supervisor de Lavanderia - 44h</v>
      </c>
      <c r="C359" s="216">
        <v>0</v>
      </c>
      <c r="D359" s="217"/>
      <c r="E359" s="217"/>
      <c r="F359" s="217"/>
      <c r="G359" s="217"/>
      <c r="H359" s="145"/>
      <c r="I359" s="145"/>
      <c r="J359" s="145"/>
      <c r="K359" s="145"/>
      <c r="L359" s="145"/>
      <c r="M359" s="146"/>
    </row>
    <row r="360" spans="1:13" s="61" customFormat="1" ht="52.5" hidden="1" customHeight="1" x14ac:dyDescent="0.25">
      <c r="A360" s="64" t="s">
        <v>273</v>
      </c>
      <c r="B360" s="65" t="s">
        <v>275</v>
      </c>
      <c r="C360" s="218" t="s">
        <v>276</v>
      </c>
      <c r="D360" s="218" t="s">
        <v>277</v>
      </c>
      <c r="E360" s="218" t="s">
        <v>278</v>
      </c>
      <c r="F360" s="218" t="s">
        <v>303</v>
      </c>
      <c r="G360" s="223" t="s">
        <v>280</v>
      </c>
      <c r="H360" s="65" t="s">
        <v>304</v>
      </c>
      <c r="I360" s="66" t="s">
        <v>305</v>
      </c>
      <c r="J360" s="66" t="s">
        <v>318</v>
      </c>
      <c r="K360" s="65" t="s">
        <v>284</v>
      </c>
      <c r="L360" s="65" t="s">
        <v>285</v>
      </c>
      <c r="M360" s="66" t="s">
        <v>286</v>
      </c>
    </row>
    <row r="361" spans="1:13" s="61" customFormat="1" ht="20.25" hidden="1" customHeight="1" x14ac:dyDescent="0.25">
      <c r="A361" s="67" t="s">
        <v>108</v>
      </c>
      <c r="B361" s="68" t="s">
        <v>287</v>
      </c>
      <c r="C361" s="69" t="s">
        <v>288</v>
      </c>
      <c r="D361" s="69" t="s">
        <v>289</v>
      </c>
      <c r="E361" s="222">
        <f>3*26</f>
        <v>78</v>
      </c>
      <c r="F361" s="222">
        <v>0</v>
      </c>
      <c r="G361" s="68" t="s">
        <v>290</v>
      </c>
      <c r="H361" s="70">
        <f>VLOOKUP(B361,custoEPI!$B$6:$E$29,4,FALSE)</f>
        <v>0</v>
      </c>
      <c r="I361" s="71">
        <f>SUM($C$357:$M$359)</f>
        <v>0</v>
      </c>
      <c r="J361" s="71">
        <f t="shared" ref="J361:J377" si="80">IF(B361="","sem descrição",IF($C$357&gt;=$C$358,IF($C$359&gt;0,$C$357/2+$C$359,$C$357/2),IF($C$359&gt;0,$C$358/5+$C$359,$C$359)))</f>
        <v>0</v>
      </c>
      <c r="K361" s="69">
        <f>IF(C361="mensal",IF(F361&gt;0,F361*H361,IF(D361="descartável",((SUM($C$357:$C$358)/2)+$C$359)*E361*H361,IF(D361="pessoal",E361*H361*I361,E361*H361*J361))),0)+IF(C361="trimestral",IF(F361&gt;0,F361*H361/3,IF(D361="descartável",(((SUM($C$357:$C$358)/2)+$C$359)*E361*H361)/3,IF(D361="pessoal",(E361*H361*I361)/3,(E361*H361*J361)/3))),0)+IF(C361="semestral",IF(F361&gt;0,F361*H361/6,IF(D361="descartável",(((SUM($C$357:$C$358)/2)+$C$359)*E361*H361)/6,IF(D361="pessoal",(E361*H361*I361)/6,(E361*H361*J361)/6))),0)+IF(C361="anual",IF(F361&gt;0,F361*H361/12,IF(D361="descartável",(((SUM($C$357:$C$358)/2)+$C$359)*E361*H361)/12,IF(D361="pessoal",(E361*H361*I361)/12,(E361*H361*J361)/12))),0)</f>
        <v>0</v>
      </c>
      <c r="L361" s="69">
        <f>IFERROR(K361*12, 0)</f>
        <v>0</v>
      </c>
      <c r="M361" s="69">
        <f>IFERROR(K361*60,0)</f>
        <v>0</v>
      </c>
    </row>
    <row r="362" spans="1:13" s="61" customFormat="1" ht="20.25" hidden="1" customHeight="1" x14ac:dyDescent="0.25">
      <c r="A362" s="67"/>
      <c r="B362" s="68"/>
      <c r="C362" s="69"/>
      <c r="D362" s="69"/>
      <c r="E362" s="222"/>
      <c r="F362" s="222"/>
      <c r="G362" s="68"/>
      <c r="H362" s="70" t="e">
        <f>VLOOKUP(B362,custoEPI!$B$6:$E$29,4,FALSE)</f>
        <v>#N/A</v>
      </c>
      <c r="I362" s="71">
        <f>SUM($C$357:$M$359)</f>
        <v>0</v>
      </c>
      <c r="J362" s="71" t="str">
        <f t="shared" si="80"/>
        <v>sem descrição</v>
      </c>
      <c r="K362" s="69" t="str">
        <f t="shared" ref="K362:K376" si="81">IF(C362="mensal",J362*H362*E362,IF(C362="trimestral",(J362*H362*E362)/3,IF(C362="semestral",(J362*H362*E362)/6,IF(C362="anual",(J362*H362*E362/12),"informar entrega"))))</f>
        <v>informar entrega</v>
      </c>
      <c r="L362" s="69">
        <f t="shared" ref="L362:L377" si="82">IFERROR(K362*12, 0)</f>
        <v>0</v>
      </c>
      <c r="M362" s="69">
        <f t="shared" ref="M362:M377" si="83">IFERROR(K362*60,0)</f>
        <v>0</v>
      </c>
    </row>
    <row r="363" spans="1:13" s="61" customFormat="1" ht="20.25" hidden="1" customHeight="1" x14ac:dyDescent="0.25">
      <c r="A363" s="67"/>
      <c r="B363" s="68"/>
      <c r="C363" s="69"/>
      <c r="D363" s="69"/>
      <c r="E363" s="222"/>
      <c r="F363" s="222"/>
      <c r="G363" s="68"/>
      <c r="H363" s="70" t="e">
        <f>VLOOKUP(B363,custoEPI!$B$6:$E$29,4,FALSE)</f>
        <v>#N/A</v>
      </c>
      <c r="I363" s="71">
        <f>SUM($C$357:$M$359)</f>
        <v>0</v>
      </c>
      <c r="J363" s="71" t="str">
        <f t="shared" si="80"/>
        <v>sem descrição</v>
      </c>
      <c r="K363" s="69" t="str">
        <f t="shared" si="81"/>
        <v>informar entrega</v>
      </c>
      <c r="L363" s="69">
        <f t="shared" si="82"/>
        <v>0</v>
      </c>
      <c r="M363" s="69">
        <f t="shared" si="83"/>
        <v>0</v>
      </c>
    </row>
    <row r="364" spans="1:13" s="61" customFormat="1" ht="20.25" hidden="1" customHeight="1" x14ac:dyDescent="0.25">
      <c r="A364" s="67"/>
      <c r="B364" s="68"/>
      <c r="C364" s="69"/>
      <c r="D364" s="69"/>
      <c r="E364" s="222"/>
      <c r="F364" s="222"/>
      <c r="G364" s="68"/>
      <c r="H364" s="70" t="e">
        <f>VLOOKUP(B364,custoEPI!$B$6:$E$29,4,FALSE)</f>
        <v>#N/A</v>
      </c>
      <c r="I364" s="71">
        <f>SUM($C$357:$M$359)</f>
        <v>0</v>
      </c>
      <c r="J364" s="71" t="str">
        <f t="shared" si="80"/>
        <v>sem descrição</v>
      </c>
      <c r="K364" s="69" t="str">
        <f t="shared" si="81"/>
        <v>informar entrega</v>
      </c>
      <c r="L364" s="69">
        <f t="shared" si="82"/>
        <v>0</v>
      </c>
      <c r="M364" s="69">
        <f t="shared" si="83"/>
        <v>0</v>
      </c>
    </row>
    <row r="365" spans="1:13" s="61" customFormat="1" ht="20.25" hidden="1" customHeight="1" x14ac:dyDescent="0.25">
      <c r="A365" s="67" t="s">
        <v>114</v>
      </c>
      <c r="B365" s="68"/>
      <c r="C365" s="69"/>
      <c r="D365" s="69"/>
      <c r="E365" s="222"/>
      <c r="F365" s="222"/>
      <c r="G365" s="68" t="s">
        <v>290</v>
      </c>
      <c r="H365" s="70" t="e">
        <f>VLOOKUP(B365,custoEPI!$B$6:$E$29,4,FALSE)</f>
        <v>#N/A</v>
      </c>
      <c r="I365" s="71"/>
      <c r="J365" s="71" t="str">
        <f t="shared" si="80"/>
        <v>sem descrição</v>
      </c>
      <c r="K365" s="69" t="str">
        <f t="shared" si="81"/>
        <v>informar entrega</v>
      </c>
      <c r="L365" s="69">
        <f t="shared" si="82"/>
        <v>0</v>
      </c>
      <c r="M365" s="69">
        <f t="shared" si="83"/>
        <v>0</v>
      </c>
    </row>
    <row r="366" spans="1:13" s="61" customFormat="1" ht="20.25" hidden="1" customHeight="1" x14ac:dyDescent="0.25">
      <c r="A366" s="67" t="s">
        <v>115</v>
      </c>
      <c r="B366" s="68"/>
      <c r="C366" s="69"/>
      <c r="D366" s="69"/>
      <c r="E366" s="222"/>
      <c r="F366" s="222"/>
      <c r="G366" s="68" t="s">
        <v>290</v>
      </c>
      <c r="H366" s="70" t="e">
        <f>VLOOKUP(B366,custoEPI!$B$6:$E$29,4,FALSE)</f>
        <v>#N/A</v>
      </c>
      <c r="I366" s="71"/>
      <c r="J366" s="71" t="str">
        <f t="shared" si="80"/>
        <v>sem descrição</v>
      </c>
      <c r="K366" s="69" t="str">
        <f t="shared" si="81"/>
        <v>informar entrega</v>
      </c>
      <c r="L366" s="69">
        <f t="shared" si="82"/>
        <v>0</v>
      </c>
      <c r="M366" s="69">
        <f t="shared" si="83"/>
        <v>0</v>
      </c>
    </row>
    <row r="367" spans="1:13" s="61" customFormat="1" ht="20.25" hidden="1" customHeight="1" x14ac:dyDescent="0.25">
      <c r="A367" s="67" t="s">
        <v>116</v>
      </c>
      <c r="B367" s="68"/>
      <c r="C367" s="69"/>
      <c r="D367" s="69"/>
      <c r="E367" s="222"/>
      <c r="F367" s="222"/>
      <c r="G367" s="68" t="s">
        <v>290</v>
      </c>
      <c r="H367" s="70" t="e">
        <f>VLOOKUP(B367,custoEPI!$B$6:$E$29,4,FALSE)</f>
        <v>#N/A</v>
      </c>
      <c r="I367" s="71"/>
      <c r="J367" s="71" t="str">
        <f t="shared" si="80"/>
        <v>sem descrição</v>
      </c>
      <c r="K367" s="69" t="str">
        <f t="shared" si="81"/>
        <v>informar entrega</v>
      </c>
      <c r="L367" s="69">
        <f t="shared" si="82"/>
        <v>0</v>
      </c>
      <c r="M367" s="69">
        <f t="shared" si="83"/>
        <v>0</v>
      </c>
    </row>
    <row r="368" spans="1:13" s="61" customFormat="1" ht="20.25" hidden="1" customHeight="1" x14ac:dyDescent="0.25">
      <c r="A368" s="67" t="s">
        <v>118</v>
      </c>
      <c r="B368" s="68"/>
      <c r="C368" s="69"/>
      <c r="D368" s="69"/>
      <c r="E368" s="222"/>
      <c r="F368" s="222"/>
      <c r="G368" s="68" t="s">
        <v>290</v>
      </c>
      <c r="H368" s="70" t="e">
        <f>VLOOKUP(B368,custoEPI!$B$6:$E$29,4,FALSE)</f>
        <v>#N/A</v>
      </c>
      <c r="I368" s="71"/>
      <c r="J368" s="71" t="str">
        <f t="shared" si="80"/>
        <v>sem descrição</v>
      </c>
      <c r="K368" s="69" t="str">
        <f t="shared" si="81"/>
        <v>informar entrega</v>
      </c>
      <c r="L368" s="69">
        <f t="shared" si="82"/>
        <v>0</v>
      </c>
      <c r="M368" s="69">
        <f t="shared" si="83"/>
        <v>0</v>
      </c>
    </row>
    <row r="369" spans="1:13" s="61" customFormat="1" ht="20.25" hidden="1" customHeight="1" x14ac:dyDescent="0.25">
      <c r="A369" s="67" t="s">
        <v>121</v>
      </c>
      <c r="B369" s="68"/>
      <c r="C369" s="69"/>
      <c r="D369" s="69"/>
      <c r="E369" s="222"/>
      <c r="F369" s="222"/>
      <c r="G369" s="68"/>
      <c r="H369" s="70" t="e">
        <f>VLOOKUP(B369,custoEPI!$B$6:$E$29,4,FALSE)</f>
        <v>#N/A</v>
      </c>
      <c r="I369" s="71"/>
      <c r="J369" s="71" t="str">
        <f t="shared" si="80"/>
        <v>sem descrição</v>
      </c>
      <c r="K369" s="69" t="str">
        <f t="shared" si="81"/>
        <v>informar entrega</v>
      </c>
      <c r="L369" s="69">
        <f t="shared" si="82"/>
        <v>0</v>
      </c>
      <c r="M369" s="69">
        <f t="shared" si="83"/>
        <v>0</v>
      </c>
    </row>
    <row r="370" spans="1:13" s="61" customFormat="1" ht="20.25" hidden="1" customHeight="1" x14ac:dyDescent="0.25">
      <c r="A370" s="67" t="s">
        <v>125</v>
      </c>
      <c r="B370" s="68"/>
      <c r="C370" s="69"/>
      <c r="D370" s="69"/>
      <c r="E370" s="222"/>
      <c r="F370" s="222"/>
      <c r="G370" s="68"/>
      <c r="H370" s="70"/>
      <c r="I370" s="71"/>
      <c r="J370" s="71" t="str">
        <f t="shared" si="80"/>
        <v>sem descrição</v>
      </c>
      <c r="K370" s="69" t="str">
        <f t="shared" si="81"/>
        <v>informar entrega</v>
      </c>
      <c r="L370" s="69">
        <f t="shared" si="82"/>
        <v>0</v>
      </c>
      <c r="M370" s="69">
        <f t="shared" si="83"/>
        <v>0</v>
      </c>
    </row>
    <row r="371" spans="1:13" s="61" customFormat="1" ht="20.25" hidden="1" customHeight="1" x14ac:dyDescent="0.25">
      <c r="A371" s="67" t="s">
        <v>127</v>
      </c>
      <c r="B371" s="68"/>
      <c r="C371" s="69"/>
      <c r="D371" s="69"/>
      <c r="E371" s="222"/>
      <c r="F371" s="222"/>
      <c r="G371" s="68"/>
      <c r="H371" s="70"/>
      <c r="I371" s="70"/>
      <c r="J371" s="71" t="str">
        <f t="shared" si="80"/>
        <v>sem descrição</v>
      </c>
      <c r="K371" s="69" t="str">
        <f t="shared" si="81"/>
        <v>informar entrega</v>
      </c>
      <c r="L371" s="69">
        <f t="shared" si="82"/>
        <v>0</v>
      </c>
      <c r="M371" s="69">
        <f t="shared" si="83"/>
        <v>0</v>
      </c>
    </row>
    <row r="372" spans="1:13" s="61" customFormat="1" ht="20.25" hidden="1" customHeight="1" x14ac:dyDescent="0.25">
      <c r="A372" s="67" t="s">
        <v>129</v>
      </c>
      <c r="B372" s="68"/>
      <c r="C372" s="69"/>
      <c r="D372" s="69"/>
      <c r="E372" s="222"/>
      <c r="F372" s="222"/>
      <c r="G372" s="68"/>
      <c r="H372" s="70"/>
      <c r="I372" s="70"/>
      <c r="J372" s="71" t="str">
        <f t="shared" si="80"/>
        <v>sem descrição</v>
      </c>
      <c r="K372" s="69" t="str">
        <f t="shared" si="81"/>
        <v>informar entrega</v>
      </c>
      <c r="L372" s="69">
        <f t="shared" si="82"/>
        <v>0</v>
      </c>
      <c r="M372" s="69">
        <f t="shared" si="83"/>
        <v>0</v>
      </c>
    </row>
    <row r="373" spans="1:13" s="61" customFormat="1" ht="20.25" hidden="1" customHeight="1" x14ac:dyDescent="0.25">
      <c r="A373" s="67" t="s">
        <v>131</v>
      </c>
      <c r="B373" s="68"/>
      <c r="C373" s="69"/>
      <c r="D373" s="69"/>
      <c r="E373" s="222"/>
      <c r="F373" s="222"/>
      <c r="G373" s="68"/>
      <c r="H373" s="70"/>
      <c r="I373" s="70"/>
      <c r="J373" s="71" t="str">
        <f t="shared" si="80"/>
        <v>sem descrição</v>
      </c>
      <c r="K373" s="69" t="str">
        <f t="shared" si="81"/>
        <v>informar entrega</v>
      </c>
      <c r="L373" s="69">
        <f t="shared" si="82"/>
        <v>0</v>
      </c>
      <c r="M373" s="69">
        <f t="shared" si="83"/>
        <v>0</v>
      </c>
    </row>
    <row r="374" spans="1:13" s="61" customFormat="1" ht="20.25" hidden="1" customHeight="1" x14ac:dyDescent="0.25">
      <c r="A374" s="67" t="s">
        <v>188</v>
      </c>
      <c r="B374" s="68"/>
      <c r="C374" s="69"/>
      <c r="D374" s="69"/>
      <c r="E374" s="222"/>
      <c r="F374" s="222"/>
      <c r="G374" s="68"/>
      <c r="H374" s="70"/>
      <c r="I374" s="70"/>
      <c r="J374" s="71" t="str">
        <f t="shared" si="80"/>
        <v>sem descrição</v>
      </c>
      <c r="K374" s="69" t="str">
        <f t="shared" si="81"/>
        <v>informar entrega</v>
      </c>
      <c r="L374" s="69">
        <f t="shared" si="82"/>
        <v>0</v>
      </c>
      <c r="M374" s="69">
        <f t="shared" si="83"/>
        <v>0</v>
      </c>
    </row>
    <row r="375" spans="1:13" s="61" customFormat="1" ht="20.25" hidden="1" customHeight="1" x14ac:dyDescent="0.25">
      <c r="A375" s="67" t="s">
        <v>192</v>
      </c>
      <c r="B375" s="68"/>
      <c r="C375" s="69"/>
      <c r="D375" s="69"/>
      <c r="E375" s="222"/>
      <c r="F375" s="222"/>
      <c r="G375" s="68"/>
      <c r="H375" s="70"/>
      <c r="I375" s="70"/>
      <c r="J375" s="71" t="str">
        <f t="shared" si="80"/>
        <v>sem descrição</v>
      </c>
      <c r="K375" s="69" t="str">
        <f t="shared" si="81"/>
        <v>informar entrega</v>
      </c>
      <c r="L375" s="69">
        <f t="shared" si="82"/>
        <v>0</v>
      </c>
      <c r="M375" s="69">
        <f t="shared" si="83"/>
        <v>0</v>
      </c>
    </row>
    <row r="376" spans="1:13" s="61" customFormat="1" ht="20.25" hidden="1" customHeight="1" x14ac:dyDescent="0.25">
      <c r="A376" s="67" t="s">
        <v>195</v>
      </c>
      <c r="B376" s="68"/>
      <c r="C376" s="69"/>
      <c r="D376" s="69"/>
      <c r="E376" s="222"/>
      <c r="F376" s="222"/>
      <c r="G376" s="68"/>
      <c r="H376" s="70"/>
      <c r="I376" s="70"/>
      <c r="J376" s="71" t="str">
        <f t="shared" si="80"/>
        <v>sem descrição</v>
      </c>
      <c r="K376" s="69" t="str">
        <f t="shared" si="81"/>
        <v>informar entrega</v>
      </c>
      <c r="L376" s="69">
        <f t="shared" si="82"/>
        <v>0</v>
      </c>
      <c r="M376" s="69">
        <f t="shared" si="83"/>
        <v>0</v>
      </c>
    </row>
    <row r="377" spans="1:13" s="61" customFormat="1" ht="20.25" hidden="1" customHeight="1" x14ac:dyDescent="0.25">
      <c r="A377" s="67" t="s">
        <v>199</v>
      </c>
      <c r="B377" s="68"/>
      <c r="C377" s="69"/>
      <c r="D377" s="69"/>
      <c r="E377" s="222"/>
      <c r="F377" s="222"/>
      <c r="G377" s="68"/>
      <c r="H377" s="70"/>
      <c r="I377" s="70"/>
      <c r="J377" s="71" t="str">
        <f t="shared" si="80"/>
        <v>sem descrição</v>
      </c>
      <c r="K377" s="69" t="str">
        <f>IF(C377="mensal",J377*H377*E377,IF(C377="trimestral",(J377*H377*E377)/3,IF(C377="semestral",(J377*H377*E377)/6,IF(C377="anual",(J377*H377*E377/12),"informar período"))))</f>
        <v>informar período</v>
      </c>
      <c r="L377" s="69">
        <f t="shared" si="82"/>
        <v>0</v>
      </c>
      <c r="M377" s="69">
        <f t="shared" si="83"/>
        <v>0</v>
      </c>
    </row>
    <row r="378" spans="1:13" s="61" customFormat="1" ht="20.25" hidden="1" customHeight="1" x14ac:dyDescent="0.25">
      <c r="A378" s="152" t="s">
        <v>330</v>
      </c>
      <c r="B378" s="147"/>
      <c r="C378" s="147"/>
      <c r="D378" s="147"/>
      <c r="E378" s="147"/>
      <c r="F378" s="147"/>
      <c r="G378" s="147"/>
      <c r="H378" s="147"/>
      <c r="I378" s="139"/>
      <c r="J378" s="155"/>
      <c r="K378" s="156">
        <f>SUM(K361:K377)</f>
        <v>0</v>
      </c>
      <c r="L378" s="157">
        <f>K378*12</f>
        <v>0</v>
      </c>
      <c r="M378" s="158">
        <f>K378*60</f>
        <v>0</v>
      </c>
    </row>
    <row r="379" spans="1:13" s="61" customFormat="1" ht="20.25" hidden="1" customHeight="1" x14ac:dyDescent="0.25">
      <c r="A379" s="152" t="s">
        <v>302</v>
      </c>
      <c r="B379" s="147"/>
      <c r="C379" s="147"/>
      <c r="D379" s="147"/>
      <c r="E379" s="147"/>
      <c r="F379" s="147"/>
      <c r="G379" s="147"/>
      <c r="H379" s="147"/>
      <c r="I379" s="147"/>
      <c r="J379" s="147"/>
      <c r="K379" s="147"/>
      <c r="L379" s="147"/>
      <c r="M379" s="159" t="e">
        <f>K378/SUM(C357:M359)</f>
        <v>#DIV/0!</v>
      </c>
    </row>
    <row r="380" spans="1:13" s="61" customFormat="1" ht="20.25" customHeight="1" x14ac:dyDescent="0.25">
      <c r="A380" s="235" t="s">
        <v>273</v>
      </c>
      <c r="B380" s="143" t="s">
        <v>19</v>
      </c>
      <c r="C380" s="153"/>
      <c r="D380" s="153"/>
      <c r="E380" s="153"/>
      <c r="F380" s="153"/>
      <c r="G380" s="153"/>
      <c r="H380" s="153"/>
      <c r="I380" s="153"/>
      <c r="J380" s="153"/>
      <c r="K380" s="153"/>
      <c r="L380" s="153"/>
      <c r="M380" s="154"/>
    </row>
    <row r="381" spans="1:13" s="61" customFormat="1" ht="20.25" customHeight="1" x14ac:dyDescent="0.25">
      <c r="A381" s="62">
        <v>1</v>
      </c>
      <c r="B381" s="63" t="s">
        <v>274</v>
      </c>
      <c r="C381" s="216" t="s">
        <v>244</v>
      </c>
      <c r="D381" s="217"/>
      <c r="E381" s="217"/>
      <c r="F381" s="217"/>
      <c r="G381" s="217"/>
      <c r="H381" s="145"/>
      <c r="I381" s="145"/>
      <c r="J381" s="145"/>
      <c r="K381" s="145"/>
      <c r="L381" s="145"/>
      <c r="M381" s="146"/>
    </row>
    <row r="382" spans="1:13" s="61" customFormat="1" ht="20.25" hidden="1" customHeight="1" x14ac:dyDescent="0.25">
      <c r="A382" s="62"/>
      <c r="B382" s="63"/>
      <c r="C382" s="216"/>
      <c r="D382" s="217"/>
      <c r="E382" s="217"/>
      <c r="F382" s="217"/>
      <c r="G382" s="217"/>
      <c r="H382" s="145"/>
      <c r="I382" s="145"/>
      <c r="J382" s="145"/>
      <c r="K382" s="145"/>
      <c r="L382" s="145"/>
      <c r="M382" s="146"/>
    </row>
    <row r="383" spans="1:13" s="61" customFormat="1" ht="20.25" hidden="1" customHeight="1" x14ac:dyDescent="0.25">
      <c r="A383" s="62"/>
      <c r="B383" s="63"/>
      <c r="C383" s="213"/>
      <c r="D383" s="214"/>
      <c r="E383" s="214"/>
      <c r="F383" s="214"/>
      <c r="G383" s="214"/>
      <c r="H383" s="148"/>
      <c r="I383" s="148"/>
      <c r="J383" s="148"/>
      <c r="K383" s="148"/>
      <c r="L383" s="148"/>
      <c r="M383" s="149"/>
    </row>
    <row r="384" spans="1:13" s="61" customFormat="1" ht="20.25" customHeight="1" x14ac:dyDescent="0.25">
      <c r="A384" s="62">
        <v>2</v>
      </c>
      <c r="B384" s="63" t="str">
        <f>'planilha - proposta'!D54</f>
        <v>Supervisor de Hotelaria - 44h</v>
      </c>
      <c r="C384" s="216">
        <v>1</v>
      </c>
      <c r="D384" s="217"/>
      <c r="E384" s="217"/>
      <c r="F384" s="217"/>
      <c r="G384" s="217"/>
      <c r="H384" s="145"/>
      <c r="I384" s="145"/>
      <c r="J384" s="145"/>
      <c r="K384" s="145"/>
      <c r="L384" s="145"/>
      <c r="M384" s="146"/>
    </row>
    <row r="385" spans="1:13" s="61" customFormat="1" ht="52.5" customHeight="1" x14ac:dyDescent="0.25">
      <c r="A385" s="64" t="s">
        <v>273</v>
      </c>
      <c r="B385" s="65" t="s">
        <v>275</v>
      </c>
      <c r="C385" s="218" t="s">
        <v>276</v>
      </c>
      <c r="D385" s="218" t="s">
        <v>277</v>
      </c>
      <c r="E385" s="218" t="s">
        <v>278</v>
      </c>
      <c r="F385" s="218" t="s">
        <v>303</v>
      </c>
      <c r="G385" s="223" t="s">
        <v>280</v>
      </c>
      <c r="H385" s="65" t="s">
        <v>304</v>
      </c>
      <c r="I385" s="66" t="s">
        <v>305</v>
      </c>
      <c r="J385" s="66" t="s">
        <v>318</v>
      </c>
      <c r="K385" s="65" t="s">
        <v>284</v>
      </c>
      <c r="L385" s="65" t="s">
        <v>285</v>
      </c>
      <c r="M385" s="66" t="s">
        <v>286</v>
      </c>
    </row>
    <row r="386" spans="1:13" s="61" customFormat="1" ht="20.25" customHeight="1" x14ac:dyDescent="0.25">
      <c r="A386" s="67" t="s">
        <v>108</v>
      </c>
      <c r="B386" s="68" t="s">
        <v>287</v>
      </c>
      <c r="C386" s="69" t="s">
        <v>288</v>
      </c>
      <c r="D386" s="69" t="s">
        <v>289</v>
      </c>
      <c r="E386" s="222">
        <f>3*30</f>
        <v>90</v>
      </c>
      <c r="F386" s="222">
        <v>0</v>
      </c>
      <c r="G386" s="68" t="s">
        <v>290</v>
      </c>
      <c r="H386" s="70">
        <f>VLOOKUP(B386,custoEPI!$B$6:$E$29,4,FALSE)</f>
        <v>0</v>
      </c>
      <c r="I386" s="71">
        <f>SUM($C$382:$M$384)</f>
        <v>1</v>
      </c>
      <c r="J386" s="71">
        <f t="shared" ref="J386:J402" si="84">IF(B386="","sem descrição",IF($C$382&gt;=$C$383,IF($C$384&gt;0,$C$382/2+$C$384,$C$382/2),IF($C$384&gt;0,$C$383/5+$C$384,$C$384)))</f>
        <v>1</v>
      </c>
      <c r="K386" s="69">
        <f>IF(C386="mensal",IF(F386&gt;0,F386*H386,IF(D386="descartável",((SUM($C$382:$C$383)/2)+$C$384)*E386*H386,IF(D386="pessoal",E386*H386*I386,E386*H386*J386))),0)+IF(C386="trimestral",IF(F386&gt;0,F386*H386/3,IF(D386="descartável",(((SUM($C$382:$C$383)/2)+$C$384)*E386*H386)/3,IF(D386="pessoal",(E386*H386*I386)/3,(E386*H386*J386)/3))),0)+IF(C386="semestral",IF(F386&gt;0,F386*H386/6,IF(D386="descartável",(((SUM($C$382:$C$383)/2)+$C$384)*E386*H386)/6,IF(D386="pessoal",(E386*H386*I386)/6,(E386*H386*J386)/6))),0)+IF(C386="anual",IF(F386&gt;0,F386*H386/12,IF(D386="descartável",(((SUM($C$382:$C$383)/2)+$C$384)*E386*H386)/12,IF(D386="pessoal",(E386*H386*I386)/12,(E386*H386*J386)/12))),0)</f>
        <v>0</v>
      </c>
      <c r="L386" s="69">
        <f>IFERROR(K386*12, 0)</f>
        <v>0</v>
      </c>
      <c r="M386" s="69">
        <f>IFERROR(K386*60,0)</f>
        <v>0</v>
      </c>
    </row>
    <row r="387" spans="1:13" s="61" customFormat="1" ht="20.25" customHeight="1" x14ac:dyDescent="0.25">
      <c r="A387" s="67" t="s">
        <v>110</v>
      </c>
      <c r="B387" s="68" t="s">
        <v>294</v>
      </c>
      <c r="C387" s="69" t="s">
        <v>288</v>
      </c>
      <c r="D387" s="69" t="s">
        <v>289</v>
      </c>
      <c r="E387" s="222">
        <v>34</v>
      </c>
      <c r="F387" s="222">
        <v>0</v>
      </c>
      <c r="G387" s="68" t="s">
        <v>290</v>
      </c>
      <c r="H387" s="70">
        <f>VLOOKUP(B387,custoEPI!$B$6:$E$29,4,FALSE)</f>
        <v>0</v>
      </c>
      <c r="I387" s="71">
        <f>SUM($C$382:$M$384)</f>
        <v>1</v>
      </c>
      <c r="J387" s="71">
        <f t="shared" si="84"/>
        <v>1</v>
      </c>
      <c r="K387" s="69">
        <f>IF(C387="mensal",IF(F387&gt;0,F387*H387,IF(D387="descartável",((SUM($C$382:$C$383)/2)+$C$384)*E387*H387,IF(D387="pessoal",E387*H387*I387,E387*H387*J387))),0)+IF(C387="trimestral",IF(F387&gt;0,F387*H387/3,IF(D387="descartável",(((SUM($C$382:$C$383)/2)+$C$384)*E387*H387)/3,IF(D387="pessoal",(E387*H387*I387)/3,(E387*H387*J387)/3))),0)+IF(C387="semestral",IF(F387&gt;0,F387*H387/6,IF(D387="descartável",(((SUM($C$382:$C$383)/2)+$C$384)*E387*H387)/6,IF(D387="pessoal",(E387*H387*I387)/6,(E387*H387*J387)/6))),0)+IF(C387="anual",IF(F387&gt;0,F387*H387/12,IF(D387="descartável",(((SUM($C$382:$C$383)/2)+$C$384)*E387*H387)/12,IF(D387="pessoal",(E387*H387*I387)/12,(E387*H387*J387)/12))),0)</f>
        <v>0</v>
      </c>
      <c r="L387" s="69">
        <f t="shared" ref="L387:L402" si="85">IFERROR(K387*12, 0)</f>
        <v>0</v>
      </c>
      <c r="M387" s="69">
        <f t="shared" ref="M387:M402" si="86">IFERROR(K387*60,0)</f>
        <v>0</v>
      </c>
    </row>
    <row r="388" spans="1:13" s="61" customFormat="1" ht="20.25" hidden="1" customHeight="1" x14ac:dyDescent="0.25">
      <c r="A388" s="67"/>
      <c r="B388" s="68"/>
      <c r="C388" s="69"/>
      <c r="D388" s="69"/>
      <c r="E388" s="222"/>
      <c r="F388" s="222"/>
      <c r="G388" s="68" t="s">
        <v>290</v>
      </c>
      <c r="H388" s="70" t="e">
        <f>VLOOKUP(B388,custoEPI!$B$6:$E$29,4,FALSE)</f>
        <v>#N/A</v>
      </c>
      <c r="I388" s="71">
        <f>SUM($C$382:$M$384)</f>
        <v>1</v>
      </c>
      <c r="J388" s="71" t="str">
        <f t="shared" si="84"/>
        <v>sem descrição</v>
      </c>
      <c r="K388" s="69" t="str">
        <f t="shared" ref="K388:K401" si="87">IF(C388="mensal",J388*H388*E388,IF(C388="trimestral",(J388*H388*E388)/3,IF(C388="semestral",(J388*H388*E388)/6,IF(C388="anual",(J388*H388*E388/12),"informar entrega"))))</f>
        <v>informar entrega</v>
      </c>
      <c r="L388" s="69">
        <f t="shared" si="85"/>
        <v>0</v>
      </c>
      <c r="M388" s="69">
        <f t="shared" si="86"/>
        <v>0</v>
      </c>
    </row>
    <row r="389" spans="1:13" s="61" customFormat="1" ht="20.25" hidden="1" customHeight="1" x14ac:dyDescent="0.25">
      <c r="A389" s="67"/>
      <c r="B389" s="68"/>
      <c r="C389" s="69"/>
      <c r="D389" s="69"/>
      <c r="E389" s="222"/>
      <c r="F389" s="222"/>
      <c r="G389" s="68"/>
      <c r="H389" s="70" t="e">
        <f>VLOOKUP(B389,custoEPI!$B$6:$E$29,4,FALSE)</f>
        <v>#N/A</v>
      </c>
      <c r="I389" s="71">
        <f>SUM($C$382:$M$384)</f>
        <v>1</v>
      </c>
      <c r="J389" s="71" t="str">
        <f t="shared" si="84"/>
        <v>sem descrição</v>
      </c>
      <c r="K389" s="69" t="str">
        <f t="shared" si="87"/>
        <v>informar entrega</v>
      </c>
      <c r="L389" s="69">
        <f t="shared" si="85"/>
        <v>0</v>
      </c>
      <c r="M389" s="69">
        <f t="shared" si="86"/>
        <v>0</v>
      </c>
    </row>
    <row r="390" spans="1:13" s="61" customFormat="1" ht="20.25" hidden="1" customHeight="1" x14ac:dyDescent="0.25">
      <c r="A390" s="67" t="s">
        <v>114</v>
      </c>
      <c r="B390" s="68"/>
      <c r="C390" s="69"/>
      <c r="D390" s="69"/>
      <c r="E390" s="222"/>
      <c r="F390" s="222"/>
      <c r="G390" s="68" t="s">
        <v>290</v>
      </c>
      <c r="H390" s="70" t="e">
        <f>VLOOKUP(B390,custoEPI!$B$6:$E$29,4,FALSE)</f>
        <v>#N/A</v>
      </c>
      <c r="I390" s="71"/>
      <c r="J390" s="71" t="str">
        <f t="shared" si="84"/>
        <v>sem descrição</v>
      </c>
      <c r="K390" s="69" t="str">
        <f t="shared" si="87"/>
        <v>informar entrega</v>
      </c>
      <c r="L390" s="69">
        <f t="shared" si="85"/>
        <v>0</v>
      </c>
      <c r="M390" s="69">
        <f t="shared" si="86"/>
        <v>0</v>
      </c>
    </row>
    <row r="391" spans="1:13" s="61" customFormat="1" ht="20.25" hidden="1" customHeight="1" x14ac:dyDescent="0.25">
      <c r="A391" s="67" t="s">
        <v>115</v>
      </c>
      <c r="B391" s="68"/>
      <c r="C391" s="69"/>
      <c r="D391" s="69"/>
      <c r="E391" s="222"/>
      <c r="F391" s="222"/>
      <c r="G391" s="68" t="s">
        <v>290</v>
      </c>
      <c r="H391" s="70" t="e">
        <f>VLOOKUP(B391,custoEPI!$B$6:$E$29,4,FALSE)</f>
        <v>#N/A</v>
      </c>
      <c r="I391" s="71"/>
      <c r="J391" s="71" t="str">
        <f t="shared" si="84"/>
        <v>sem descrição</v>
      </c>
      <c r="K391" s="69" t="str">
        <f t="shared" si="87"/>
        <v>informar entrega</v>
      </c>
      <c r="L391" s="69">
        <f t="shared" si="85"/>
        <v>0</v>
      </c>
      <c r="M391" s="69">
        <f t="shared" si="86"/>
        <v>0</v>
      </c>
    </row>
    <row r="392" spans="1:13" s="61" customFormat="1" ht="20.25" hidden="1" customHeight="1" x14ac:dyDescent="0.25">
      <c r="A392" s="67" t="s">
        <v>116</v>
      </c>
      <c r="B392" s="68"/>
      <c r="C392" s="69"/>
      <c r="D392" s="69"/>
      <c r="E392" s="222"/>
      <c r="F392" s="222"/>
      <c r="G392" s="68" t="s">
        <v>290</v>
      </c>
      <c r="H392" s="70" t="e">
        <f>VLOOKUP(B392,custoEPI!$B$6:$E$29,4,FALSE)</f>
        <v>#N/A</v>
      </c>
      <c r="I392" s="71"/>
      <c r="J392" s="71" t="str">
        <f t="shared" si="84"/>
        <v>sem descrição</v>
      </c>
      <c r="K392" s="69" t="str">
        <f t="shared" si="87"/>
        <v>informar entrega</v>
      </c>
      <c r="L392" s="69">
        <f t="shared" si="85"/>
        <v>0</v>
      </c>
      <c r="M392" s="69">
        <f t="shared" si="86"/>
        <v>0</v>
      </c>
    </row>
    <row r="393" spans="1:13" s="61" customFormat="1" ht="20.25" hidden="1" customHeight="1" x14ac:dyDescent="0.25">
      <c r="A393" s="67" t="s">
        <v>118</v>
      </c>
      <c r="B393" s="68"/>
      <c r="C393" s="69"/>
      <c r="D393" s="69"/>
      <c r="E393" s="222"/>
      <c r="F393" s="222"/>
      <c r="G393" s="68" t="s">
        <v>290</v>
      </c>
      <c r="H393" s="70" t="e">
        <f>VLOOKUP(B393,custoEPI!$B$6:$E$29,4,FALSE)</f>
        <v>#N/A</v>
      </c>
      <c r="I393" s="71"/>
      <c r="J393" s="71" t="str">
        <f t="shared" si="84"/>
        <v>sem descrição</v>
      </c>
      <c r="K393" s="69" t="str">
        <f t="shared" si="87"/>
        <v>informar entrega</v>
      </c>
      <c r="L393" s="69">
        <f t="shared" si="85"/>
        <v>0</v>
      </c>
      <c r="M393" s="69">
        <f t="shared" si="86"/>
        <v>0</v>
      </c>
    </row>
    <row r="394" spans="1:13" s="61" customFormat="1" ht="20.25" hidden="1" customHeight="1" x14ac:dyDescent="0.25">
      <c r="A394" s="67" t="s">
        <v>121</v>
      </c>
      <c r="B394" s="68"/>
      <c r="C394" s="69"/>
      <c r="D394" s="69"/>
      <c r="E394" s="222"/>
      <c r="F394" s="222"/>
      <c r="G394" s="68"/>
      <c r="H394" s="70" t="e">
        <f>VLOOKUP(B394,custoEPI!$B$6:$E$29,4,FALSE)</f>
        <v>#N/A</v>
      </c>
      <c r="I394" s="71"/>
      <c r="J394" s="71" t="str">
        <f t="shared" si="84"/>
        <v>sem descrição</v>
      </c>
      <c r="K394" s="69" t="str">
        <f t="shared" si="87"/>
        <v>informar entrega</v>
      </c>
      <c r="L394" s="69">
        <f t="shared" si="85"/>
        <v>0</v>
      </c>
      <c r="M394" s="69">
        <f t="shared" si="86"/>
        <v>0</v>
      </c>
    </row>
    <row r="395" spans="1:13" s="61" customFormat="1" ht="20.25" hidden="1" customHeight="1" x14ac:dyDescent="0.25">
      <c r="A395" s="67" t="s">
        <v>125</v>
      </c>
      <c r="B395" s="68"/>
      <c r="C395" s="69"/>
      <c r="D395" s="69"/>
      <c r="E395" s="222"/>
      <c r="F395" s="222"/>
      <c r="G395" s="68"/>
      <c r="H395" s="70"/>
      <c r="I395" s="71"/>
      <c r="J395" s="71" t="str">
        <f t="shared" si="84"/>
        <v>sem descrição</v>
      </c>
      <c r="K395" s="69" t="str">
        <f t="shared" si="87"/>
        <v>informar entrega</v>
      </c>
      <c r="L395" s="69">
        <f t="shared" si="85"/>
        <v>0</v>
      </c>
      <c r="M395" s="69">
        <f t="shared" si="86"/>
        <v>0</v>
      </c>
    </row>
    <row r="396" spans="1:13" s="61" customFormat="1" ht="20.25" hidden="1" customHeight="1" x14ac:dyDescent="0.25">
      <c r="A396" s="67" t="s">
        <v>127</v>
      </c>
      <c r="B396" s="68"/>
      <c r="C396" s="69"/>
      <c r="D396" s="69"/>
      <c r="E396" s="222"/>
      <c r="F396" s="222"/>
      <c r="G396" s="68"/>
      <c r="H396" s="70"/>
      <c r="I396" s="70"/>
      <c r="J396" s="71" t="str">
        <f t="shared" si="84"/>
        <v>sem descrição</v>
      </c>
      <c r="K396" s="69" t="str">
        <f t="shared" si="87"/>
        <v>informar entrega</v>
      </c>
      <c r="L396" s="69">
        <f t="shared" si="85"/>
        <v>0</v>
      </c>
      <c r="M396" s="69">
        <f t="shared" si="86"/>
        <v>0</v>
      </c>
    </row>
    <row r="397" spans="1:13" s="61" customFormat="1" ht="20.25" hidden="1" customHeight="1" x14ac:dyDescent="0.25">
      <c r="A397" s="67" t="s">
        <v>129</v>
      </c>
      <c r="B397" s="68"/>
      <c r="C397" s="69"/>
      <c r="D397" s="69"/>
      <c r="E397" s="222"/>
      <c r="F397" s="222"/>
      <c r="G397" s="68"/>
      <c r="H397" s="70"/>
      <c r="I397" s="70"/>
      <c r="J397" s="71" t="str">
        <f t="shared" si="84"/>
        <v>sem descrição</v>
      </c>
      <c r="K397" s="69" t="str">
        <f t="shared" si="87"/>
        <v>informar entrega</v>
      </c>
      <c r="L397" s="69">
        <f t="shared" si="85"/>
        <v>0</v>
      </c>
      <c r="M397" s="69">
        <f t="shared" si="86"/>
        <v>0</v>
      </c>
    </row>
    <row r="398" spans="1:13" s="61" customFormat="1" ht="20.25" hidden="1" customHeight="1" x14ac:dyDescent="0.25">
      <c r="A398" s="67" t="s">
        <v>131</v>
      </c>
      <c r="B398" s="68"/>
      <c r="C398" s="69"/>
      <c r="D398" s="69"/>
      <c r="E398" s="222"/>
      <c r="F398" s="222"/>
      <c r="G398" s="68"/>
      <c r="H398" s="70"/>
      <c r="I398" s="70"/>
      <c r="J398" s="71" t="str">
        <f t="shared" si="84"/>
        <v>sem descrição</v>
      </c>
      <c r="K398" s="69" t="str">
        <f t="shared" si="87"/>
        <v>informar entrega</v>
      </c>
      <c r="L398" s="69">
        <f t="shared" si="85"/>
        <v>0</v>
      </c>
      <c r="M398" s="69">
        <f t="shared" si="86"/>
        <v>0</v>
      </c>
    </row>
    <row r="399" spans="1:13" s="61" customFormat="1" ht="20.25" hidden="1" customHeight="1" x14ac:dyDescent="0.25">
      <c r="A399" s="67" t="s">
        <v>188</v>
      </c>
      <c r="B399" s="68"/>
      <c r="C399" s="69"/>
      <c r="D399" s="69"/>
      <c r="E399" s="222"/>
      <c r="F399" s="222"/>
      <c r="G399" s="68"/>
      <c r="H399" s="70"/>
      <c r="I399" s="70"/>
      <c r="J399" s="71" t="str">
        <f t="shared" si="84"/>
        <v>sem descrição</v>
      </c>
      <c r="K399" s="69" t="str">
        <f t="shared" si="87"/>
        <v>informar entrega</v>
      </c>
      <c r="L399" s="69">
        <f t="shared" si="85"/>
        <v>0</v>
      </c>
      <c r="M399" s="69">
        <f t="shared" si="86"/>
        <v>0</v>
      </c>
    </row>
    <row r="400" spans="1:13" s="61" customFormat="1" ht="20.25" hidden="1" customHeight="1" x14ac:dyDescent="0.25">
      <c r="A400" s="67" t="s">
        <v>192</v>
      </c>
      <c r="B400" s="68"/>
      <c r="C400" s="69"/>
      <c r="D400" s="69"/>
      <c r="E400" s="222"/>
      <c r="F400" s="222"/>
      <c r="G400" s="68"/>
      <c r="H400" s="70"/>
      <c r="I400" s="70"/>
      <c r="J400" s="71" t="str">
        <f t="shared" si="84"/>
        <v>sem descrição</v>
      </c>
      <c r="K400" s="69" t="str">
        <f t="shared" si="87"/>
        <v>informar entrega</v>
      </c>
      <c r="L400" s="69">
        <f t="shared" si="85"/>
        <v>0</v>
      </c>
      <c r="M400" s="69">
        <f t="shared" si="86"/>
        <v>0</v>
      </c>
    </row>
    <row r="401" spans="1:13" s="61" customFormat="1" ht="20.25" hidden="1" customHeight="1" x14ac:dyDescent="0.25">
      <c r="A401" s="67" t="s">
        <v>195</v>
      </c>
      <c r="B401" s="68"/>
      <c r="C401" s="69"/>
      <c r="D401" s="69"/>
      <c r="E401" s="222"/>
      <c r="F401" s="222"/>
      <c r="G401" s="68"/>
      <c r="H401" s="70"/>
      <c r="I401" s="70"/>
      <c r="J401" s="71" t="str">
        <f t="shared" si="84"/>
        <v>sem descrição</v>
      </c>
      <c r="K401" s="69" t="str">
        <f t="shared" si="87"/>
        <v>informar entrega</v>
      </c>
      <c r="L401" s="69">
        <f t="shared" si="85"/>
        <v>0</v>
      </c>
      <c r="M401" s="69">
        <f t="shared" si="86"/>
        <v>0</v>
      </c>
    </row>
    <row r="402" spans="1:13" s="61" customFormat="1" ht="20.25" hidden="1" customHeight="1" x14ac:dyDescent="0.25">
      <c r="A402" s="67" t="s">
        <v>199</v>
      </c>
      <c r="B402" s="68"/>
      <c r="C402" s="69"/>
      <c r="D402" s="69"/>
      <c r="E402" s="222"/>
      <c r="F402" s="222"/>
      <c r="G402" s="68"/>
      <c r="H402" s="70"/>
      <c r="I402" s="70"/>
      <c r="J402" s="71" t="str">
        <f t="shared" si="84"/>
        <v>sem descrição</v>
      </c>
      <c r="K402" s="69" t="str">
        <f>IF(C402="mensal",J402*H402*E402,IF(C402="trimestral",(J402*H402*E402)/3,IF(C402="semestral",(J402*H402*E402)/6,IF(C402="anual",(J402*H402*E402/12),"informar período"))))</f>
        <v>informar período</v>
      </c>
      <c r="L402" s="69">
        <f t="shared" si="85"/>
        <v>0</v>
      </c>
      <c r="M402" s="69">
        <f t="shared" si="86"/>
        <v>0</v>
      </c>
    </row>
    <row r="403" spans="1:13" s="61" customFormat="1" ht="20.25" customHeight="1" x14ac:dyDescent="0.25">
      <c r="A403" s="152" t="s">
        <v>394</v>
      </c>
      <c r="B403" s="147"/>
      <c r="C403" s="147"/>
      <c r="D403" s="147"/>
      <c r="E403" s="147"/>
      <c r="F403" s="147"/>
      <c r="G403" s="147"/>
      <c r="H403" s="147"/>
      <c r="I403" s="139"/>
      <c r="J403" s="155"/>
      <c r="K403" s="156">
        <f>SUM(K386:K402)</f>
        <v>0</v>
      </c>
      <c r="L403" s="157">
        <f>K403*12</f>
        <v>0</v>
      </c>
      <c r="M403" s="158">
        <f>K403*60</f>
        <v>0</v>
      </c>
    </row>
    <row r="404" spans="1:13" s="61" customFormat="1" ht="20.25" customHeight="1" x14ac:dyDescent="0.25">
      <c r="A404" s="152" t="s">
        <v>302</v>
      </c>
      <c r="B404" s="147"/>
      <c r="C404" s="147"/>
      <c r="D404" s="147"/>
      <c r="E404" s="147"/>
      <c r="F404" s="147"/>
      <c r="G404" s="147"/>
      <c r="H404" s="147"/>
      <c r="I404" s="147"/>
      <c r="J404" s="147"/>
      <c r="K404" s="147"/>
      <c r="L404" s="147"/>
      <c r="M404" s="159">
        <f>K403/SUM(C382:M384)</f>
        <v>0</v>
      </c>
    </row>
    <row r="405" spans="1:13" s="61" customFormat="1" ht="20.25" customHeight="1" x14ac:dyDescent="0.25">
      <c r="A405" s="235" t="s">
        <v>273</v>
      </c>
      <c r="B405" s="143" t="s">
        <v>19</v>
      </c>
      <c r="C405" s="153"/>
      <c r="D405" s="153"/>
      <c r="E405" s="153"/>
      <c r="F405" s="153"/>
      <c r="G405" s="153"/>
      <c r="H405" s="153"/>
      <c r="I405" s="153"/>
      <c r="J405" s="153"/>
      <c r="K405" s="153"/>
      <c r="L405" s="153"/>
      <c r="M405" s="154"/>
    </row>
    <row r="406" spans="1:13" s="61" customFormat="1" ht="20.25" customHeight="1" x14ac:dyDescent="0.25">
      <c r="A406" s="62">
        <v>1</v>
      </c>
      <c r="B406" s="63" t="s">
        <v>274</v>
      </c>
      <c r="C406" s="216" t="s">
        <v>248</v>
      </c>
      <c r="D406" s="217"/>
      <c r="E406" s="217"/>
      <c r="F406" s="217"/>
      <c r="G406" s="217"/>
      <c r="H406" s="145"/>
      <c r="I406" s="145"/>
      <c r="J406" s="145"/>
      <c r="K406" s="145"/>
      <c r="L406" s="145"/>
      <c r="M406" s="146"/>
    </row>
    <row r="407" spans="1:13" s="61" customFormat="1" ht="20.25" customHeight="1" x14ac:dyDescent="0.25">
      <c r="A407" s="62">
        <v>2</v>
      </c>
      <c r="B407" s="63" t="str">
        <f>'planilha - proposta'!D55</f>
        <v>Maqueiro - 12x36d</v>
      </c>
      <c r="C407" s="216">
        <v>2</v>
      </c>
      <c r="D407" s="217"/>
      <c r="E407" s="217"/>
      <c r="F407" s="217"/>
      <c r="G407" s="217"/>
      <c r="H407" s="145"/>
      <c r="I407" s="145"/>
      <c r="J407" s="145"/>
      <c r="K407" s="145"/>
      <c r="L407" s="145"/>
      <c r="M407" s="146"/>
    </row>
    <row r="408" spans="1:13" s="61" customFormat="1" ht="20.25" customHeight="1" x14ac:dyDescent="0.25">
      <c r="A408" s="62">
        <v>3</v>
      </c>
      <c r="B408" s="63" t="str">
        <f>'planilha - proposta'!D56</f>
        <v>Maqueiro - 12x36n</v>
      </c>
      <c r="C408" s="216">
        <v>2</v>
      </c>
      <c r="D408" s="217"/>
      <c r="E408" s="217"/>
      <c r="F408" s="217"/>
      <c r="G408" s="217"/>
      <c r="H408" s="145"/>
      <c r="I408" s="145"/>
      <c r="J408" s="145"/>
      <c r="K408" s="145"/>
      <c r="L408" s="145"/>
      <c r="M408" s="146"/>
    </row>
    <row r="409" spans="1:13" s="61" customFormat="1" ht="20.25" customHeight="1" x14ac:dyDescent="0.25">
      <c r="A409" s="62">
        <v>4</v>
      </c>
      <c r="B409" s="63" t="str">
        <f>'planilha - proposta'!D57</f>
        <v>Maqueiro - 44h</v>
      </c>
      <c r="C409" s="216">
        <v>1</v>
      </c>
      <c r="D409" s="217"/>
      <c r="E409" s="217"/>
      <c r="F409" s="217"/>
      <c r="G409" s="217"/>
      <c r="H409" s="145"/>
      <c r="I409" s="145"/>
      <c r="J409" s="145"/>
      <c r="K409" s="145"/>
      <c r="L409" s="145"/>
      <c r="M409" s="146"/>
    </row>
    <row r="410" spans="1:13" s="61" customFormat="1" ht="52.5" customHeight="1" x14ac:dyDescent="0.25">
      <c r="A410" s="64" t="s">
        <v>273</v>
      </c>
      <c r="B410" s="65" t="s">
        <v>275</v>
      </c>
      <c r="C410" s="218" t="s">
        <v>276</v>
      </c>
      <c r="D410" s="218" t="s">
        <v>277</v>
      </c>
      <c r="E410" s="218" t="s">
        <v>278</v>
      </c>
      <c r="F410" s="218" t="s">
        <v>303</v>
      </c>
      <c r="G410" s="223" t="s">
        <v>280</v>
      </c>
      <c r="H410" s="65" t="s">
        <v>304</v>
      </c>
      <c r="I410" s="66" t="s">
        <v>305</v>
      </c>
      <c r="J410" s="66" t="s">
        <v>318</v>
      </c>
      <c r="K410" s="65" t="s">
        <v>284</v>
      </c>
      <c r="L410" s="65" t="s">
        <v>285</v>
      </c>
      <c r="M410" s="66" t="s">
        <v>286</v>
      </c>
    </row>
    <row r="411" spans="1:13" s="61" customFormat="1" ht="20.25" customHeight="1" x14ac:dyDescent="0.25">
      <c r="A411" s="67" t="s">
        <v>108</v>
      </c>
      <c r="B411" s="68" t="s">
        <v>287</v>
      </c>
      <c r="C411" s="69" t="s">
        <v>288</v>
      </c>
      <c r="D411" s="69" t="s">
        <v>289</v>
      </c>
      <c r="E411" s="222">
        <f>3*30</f>
        <v>90</v>
      </c>
      <c r="F411" s="222">
        <v>0</v>
      </c>
      <c r="G411" s="68" t="s">
        <v>290</v>
      </c>
      <c r="H411" s="70">
        <f>VLOOKUP(B411,custoEPI!$B$6:$E$29,4,FALSE)</f>
        <v>0</v>
      </c>
      <c r="I411" s="71">
        <f t="shared" ref="I411:I418" si="88">SUM($C$407:$M$409)</f>
        <v>5</v>
      </c>
      <c r="J411" s="71">
        <f t="shared" ref="J411:J427" si="89">IF(B411="","sem descrição",IF($C$407&gt;=$C$408,IF($C$409&gt;0,$C$407/2+$C$409,$C$407/2),IF($C$409&gt;0,$C$408/5+$C$409,$C$409)))</f>
        <v>2</v>
      </c>
      <c r="K411" s="69">
        <f>IF(C411="mensal",IF(F411&gt;0,F411*H411,IF(D411="descartável",((SUM($C$407:$C$408)/2)+$C$409)*E411*H411,IF(D411="pessoal",E411*H411*I411,E411*H411*J411))),0)+IF(C411="trimestral",IF(F411&gt;0,F411*H411/3,IF(D411="descartável",(((SUM($C$407:$C$408)/2)+$C$409)*E411*H411)/3,IF(D411="pessoal",(E411*H411*I411)/3,(E411*H411*J411)/3))),0)+IF(C411="semestral",IF(F411&gt;0,F411*H411/6,IF(D411="descartável",(((SUM($C$407:$C$408)/2)+$C$409)*E411*H411)/6,IF(D411="pessoal",(E411*H411*I411)/6,(E411*H411*J411)/6))),0)+IF(C411="anual",IF(F411&gt;0,F411*H411/12,IF(D411="descartável",(((SUM($C$407:$C$408)/2)+$C$409)*E411*H411)/12,IF(D411="pessoal",(E411*H411*I411)/12,(E411*H411*J411)/12))),0)</f>
        <v>0</v>
      </c>
      <c r="L411" s="69">
        <f>IFERROR(K411*12, 0)</f>
        <v>0</v>
      </c>
      <c r="M411" s="69">
        <f>IFERROR(K411*60,0)</f>
        <v>0</v>
      </c>
    </row>
    <row r="412" spans="1:13" s="61" customFormat="1" ht="20.25" customHeight="1" x14ac:dyDescent="0.25">
      <c r="A412" s="67" t="s">
        <v>110</v>
      </c>
      <c r="B412" s="68" t="s">
        <v>291</v>
      </c>
      <c r="C412" s="69" t="s">
        <v>288</v>
      </c>
      <c r="D412" s="69" t="s">
        <v>289</v>
      </c>
      <c r="E412" s="222">
        <f>2</f>
        <v>2</v>
      </c>
      <c r="F412" s="222">
        <v>0</v>
      </c>
      <c r="G412" s="68" t="s">
        <v>290</v>
      </c>
      <c r="H412" s="70">
        <f>VLOOKUP(B412,custoEPI!$B$6:$E$29,4,FALSE)</f>
        <v>0</v>
      </c>
      <c r="I412" s="71">
        <f t="shared" si="88"/>
        <v>5</v>
      </c>
      <c r="J412" s="71">
        <f t="shared" si="89"/>
        <v>2</v>
      </c>
      <c r="K412" s="69">
        <f t="shared" ref="K412:K418" si="90">IF(C412="mensal",IF(F412&gt;0,F412*H412,IF(D412="descartável",((SUM($C$407:$C$408)/2)+$C$409)*E412*H412,IF(D412="pessoal",E412*H412*I412,E412*H412*J412))),0)+IF(C412="trimestral",IF(F412&gt;0,F412*H412/3,IF(D412="descartável",(((SUM($C$407:$C$408)/2)+$C$409)*E412*H412)/3,IF(D412="pessoal",(E412*H412*I412)/3,(E412*H412*J412)/3))),0)+IF(C412="semestral",IF(F412&gt;0,F412*H412/6,IF(D412="descartável",(((SUM($C$407:$C$408)/2)+$C$409)*E412*H412)/6,IF(D412="pessoal",(E412*H412*I412)/6,(E412*H412*J412)/6))),0)+IF(C412="anual",IF(F412&gt;0,F412*H412/12,IF(D412="descartável",(((SUM($C$407:$C$408)/2)+$C$409)*E412*H412)/12,IF(D412="pessoal",(E412*H412*I412)/12,(E412*H412*J412)/12))),0)</f>
        <v>0</v>
      </c>
      <c r="L412" s="69">
        <f t="shared" ref="L412:L427" si="91">IFERROR(K412*12, 0)</f>
        <v>0</v>
      </c>
      <c r="M412" s="69">
        <f t="shared" ref="M412:M427" si="92">IFERROR(K412*60,0)</f>
        <v>0</v>
      </c>
    </row>
    <row r="413" spans="1:13" s="61" customFormat="1" ht="20.25" customHeight="1" x14ac:dyDescent="0.25">
      <c r="A413" s="67" t="s">
        <v>111</v>
      </c>
      <c r="B413" s="68" t="s">
        <v>293</v>
      </c>
      <c r="C413" s="69" t="s">
        <v>288</v>
      </c>
      <c r="D413" s="69" t="s">
        <v>289</v>
      </c>
      <c r="E413" s="222">
        <v>500</v>
      </c>
      <c r="F413" s="222">
        <v>0</v>
      </c>
      <c r="G413" s="68" t="s">
        <v>290</v>
      </c>
      <c r="H413" s="70">
        <f>VLOOKUP(B413,custoEPI!$B$6:$E$29,4,FALSE)</f>
        <v>0</v>
      </c>
      <c r="I413" s="71">
        <f t="shared" si="88"/>
        <v>5</v>
      </c>
      <c r="J413" s="71">
        <f t="shared" si="89"/>
        <v>2</v>
      </c>
      <c r="K413" s="69">
        <f t="shared" si="90"/>
        <v>0</v>
      </c>
      <c r="L413" s="69">
        <f t="shared" si="91"/>
        <v>0</v>
      </c>
      <c r="M413" s="69">
        <f t="shared" si="92"/>
        <v>0</v>
      </c>
    </row>
    <row r="414" spans="1:13" s="61" customFormat="1" ht="20.25" customHeight="1" x14ac:dyDescent="0.25">
      <c r="A414" s="67" t="s">
        <v>113</v>
      </c>
      <c r="B414" s="68" t="s">
        <v>329</v>
      </c>
      <c r="C414" s="69" t="s">
        <v>288</v>
      </c>
      <c r="D414" s="69" t="s">
        <v>310</v>
      </c>
      <c r="E414" s="222">
        <v>0</v>
      </c>
      <c r="F414" s="222">
        <v>2</v>
      </c>
      <c r="G414" s="68" t="s">
        <v>290</v>
      </c>
      <c r="H414" s="70">
        <f>VLOOKUP(B414,custoEPI!$B$6:$E$29,4,FALSE)</f>
        <v>0</v>
      </c>
      <c r="I414" s="71">
        <f t="shared" si="88"/>
        <v>5</v>
      </c>
      <c r="J414" s="71">
        <f t="shared" si="89"/>
        <v>2</v>
      </c>
      <c r="K414" s="69">
        <f t="shared" si="90"/>
        <v>0</v>
      </c>
      <c r="L414" s="69">
        <f t="shared" si="91"/>
        <v>0</v>
      </c>
      <c r="M414" s="69">
        <f t="shared" si="92"/>
        <v>0</v>
      </c>
    </row>
    <row r="415" spans="1:13" s="61" customFormat="1" ht="20.25" customHeight="1" x14ac:dyDescent="0.25">
      <c r="A415" s="67" t="s">
        <v>114</v>
      </c>
      <c r="B415" s="68" t="s">
        <v>294</v>
      </c>
      <c r="C415" s="69" t="s">
        <v>288</v>
      </c>
      <c r="D415" s="69" t="s">
        <v>289</v>
      </c>
      <c r="E415" s="222">
        <v>2</v>
      </c>
      <c r="F415" s="222">
        <v>0</v>
      </c>
      <c r="G415" s="68" t="s">
        <v>290</v>
      </c>
      <c r="H415" s="70">
        <f>VLOOKUP(B415,custoEPI!$B$6:$E$29,4,FALSE)</f>
        <v>0</v>
      </c>
      <c r="I415" s="71">
        <f t="shared" si="88"/>
        <v>5</v>
      </c>
      <c r="J415" s="71">
        <f t="shared" si="89"/>
        <v>2</v>
      </c>
      <c r="K415" s="69">
        <f t="shared" si="90"/>
        <v>0</v>
      </c>
      <c r="L415" s="69">
        <f t="shared" si="91"/>
        <v>0</v>
      </c>
      <c r="M415" s="69">
        <f t="shared" si="92"/>
        <v>0</v>
      </c>
    </row>
    <row r="416" spans="1:13" s="61" customFormat="1" ht="20.25" customHeight="1" x14ac:dyDescent="0.25">
      <c r="A416" s="67" t="s">
        <v>115</v>
      </c>
      <c r="B416" s="68" t="s">
        <v>307</v>
      </c>
      <c r="C416" s="69" t="s">
        <v>300</v>
      </c>
      <c r="D416" s="69" t="s">
        <v>292</v>
      </c>
      <c r="E416" s="222">
        <v>1</v>
      </c>
      <c r="F416" s="222">
        <v>0</v>
      </c>
      <c r="G416" s="68" t="s">
        <v>290</v>
      </c>
      <c r="H416" s="70">
        <f>VLOOKUP(B416,custoEPI!$B$6:$E$29,4,FALSE)</f>
        <v>0</v>
      </c>
      <c r="I416" s="71">
        <f t="shared" si="88"/>
        <v>5</v>
      </c>
      <c r="J416" s="71">
        <f t="shared" si="89"/>
        <v>2</v>
      </c>
      <c r="K416" s="69">
        <f t="shared" si="90"/>
        <v>0</v>
      </c>
      <c r="L416" s="69">
        <f t="shared" si="91"/>
        <v>0</v>
      </c>
      <c r="M416" s="69">
        <f t="shared" si="92"/>
        <v>0</v>
      </c>
    </row>
    <row r="417" spans="1:13" s="61" customFormat="1" ht="20.25" customHeight="1" x14ac:dyDescent="0.25">
      <c r="A417" s="67" t="s">
        <v>116</v>
      </c>
      <c r="B417" s="68" t="s">
        <v>295</v>
      </c>
      <c r="C417" s="69" t="s">
        <v>296</v>
      </c>
      <c r="D417" s="69" t="s">
        <v>292</v>
      </c>
      <c r="E417" s="222">
        <v>1</v>
      </c>
      <c r="F417" s="222">
        <v>0</v>
      </c>
      <c r="G417" s="68" t="s">
        <v>290</v>
      </c>
      <c r="H417" s="70">
        <f>VLOOKUP(B417,custoEPI!$B$6:$E$29,4,FALSE)</f>
        <v>0</v>
      </c>
      <c r="I417" s="71">
        <f t="shared" si="88"/>
        <v>5</v>
      </c>
      <c r="J417" s="71">
        <f t="shared" si="89"/>
        <v>2</v>
      </c>
      <c r="K417" s="69">
        <f t="shared" si="90"/>
        <v>0</v>
      </c>
      <c r="L417" s="69">
        <f t="shared" si="91"/>
        <v>0</v>
      </c>
      <c r="M417" s="69">
        <f t="shared" si="92"/>
        <v>0</v>
      </c>
    </row>
    <row r="418" spans="1:13" s="61" customFormat="1" ht="20.25" customHeight="1" x14ac:dyDescent="0.25">
      <c r="A418" s="67" t="s">
        <v>118</v>
      </c>
      <c r="B418" s="68" t="s">
        <v>299</v>
      </c>
      <c r="C418" s="69" t="s">
        <v>300</v>
      </c>
      <c r="D418" s="69" t="s">
        <v>292</v>
      </c>
      <c r="E418" s="222">
        <v>2</v>
      </c>
      <c r="F418" s="222">
        <v>0</v>
      </c>
      <c r="G418" s="68" t="s">
        <v>290</v>
      </c>
      <c r="H418" s="70">
        <f>VLOOKUP(B418,custoEPI!$B$6:$E$29,4,FALSE)</f>
        <v>0</v>
      </c>
      <c r="I418" s="71">
        <f t="shared" si="88"/>
        <v>5</v>
      </c>
      <c r="J418" s="71">
        <f t="shared" si="89"/>
        <v>2</v>
      </c>
      <c r="K418" s="69">
        <f t="shared" si="90"/>
        <v>0</v>
      </c>
      <c r="L418" s="69">
        <f t="shared" si="91"/>
        <v>0</v>
      </c>
      <c r="M418" s="69">
        <f t="shared" si="92"/>
        <v>0</v>
      </c>
    </row>
    <row r="419" spans="1:13" s="61" customFormat="1" ht="20.25" hidden="1" customHeight="1" x14ac:dyDescent="0.25">
      <c r="A419" s="67" t="s">
        <v>121</v>
      </c>
      <c r="B419" s="68"/>
      <c r="C419" s="69"/>
      <c r="D419" s="69"/>
      <c r="E419" s="222"/>
      <c r="F419" s="222"/>
      <c r="G419" s="68"/>
      <c r="H419" s="70" t="e">
        <f>VLOOKUP(B419,custoEPI!$B$6:$E$29,4,FALSE)</f>
        <v>#N/A</v>
      </c>
      <c r="I419" s="71"/>
      <c r="J419" s="71" t="str">
        <f t="shared" si="89"/>
        <v>sem descrição</v>
      </c>
      <c r="K419" s="69" t="str">
        <f t="shared" ref="K419:K426" si="93">IF(C419="mensal",J419*H419*E419,IF(C419="trimestral",(J419*H419*E419)/3,IF(C419="semestral",(J419*H419*E419)/6,IF(C419="anual",(J419*H419*E419/12),"informar entrega"))))</f>
        <v>informar entrega</v>
      </c>
      <c r="L419" s="69">
        <f t="shared" si="91"/>
        <v>0</v>
      </c>
      <c r="M419" s="69">
        <f t="shared" si="92"/>
        <v>0</v>
      </c>
    </row>
    <row r="420" spans="1:13" s="61" customFormat="1" ht="20.25" hidden="1" customHeight="1" x14ac:dyDescent="0.25">
      <c r="A420" s="67" t="s">
        <v>125</v>
      </c>
      <c r="B420" s="68"/>
      <c r="C420" s="69"/>
      <c r="D420" s="69"/>
      <c r="E420" s="222"/>
      <c r="F420" s="222"/>
      <c r="G420" s="68"/>
      <c r="H420" s="70"/>
      <c r="I420" s="71"/>
      <c r="J420" s="71" t="str">
        <f t="shared" si="89"/>
        <v>sem descrição</v>
      </c>
      <c r="K420" s="69" t="str">
        <f t="shared" si="93"/>
        <v>informar entrega</v>
      </c>
      <c r="L420" s="69">
        <f t="shared" si="91"/>
        <v>0</v>
      </c>
      <c r="M420" s="69">
        <f t="shared" si="92"/>
        <v>0</v>
      </c>
    </row>
    <row r="421" spans="1:13" s="61" customFormat="1" ht="20.25" hidden="1" customHeight="1" x14ac:dyDescent="0.25">
      <c r="A421" s="67" t="s">
        <v>127</v>
      </c>
      <c r="B421" s="68"/>
      <c r="C421" s="69"/>
      <c r="D421" s="69"/>
      <c r="E421" s="222"/>
      <c r="F421" s="222"/>
      <c r="G421" s="68"/>
      <c r="H421" s="70"/>
      <c r="I421" s="70"/>
      <c r="J421" s="71" t="str">
        <f t="shared" si="89"/>
        <v>sem descrição</v>
      </c>
      <c r="K421" s="69" t="str">
        <f t="shared" si="93"/>
        <v>informar entrega</v>
      </c>
      <c r="L421" s="69">
        <f t="shared" si="91"/>
        <v>0</v>
      </c>
      <c r="M421" s="69">
        <f t="shared" si="92"/>
        <v>0</v>
      </c>
    </row>
    <row r="422" spans="1:13" s="61" customFormat="1" ht="20.25" hidden="1" customHeight="1" x14ac:dyDescent="0.25">
      <c r="A422" s="67" t="s">
        <v>129</v>
      </c>
      <c r="B422" s="68"/>
      <c r="C422" s="69"/>
      <c r="D422" s="69"/>
      <c r="E422" s="222"/>
      <c r="F422" s="222"/>
      <c r="G422" s="68"/>
      <c r="H422" s="70"/>
      <c r="I422" s="70"/>
      <c r="J422" s="71" t="str">
        <f t="shared" si="89"/>
        <v>sem descrição</v>
      </c>
      <c r="K422" s="69" t="str">
        <f t="shared" si="93"/>
        <v>informar entrega</v>
      </c>
      <c r="L422" s="69">
        <f t="shared" si="91"/>
        <v>0</v>
      </c>
      <c r="M422" s="69">
        <f t="shared" si="92"/>
        <v>0</v>
      </c>
    </row>
    <row r="423" spans="1:13" s="61" customFormat="1" ht="20.25" hidden="1" customHeight="1" x14ac:dyDescent="0.25">
      <c r="A423" s="67" t="s">
        <v>131</v>
      </c>
      <c r="B423" s="68"/>
      <c r="C423" s="69"/>
      <c r="D423" s="69"/>
      <c r="E423" s="222"/>
      <c r="F423" s="222"/>
      <c r="G423" s="68"/>
      <c r="H423" s="70"/>
      <c r="I423" s="70"/>
      <c r="J423" s="71" t="str">
        <f t="shared" si="89"/>
        <v>sem descrição</v>
      </c>
      <c r="K423" s="69" t="str">
        <f t="shared" si="93"/>
        <v>informar entrega</v>
      </c>
      <c r="L423" s="69">
        <f t="shared" si="91"/>
        <v>0</v>
      </c>
      <c r="M423" s="69">
        <f t="shared" si="92"/>
        <v>0</v>
      </c>
    </row>
    <row r="424" spans="1:13" s="61" customFormat="1" ht="20.25" hidden="1" customHeight="1" x14ac:dyDescent="0.25">
      <c r="A424" s="67" t="s">
        <v>188</v>
      </c>
      <c r="B424" s="68"/>
      <c r="C424" s="69"/>
      <c r="D424" s="69"/>
      <c r="E424" s="222"/>
      <c r="F424" s="222"/>
      <c r="G424" s="68"/>
      <c r="H424" s="70"/>
      <c r="I424" s="70"/>
      <c r="J424" s="71" t="str">
        <f t="shared" si="89"/>
        <v>sem descrição</v>
      </c>
      <c r="K424" s="69" t="str">
        <f t="shared" si="93"/>
        <v>informar entrega</v>
      </c>
      <c r="L424" s="69">
        <f t="shared" si="91"/>
        <v>0</v>
      </c>
      <c r="M424" s="69">
        <f t="shared" si="92"/>
        <v>0</v>
      </c>
    </row>
    <row r="425" spans="1:13" s="61" customFormat="1" ht="20.25" hidden="1" customHeight="1" x14ac:dyDescent="0.25">
      <c r="A425" s="67" t="s">
        <v>192</v>
      </c>
      <c r="B425" s="68"/>
      <c r="C425" s="69"/>
      <c r="D425" s="69"/>
      <c r="E425" s="222"/>
      <c r="F425" s="222"/>
      <c r="G425" s="68"/>
      <c r="H425" s="70"/>
      <c r="I425" s="70"/>
      <c r="J425" s="71" t="str">
        <f t="shared" si="89"/>
        <v>sem descrição</v>
      </c>
      <c r="K425" s="69" t="str">
        <f t="shared" si="93"/>
        <v>informar entrega</v>
      </c>
      <c r="L425" s="69">
        <f t="shared" si="91"/>
        <v>0</v>
      </c>
      <c r="M425" s="69">
        <f t="shared" si="92"/>
        <v>0</v>
      </c>
    </row>
    <row r="426" spans="1:13" s="61" customFormat="1" ht="20.25" hidden="1" customHeight="1" x14ac:dyDescent="0.25">
      <c r="A426" s="67" t="s">
        <v>195</v>
      </c>
      <c r="B426" s="68"/>
      <c r="C426" s="69"/>
      <c r="D426" s="69"/>
      <c r="E426" s="222"/>
      <c r="F426" s="222"/>
      <c r="G426" s="68"/>
      <c r="H426" s="70"/>
      <c r="I426" s="70"/>
      <c r="J426" s="71" t="str">
        <f t="shared" si="89"/>
        <v>sem descrição</v>
      </c>
      <c r="K426" s="69" t="str">
        <f t="shared" si="93"/>
        <v>informar entrega</v>
      </c>
      <c r="L426" s="69">
        <f t="shared" si="91"/>
        <v>0</v>
      </c>
      <c r="M426" s="69">
        <f t="shared" si="92"/>
        <v>0</v>
      </c>
    </row>
    <row r="427" spans="1:13" s="61" customFormat="1" ht="20.25" hidden="1" customHeight="1" x14ac:dyDescent="0.25">
      <c r="A427" s="67" t="s">
        <v>199</v>
      </c>
      <c r="B427" s="68"/>
      <c r="C427" s="69"/>
      <c r="D427" s="69"/>
      <c r="E427" s="222"/>
      <c r="F427" s="222"/>
      <c r="G427" s="68"/>
      <c r="H427" s="70"/>
      <c r="I427" s="70"/>
      <c r="J427" s="71" t="str">
        <f t="shared" si="89"/>
        <v>sem descrição</v>
      </c>
      <c r="K427" s="69" t="str">
        <f>IF(C427="mensal",J427*H427*E427,IF(C427="trimestral",(J427*H427*E427)/3,IF(C427="semestral",(J427*H427*E427)/6,IF(C427="anual",(J427*H427*E427/12),"informar período"))))</f>
        <v>informar período</v>
      </c>
      <c r="L427" s="69">
        <f t="shared" si="91"/>
        <v>0</v>
      </c>
      <c r="M427" s="69">
        <f t="shared" si="92"/>
        <v>0</v>
      </c>
    </row>
    <row r="428" spans="1:13" s="61" customFormat="1" ht="20.25" customHeight="1" x14ac:dyDescent="0.25">
      <c r="A428" s="152" t="s">
        <v>320</v>
      </c>
      <c r="B428" s="147"/>
      <c r="C428" s="147"/>
      <c r="D428" s="147"/>
      <c r="E428" s="147"/>
      <c r="F428" s="147"/>
      <c r="G428" s="147"/>
      <c r="H428" s="147"/>
      <c r="I428" s="139"/>
      <c r="J428" s="155"/>
      <c r="K428" s="156">
        <f>SUM(K411:K427)</f>
        <v>0</v>
      </c>
      <c r="L428" s="157">
        <f>K428*12</f>
        <v>0</v>
      </c>
      <c r="M428" s="158">
        <f>K428*60</f>
        <v>0</v>
      </c>
    </row>
    <row r="429" spans="1:13" s="61" customFormat="1" ht="20.25" customHeight="1" x14ac:dyDescent="0.25">
      <c r="A429" s="152" t="s">
        <v>302</v>
      </c>
      <c r="B429" s="147"/>
      <c r="C429" s="147"/>
      <c r="D429" s="147"/>
      <c r="E429" s="147"/>
      <c r="F429" s="147"/>
      <c r="G429" s="147"/>
      <c r="H429" s="147"/>
      <c r="I429" s="147"/>
      <c r="J429" s="147"/>
      <c r="K429" s="147"/>
      <c r="L429" s="147"/>
      <c r="M429" s="159">
        <f>K428/SUM(C407:M409)</f>
        <v>0</v>
      </c>
    </row>
    <row r="430" spans="1:13" s="61" customFormat="1" ht="20.25" customHeight="1" x14ac:dyDescent="0.25">
      <c r="A430" s="235" t="s">
        <v>273</v>
      </c>
      <c r="B430" s="143" t="s">
        <v>19</v>
      </c>
      <c r="C430" s="153"/>
      <c r="D430" s="153"/>
      <c r="E430" s="153"/>
      <c r="F430" s="153"/>
      <c r="G430" s="153"/>
      <c r="H430" s="153"/>
      <c r="I430" s="153"/>
      <c r="J430" s="153"/>
      <c r="K430" s="153"/>
      <c r="L430" s="153"/>
      <c r="M430" s="154"/>
    </row>
    <row r="431" spans="1:13" s="61" customFormat="1" ht="20.25" customHeight="1" x14ac:dyDescent="0.25">
      <c r="A431" s="62">
        <v>1</v>
      </c>
      <c r="B431" s="63" t="s">
        <v>274</v>
      </c>
      <c r="C431" s="216" t="s">
        <v>256</v>
      </c>
      <c r="D431" s="217"/>
      <c r="E431" s="217"/>
      <c r="F431" s="217"/>
      <c r="G431" s="217"/>
      <c r="H431" s="145"/>
      <c r="I431" s="145"/>
      <c r="J431" s="145"/>
      <c r="K431" s="145"/>
      <c r="L431" s="145"/>
      <c r="M431" s="146"/>
    </row>
    <row r="432" spans="1:13" s="61" customFormat="1" ht="20.25" hidden="1" customHeight="1" x14ac:dyDescent="0.25">
      <c r="A432" s="62"/>
      <c r="B432" s="63"/>
      <c r="C432" s="216"/>
      <c r="D432" s="217"/>
      <c r="E432" s="217"/>
      <c r="F432" s="217"/>
      <c r="G432" s="217"/>
      <c r="H432" s="145"/>
      <c r="I432" s="145"/>
      <c r="J432" s="145"/>
      <c r="K432" s="145"/>
      <c r="L432" s="145"/>
      <c r="M432" s="146"/>
    </row>
    <row r="433" spans="1:13" s="61" customFormat="1" ht="20.25" hidden="1" customHeight="1" x14ac:dyDescent="0.25">
      <c r="A433" s="62"/>
      <c r="B433" s="63"/>
      <c r="C433" s="213"/>
      <c r="D433" s="214"/>
      <c r="E433" s="214"/>
      <c r="F433" s="214"/>
      <c r="G433" s="214"/>
      <c r="H433" s="148"/>
      <c r="I433" s="148"/>
      <c r="J433" s="148"/>
      <c r="K433" s="148"/>
      <c r="L433" s="148"/>
      <c r="M433" s="149"/>
    </row>
    <row r="434" spans="1:13" s="61" customFormat="1" ht="20.25" customHeight="1" x14ac:dyDescent="0.25">
      <c r="A434" s="62">
        <v>2</v>
      </c>
      <c r="B434" s="63" t="str">
        <f>'planilha - proposta'!D58</f>
        <v>Motorista - 44h</v>
      </c>
      <c r="C434" s="216">
        <v>2</v>
      </c>
      <c r="D434" s="217"/>
      <c r="E434" s="217"/>
      <c r="F434" s="217"/>
      <c r="G434" s="217"/>
      <c r="H434" s="145"/>
      <c r="I434" s="145"/>
      <c r="J434" s="145"/>
      <c r="K434" s="145"/>
      <c r="L434" s="145"/>
      <c r="M434" s="146"/>
    </row>
    <row r="435" spans="1:13" s="61" customFormat="1" ht="52.5" customHeight="1" x14ac:dyDescent="0.25">
      <c r="A435" s="64" t="s">
        <v>273</v>
      </c>
      <c r="B435" s="65" t="s">
        <v>275</v>
      </c>
      <c r="C435" s="218" t="s">
        <v>276</v>
      </c>
      <c r="D435" s="218" t="s">
        <v>277</v>
      </c>
      <c r="E435" s="218" t="s">
        <v>278</v>
      </c>
      <c r="F435" s="218" t="s">
        <v>303</v>
      </c>
      <c r="G435" s="223" t="s">
        <v>280</v>
      </c>
      <c r="H435" s="65" t="s">
        <v>304</v>
      </c>
      <c r="I435" s="66" t="s">
        <v>305</v>
      </c>
      <c r="J435" s="66" t="s">
        <v>318</v>
      </c>
      <c r="K435" s="65" t="s">
        <v>284</v>
      </c>
      <c r="L435" s="65" t="s">
        <v>285</v>
      </c>
      <c r="M435" s="66" t="s">
        <v>286</v>
      </c>
    </row>
    <row r="436" spans="1:13" s="61" customFormat="1" ht="20.25" customHeight="1" x14ac:dyDescent="0.25">
      <c r="A436" s="67" t="s">
        <v>108</v>
      </c>
      <c r="B436" s="68" t="s">
        <v>287</v>
      </c>
      <c r="C436" s="69" t="s">
        <v>288</v>
      </c>
      <c r="D436" s="69" t="s">
        <v>289</v>
      </c>
      <c r="E436" s="222">
        <f>3*26</f>
        <v>78</v>
      </c>
      <c r="F436" s="222">
        <v>0</v>
      </c>
      <c r="G436" s="68" t="s">
        <v>290</v>
      </c>
      <c r="H436" s="70">
        <f>VLOOKUP(B436,custoEPI!$B$6:$E$29,4,FALSE)</f>
        <v>0</v>
      </c>
      <c r="I436" s="71">
        <f>SUM($C$432:$M$434)</f>
        <v>2</v>
      </c>
      <c r="J436" s="71">
        <f t="shared" ref="J436:J452" si="94">IF(B436="","sem descrição",IF($C$432&gt;=$C$433,IF($C$434&gt;0,$C$432/2+$C$434,$C$432/2),IF($C$434&gt;0,$C$433/5+$C$434,$C$434)))</f>
        <v>2</v>
      </c>
      <c r="K436" s="69">
        <f>IF(C436="mensal",IF(F436&gt;0,F436*H436,IF(D436="descartável",((SUM($C$432:$C$433)/2)+$C$434)*E436*H436,IF(D436="pessoal",E436*H436*I436,E436*H436*J436))),0)+IF(C436="trimestral",IF(F436&gt;0,F436*H436/3,IF(D436="descartável",(((SUM($C$432:$C$433)/2)+$C$434)*E436*H436)/3,IF(D436="pessoal",(E436*H436*I436)/3,(E436*H436*J436)/3))),0)+IF(C436="semestral",IF(F436&gt;0,F436*H436/6,IF(D436="descartável",(((SUM($C$432:$C$433)/2)+$C$434)*E436*H436)/6,IF(D436="pessoal",(E436*H436*I436)/6,(E436*H436*J436)/6))),0)+IF(C436="anual",IF(F436&gt;0,F436*H436/12,IF(D436="descartável",(((SUM($C$432:$C$433)/2)+$C$434)*E436*H436)/12,IF(D436="pessoal",(E436*H436*I436)/12,(E436*H436*J436)/12))),0)</f>
        <v>0</v>
      </c>
      <c r="L436" s="69">
        <f>IFERROR(K436*12, 0)</f>
        <v>0</v>
      </c>
      <c r="M436" s="69">
        <f>IFERROR(K436*60,0)</f>
        <v>0</v>
      </c>
    </row>
    <row r="437" spans="1:13" s="61" customFormat="1" ht="20.25" hidden="1" customHeight="1" x14ac:dyDescent="0.25">
      <c r="A437" s="67" t="s">
        <v>110</v>
      </c>
      <c r="B437" s="68"/>
      <c r="C437" s="69"/>
      <c r="D437" s="69"/>
      <c r="E437" s="222"/>
      <c r="F437" s="222"/>
      <c r="G437" s="68" t="s">
        <v>290</v>
      </c>
      <c r="H437" s="70" t="e">
        <f>VLOOKUP(B437,custoEPI!$B$6:$E$29,4,FALSE)</f>
        <v>#N/A</v>
      </c>
      <c r="I437" s="71"/>
      <c r="J437" s="71" t="str">
        <f t="shared" si="94"/>
        <v>sem descrição</v>
      </c>
      <c r="K437" s="69" t="str">
        <f t="shared" ref="K437:K451" si="95">IF(C437="mensal",J437*H437*E437,IF(C437="trimestral",(J437*H437*E437)/3,IF(C437="semestral",(J437*H437*E437)/6,IF(C437="anual",(J437*H437*E437/12),"informar entrega"))))</f>
        <v>informar entrega</v>
      </c>
      <c r="L437" s="69">
        <f t="shared" ref="L437:L452" si="96">IFERROR(K437*12, 0)</f>
        <v>0</v>
      </c>
      <c r="M437" s="69">
        <f t="shared" ref="M437:M452" si="97">IFERROR(K437*60,0)</f>
        <v>0</v>
      </c>
    </row>
    <row r="438" spans="1:13" s="61" customFormat="1" ht="20.25" hidden="1" customHeight="1" x14ac:dyDescent="0.25">
      <c r="A438" s="67" t="s">
        <v>111</v>
      </c>
      <c r="B438" s="68"/>
      <c r="C438" s="69"/>
      <c r="D438" s="69"/>
      <c r="E438" s="222"/>
      <c r="F438" s="222"/>
      <c r="G438" s="68" t="s">
        <v>290</v>
      </c>
      <c r="H438" s="70" t="e">
        <f>VLOOKUP(B438,custoEPI!$B$6:$E$29,4,FALSE)</f>
        <v>#N/A</v>
      </c>
      <c r="I438" s="71"/>
      <c r="J438" s="71" t="str">
        <f t="shared" si="94"/>
        <v>sem descrição</v>
      </c>
      <c r="K438" s="69" t="str">
        <f t="shared" si="95"/>
        <v>informar entrega</v>
      </c>
      <c r="L438" s="69">
        <f t="shared" si="96"/>
        <v>0</v>
      </c>
      <c r="M438" s="69">
        <f t="shared" si="97"/>
        <v>0</v>
      </c>
    </row>
    <row r="439" spans="1:13" s="61" customFormat="1" ht="20.25" hidden="1" customHeight="1" x14ac:dyDescent="0.25">
      <c r="A439" s="67" t="s">
        <v>113</v>
      </c>
      <c r="B439" s="68"/>
      <c r="C439" s="69"/>
      <c r="D439" s="69"/>
      <c r="E439" s="222"/>
      <c r="F439" s="222"/>
      <c r="G439" s="68" t="s">
        <v>290</v>
      </c>
      <c r="H439" s="70" t="e">
        <f>VLOOKUP(B439,custoEPI!$B$6:$E$29,4,FALSE)</f>
        <v>#N/A</v>
      </c>
      <c r="I439" s="71"/>
      <c r="J439" s="71" t="str">
        <f t="shared" si="94"/>
        <v>sem descrição</v>
      </c>
      <c r="K439" s="69" t="str">
        <f t="shared" si="95"/>
        <v>informar entrega</v>
      </c>
      <c r="L439" s="69">
        <f t="shared" si="96"/>
        <v>0</v>
      </c>
      <c r="M439" s="69">
        <f t="shared" si="97"/>
        <v>0</v>
      </c>
    </row>
    <row r="440" spans="1:13" s="61" customFormat="1" ht="20.25" hidden="1" customHeight="1" x14ac:dyDescent="0.25">
      <c r="A440" s="67" t="s">
        <v>114</v>
      </c>
      <c r="B440" s="68"/>
      <c r="C440" s="69"/>
      <c r="D440" s="69"/>
      <c r="E440" s="222"/>
      <c r="F440" s="222"/>
      <c r="G440" s="68" t="s">
        <v>290</v>
      </c>
      <c r="H440" s="70" t="e">
        <f>VLOOKUP(B440,custoEPI!$B$6:$E$29,4,FALSE)</f>
        <v>#N/A</v>
      </c>
      <c r="I440" s="71"/>
      <c r="J440" s="71" t="str">
        <f t="shared" si="94"/>
        <v>sem descrição</v>
      </c>
      <c r="K440" s="69" t="str">
        <f t="shared" si="95"/>
        <v>informar entrega</v>
      </c>
      <c r="L440" s="69">
        <f t="shared" si="96"/>
        <v>0</v>
      </c>
      <c r="M440" s="69">
        <f t="shared" si="97"/>
        <v>0</v>
      </c>
    </row>
    <row r="441" spans="1:13" s="61" customFormat="1" ht="20.25" hidden="1" customHeight="1" x14ac:dyDescent="0.25">
      <c r="A441" s="67" t="s">
        <v>115</v>
      </c>
      <c r="B441" s="68"/>
      <c r="C441" s="69"/>
      <c r="D441" s="69"/>
      <c r="E441" s="222"/>
      <c r="F441" s="222"/>
      <c r="G441" s="68" t="s">
        <v>290</v>
      </c>
      <c r="H441" s="70" t="e">
        <f>VLOOKUP(B441,custoEPI!$B$6:$E$29,4,FALSE)</f>
        <v>#N/A</v>
      </c>
      <c r="I441" s="71"/>
      <c r="J441" s="71" t="str">
        <f t="shared" si="94"/>
        <v>sem descrição</v>
      </c>
      <c r="K441" s="69" t="str">
        <f t="shared" si="95"/>
        <v>informar entrega</v>
      </c>
      <c r="L441" s="69">
        <f t="shared" si="96"/>
        <v>0</v>
      </c>
      <c r="M441" s="69">
        <f t="shared" si="97"/>
        <v>0</v>
      </c>
    </row>
    <row r="442" spans="1:13" s="61" customFormat="1" ht="20.25" hidden="1" customHeight="1" x14ac:dyDescent="0.25">
      <c r="A442" s="67" t="s">
        <v>116</v>
      </c>
      <c r="B442" s="68"/>
      <c r="C442" s="69"/>
      <c r="D442" s="69"/>
      <c r="E442" s="222"/>
      <c r="F442" s="222"/>
      <c r="G442" s="68" t="s">
        <v>290</v>
      </c>
      <c r="H442" s="70" t="e">
        <f>VLOOKUP(B442,custoEPI!$B$6:$E$29,4,FALSE)</f>
        <v>#N/A</v>
      </c>
      <c r="I442" s="71"/>
      <c r="J442" s="71" t="str">
        <f t="shared" si="94"/>
        <v>sem descrição</v>
      </c>
      <c r="K442" s="69" t="str">
        <f t="shared" si="95"/>
        <v>informar entrega</v>
      </c>
      <c r="L442" s="69">
        <f t="shared" si="96"/>
        <v>0</v>
      </c>
      <c r="M442" s="69">
        <f t="shared" si="97"/>
        <v>0</v>
      </c>
    </row>
    <row r="443" spans="1:13" s="61" customFormat="1" ht="20.25" hidden="1" customHeight="1" x14ac:dyDescent="0.25">
      <c r="A443" s="67" t="s">
        <v>118</v>
      </c>
      <c r="B443" s="68"/>
      <c r="C443" s="69"/>
      <c r="D443" s="69"/>
      <c r="E443" s="222"/>
      <c r="F443" s="222"/>
      <c r="G443" s="68" t="s">
        <v>290</v>
      </c>
      <c r="H443" s="70" t="e">
        <f>VLOOKUP(B443,custoEPI!$B$6:$E$29,4,FALSE)</f>
        <v>#N/A</v>
      </c>
      <c r="I443" s="71"/>
      <c r="J443" s="71" t="str">
        <f t="shared" si="94"/>
        <v>sem descrição</v>
      </c>
      <c r="K443" s="69" t="str">
        <f t="shared" si="95"/>
        <v>informar entrega</v>
      </c>
      <c r="L443" s="69">
        <f t="shared" si="96"/>
        <v>0</v>
      </c>
      <c r="M443" s="69">
        <f t="shared" si="97"/>
        <v>0</v>
      </c>
    </row>
    <row r="444" spans="1:13" s="61" customFormat="1" ht="20.25" hidden="1" customHeight="1" x14ac:dyDescent="0.25">
      <c r="A444" s="67" t="s">
        <v>121</v>
      </c>
      <c r="B444" s="68"/>
      <c r="C444" s="69"/>
      <c r="D444" s="69"/>
      <c r="E444" s="222"/>
      <c r="F444" s="222"/>
      <c r="G444" s="68"/>
      <c r="H444" s="70" t="e">
        <f>VLOOKUP(B444,custoEPI!$B$6:$E$29,4,FALSE)</f>
        <v>#N/A</v>
      </c>
      <c r="I444" s="71"/>
      <c r="J444" s="71" t="str">
        <f t="shared" si="94"/>
        <v>sem descrição</v>
      </c>
      <c r="K444" s="69" t="str">
        <f t="shared" si="95"/>
        <v>informar entrega</v>
      </c>
      <c r="L444" s="69">
        <f t="shared" si="96"/>
        <v>0</v>
      </c>
      <c r="M444" s="69">
        <f t="shared" si="97"/>
        <v>0</v>
      </c>
    </row>
    <row r="445" spans="1:13" s="61" customFormat="1" ht="20.25" hidden="1" customHeight="1" x14ac:dyDescent="0.25">
      <c r="A445" s="67" t="s">
        <v>125</v>
      </c>
      <c r="B445" s="68"/>
      <c r="C445" s="69"/>
      <c r="D445" s="69"/>
      <c r="E445" s="222"/>
      <c r="F445" s="222"/>
      <c r="G445" s="68"/>
      <c r="H445" s="70"/>
      <c r="I445" s="71"/>
      <c r="J445" s="71" t="str">
        <f t="shared" si="94"/>
        <v>sem descrição</v>
      </c>
      <c r="K445" s="69" t="str">
        <f t="shared" si="95"/>
        <v>informar entrega</v>
      </c>
      <c r="L445" s="69">
        <f t="shared" si="96"/>
        <v>0</v>
      </c>
      <c r="M445" s="69">
        <f t="shared" si="97"/>
        <v>0</v>
      </c>
    </row>
    <row r="446" spans="1:13" s="61" customFormat="1" ht="20.25" hidden="1" customHeight="1" x14ac:dyDescent="0.25">
      <c r="A446" s="67" t="s">
        <v>127</v>
      </c>
      <c r="B446" s="68"/>
      <c r="C446" s="69"/>
      <c r="D446" s="69"/>
      <c r="E446" s="222"/>
      <c r="F446" s="222"/>
      <c r="G446" s="68"/>
      <c r="H446" s="70"/>
      <c r="I446" s="70"/>
      <c r="J446" s="71" t="str">
        <f t="shared" si="94"/>
        <v>sem descrição</v>
      </c>
      <c r="K446" s="69" t="str">
        <f t="shared" si="95"/>
        <v>informar entrega</v>
      </c>
      <c r="L446" s="69">
        <f t="shared" si="96"/>
        <v>0</v>
      </c>
      <c r="M446" s="69">
        <f t="shared" si="97"/>
        <v>0</v>
      </c>
    </row>
    <row r="447" spans="1:13" s="61" customFormat="1" ht="20.25" hidden="1" customHeight="1" x14ac:dyDescent="0.25">
      <c r="A447" s="67" t="s">
        <v>129</v>
      </c>
      <c r="B447" s="68"/>
      <c r="C447" s="69"/>
      <c r="D447" s="69"/>
      <c r="E447" s="222"/>
      <c r="F447" s="222"/>
      <c r="G447" s="68"/>
      <c r="H447" s="70"/>
      <c r="I447" s="70"/>
      <c r="J447" s="71" t="str">
        <f t="shared" si="94"/>
        <v>sem descrição</v>
      </c>
      <c r="K447" s="69" t="str">
        <f t="shared" si="95"/>
        <v>informar entrega</v>
      </c>
      <c r="L447" s="69">
        <f t="shared" si="96"/>
        <v>0</v>
      </c>
      <c r="M447" s="69">
        <f t="shared" si="97"/>
        <v>0</v>
      </c>
    </row>
    <row r="448" spans="1:13" s="61" customFormat="1" ht="20.25" hidden="1" customHeight="1" x14ac:dyDescent="0.25">
      <c r="A448" s="67" t="s">
        <v>131</v>
      </c>
      <c r="B448" s="68"/>
      <c r="C448" s="69"/>
      <c r="D448" s="69"/>
      <c r="E448" s="222"/>
      <c r="F448" s="222"/>
      <c r="G448" s="68"/>
      <c r="H448" s="70"/>
      <c r="I448" s="70"/>
      <c r="J448" s="71" t="str">
        <f t="shared" si="94"/>
        <v>sem descrição</v>
      </c>
      <c r="K448" s="69" t="str">
        <f t="shared" si="95"/>
        <v>informar entrega</v>
      </c>
      <c r="L448" s="69">
        <f t="shared" si="96"/>
        <v>0</v>
      </c>
      <c r="M448" s="69">
        <f t="shared" si="97"/>
        <v>0</v>
      </c>
    </row>
    <row r="449" spans="1:13" s="61" customFormat="1" ht="20.25" hidden="1" customHeight="1" x14ac:dyDescent="0.25">
      <c r="A449" s="67" t="s">
        <v>188</v>
      </c>
      <c r="B449" s="68"/>
      <c r="C449" s="69"/>
      <c r="D449" s="69"/>
      <c r="E449" s="222"/>
      <c r="F449" s="222"/>
      <c r="G449" s="68"/>
      <c r="H449" s="70"/>
      <c r="I449" s="70"/>
      <c r="J449" s="71" t="str">
        <f t="shared" si="94"/>
        <v>sem descrição</v>
      </c>
      <c r="K449" s="69" t="str">
        <f t="shared" si="95"/>
        <v>informar entrega</v>
      </c>
      <c r="L449" s="69">
        <f t="shared" si="96"/>
        <v>0</v>
      </c>
      <c r="M449" s="69">
        <f t="shared" si="97"/>
        <v>0</v>
      </c>
    </row>
    <row r="450" spans="1:13" s="61" customFormat="1" ht="20.25" hidden="1" customHeight="1" x14ac:dyDescent="0.25">
      <c r="A450" s="67" t="s">
        <v>192</v>
      </c>
      <c r="B450" s="68"/>
      <c r="C450" s="69"/>
      <c r="D450" s="69"/>
      <c r="E450" s="222"/>
      <c r="F450" s="222"/>
      <c r="G450" s="68"/>
      <c r="H450" s="70"/>
      <c r="I450" s="70"/>
      <c r="J450" s="71" t="str">
        <f t="shared" si="94"/>
        <v>sem descrição</v>
      </c>
      <c r="K450" s="69" t="str">
        <f t="shared" si="95"/>
        <v>informar entrega</v>
      </c>
      <c r="L450" s="69">
        <f t="shared" si="96"/>
        <v>0</v>
      </c>
      <c r="M450" s="69">
        <f t="shared" si="97"/>
        <v>0</v>
      </c>
    </row>
    <row r="451" spans="1:13" s="61" customFormat="1" ht="20.25" hidden="1" customHeight="1" x14ac:dyDescent="0.25">
      <c r="A451" s="67" t="s">
        <v>195</v>
      </c>
      <c r="B451" s="68"/>
      <c r="C451" s="69"/>
      <c r="D451" s="69"/>
      <c r="E451" s="222"/>
      <c r="F451" s="222"/>
      <c r="G451" s="68"/>
      <c r="H451" s="70"/>
      <c r="I451" s="70"/>
      <c r="J451" s="71" t="str">
        <f t="shared" si="94"/>
        <v>sem descrição</v>
      </c>
      <c r="K451" s="69" t="str">
        <f t="shared" si="95"/>
        <v>informar entrega</v>
      </c>
      <c r="L451" s="69">
        <f t="shared" si="96"/>
        <v>0</v>
      </c>
      <c r="M451" s="69">
        <f t="shared" si="97"/>
        <v>0</v>
      </c>
    </row>
    <row r="452" spans="1:13" s="61" customFormat="1" ht="20.25" hidden="1" customHeight="1" x14ac:dyDescent="0.25">
      <c r="A452" s="67" t="s">
        <v>199</v>
      </c>
      <c r="B452" s="68"/>
      <c r="C452" s="69"/>
      <c r="D452" s="69"/>
      <c r="E452" s="222"/>
      <c r="F452" s="222"/>
      <c r="G452" s="68"/>
      <c r="H452" s="70"/>
      <c r="I452" s="70"/>
      <c r="J452" s="71" t="str">
        <f t="shared" si="94"/>
        <v>sem descrição</v>
      </c>
      <c r="K452" s="69" t="str">
        <f>IF(C452="mensal",J452*H452*E452,IF(C452="trimestral",(J452*H452*E452)/3,IF(C452="semestral",(J452*H452*E452)/6,IF(C452="anual",(J452*H452*E452/12),"informar período"))))</f>
        <v>informar período</v>
      </c>
      <c r="L452" s="69">
        <f t="shared" si="96"/>
        <v>0</v>
      </c>
      <c r="M452" s="69">
        <f t="shared" si="97"/>
        <v>0</v>
      </c>
    </row>
    <row r="453" spans="1:13" s="61" customFormat="1" ht="20.25" customHeight="1" x14ac:dyDescent="0.25">
      <c r="A453" s="152" t="s">
        <v>330</v>
      </c>
      <c r="B453" s="147"/>
      <c r="C453" s="147"/>
      <c r="D453" s="147"/>
      <c r="E453" s="147"/>
      <c r="F453" s="147"/>
      <c r="G453" s="147"/>
      <c r="H453" s="147"/>
      <c r="I453" s="139"/>
      <c r="J453" s="155"/>
      <c r="K453" s="156">
        <f>SUM(K436:K452)</f>
        <v>0</v>
      </c>
      <c r="L453" s="157">
        <f>K453*12</f>
        <v>0</v>
      </c>
      <c r="M453" s="158">
        <f>K453*60</f>
        <v>0</v>
      </c>
    </row>
    <row r="454" spans="1:13" s="61" customFormat="1" ht="20.25" customHeight="1" x14ac:dyDescent="0.25">
      <c r="A454" s="152" t="s">
        <v>302</v>
      </c>
      <c r="B454" s="147"/>
      <c r="C454" s="147"/>
      <c r="D454" s="147"/>
      <c r="E454" s="147"/>
      <c r="F454" s="147"/>
      <c r="G454" s="147"/>
      <c r="H454" s="147"/>
      <c r="I454" s="147"/>
      <c r="J454" s="147"/>
      <c r="K454" s="147"/>
      <c r="L454" s="147"/>
      <c r="M454" s="159">
        <f>K453/SUM(C432:M434)</f>
        <v>0</v>
      </c>
    </row>
    <row r="455" spans="1:13" s="61" customFormat="1" ht="20.25" customHeight="1" x14ac:dyDescent="0.25">
      <c r="A455" s="235" t="s">
        <v>273</v>
      </c>
      <c r="B455" s="143" t="s">
        <v>19</v>
      </c>
      <c r="C455" s="153"/>
      <c r="D455" s="153"/>
      <c r="E455" s="153"/>
      <c r="F455" s="153"/>
      <c r="G455" s="153"/>
      <c r="H455" s="153"/>
      <c r="I455" s="153"/>
      <c r="J455" s="153"/>
      <c r="K455" s="153"/>
      <c r="L455" s="153"/>
      <c r="M455" s="154"/>
    </row>
    <row r="456" spans="1:13" s="61" customFormat="1" ht="20.25" customHeight="1" x14ac:dyDescent="0.25">
      <c r="A456" s="62">
        <v>1</v>
      </c>
      <c r="B456" s="63" t="s">
        <v>274</v>
      </c>
      <c r="C456" s="216" t="s">
        <v>260</v>
      </c>
      <c r="D456" s="217"/>
      <c r="E456" s="217"/>
      <c r="F456" s="217"/>
      <c r="G456" s="217"/>
      <c r="H456" s="145"/>
      <c r="I456" s="145"/>
      <c r="J456" s="145"/>
      <c r="K456" s="145"/>
      <c r="L456" s="145"/>
      <c r="M456" s="146"/>
    </row>
    <row r="457" spans="1:13" s="61" customFormat="1" ht="20.25" hidden="1" customHeight="1" x14ac:dyDescent="0.25">
      <c r="A457" s="62">
        <v>2</v>
      </c>
      <c r="B457" s="63" t="str">
        <f>'planilha - proposta'!D59</f>
        <v>Condutor de Ambulância - 12x36/12x48</v>
      </c>
      <c r="C457" s="216">
        <v>0</v>
      </c>
      <c r="D457" s="217"/>
      <c r="E457" s="217"/>
      <c r="F457" s="217"/>
      <c r="G457" s="217"/>
      <c r="H457" s="145"/>
      <c r="I457" s="145"/>
      <c r="J457" s="145"/>
      <c r="K457" s="145"/>
      <c r="L457" s="145"/>
      <c r="M457" s="146"/>
    </row>
    <row r="458" spans="1:13" s="61" customFormat="1" ht="20.25" customHeight="1" x14ac:dyDescent="0.25">
      <c r="A458" s="62">
        <v>3</v>
      </c>
      <c r="B458" s="63" t="str">
        <f>'planilha - proposta'!D60</f>
        <v>Condutor de Ambulância - 24x96</v>
      </c>
      <c r="C458" s="216">
        <v>5</v>
      </c>
      <c r="D458" s="217"/>
      <c r="E458" s="217"/>
      <c r="F458" s="217"/>
      <c r="G458" s="217"/>
      <c r="H458" s="145"/>
      <c r="I458" s="145"/>
      <c r="J458" s="145"/>
      <c r="K458" s="145"/>
      <c r="L458" s="145"/>
      <c r="M458" s="146"/>
    </row>
    <row r="459" spans="1:13" s="61" customFormat="1" ht="20.25" hidden="1" customHeight="1" x14ac:dyDescent="0.25">
      <c r="A459" s="62"/>
      <c r="B459" s="63"/>
      <c r="C459" s="215"/>
      <c r="D459" s="215"/>
      <c r="E459" s="215"/>
      <c r="F459" s="215"/>
      <c r="G459" s="215"/>
      <c r="H459" s="144"/>
      <c r="I459" s="144"/>
      <c r="J459" s="144"/>
      <c r="K459" s="144"/>
      <c r="L459" s="144"/>
      <c r="M459" s="144"/>
    </row>
    <row r="460" spans="1:13" s="61" customFormat="1" ht="52.5" customHeight="1" x14ac:dyDescent="0.25">
      <c r="A460" s="64" t="s">
        <v>273</v>
      </c>
      <c r="B460" s="65" t="s">
        <v>275</v>
      </c>
      <c r="C460" s="218" t="s">
        <v>276</v>
      </c>
      <c r="D460" s="218" t="s">
        <v>277</v>
      </c>
      <c r="E460" s="218" t="s">
        <v>278</v>
      </c>
      <c r="F460" s="218" t="s">
        <v>303</v>
      </c>
      <c r="G460" s="223" t="s">
        <v>280</v>
      </c>
      <c r="H460" s="65" t="s">
        <v>304</v>
      </c>
      <c r="I460" s="66" t="s">
        <v>305</v>
      </c>
      <c r="J460" s="66" t="s">
        <v>318</v>
      </c>
      <c r="K460" s="65" t="s">
        <v>284</v>
      </c>
      <c r="L460" s="65" t="s">
        <v>285</v>
      </c>
      <c r="M460" s="66" t="s">
        <v>286</v>
      </c>
    </row>
    <row r="461" spans="1:13" s="61" customFormat="1" ht="20.25" customHeight="1" x14ac:dyDescent="0.25">
      <c r="A461" s="67" t="s">
        <v>108</v>
      </c>
      <c r="B461" s="68" t="s">
        <v>287</v>
      </c>
      <c r="C461" s="69" t="s">
        <v>288</v>
      </c>
      <c r="D461" s="69" t="s">
        <v>289</v>
      </c>
      <c r="E461" s="222">
        <f>3*30</f>
        <v>90</v>
      </c>
      <c r="F461" s="222">
        <v>0</v>
      </c>
      <c r="G461" s="68" t="s">
        <v>290</v>
      </c>
      <c r="H461" s="70">
        <f>VLOOKUP(B461,custoEPI!$B$6:$E$29,4,FALSE)</f>
        <v>0</v>
      </c>
      <c r="I461" s="71">
        <f t="shared" ref="I461:I466" si="98">SUM($C$457:$M$459)</f>
        <v>5</v>
      </c>
      <c r="J461" s="71">
        <f t="shared" ref="J461:J477" si="99">IF(B461="","sem descrição",IF($C$457&gt;=$C$458,IF($C$459&gt;0,$C$457/2+$C$459,$C$457/2),IF($C$459&gt;0,$C$458/5+$C$459,$C$459)))</f>
        <v>0</v>
      </c>
      <c r="K461" s="69">
        <f>IF(C461="mensal",IF(F461&gt;0,F461*H461,IF(D461="descartável",((SUM($C$457:$C$458)/2)+$C$459)*E461*H461,IF(D461="pessoal",E461*H461*I461,E461*H461*J461))),0)+IF(C461="trimestral",IF(F461&gt;0,F461*H461/3,IF(D461="descartável",(((SUM($C$457:$C$458)/2)+$C$459)*E461*H461)/3,IF(D461="pessoal",(E461*H461*I461)/3,(E461*H461*J461)/3))),0)+IF(C461="semestral",IF(F461&gt;0,F461*H461/6,IF(D461="descartável",(((SUM($C$457:$C$458)/2)+$C$459)*E461*H461)/6,IF(D461="pessoal",(E461*H461*I461)/6,(E461*H461*J461)/6))),0)+IF(C461="anual",IF(F461&gt;0,F461*H461/12,IF(D461="descartável",(((SUM($C$457:$C$458)/2)+$C$459)*E461*H461)/12,IF(D461="pessoal",(E461*H461*I461)/12,(E461*H461*J461)/12))),0)</f>
        <v>0</v>
      </c>
      <c r="L461" s="69">
        <f>IFERROR(K461*12, 0)</f>
        <v>0</v>
      </c>
      <c r="M461" s="69">
        <f>IFERROR(K461*60,0)</f>
        <v>0</v>
      </c>
    </row>
    <row r="462" spans="1:13" s="61" customFormat="1" ht="20.25" customHeight="1" x14ac:dyDescent="0.25">
      <c r="A462" s="67" t="s">
        <v>110</v>
      </c>
      <c r="B462" s="68" t="s">
        <v>291</v>
      </c>
      <c r="C462" s="69" t="s">
        <v>288</v>
      </c>
      <c r="D462" s="69" t="s">
        <v>289</v>
      </c>
      <c r="E462" s="222">
        <v>1</v>
      </c>
      <c r="F462" s="222">
        <v>0</v>
      </c>
      <c r="G462" s="68" t="s">
        <v>290</v>
      </c>
      <c r="H462" s="70">
        <f>VLOOKUP(B462,custoEPI!$B$6:$E$29,4,FALSE)</f>
        <v>0</v>
      </c>
      <c r="I462" s="71">
        <f t="shared" si="98"/>
        <v>5</v>
      </c>
      <c r="J462" s="71">
        <f t="shared" si="99"/>
        <v>0</v>
      </c>
      <c r="K462" s="69">
        <f t="shared" ref="K462:K466" si="100">IF(C462="mensal",IF(F462&gt;0,F462*H462,IF(D462="descartável",((SUM($C$457:$C$458)/2)+$C$459)*E462*H462,IF(D462="pessoal",E462*H462*I462,E462*H462*J462))),0)+IF(C462="trimestral",IF(F462&gt;0,F462*H462/3,IF(D462="descartável",(((SUM($C$457:$C$458)/2)+$C$459)*E462*H462)/3,IF(D462="pessoal",(E462*H462*I462)/3,(E462*H462*J462)/3))),0)+IF(C462="semestral",IF(F462&gt;0,F462*H462/6,IF(D462="descartável",(((SUM($C$457:$C$458)/2)+$C$459)*E462*H462)/6,IF(D462="pessoal",(E462*H462*I462)/6,(E462*H462*J462)/6))),0)+IF(C462="anual",IF(F462&gt;0,F462*H462/12,IF(D462="descartável",(((SUM($C$457:$C$458)/2)+$C$459)*E462*H462)/12,IF(D462="pessoal",(E462*H462*I462)/12,(E462*H462*J462)/12))),0)</f>
        <v>0</v>
      </c>
      <c r="L462" s="69">
        <f t="shared" ref="L462:L477" si="101">IFERROR(K462*12, 0)</f>
        <v>0</v>
      </c>
      <c r="M462" s="69">
        <f t="shared" ref="M462:M477" si="102">IFERROR(K462*60,0)</f>
        <v>0</v>
      </c>
    </row>
    <row r="463" spans="1:13" s="61" customFormat="1" ht="20.25" customHeight="1" x14ac:dyDescent="0.25">
      <c r="A463" s="67" t="s">
        <v>111</v>
      </c>
      <c r="B463" s="68" t="s">
        <v>293</v>
      </c>
      <c r="C463" s="69" t="s">
        <v>288</v>
      </c>
      <c r="D463" s="69" t="s">
        <v>289</v>
      </c>
      <c r="E463" s="222">
        <v>30</v>
      </c>
      <c r="F463" s="222">
        <v>0</v>
      </c>
      <c r="G463" s="68" t="s">
        <v>290</v>
      </c>
      <c r="H463" s="70">
        <f>VLOOKUP(B463,custoEPI!$B$6:$E$29,4,FALSE)</f>
        <v>0</v>
      </c>
      <c r="I463" s="71">
        <f t="shared" si="98"/>
        <v>5</v>
      </c>
      <c r="J463" s="71">
        <f t="shared" si="99"/>
        <v>0</v>
      </c>
      <c r="K463" s="69">
        <f t="shared" si="100"/>
        <v>0</v>
      </c>
      <c r="L463" s="69">
        <f t="shared" si="101"/>
        <v>0</v>
      </c>
      <c r="M463" s="69">
        <f t="shared" si="102"/>
        <v>0</v>
      </c>
    </row>
    <row r="464" spans="1:13" s="61" customFormat="1" ht="20.25" customHeight="1" x14ac:dyDescent="0.25">
      <c r="A464" s="67" t="s">
        <v>113</v>
      </c>
      <c r="B464" s="68" t="s">
        <v>299</v>
      </c>
      <c r="C464" s="69" t="s">
        <v>300</v>
      </c>
      <c r="D464" s="69" t="s">
        <v>292</v>
      </c>
      <c r="E464" s="222">
        <v>2</v>
      </c>
      <c r="F464" s="222">
        <v>0</v>
      </c>
      <c r="G464" s="68" t="s">
        <v>290</v>
      </c>
      <c r="H464" s="70">
        <f>VLOOKUP(B464,custoEPI!$B$6:$E$29,4,FALSE)</f>
        <v>0</v>
      </c>
      <c r="I464" s="71">
        <f t="shared" si="98"/>
        <v>5</v>
      </c>
      <c r="J464" s="71">
        <f t="shared" si="99"/>
        <v>0</v>
      </c>
      <c r="K464" s="69">
        <f t="shared" si="100"/>
        <v>0</v>
      </c>
      <c r="L464" s="69">
        <f t="shared" si="101"/>
        <v>0</v>
      </c>
      <c r="M464" s="69">
        <f t="shared" si="102"/>
        <v>0</v>
      </c>
    </row>
    <row r="465" spans="1:13" s="61" customFormat="1" ht="20.25" customHeight="1" x14ac:dyDescent="0.25">
      <c r="A465" s="67" t="s">
        <v>114</v>
      </c>
      <c r="B465" s="68" t="s">
        <v>294</v>
      </c>
      <c r="C465" s="69" t="s">
        <v>288</v>
      </c>
      <c r="D465" s="69" t="s">
        <v>289</v>
      </c>
      <c r="E465" s="222">
        <v>30</v>
      </c>
      <c r="F465" s="222">
        <v>0</v>
      </c>
      <c r="G465" s="68" t="s">
        <v>290</v>
      </c>
      <c r="H465" s="70">
        <f>VLOOKUP(B465,custoEPI!$B$6:$E$29,4,FALSE)</f>
        <v>0</v>
      </c>
      <c r="I465" s="71">
        <f t="shared" si="98"/>
        <v>5</v>
      </c>
      <c r="J465" s="71">
        <f t="shared" si="99"/>
        <v>0</v>
      </c>
      <c r="K465" s="69">
        <f t="shared" si="100"/>
        <v>0</v>
      </c>
      <c r="L465" s="69">
        <f t="shared" si="101"/>
        <v>0</v>
      </c>
      <c r="M465" s="69">
        <f t="shared" si="102"/>
        <v>0</v>
      </c>
    </row>
    <row r="466" spans="1:13" s="61" customFormat="1" ht="20.25" customHeight="1" x14ac:dyDescent="0.25">
      <c r="A466" s="67" t="s">
        <v>115</v>
      </c>
      <c r="B466" s="68" t="s">
        <v>295</v>
      </c>
      <c r="C466" s="69" t="s">
        <v>296</v>
      </c>
      <c r="D466" s="69" t="s">
        <v>292</v>
      </c>
      <c r="E466" s="222">
        <v>1</v>
      </c>
      <c r="F466" s="222">
        <v>0</v>
      </c>
      <c r="G466" s="68" t="s">
        <v>290</v>
      </c>
      <c r="H466" s="70">
        <f>VLOOKUP(B466,custoEPI!$B$6:$E$29,4,FALSE)</f>
        <v>0</v>
      </c>
      <c r="I466" s="71">
        <f t="shared" si="98"/>
        <v>5</v>
      </c>
      <c r="J466" s="71">
        <f t="shared" si="99"/>
        <v>0</v>
      </c>
      <c r="K466" s="69">
        <f t="shared" si="100"/>
        <v>0</v>
      </c>
      <c r="L466" s="69">
        <f t="shared" si="101"/>
        <v>0</v>
      </c>
      <c r="M466" s="69">
        <f t="shared" si="102"/>
        <v>0</v>
      </c>
    </row>
    <row r="467" spans="1:13" s="61" customFormat="1" ht="20.25" hidden="1" customHeight="1" x14ac:dyDescent="0.25">
      <c r="A467" s="67"/>
      <c r="B467" s="68"/>
      <c r="C467" s="69"/>
      <c r="D467" s="69"/>
      <c r="E467" s="222"/>
      <c r="F467" s="222"/>
      <c r="G467" s="68" t="s">
        <v>290</v>
      </c>
      <c r="H467" s="70" t="e">
        <f>VLOOKUP(B467,custoEPI!$B$6:$E$29,4,FALSE)</f>
        <v>#N/A</v>
      </c>
      <c r="I467" s="71"/>
      <c r="J467" s="71" t="str">
        <f t="shared" si="99"/>
        <v>sem descrição</v>
      </c>
      <c r="K467" s="69" t="str">
        <f t="shared" ref="K467:K476" si="103">IF(C467="mensal",J467*H467*E467,IF(C467="trimestral",(J467*H467*E467)/3,IF(C467="semestral",(J467*H467*E467)/6,IF(C467="anual",(J467*H467*E467/12),"informar entrega"))))</f>
        <v>informar entrega</v>
      </c>
      <c r="L467" s="69">
        <f t="shared" si="101"/>
        <v>0</v>
      </c>
      <c r="M467" s="69">
        <f t="shared" si="102"/>
        <v>0</v>
      </c>
    </row>
    <row r="468" spans="1:13" s="61" customFormat="1" ht="20.25" hidden="1" customHeight="1" x14ac:dyDescent="0.25">
      <c r="A468" s="67" t="s">
        <v>118</v>
      </c>
      <c r="B468" s="68"/>
      <c r="C468" s="69"/>
      <c r="D468" s="69"/>
      <c r="E468" s="222"/>
      <c r="F468" s="222"/>
      <c r="G468" s="68" t="s">
        <v>290</v>
      </c>
      <c r="H468" s="70" t="e">
        <f>VLOOKUP(B468,custoEPI!$B$6:$E$29,4,FALSE)</f>
        <v>#N/A</v>
      </c>
      <c r="I468" s="71"/>
      <c r="J468" s="71" t="str">
        <f t="shared" si="99"/>
        <v>sem descrição</v>
      </c>
      <c r="K468" s="69" t="str">
        <f t="shared" si="103"/>
        <v>informar entrega</v>
      </c>
      <c r="L468" s="69">
        <f t="shared" si="101"/>
        <v>0</v>
      </c>
      <c r="M468" s="69">
        <f t="shared" si="102"/>
        <v>0</v>
      </c>
    </row>
    <row r="469" spans="1:13" s="61" customFormat="1" ht="20.25" hidden="1" customHeight="1" x14ac:dyDescent="0.25">
      <c r="A469" s="67" t="s">
        <v>121</v>
      </c>
      <c r="B469" s="68"/>
      <c r="C469" s="69"/>
      <c r="D469" s="69"/>
      <c r="E469" s="222"/>
      <c r="F469" s="222"/>
      <c r="G469" s="68"/>
      <c r="H469" s="70" t="e">
        <f>VLOOKUP(B469,custoEPI!$B$6:$E$29,4,FALSE)</f>
        <v>#N/A</v>
      </c>
      <c r="I469" s="71"/>
      <c r="J469" s="71" t="str">
        <f t="shared" si="99"/>
        <v>sem descrição</v>
      </c>
      <c r="K469" s="69" t="str">
        <f t="shared" si="103"/>
        <v>informar entrega</v>
      </c>
      <c r="L469" s="69">
        <f t="shared" si="101"/>
        <v>0</v>
      </c>
      <c r="M469" s="69">
        <f t="shared" si="102"/>
        <v>0</v>
      </c>
    </row>
    <row r="470" spans="1:13" s="61" customFormat="1" ht="20.25" hidden="1" customHeight="1" x14ac:dyDescent="0.25">
      <c r="A470" s="67" t="s">
        <v>125</v>
      </c>
      <c r="B470" s="68"/>
      <c r="C470" s="69"/>
      <c r="D470" s="69"/>
      <c r="E470" s="222"/>
      <c r="F470" s="222"/>
      <c r="G470" s="68"/>
      <c r="H470" s="70"/>
      <c r="I470" s="71"/>
      <c r="J470" s="71" t="str">
        <f t="shared" si="99"/>
        <v>sem descrição</v>
      </c>
      <c r="K470" s="69" t="str">
        <f t="shared" si="103"/>
        <v>informar entrega</v>
      </c>
      <c r="L470" s="69">
        <f t="shared" si="101"/>
        <v>0</v>
      </c>
      <c r="M470" s="69">
        <f t="shared" si="102"/>
        <v>0</v>
      </c>
    </row>
    <row r="471" spans="1:13" s="61" customFormat="1" ht="20.25" hidden="1" customHeight="1" x14ac:dyDescent="0.25">
      <c r="A471" s="67" t="s">
        <v>127</v>
      </c>
      <c r="B471" s="68"/>
      <c r="C471" s="69"/>
      <c r="D471" s="69"/>
      <c r="E471" s="222"/>
      <c r="F471" s="222"/>
      <c r="G471" s="68"/>
      <c r="H471" s="70"/>
      <c r="I471" s="70"/>
      <c r="J471" s="71" t="str">
        <f t="shared" si="99"/>
        <v>sem descrição</v>
      </c>
      <c r="K471" s="69" t="str">
        <f t="shared" si="103"/>
        <v>informar entrega</v>
      </c>
      <c r="L471" s="69">
        <f t="shared" si="101"/>
        <v>0</v>
      </c>
      <c r="M471" s="69">
        <f t="shared" si="102"/>
        <v>0</v>
      </c>
    </row>
    <row r="472" spans="1:13" s="61" customFormat="1" ht="20.25" hidden="1" customHeight="1" x14ac:dyDescent="0.25">
      <c r="A472" s="67" t="s">
        <v>129</v>
      </c>
      <c r="B472" s="68"/>
      <c r="C472" s="69"/>
      <c r="D472" s="69"/>
      <c r="E472" s="222"/>
      <c r="F472" s="222"/>
      <c r="G472" s="68"/>
      <c r="H472" s="70"/>
      <c r="I472" s="70"/>
      <c r="J472" s="71" t="str">
        <f t="shared" si="99"/>
        <v>sem descrição</v>
      </c>
      <c r="K472" s="69" t="str">
        <f t="shared" si="103"/>
        <v>informar entrega</v>
      </c>
      <c r="L472" s="69">
        <f t="shared" si="101"/>
        <v>0</v>
      </c>
      <c r="M472" s="69">
        <f t="shared" si="102"/>
        <v>0</v>
      </c>
    </row>
    <row r="473" spans="1:13" s="61" customFormat="1" ht="20.25" hidden="1" customHeight="1" x14ac:dyDescent="0.25">
      <c r="A473" s="67" t="s">
        <v>131</v>
      </c>
      <c r="B473" s="68"/>
      <c r="C473" s="69"/>
      <c r="D473" s="69"/>
      <c r="E473" s="222"/>
      <c r="F473" s="222"/>
      <c r="G473" s="68"/>
      <c r="H473" s="70"/>
      <c r="I473" s="70"/>
      <c r="J473" s="71" t="str">
        <f t="shared" si="99"/>
        <v>sem descrição</v>
      </c>
      <c r="K473" s="69" t="str">
        <f t="shared" si="103"/>
        <v>informar entrega</v>
      </c>
      <c r="L473" s="69">
        <f t="shared" si="101"/>
        <v>0</v>
      </c>
      <c r="M473" s="69">
        <f t="shared" si="102"/>
        <v>0</v>
      </c>
    </row>
    <row r="474" spans="1:13" s="61" customFormat="1" ht="20.25" hidden="1" customHeight="1" x14ac:dyDescent="0.25">
      <c r="A474" s="67" t="s">
        <v>188</v>
      </c>
      <c r="B474" s="68"/>
      <c r="C474" s="69"/>
      <c r="D474" s="69"/>
      <c r="E474" s="222"/>
      <c r="F474" s="222"/>
      <c r="G474" s="68"/>
      <c r="H474" s="70"/>
      <c r="I474" s="70"/>
      <c r="J474" s="71" t="str">
        <f t="shared" si="99"/>
        <v>sem descrição</v>
      </c>
      <c r="K474" s="69" t="str">
        <f t="shared" si="103"/>
        <v>informar entrega</v>
      </c>
      <c r="L474" s="69">
        <f t="shared" si="101"/>
        <v>0</v>
      </c>
      <c r="M474" s="69">
        <f t="shared" si="102"/>
        <v>0</v>
      </c>
    </row>
    <row r="475" spans="1:13" s="61" customFormat="1" ht="20.25" hidden="1" customHeight="1" x14ac:dyDescent="0.25">
      <c r="A475" s="67" t="s">
        <v>192</v>
      </c>
      <c r="B475" s="68"/>
      <c r="C475" s="69"/>
      <c r="D475" s="69"/>
      <c r="E475" s="222"/>
      <c r="F475" s="222"/>
      <c r="G475" s="68"/>
      <c r="H475" s="70"/>
      <c r="I475" s="70"/>
      <c r="J475" s="71" t="str">
        <f t="shared" si="99"/>
        <v>sem descrição</v>
      </c>
      <c r="K475" s="69" t="str">
        <f t="shared" si="103"/>
        <v>informar entrega</v>
      </c>
      <c r="L475" s="69">
        <f t="shared" si="101"/>
        <v>0</v>
      </c>
      <c r="M475" s="69">
        <f t="shared" si="102"/>
        <v>0</v>
      </c>
    </row>
    <row r="476" spans="1:13" s="61" customFormat="1" ht="20.25" hidden="1" customHeight="1" x14ac:dyDescent="0.25">
      <c r="A476" s="67" t="s">
        <v>195</v>
      </c>
      <c r="B476" s="68"/>
      <c r="C476" s="69"/>
      <c r="D476" s="69"/>
      <c r="E476" s="222"/>
      <c r="F476" s="222"/>
      <c r="G476" s="68"/>
      <c r="H476" s="70"/>
      <c r="I476" s="70"/>
      <c r="J476" s="71" t="str">
        <f t="shared" si="99"/>
        <v>sem descrição</v>
      </c>
      <c r="K476" s="69" t="str">
        <f t="shared" si="103"/>
        <v>informar entrega</v>
      </c>
      <c r="L476" s="69">
        <f t="shared" si="101"/>
        <v>0</v>
      </c>
      <c r="M476" s="69">
        <f t="shared" si="102"/>
        <v>0</v>
      </c>
    </row>
    <row r="477" spans="1:13" s="61" customFormat="1" ht="20.25" hidden="1" customHeight="1" x14ac:dyDescent="0.25">
      <c r="A477" s="67" t="s">
        <v>199</v>
      </c>
      <c r="B477" s="68"/>
      <c r="C477" s="69"/>
      <c r="D477" s="69"/>
      <c r="E477" s="222"/>
      <c r="F477" s="222"/>
      <c r="G477" s="68"/>
      <c r="H477" s="70"/>
      <c r="I477" s="70"/>
      <c r="J477" s="71" t="str">
        <f t="shared" si="99"/>
        <v>sem descrição</v>
      </c>
      <c r="K477" s="69" t="str">
        <f>IF(C477="mensal",J477*H477*E477,IF(C477="trimestral",(J477*H477*E477)/3,IF(C477="semestral",(J477*H477*E477)/6,IF(C477="anual",(J477*H477*E477/12),"informar período"))))</f>
        <v>informar período</v>
      </c>
      <c r="L477" s="69">
        <f t="shared" si="101"/>
        <v>0</v>
      </c>
      <c r="M477" s="69">
        <f t="shared" si="102"/>
        <v>0</v>
      </c>
    </row>
    <row r="478" spans="1:13" s="61" customFormat="1" ht="20.25" customHeight="1" x14ac:dyDescent="0.25">
      <c r="A478" s="152" t="s">
        <v>308</v>
      </c>
      <c r="B478" s="147"/>
      <c r="C478" s="147"/>
      <c r="D478" s="147"/>
      <c r="E478" s="147"/>
      <c r="F478" s="147"/>
      <c r="G478" s="147"/>
      <c r="H478" s="147"/>
      <c r="I478" s="139"/>
      <c r="J478" s="155"/>
      <c r="K478" s="156">
        <f>SUM(K461:K477)</f>
        <v>0</v>
      </c>
      <c r="L478" s="157">
        <f>K478*12</f>
        <v>0</v>
      </c>
      <c r="M478" s="158">
        <f>K478*60</f>
        <v>0</v>
      </c>
    </row>
    <row r="479" spans="1:13" s="61" customFormat="1" ht="20.25" customHeight="1" x14ac:dyDescent="0.25">
      <c r="A479" s="152" t="s">
        <v>302</v>
      </c>
      <c r="B479" s="147"/>
      <c r="C479" s="147"/>
      <c r="D479" s="147"/>
      <c r="E479" s="147"/>
      <c r="F479" s="147"/>
      <c r="G479" s="147"/>
      <c r="H479" s="147"/>
      <c r="I479" s="147"/>
      <c r="J479" s="147"/>
      <c r="K479" s="147"/>
      <c r="L479" s="147"/>
      <c r="M479" s="159">
        <f>K478/SUM(C457:M459)</f>
        <v>0</v>
      </c>
    </row>
    <row r="480" spans="1:13" s="61" customFormat="1" ht="20.25" hidden="1" customHeight="1" x14ac:dyDescent="0.25">
      <c r="A480" s="235" t="s">
        <v>273</v>
      </c>
      <c r="B480" s="143" t="s">
        <v>19</v>
      </c>
      <c r="C480" s="153"/>
      <c r="D480" s="153"/>
      <c r="E480" s="153"/>
      <c r="F480" s="153"/>
      <c r="G480" s="153"/>
      <c r="H480" s="153"/>
      <c r="I480" s="153"/>
      <c r="J480" s="153"/>
      <c r="K480" s="153"/>
      <c r="L480" s="153"/>
      <c r="M480" s="154"/>
    </row>
    <row r="481" spans="1:13" s="61" customFormat="1" ht="20.25" hidden="1" customHeight="1" x14ac:dyDescent="0.25">
      <c r="A481" s="62">
        <v>1</v>
      </c>
      <c r="B481" s="63" t="s">
        <v>274</v>
      </c>
      <c r="C481" s="216" t="s">
        <v>265</v>
      </c>
      <c r="D481" s="217"/>
      <c r="E481" s="217"/>
      <c r="F481" s="217"/>
      <c r="G481" s="217"/>
      <c r="H481" s="145"/>
      <c r="I481" s="145"/>
      <c r="J481" s="145"/>
      <c r="K481" s="145"/>
      <c r="L481" s="145"/>
      <c r="M481" s="146"/>
    </row>
    <row r="482" spans="1:13" s="61" customFormat="1" ht="20.25" hidden="1" customHeight="1" x14ac:dyDescent="0.25">
      <c r="A482" s="62">
        <v>2</v>
      </c>
      <c r="B482" s="63" t="str">
        <f>'planilha - proposta'!D61</f>
        <v>Bombeiro Civil - 12x36d</v>
      </c>
      <c r="C482" s="216">
        <v>0</v>
      </c>
      <c r="D482" s="217"/>
      <c r="E482" s="217"/>
      <c r="F482" s="217"/>
      <c r="G482" s="217"/>
      <c r="H482" s="145"/>
      <c r="I482" s="145"/>
      <c r="J482" s="145"/>
      <c r="K482" s="145"/>
      <c r="L482" s="145"/>
      <c r="M482" s="146"/>
    </row>
    <row r="483" spans="1:13" s="61" customFormat="1" ht="20.25" hidden="1" customHeight="1" x14ac:dyDescent="0.25">
      <c r="A483" s="62">
        <v>3</v>
      </c>
      <c r="B483" s="63" t="str">
        <f>'planilha - proposta'!D62</f>
        <v>Bombeiro Civil - 12x36n</v>
      </c>
      <c r="C483" s="216">
        <v>0</v>
      </c>
      <c r="D483" s="217"/>
      <c r="E483" s="217"/>
      <c r="F483" s="217"/>
      <c r="G483" s="217"/>
      <c r="H483" s="145"/>
      <c r="I483" s="145"/>
      <c r="J483" s="145"/>
      <c r="K483" s="145"/>
      <c r="L483" s="145"/>
      <c r="M483" s="146"/>
    </row>
    <row r="484" spans="1:13" s="61" customFormat="1" ht="20.25" hidden="1" customHeight="1" x14ac:dyDescent="0.25">
      <c r="A484" s="62"/>
      <c r="B484" s="63"/>
      <c r="C484" s="215">
        <v>0</v>
      </c>
      <c r="D484" s="215"/>
      <c r="E484" s="215"/>
      <c r="F484" s="215"/>
      <c r="G484" s="215"/>
      <c r="H484" s="144"/>
      <c r="I484" s="144"/>
      <c r="J484" s="144"/>
      <c r="K484" s="144"/>
      <c r="L484" s="144"/>
      <c r="M484" s="144"/>
    </row>
    <row r="485" spans="1:13" s="61" customFormat="1" ht="52.5" hidden="1" customHeight="1" x14ac:dyDescent="0.25">
      <c r="A485" s="64" t="s">
        <v>273</v>
      </c>
      <c r="B485" s="65" t="s">
        <v>275</v>
      </c>
      <c r="C485" s="218" t="s">
        <v>276</v>
      </c>
      <c r="D485" s="218" t="s">
        <v>277</v>
      </c>
      <c r="E485" s="218" t="s">
        <v>278</v>
      </c>
      <c r="F485" s="218" t="s">
        <v>303</v>
      </c>
      <c r="G485" s="223" t="s">
        <v>280</v>
      </c>
      <c r="H485" s="65" t="s">
        <v>304</v>
      </c>
      <c r="I485" s="66" t="s">
        <v>305</v>
      </c>
      <c r="J485" s="66" t="s">
        <v>318</v>
      </c>
      <c r="K485" s="65" t="s">
        <v>284</v>
      </c>
      <c r="L485" s="65" t="s">
        <v>285</v>
      </c>
      <c r="M485" s="66" t="s">
        <v>286</v>
      </c>
    </row>
    <row r="486" spans="1:13" s="61" customFormat="1" ht="20.25" hidden="1" customHeight="1" x14ac:dyDescent="0.25">
      <c r="A486" s="67"/>
      <c r="B486" s="71"/>
      <c r="C486" s="69"/>
      <c r="D486" s="69"/>
      <c r="E486" s="222"/>
      <c r="F486" s="222"/>
      <c r="G486" s="68"/>
      <c r="H486" s="70"/>
      <c r="I486" s="71">
        <f t="shared" ref="I486:I494" si="104">SUM($C$482:$M$484)</f>
        <v>0</v>
      </c>
      <c r="J486" s="71" t="str">
        <f t="shared" ref="J486:J503" si="105">IF(B486="","sem descrição",IF($C$482&gt;=$C$483,IF($C$484&gt;0,$C$482/2+$C$484,$C$482/2),IF($C$484&gt;0,$C$483/2+$C$484,$C$484)))</f>
        <v>sem descrição</v>
      </c>
      <c r="K486" s="69" t="str">
        <f>IF(C486="mensal",J486*H486*E486,IF(C486="trimestral",(J486*H486*E486)/3,IF(C486="semestral",(J486*H486*E486)/6,IF(C486="anual",(J486*H486*E486/12),"informar entrega"))))</f>
        <v>informar entrega</v>
      </c>
      <c r="L486" s="69">
        <f>IFERROR(K486*12, 0)</f>
        <v>0</v>
      </c>
      <c r="M486" s="69">
        <f>IFERROR(K486*60,0)</f>
        <v>0</v>
      </c>
    </row>
    <row r="487" spans="1:13" s="61" customFormat="1" ht="20.25" hidden="1" customHeight="1" x14ac:dyDescent="0.25">
      <c r="A487" s="67"/>
      <c r="B487" s="71"/>
      <c r="C487" s="69"/>
      <c r="D487" s="69"/>
      <c r="E487" s="222"/>
      <c r="F487" s="222"/>
      <c r="G487" s="68"/>
      <c r="H487" s="70"/>
      <c r="I487" s="71">
        <f t="shared" si="104"/>
        <v>0</v>
      </c>
      <c r="J487" s="71" t="str">
        <f t="shared" si="105"/>
        <v>sem descrição</v>
      </c>
      <c r="K487" s="69" t="str">
        <f>IF(C487="mensal",J487*H487*E487,IF(C487="trimestral",(J487*H487*E487)/3,IF(C487="semestral",(J487*H487*E487)/6,IF(C487="anual",(J487*H487*E487/12),"informar entrega"))))</f>
        <v>informar entrega</v>
      </c>
      <c r="L487" s="69">
        <f t="shared" ref="L487:L503" si="106">IFERROR(K487*12, 0)</f>
        <v>0</v>
      </c>
      <c r="M487" s="69">
        <f t="shared" ref="M487:M503" si="107">IFERROR(K487*60,0)</f>
        <v>0</v>
      </c>
    </row>
    <row r="488" spans="1:13" s="61" customFormat="1" ht="20.25" hidden="1" customHeight="1" x14ac:dyDescent="0.25">
      <c r="A488" s="67" t="s">
        <v>108</v>
      </c>
      <c r="B488" s="71" t="s">
        <v>331</v>
      </c>
      <c r="C488" s="69" t="s">
        <v>298</v>
      </c>
      <c r="D488" s="69" t="s">
        <v>310</v>
      </c>
      <c r="E488" s="222">
        <v>1</v>
      </c>
      <c r="F488" s="222">
        <v>0</v>
      </c>
      <c r="G488" s="68" t="s">
        <v>290</v>
      </c>
      <c r="H488" s="70">
        <f>VLOOKUP(B488,custoEPI!$B$6:$E$29,4,FALSE)</f>
        <v>0</v>
      </c>
      <c r="I488" s="71">
        <f t="shared" si="104"/>
        <v>0</v>
      </c>
      <c r="J488" s="71">
        <f t="shared" si="105"/>
        <v>0</v>
      </c>
      <c r="K488" s="69">
        <f>IF(C488="mensal",IF(F488&gt;0,F488*H488,IF(D488="descartável",((SUM($C$482:$C$483)/2)+$C$484)*E488*H488,IF(D488="pessoal",E488*H488*I488,E488*H488*J488))),0)+IF(C488="trimestral",IF(F488&gt;0,F488*H488/3,IF(D488="descartável",(((SUM($C$482:$C$483)/2)+$C$484)*E488*H488)/3,IF(D488="pessoal",(E488*H488*I488)/3,(E488*H488*J488)/3))),0)+IF(C488="semestral",IF(F488&gt;0,F488*H488/6,IF(D488="descartável",(((SUM($C$482:$C$483)/2)+$C$484)*E488*H488)/6,IF(D488="pessoal",(E488*H488*I488)/6,(E488*H488*J488)/6))),0)+IF(C488="anual",IF(F488&gt;0,F488*H488/12,IF(D488="descartável",(((SUM($C$482:$C$483)/2)+$C$484)*E488*H488)/12,IF(D488="pessoal",(E488*H488*I488)/12,(E488*H488*J488)/12))),0)</f>
        <v>0</v>
      </c>
      <c r="L488" s="69">
        <f t="shared" si="106"/>
        <v>0</v>
      </c>
      <c r="M488" s="69">
        <f t="shared" si="107"/>
        <v>0</v>
      </c>
    </row>
    <row r="489" spans="1:13" s="61" customFormat="1" ht="20.25" hidden="1" customHeight="1" x14ac:dyDescent="0.25">
      <c r="A489" s="67" t="s">
        <v>110</v>
      </c>
      <c r="B489" s="71" t="s">
        <v>332</v>
      </c>
      <c r="C489" s="69" t="s">
        <v>298</v>
      </c>
      <c r="D489" s="69" t="s">
        <v>292</v>
      </c>
      <c r="E489" s="222">
        <v>1</v>
      </c>
      <c r="F489" s="222">
        <v>0</v>
      </c>
      <c r="G489" s="68" t="s">
        <v>290</v>
      </c>
      <c r="H489" s="70">
        <f>VLOOKUP(B489,custoEPI!$B$6:$E$29,4,FALSE)</f>
        <v>0</v>
      </c>
      <c r="I489" s="71">
        <f t="shared" si="104"/>
        <v>0</v>
      </c>
      <c r="J489" s="71">
        <f t="shared" si="105"/>
        <v>0</v>
      </c>
      <c r="K489" s="69">
        <f t="shared" ref="K489:K496" si="108">IF(C489="mensal",IF(F489&gt;0,F489*H489,IF(D489="descartável",((SUM($C$482:$C$483)/2)+$C$484)*E489*H489,IF(D489="pessoal",E489*H489*I489,E489*H489*J489))),0)+IF(C489="trimestral",IF(F489&gt;0,F489*H489/3,IF(D489="descartável",(((SUM($C$482:$C$483)/2)+$C$484)*E489*H489)/3,IF(D489="pessoal",(E489*H489*I489)/3,(E489*H489*J489)/3))),0)+IF(C489="semestral",IF(F489&gt;0,F489*H489/6,IF(D489="descartável",(((SUM($C$482:$C$483)/2)+$C$484)*E489*H489)/6,IF(D489="pessoal",(E489*H489*I489)/6,(E489*H489*J489)/6))),0)+IF(C489="anual",IF(F489&gt;0,F489*H489/12,IF(D489="descartável",(((SUM($C$482:$C$483)/2)+$C$484)*E489*H489)/12,IF(D489="pessoal",(E489*H489*I489)/12,(E489*H489*J489)/12))),0)</f>
        <v>0</v>
      </c>
      <c r="L489" s="69">
        <f t="shared" si="106"/>
        <v>0</v>
      </c>
      <c r="M489" s="69">
        <f t="shared" si="107"/>
        <v>0</v>
      </c>
    </row>
    <row r="490" spans="1:13" s="61" customFormat="1" ht="20.25" hidden="1" customHeight="1" x14ac:dyDescent="0.25">
      <c r="A490" s="67" t="s">
        <v>111</v>
      </c>
      <c r="B490" s="71" t="s">
        <v>329</v>
      </c>
      <c r="C490" s="69" t="s">
        <v>298</v>
      </c>
      <c r="D490" s="69" t="s">
        <v>310</v>
      </c>
      <c r="E490" s="222">
        <v>1</v>
      </c>
      <c r="F490" s="222">
        <v>0</v>
      </c>
      <c r="G490" s="68" t="s">
        <v>290</v>
      </c>
      <c r="H490" s="70">
        <f>VLOOKUP(B490,custoEPI!$B$6:$E$29,4,FALSE)</f>
        <v>0</v>
      </c>
      <c r="I490" s="71">
        <f t="shared" si="104"/>
        <v>0</v>
      </c>
      <c r="J490" s="71">
        <f t="shared" si="105"/>
        <v>0</v>
      </c>
      <c r="K490" s="69">
        <f t="shared" si="108"/>
        <v>0</v>
      </c>
      <c r="L490" s="69">
        <f t="shared" si="106"/>
        <v>0</v>
      </c>
      <c r="M490" s="69">
        <f t="shared" si="107"/>
        <v>0</v>
      </c>
    </row>
    <row r="491" spans="1:13" s="61" customFormat="1" ht="20.25" hidden="1" customHeight="1" x14ac:dyDescent="0.25">
      <c r="A491" s="67"/>
      <c r="B491" s="71"/>
      <c r="C491" s="69"/>
      <c r="D491" s="69"/>
      <c r="E491" s="222"/>
      <c r="F491" s="222"/>
      <c r="G491" s="68"/>
      <c r="H491" s="70" t="e">
        <f>VLOOKUP(B491,custoEPI!$B$6:$E$29,4,FALSE)</f>
        <v>#N/A</v>
      </c>
      <c r="I491" s="71">
        <f t="shared" si="104"/>
        <v>0</v>
      </c>
      <c r="J491" s="71" t="str">
        <f t="shared" si="105"/>
        <v>sem descrição</v>
      </c>
      <c r="K491" s="69">
        <f t="shared" si="108"/>
        <v>0</v>
      </c>
      <c r="L491" s="69">
        <f t="shared" si="106"/>
        <v>0</v>
      </c>
      <c r="M491" s="69">
        <f t="shared" si="107"/>
        <v>0</v>
      </c>
    </row>
    <row r="492" spans="1:13" s="61" customFormat="1" ht="20.25" hidden="1" customHeight="1" x14ac:dyDescent="0.25">
      <c r="A492" s="67" t="s">
        <v>113</v>
      </c>
      <c r="B492" s="68" t="s">
        <v>307</v>
      </c>
      <c r="C492" s="69" t="s">
        <v>300</v>
      </c>
      <c r="D492" s="69" t="s">
        <v>292</v>
      </c>
      <c r="E492" s="222">
        <v>1</v>
      </c>
      <c r="F492" s="222">
        <v>0</v>
      </c>
      <c r="G492" s="68" t="s">
        <v>290</v>
      </c>
      <c r="H492" s="70">
        <f>VLOOKUP(B492,custoEPI!$B$6:$E$29,4,FALSE)</f>
        <v>0</v>
      </c>
      <c r="I492" s="71">
        <f t="shared" si="104"/>
        <v>0</v>
      </c>
      <c r="J492" s="71">
        <f t="shared" si="105"/>
        <v>0</v>
      </c>
      <c r="K492" s="69">
        <f t="shared" si="108"/>
        <v>0</v>
      </c>
      <c r="L492" s="69">
        <f t="shared" si="106"/>
        <v>0</v>
      </c>
      <c r="M492" s="69">
        <f t="shared" si="107"/>
        <v>0</v>
      </c>
    </row>
    <row r="493" spans="1:13" s="61" customFormat="1" ht="20.25" hidden="1" customHeight="1" x14ac:dyDescent="0.25">
      <c r="A493" s="67" t="s">
        <v>114</v>
      </c>
      <c r="B493" s="68" t="s">
        <v>295</v>
      </c>
      <c r="C493" s="69" t="s">
        <v>296</v>
      </c>
      <c r="D493" s="69" t="s">
        <v>292</v>
      </c>
      <c r="E493" s="222">
        <v>1</v>
      </c>
      <c r="F493" s="222">
        <v>0</v>
      </c>
      <c r="G493" s="68" t="s">
        <v>290</v>
      </c>
      <c r="H493" s="70">
        <f>VLOOKUP(B493,custoEPI!$B$6:$E$29,4,FALSE)</f>
        <v>0</v>
      </c>
      <c r="I493" s="71">
        <f t="shared" si="104"/>
        <v>0</v>
      </c>
      <c r="J493" s="71">
        <f t="shared" si="105"/>
        <v>0</v>
      </c>
      <c r="K493" s="69">
        <f t="shared" si="108"/>
        <v>0</v>
      </c>
      <c r="L493" s="69">
        <f t="shared" si="106"/>
        <v>0</v>
      </c>
      <c r="M493" s="69">
        <f t="shared" si="107"/>
        <v>0</v>
      </c>
    </row>
    <row r="494" spans="1:13" s="61" customFormat="1" ht="20.25" hidden="1" customHeight="1" x14ac:dyDescent="0.25">
      <c r="A494" s="67" t="s">
        <v>115</v>
      </c>
      <c r="B494" s="71" t="s">
        <v>297</v>
      </c>
      <c r="C494" s="69" t="s">
        <v>298</v>
      </c>
      <c r="D494" s="69" t="s">
        <v>292</v>
      </c>
      <c r="E494" s="222">
        <v>1</v>
      </c>
      <c r="F494" s="222">
        <v>0</v>
      </c>
      <c r="G494" s="68" t="s">
        <v>290</v>
      </c>
      <c r="H494" s="70">
        <f>VLOOKUP(B494,custoEPI!$B$6:$E$29,4,FALSE)</f>
        <v>0</v>
      </c>
      <c r="I494" s="71">
        <f t="shared" si="104"/>
        <v>0</v>
      </c>
      <c r="J494" s="71">
        <f t="shared" si="105"/>
        <v>0</v>
      </c>
      <c r="K494" s="69">
        <f t="shared" si="108"/>
        <v>0</v>
      </c>
      <c r="L494" s="69">
        <f t="shared" si="106"/>
        <v>0</v>
      </c>
      <c r="M494" s="69">
        <f t="shared" si="107"/>
        <v>0</v>
      </c>
    </row>
    <row r="495" spans="1:13" s="61" customFormat="1" ht="20.25" hidden="1" customHeight="1" x14ac:dyDescent="0.25">
      <c r="A495" s="67" t="s">
        <v>116</v>
      </c>
      <c r="B495" s="71" t="s">
        <v>287</v>
      </c>
      <c r="C495" s="69" t="s">
        <v>288</v>
      </c>
      <c r="D495" s="69" t="s">
        <v>289</v>
      </c>
      <c r="E495" s="222">
        <f>3*30</f>
        <v>90</v>
      </c>
      <c r="F495" s="222">
        <v>0</v>
      </c>
      <c r="G495" s="68" t="s">
        <v>290</v>
      </c>
      <c r="H495" s="70">
        <f>VLOOKUP(B495,custoEPI!$B$6:$E$29,4,FALSE)</f>
        <v>0</v>
      </c>
      <c r="I495" s="71">
        <f>SUM($C$482:$M$484)</f>
        <v>0</v>
      </c>
      <c r="J495" s="71">
        <f t="shared" si="105"/>
        <v>0</v>
      </c>
      <c r="K495" s="69">
        <f t="shared" si="108"/>
        <v>0</v>
      </c>
      <c r="L495" s="69">
        <f t="shared" si="106"/>
        <v>0</v>
      </c>
      <c r="M495" s="69">
        <f t="shared" si="107"/>
        <v>0</v>
      </c>
    </row>
    <row r="496" spans="1:13" s="61" customFormat="1" ht="20.25" hidden="1" customHeight="1" x14ac:dyDescent="0.25">
      <c r="A496" s="67" t="s">
        <v>118</v>
      </c>
      <c r="B496" s="71" t="s">
        <v>291</v>
      </c>
      <c r="C496" s="69" t="s">
        <v>288</v>
      </c>
      <c r="D496" s="69" t="s">
        <v>289</v>
      </c>
      <c r="E496" s="222">
        <v>1</v>
      </c>
      <c r="F496" s="222">
        <v>0</v>
      </c>
      <c r="G496" s="68" t="s">
        <v>290</v>
      </c>
      <c r="H496" s="70">
        <f>VLOOKUP(B496,custoEPI!$B$6:$E$29,4,FALSE)</f>
        <v>0</v>
      </c>
      <c r="I496" s="71">
        <f>SUM($C$482:$M$484)</f>
        <v>0</v>
      </c>
      <c r="J496" s="71">
        <f t="shared" si="105"/>
        <v>0</v>
      </c>
      <c r="K496" s="69">
        <f t="shared" si="108"/>
        <v>0</v>
      </c>
      <c r="L496" s="69">
        <f t="shared" si="106"/>
        <v>0</v>
      </c>
      <c r="M496" s="69">
        <f t="shared" si="107"/>
        <v>0</v>
      </c>
    </row>
    <row r="497" spans="1:13" s="61" customFormat="1" ht="20.25" hidden="1" customHeight="1" x14ac:dyDescent="0.25">
      <c r="A497" s="67"/>
      <c r="B497" s="68"/>
      <c r="C497" s="69"/>
      <c r="D497" s="69"/>
      <c r="E497" s="222"/>
      <c r="F497" s="222"/>
      <c r="G497" s="68"/>
      <c r="H497" s="70"/>
      <c r="I497" s="71">
        <f>SUM($C$482:$M$484)</f>
        <v>0</v>
      </c>
      <c r="J497" s="71" t="str">
        <f t="shared" si="105"/>
        <v>sem descrição</v>
      </c>
      <c r="K497" s="69" t="str">
        <f t="shared" ref="K497:K502" si="109">IF(C497="mensal",J497*H497*E497,IF(C497="trimestral",(J497*H497*E497)/3,IF(C497="semestral",(J497*H497*E497)/6,IF(C497="anual",(J497*H497*E497/12),"informar entrega"))))</f>
        <v>informar entrega</v>
      </c>
      <c r="L497" s="69">
        <f t="shared" si="106"/>
        <v>0</v>
      </c>
      <c r="M497" s="69">
        <f t="shared" si="107"/>
        <v>0</v>
      </c>
    </row>
    <row r="498" spans="1:13" s="61" customFormat="1" ht="20.25" hidden="1" customHeight="1" x14ac:dyDescent="0.25">
      <c r="A498" s="67" t="s">
        <v>129</v>
      </c>
      <c r="B498" s="68"/>
      <c r="C498" s="69"/>
      <c r="D498" s="69"/>
      <c r="E498" s="222"/>
      <c r="F498" s="222"/>
      <c r="G498" s="68"/>
      <c r="H498" s="70"/>
      <c r="I498" s="70"/>
      <c r="J498" s="71" t="str">
        <f t="shared" si="105"/>
        <v>sem descrição</v>
      </c>
      <c r="K498" s="69" t="str">
        <f t="shared" si="109"/>
        <v>informar entrega</v>
      </c>
      <c r="L498" s="69">
        <f t="shared" si="106"/>
        <v>0</v>
      </c>
      <c r="M498" s="69">
        <f t="shared" si="107"/>
        <v>0</v>
      </c>
    </row>
    <row r="499" spans="1:13" s="61" customFormat="1" ht="20.25" hidden="1" customHeight="1" x14ac:dyDescent="0.25">
      <c r="A499" s="67" t="s">
        <v>131</v>
      </c>
      <c r="B499" s="68"/>
      <c r="C499" s="69"/>
      <c r="D499" s="69"/>
      <c r="E499" s="222"/>
      <c r="F499" s="222"/>
      <c r="G499" s="68"/>
      <c r="H499" s="70"/>
      <c r="I499" s="70"/>
      <c r="J499" s="71" t="str">
        <f t="shared" si="105"/>
        <v>sem descrição</v>
      </c>
      <c r="K499" s="69" t="str">
        <f t="shared" si="109"/>
        <v>informar entrega</v>
      </c>
      <c r="L499" s="69">
        <f t="shared" si="106"/>
        <v>0</v>
      </c>
      <c r="M499" s="69">
        <f t="shared" si="107"/>
        <v>0</v>
      </c>
    </row>
    <row r="500" spans="1:13" s="61" customFormat="1" ht="20.25" hidden="1" customHeight="1" x14ac:dyDescent="0.25">
      <c r="A500" s="67" t="s">
        <v>188</v>
      </c>
      <c r="B500" s="68"/>
      <c r="C500" s="69"/>
      <c r="D500" s="69"/>
      <c r="E500" s="222"/>
      <c r="F500" s="222"/>
      <c r="G500" s="68"/>
      <c r="H500" s="70"/>
      <c r="I500" s="70"/>
      <c r="J500" s="71" t="str">
        <f t="shared" si="105"/>
        <v>sem descrição</v>
      </c>
      <c r="K500" s="69" t="str">
        <f t="shared" si="109"/>
        <v>informar entrega</v>
      </c>
      <c r="L500" s="69">
        <f t="shared" si="106"/>
        <v>0</v>
      </c>
      <c r="M500" s="69">
        <f t="shared" si="107"/>
        <v>0</v>
      </c>
    </row>
    <row r="501" spans="1:13" s="61" customFormat="1" ht="20.25" hidden="1" customHeight="1" x14ac:dyDescent="0.25">
      <c r="A501" s="67" t="s">
        <v>192</v>
      </c>
      <c r="B501" s="68"/>
      <c r="C501" s="69"/>
      <c r="D501" s="69"/>
      <c r="E501" s="222"/>
      <c r="F501" s="222"/>
      <c r="G501" s="68"/>
      <c r="H501" s="70"/>
      <c r="I501" s="70"/>
      <c r="J501" s="71" t="str">
        <f t="shared" si="105"/>
        <v>sem descrição</v>
      </c>
      <c r="K501" s="69" t="str">
        <f t="shared" si="109"/>
        <v>informar entrega</v>
      </c>
      <c r="L501" s="69">
        <f t="shared" si="106"/>
        <v>0</v>
      </c>
      <c r="M501" s="69">
        <f t="shared" si="107"/>
        <v>0</v>
      </c>
    </row>
    <row r="502" spans="1:13" s="61" customFormat="1" ht="20.25" hidden="1" customHeight="1" x14ac:dyDescent="0.25">
      <c r="A502" s="67" t="s">
        <v>195</v>
      </c>
      <c r="B502" s="68"/>
      <c r="C502" s="69"/>
      <c r="D502" s="69"/>
      <c r="E502" s="222"/>
      <c r="F502" s="222"/>
      <c r="G502" s="68"/>
      <c r="H502" s="70"/>
      <c r="I502" s="70"/>
      <c r="J502" s="71" t="str">
        <f t="shared" si="105"/>
        <v>sem descrição</v>
      </c>
      <c r="K502" s="69" t="str">
        <f t="shared" si="109"/>
        <v>informar entrega</v>
      </c>
      <c r="L502" s="69">
        <f t="shared" si="106"/>
        <v>0</v>
      </c>
      <c r="M502" s="69">
        <f t="shared" si="107"/>
        <v>0</v>
      </c>
    </row>
    <row r="503" spans="1:13" s="61" customFormat="1" ht="20.25" hidden="1" customHeight="1" x14ac:dyDescent="0.25">
      <c r="A503" s="67" t="s">
        <v>199</v>
      </c>
      <c r="B503" s="68"/>
      <c r="C503" s="69"/>
      <c r="D503" s="69"/>
      <c r="E503" s="222"/>
      <c r="F503" s="222"/>
      <c r="G503" s="68"/>
      <c r="H503" s="70"/>
      <c r="I503" s="70"/>
      <c r="J503" s="71" t="str">
        <f t="shared" si="105"/>
        <v>sem descrição</v>
      </c>
      <c r="K503" s="69" t="str">
        <f>IF(C503="mensal",J503*H503*E503,IF(C503="trimestral",(J503*H503*E503)/3,IF(C503="semestral",(J503*H503*E503)/6,IF(C503="anual",(J503*H503*E503/12),"informar período"))))</f>
        <v>informar período</v>
      </c>
      <c r="L503" s="69">
        <f t="shared" si="106"/>
        <v>0</v>
      </c>
      <c r="M503" s="69">
        <f t="shared" si="107"/>
        <v>0</v>
      </c>
    </row>
    <row r="504" spans="1:13" s="61" customFormat="1" ht="20.25" hidden="1" customHeight="1" x14ac:dyDescent="0.25">
      <c r="A504" s="152" t="s">
        <v>320</v>
      </c>
      <c r="B504" s="147"/>
      <c r="C504" s="147"/>
      <c r="D504" s="147"/>
      <c r="E504" s="147"/>
      <c r="F504" s="147"/>
      <c r="G504" s="147"/>
      <c r="H504" s="147"/>
      <c r="I504" s="139"/>
      <c r="J504" s="155"/>
      <c r="K504" s="156">
        <f>SUM(K486:K503)</f>
        <v>0</v>
      </c>
      <c r="L504" s="157">
        <f>K504*12</f>
        <v>0</v>
      </c>
      <c r="M504" s="158">
        <f>K504*60</f>
        <v>0</v>
      </c>
    </row>
    <row r="505" spans="1:13" s="61" customFormat="1" ht="20.25" hidden="1" customHeight="1" x14ac:dyDescent="0.25">
      <c r="A505" s="152" t="s">
        <v>302</v>
      </c>
      <c r="B505" s="147"/>
      <c r="C505" s="147"/>
      <c r="D505" s="147"/>
      <c r="E505" s="147"/>
      <c r="F505" s="147"/>
      <c r="G505" s="147"/>
      <c r="H505" s="147"/>
      <c r="I505" s="147"/>
      <c r="J505" s="147"/>
      <c r="K505" s="147"/>
      <c r="L505" s="147"/>
      <c r="M505" s="159" t="e">
        <f>K504/SUM(C482:M484)</f>
        <v>#DIV/0!</v>
      </c>
    </row>
    <row r="506" spans="1:13" s="61" customFormat="1" ht="20.25" customHeight="1" x14ac:dyDescent="0.25">
      <c r="C506" s="28"/>
      <c r="D506" s="28"/>
      <c r="E506" s="28"/>
      <c r="F506" s="28"/>
      <c r="G506" s="28"/>
    </row>
  </sheetData>
  <sheetProtection sheet="1" objects="1" scenarios="1"/>
  <dataValidations count="5">
    <dataValidation type="list" allowBlank="1" showInputMessage="1" showErrorMessage="1" sqref="D444:D452 D419:D427 D469:D477 D394:D402 D46:D52 D497:D503 D94:D102 D119:D127 D144:D152 D169:D177 D194:D202 D220:D227 D244:D252 D70:D77 D294:D302 D320:D327 D344:D352 D369:D377 C21:D27 C316:C327 C62:C77 C36:C52 C86:C102 C111:C127 C136:C152 C161:C177 C186:C202 C211:C227 C236:C252 C261:C277 C286:C302 C336:C352 C361:C377 C386:C402 C411:C427 C436:C452 C461:C477 C486:C503 C311:C314">
      <formula1>"mensal, trimestral, semestral, anual"</formula1>
    </dataValidation>
    <dataValidation type="list" allowBlank="1" showInputMessage="1" showErrorMessage="1" sqref="G11:G27 G36:G52 G61:G77 G86:G102 G461:G477 G111:G127 G136:G152 G161:G177 G186:G202 G211:G227 G236:G252 G261:G277 G286:G302 G486:G503 G336:G352 G361:G377 G386:G402 G411:G427 G436:G452 G311:G327">
      <formula1>"par, unidade, caixa, pacote"</formula1>
    </dataValidation>
    <dataValidation type="list" allowBlank="1" showInputMessage="1" showErrorMessage="1" sqref="C11:C20 C315">
      <formula1>"mensal, trimestral, quadrimestral, semestral, anual, bianual"</formula1>
    </dataValidation>
    <dataValidation type="list" allowBlank="1" showInputMessage="1" showErrorMessage="1" sqref="C61">
      <formula1>"mensal, trimestral, semestral, anual, bianual"</formula1>
    </dataValidation>
    <dataValidation type="list" allowBlank="1" showInputMessage="1" showErrorMessage="1" sqref="D11:D20 D36:D45 D61:D69 D311:D319 D111:D118 D136:D143 D161:D168 D186:D193 D211:D219 D236:D243 D261:D277 D286:D293 D486:D496 D336:D343 D361:D368 D386:D393 D411:D418 D436:D443 D461:D468 D86:D93">
      <formula1>"pessoal, descartável, coletivo"</formula1>
    </dataValidation>
  </dataValidations>
  <printOptions horizontalCentered="1"/>
  <pageMargins left="0.62992125984251968" right="0.62992125984251968" top="0.19685039370078741" bottom="0.19685039370078741" header="0" footer="0"/>
  <pageSetup paperSize="9" scale="86" fitToHeight="0" orientation="landscape" r:id="rId1"/>
  <ignoredErrors>
    <ignoredError sqref="E88" unlockedFormula="1"/>
  </ignoredError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9900"/>
    <pageSetUpPr fitToPage="1"/>
  </sheetPr>
  <dimension ref="A1:N264"/>
  <sheetViews>
    <sheetView showGridLines="0" zoomScaleNormal="100" workbookViewId="0">
      <selection activeCell="C25" sqref="C25"/>
    </sheetView>
  </sheetViews>
  <sheetFormatPr defaultColWidth="15" defaultRowHeight="20.25" customHeight="1" x14ac:dyDescent="0.25"/>
  <cols>
    <col min="1" max="1" width="9" style="168" customWidth="1"/>
    <col min="2" max="2" width="53.5703125" style="168" customWidth="1"/>
    <col min="3" max="7" width="14.5703125" style="168" customWidth="1"/>
    <col min="8" max="8" width="19.85546875" style="168" customWidth="1"/>
    <col min="9" max="11" width="18.28515625" style="168" customWidth="1"/>
    <col min="12" max="16384" width="15" style="168"/>
  </cols>
  <sheetData>
    <row r="1" spans="1:14" s="170" customFormat="1" ht="18.75" x14ac:dyDescent="0.25">
      <c r="A1" s="169" t="s">
        <v>16</v>
      </c>
      <c r="B1" s="194"/>
      <c r="C1" s="194"/>
      <c r="D1" s="194"/>
      <c r="E1" s="194"/>
    </row>
    <row r="2" spans="1:14" s="171" customFormat="1" ht="16.5" customHeight="1" x14ac:dyDescent="0.25">
      <c r="A2" s="164" t="s">
        <v>17</v>
      </c>
      <c r="B2" s="164"/>
      <c r="C2" s="164"/>
      <c r="D2" s="164"/>
      <c r="E2" s="164"/>
      <c r="F2" s="170"/>
      <c r="G2" s="170"/>
      <c r="H2" s="170"/>
      <c r="I2" s="170"/>
      <c r="J2" s="170"/>
      <c r="K2" s="170"/>
    </row>
    <row r="3" spans="1:14" ht="20.25" customHeight="1" x14ac:dyDescent="0.25">
      <c r="A3" s="172" t="s">
        <v>333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73"/>
      <c r="M3" s="173"/>
      <c r="N3" s="173"/>
    </row>
    <row r="4" spans="1:14" s="167" customFormat="1" ht="20.25" customHeight="1" x14ac:dyDescent="0.25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74"/>
      <c r="M4" s="174"/>
      <c r="N4" s="174"/>
    </row>
    <row r="5" spans="1:14" s="167" customFormat="1" ht="20.25" customHeight="1" x14ac:dyDescent="0.25">
      <c r="A5" s="183" t="s">
        <v>273</v>
      </c>
      <c r="B5" s="188" t="s">
        <v>19</v>
      </c>
      <c r="C5" s="189"/>
      <c r="D5" s="189"/>
      <c r="E5" s="189"/>
      <c r="F5" s="189"/>
      <c r="G5" s="189"/>
      <c r="H5" s="189"/>
      <c r="I5" s="189"/>
      <c r="J5" s="189"/>
      <c r="K5" s="190"/>
    </row>
    <row r="6" spans="1:14" s="167" customFormat="1" ht="20.25" customHeight="1" x14ac:dyDescent="0.25">
      <c r="A6" s="165">
        <v>1</v>
      </c>
      <c r="B6" s="191" t="s">
        <v>274</v>
      </c>
      <c r="C6" s="200" t="str">
        <f>'planilha - proposta'!C17</f>
        <v>Eletrotécnico</v>
      </c>
      <c r="D6" s="198"/>
      <c r="E6" s="198"/>
      <c r="F6" s="198"/>
      <c r="G6" s="198"/>
      <c r="H6" s="198"/>
      <c r="I6" s="198"/>
      <c r="J6" s="198"/>
      <c r="K6" s="199"/>
    </row>
    <row r="7" spans="1:14" s="167" customFormat="1" ht="20.25" customHeight="1" x14ac:dyDescent="0.25">
      <c r="A7" s="165">
        <v>2</v>
      </c>
      <c r="B7" s="191" t="s">
        <v>334</v>
      </c>
      <c r="C7" s="201">
        <f>'planilha - proposta'!E17+'planilha - proposta'!E18</f>
        <v>1</v>
      </c>
      <c r="D7" s="192"/>
      <c r="E7" s="192"/>
      <c r="F7" s="192"/>
      <c r="G7" s="192"/>
      <c r="H7" s="192"/>
      <c r="I7" s="192"/>
      <c r="J7" s="192"/>
      <c r="K7" s="193"/>
    </row>
    <row r="8" spans="1:14" s="167" customFormat="1" ht="36" customHeight="1" x14ac:dyDescent="0.25">
      <c r="A8" s="175" t="s">
        <v>273</v>
      </c>
      <c r="B8" s="196" t="s">
        <v>275</v>
      </c>
      <c r="C8" s="166" t="s">
        <v>335</v>
      </c>
      <c r="D8" s="166" t="s">
        <v>336</v>
      </c>
      <c r="E8" s="166" t="s">
        <v>337</v>
      </c>
      <c r="F8" s="166" t="s">
        <v>338</v>
      </c>
      <c r="G8" s="166" t="s">
        <v>339</v>
      </c>
      <c r="H8" s="166" t="s">
        <v>318</v>
      </c>
      <c r="I8" s="166" t="s">
        <v>340</v>
      </c>
      <c r="J8" s="166" t="s">
        <v>341</v>
      </c>
      <c r="K8" s="166" t="s">
        <v>342</v>
      </c>
    </row>
    <row r="9" spans="1:14" s="167" customFormat="1" ht="20.25" customHeight="1" x14ac:dyDescent="0.25">
      <c r="A9" s="165" t="s">
        <v>343</v>
      </c>
      <c r="B9" s="177" t="s">
        <v>344</v>
      </c>
      <c r="C9" s="177">
        <v>2</v>
      </c>
      <c r="D9" s="177" t="s">
        <v>290</v>
      </c>
      <c r="E9" s="177" t="s">
        <v>300</v>
      </c>
      <c r="F9" s="176">
        <v>43.85</v>
      </c>
      <c r="G9" s="177">
        <f>IF(E9="mensal", 12, IF(E9="trimestral", 4, IF(E9="semestral", 2, IF(E9="anual", 1, "inválido"))))</f>
        <v>2</v>
      </c>
      <c r="H9" s="177">
        <f>IF(B9="",0,$C$7)</f>
        <v>1</v>
      </c>
      <c r="I9" s="178">
        <f>IFERROR((F9*C9*G9*H9)/12,"inválido")</f>
        <v>14.616666666666667</v>
      </c>
      <c r="J9" s="178">
        <f>IFERROR(G9*F9*C9*H9,"inválido")</f>
        <v>175.4</v>
      </c>
      <c r="K9" s="178">
        <f>IFERROR(I9*60,"inválido")</f>
        <v>877</v>
      </c>
      <c r="L9" s="179"/>
    </row>
    <row r="10" spans="1:14" s="167" customFormat="1" ht="20.25" customHeight="1" x14ac:dyDescent="0.25">
      <c r="A10" s="165" t="s">
        <v>345</v>
      </c>
      <c r="B10" s="177" t="s">
        <v>346</v>
      </c>
      <c r="C10" s="177">
        <v>2</v>
      </c>
      <c r="D10" s="177" t="s">
        <v>290</v>
      </c>
      <c r="E10" s="177" t="s">
        <v>300</v>
      </c>
      <c r="F10" s="176">
        <v>50.15</v>
      </c>
      <c r="G10" s="177">
        <f t="shared" ref="G10:G15" si="0">IF(E10="mensal", 12, IF(E10="trimestral", 4, IF(E10="semestral", 2, IF(E10="anual", 1, "inválido"))))</f>
        <v>2</v>
      </c>
      <c r="H10" s="177">
        <f t="shared" ref="H10:H15" si="1">IF(B10="",0,$C$7)</f>
        <v>1</v>
      </c>
      <c r="I10" s="178">
        <f t="shared" ref="I10:I15" si="2">IFERROR((F10*C10*G10*H10)/12,"inválido")</f>
        <v>16.716666666666665</v>
      </c>
      <c r="J10" s="178">
        <f t="shared" ref="J10:J15" si="3">IFERROR(G10*F10*C10*H10,"inválido")</f>
        <v>200.6</v>
      </c>
      <c r="K10" s="178">
        <f t="shared" ref="K10:K15" si="4">IFERROR(I10*60,"inválido")</f>
        <v>1002.9999999999999</v>
      </c>
      <c r="L10" s="179"/>
    </row>
    <row r="11" spans="1:14" s="167" customFormat="1" ht="20.25" customHeight="1" x14ac:dyDescent="0.25">
      <c r="A11" s="165" t="s">
        <v>347</v>
      </c>
      <c r="B11" s="177" t="s">
        <v>348</v>
      </c>
      <c r="C11" s="177">
        <v>2</v>
      </c>
      <c r="D11" s="177" t="s">
        <v>315</v>
      </c>
      <c r="E11" s="177" t="s">
        <v>298</v>
      </c>
      <c r="F11" s="176">
        <v>63.9</v>
      </c>
      <c r="G11" s="177">
        <f t="shared" si="0"/>
        <v>1</v>
      </c>
      <c r="H11" s="177">
        <f t="shared" si="1"/>
        <v>1</v>
      </c>
      <c r="I11" s="178">
        <f t="shared" si="2"/>
        <v>10.65</v>
      </c>
      <c r="J11" s="178">
        <f t="shared" si="3"/>
        <v>127.8</v>
      </c>
      <c r="K11" s="178">
        <f t="shared" si="4"/>
        <v>639</v>
      </c>
      <c r="L11" s="179"/>
    </row>
    <row r="12" spans="1:14" s="167" customFormat="1" ht="20.25" customHeight="1" x14ac:dyDescent="0.25">
      <c r="A12" s="165" t="s">
        <v>349</v>
      </c>
      <c r="B12" s="177" t="s">
        <v>350</v>
      </c>
      <c r="C12" s="177">
        <v>3</v>
      </c>
      <c r="D12" s="177" t="s">
        <v>315</v>
      </c>
      <c r="E12" s="177" t="s">
        <v>300</v>
      </c>
      <c r="F12" s="176">
        <v>8.33</v>
      </c>
      <c r="G12" s="177">
        <f t="shared" si="0"/>
        <v>2</v>
      </c>
      <c r="H12" s="177">
        <f t="shared" si="1"/>
        <v>1</v>
      </c>
      <c r="I12" s="178">
        <f t="shared" si="2"/>
        <v>4.165</v>
      </c>
      <c r="J12" s="178">
        <f t="shared" si="3"/>
        <v>49.980000000000004</v>
      </c>
      <c r="K12" s="178">
        <f t="shared" si="4"/>
        <v>249.9</v>
      </c>
      <c r="L12" s="179"/>
    </row>
    <row r="13" spans="1:14" s="167" customFormat="1" ht="20.25" hidden="1" customHeight="1" x14ac:dyDescent="0.25">
      <c r="A13" s="165" t="s">
        <v>351</v>
      </c>
      <c r="B13" s="177"/>
      <c r="C13" s="177"/>
      <c r="D13" s="177"/>
      <c r="E13" s="177"/>
      <c r="F13" s="180"/>
      <c r="G13" s="177" t="str">
        <f t="shared" si="0"/>
        <v>inválido</v>
      </c>
      <c r="H13" s="177">
        <f t="shared" si="1"/>
        <v>0</v>
      </c>
      <c r="I13" s="178" t="str">
        <f t="shared" si="2"/>
        <v>inválido</v>
      </c>
      <c r="J13" s="178" t="str">
        <f t="shared" si="3"/>
        <v>inválido</v>
      </c>
      <c r="K13" s="178" t="str">
        <f t="shared" si="4"/>
        <v>inválido</v>
      </c>
      <c r="L13" s="179"/>
    </row>
    <row r="14" spans="1:14" s="167" customFormat="1" ht="20.25" hidden="1" customHeight="1" x14ac:dyDescent="0.25">
      <c r="A14" s="165" t="s">
        <v>352</v>
      </c>
      <c r="B14" s="177"/>
      <c r="C14" s="177"/>
      <c r="D14" s="177"/>
      <c r="E14" s="177"/>
      <c r="F14" s="180"/>
      <c r="G14" s="177" t="str">
        <f t="shared" si="0"/>
        <v>inválido</v>
      </c>
      <c r="H14" s="177">
        <f t="shared" si="1"/>
        <v>0</v>
      </c>
      <c r="I14" s="178" t="str">
        <f t="shared" si="2"/>
        <v>inválido</v>
      </c>
      <c r="J14" s="178" t="str">
        <f t="shared" si="3"/>
        <v>inválido</v>
      </c>
      <c r="K14" s="178" t="str">
        <f t="shared" si="4"/>
        <v>inválido</v>
      </c>
      <c r="L14" s="179"/>
    </row>
    <row r="15" spans="1:14" s="167" customFormat="1" ht="20.25" hidden="1" customHeight="1" x14ac:dyDescent="0.25">
      <c r="A15" s="165" t="s">
        <v>353</v>
      </c>
      <c r="B15" s="177"/>
      <c r="C15" s="177"/>
      <c r="D15" s="177"/>
      <c r="E15" s="177"/>
      <c r="F15" s="180"/>
      <c r="G15" s="177" t="str">
        <f t="shared" si="0"/>
        <v>inválido</v>
      </c>
      <c r="H15" s="177">
        <f t="shared" si="1"/>
        <v>0</v>
      </c>
      <c r="I15" s="178" t="str">
        <f t="shared" si="2"/>
        <v>inválido</v>
      </c>
      <c r="J15" s="178" t="str">
        <f t="shared" si="3"/>
        <v>inválido</v>
      </c>
      <c r="K15" s="178" t="str">
        <f t="shared" si="4"/>
        <v>inválido</v>
      </c>
      <c r="L15" s="179"/>
    </row>
    <row r="16" spans="1:14" s="167" customFormat="1" ht="20.25" hidden="1" customHeight="1" x14ac:dyDescent="0.25">
      <c r="A16" s="165" t="s">
        <v>354</v>
      </c>
      <c r="B16" s="177"/>
      <c r="C16" s="177"/>
      <c r="D16" s="177"/>
      <c r="E16" s="177"/>
      <c r="F16" s="180"/>
      <c r="G16" s="177" t="str">
        <f t="shared" ref="G16:G17" si="5">IF(E16="mensal", 12, IF(E16="trimestral", 4, IF(E16="semestral", 2, IF(E16="anual", 1, "inválido"))))</f>
        <v>inválido</v>
      </c>
      <c r="H16" s="177">
        <f>IF(B16="",0,C7)</f>
        <v>0</v>
      </c>
      <c r="I16" s="178" t="str">
        <f t="shared" ref="I16:I17" si="6">IFERROR((F16*C16*G16*H16)/12,"inválido")</f>
        <v>inválido</v>
      </c>
      <c r="J16" s="178" t="str">
        <f t="shared" ref="J16:J17" si="7">IFERROR(G16*F16*C16*H16,"inválido")</f>
        <v>inválido</v>
      </c>
      <c r="K16" s="178" t="str">
        <f t="shared" ref="K16:K17" si="8">IFERROR(I16*60,"inválido")</f>
        <v>inválido</v>
      </c>
      <c r="L16" s="179"/>
    </row>
    <row r="17" spans="1:11" s="167" customFormat="1" ht="20.25" hidden="1" customHeight="1" x14ac:dyDescent="0.25">
      <c r="A17" s="165" t="s">
        <v>355</v>
      </c>
      <c r="B17" s="177"/>
      <c r="C17" s="177"/>
      <c r="D17" s="177"/>
      <c r="E17" s="177"/>
      <c r="F17" s="180"/>
      <c r="G17" s="177" t="str">
        <f t="shared" si="5"/>
        <v>inválido</v>
      </c>
      <c r="H17" s="177">
        <f>IF(B17="",0,C7)</f>
        <v>0</v>
      </c>
      <c r="I17" s="178" t="str">
        <f t="shared" si="6"/>
        <v>inválido</v>
      </c>
      <c r="J17" s="178" t="str">
        <f t="shared" si="7"/>
        <v>inválido</v>
      </c>
      <c r="K17" s="178" t="str">
        <f t="shared" si="8"/>
        <v>inválido</v>
      </c>
    </row>
    <row r="18" spans="1:11" s="167" customFormat="1" ht="20.25" customHeight="1" x14ac:dyDescent="0.25">
      <c r="A18" s="197" t="s">
        <v>328</v>
      </c>
      <c r="B18" s="197"/>
      <c r="C18" s="197"/>
      <c r="D18" s="197"/>
      <c r="E18" s="197"/>
      <c r="F18" s="197"/>
      <c r="G18" s="197"/>
      <c r="H18" s="197"/>
      <c r="I18" s="181">
        <f>SUM(I9:I17)</f>
        <v>46.148333333333333</v>
      </c>
      <c r="J18" s="182">
        <f>I18*12</f>
        <v>553.78</v>
      </c>
      <c r="K18" s="182">
        <f>I18*60</f>
        <v>2768.9</v>
      </c>
    </row>
    <row r="19" spans="1:11" s="167" customFormat="1" ht="20.25" customHeight="1" x14ac:dyDescent="0.25">
      <c r="A19" s="197" t="s">
        <v>302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82">
        <f>IFERROR(I18/C7,"definir")</f>
        <v>46.148333333333333</v>
      </c>
    </row>
    <row r="20" spans="1:11" s="167" customFormat="1" ht="20.25" customHeight="1" x14ac:dyDescent="0.25">
      <c r="A20" s="183" t="s">
        <v>273</v>
      </c>
      <c r="B20" s="188" t="s">
        <v>19</v>
      </c>
      <c r="C20" s="189"/>
      <c r="D20" s="189"/>
      <c r="E20" s="189"/>
      <c r="F20" s="189"/>
      <c r="G20" s="189"/>
      <c r="H20" s="189"/>
      <c r="I20" s="189"/>
      <c r="J20" s="189"/>
      <c r="K20" s="190"/>
    </row>
    <row r="21" spans="1:11" s="167" customFormat="1" ht="20.25" customHeight="1" x14ac:dyDescent="0.25">
      <c r="A21" s="165">
        <v>1</v>
      </c>
      <c r="B21" s="191" t="s">
        <v>274</v>
      </c>
      <c r="C21" s="200" t="str">
        <f>'planilha - proposta'!C19</f>
        <v>Oficial de Manutenção de Equipamento Médico Hospitalar</v>
      </c>
      <c r="D21" s="198"/>
      <c r="E21" s="198"/>
      <c r="F21" s="198"/>
      <c r="G21" s="198"/>
      <c r="H21" s="198"/>
      <c r="I21" s="198"/>
      <c r="J21" s="198"/>
      <c r="K21" s="199"/>
    </row>
    <row r="22" spans="1:11" s="167" customFormat="1" ht="20.25" customHeight="1" x14ac:dyDescent="0.25">
      <c r="A22" s="165">
        <v>2</v>
      </c>
      <c r="B22" s="191" t="s">
        <v>334</v>
      </c>
      <c r="C22" s="201">
        <f>'planilha - proposta'!E19+'planilha - proposta'!E20+'planilha - proposta'!E21</f>
        <v>6</v>
      </c>
      <c r="D22" s="192"/>
      <c r="E22" s="192"/>
      <c r="F22" s="192"/>
      <c r="G22" s="192"/>
      <c r="H22" s="192"/>
      <c r="I22" s="192"/>
      <c r="J22" s="192"/>
      <c r="K22" s="193"/>
    </row>
    <row r="23" spans="1:11" s="167" customFormat="1" ht="36" customHeight="1" x14ac:dyDescent="0.25">
      <c r="A23" s="175" t="s">
        <v>273</v>
      </c>
      <c r="B23" s="196" t="s">
        <v>275</v>
      </c>
      <c r="C23" s="166" t="s">
        <v>335</v>
      </c>
      <c r="D23" s="166" t="s">
        <v>336</v>
      </c>
      <c r="E23" s="166" t="s">
        <v>337</v>
      </c>
      <c r="F23" s="166" t="s">
        <v>338</v>
      </c>
      <c r="G23" s="166" t="s">
        <v>339</v>
      </c>
      <c r="H23" s="166" t="s">
        <v>318</v>
      </c>
      <c r="I23" s="166" t="s">
        <v>340</v>
      </c>
      <c r="J23" s="166" t="s">
        <v>341</v>
      </c>
      <c r="K23" s="166" t="s">
        <v>342</v>
      </c>
    </row>
    <row r="24" spans="1:11" s="167" customFormat="1" ht="20.25" customHeight="1" x14ac:dyDescent="0.25">
      <c r="A24" s="165" t="s">
        <v>343</v>
      </c>
      <c r="B24" s="177" t="s">
        <v>344</v>
      </c>
      <c r="C24" s="177">
        <v>2</v>
      </c>
      <c r="D24" s="177" t="s">
        <v>290</v>
      </c>
      <c r="E24" s="177" t="s">
        <v>300</v>
      </c>
      <c r="F24" s="176">
        <v>43.85</v>
      </c>
      <c r="G24" s="177">
        <f>IF(E24="mensal", 12, IF(E24="trimestral", 4, IF(E24="semestral", 2, IF(E24="anual", 1, "inválido"))))</f>
        <v>2</v>
      </c>
      <c r="H24" s="177">
        <f>IF(B24="",0,$C$22)</f>
        <v>6</v>
      </c>
      <c r="I24" s="178">
        <f>IFERROR((F24*C24*G24*H24)/12,"inválido")</f>
        <v>87.7</v>
      </c>
      <c r="J24" s="178">
        <f>IFERROR(G24*F24*C24*H24,"inválido")</f>
        <v>1052.4000000000001</v>
      </c>
      <c r="K24" s="178">
        <f>IFERROR(I24*60,"inválido")</f>
        <v>5262</v>
      </c>
    </row>
    <row r="25" spans="1:11" s="167" customFormat="1" ht="20.25" customHeight="1" x14ac:dyDescent="0.25">
      <c r="A25" s="165" t="s">
        <v>345</v>
      </c>
      <c r="B25" s="177" t="s">
        <v>346</v>
      </c>
      <c r="C25" s="177">
        <v>2</v>
      </c>
      <c r="D25" s="177" t="s">
        <v>290</v>
      </c>
      <c r="E25" s="177" t="s">
        <v>300</v>
      </c>
      <c r="F25" s="176">
        <v>51.15</v>
      </c>
      <c r="G25" s="177">
        <f t="shared" ref="G25:G30" si="9">IF(E25="mensal", 12, IF(E25="trimestral", 4, IF(E25="semestral", 2, IF(E25="anual", 1, "inválido"))))</f>
        <v>2</v>
      </c>
      <c r="H25" s="177">
        <f t="shared" ref="H25:H30" si="10">IF(B25="",0,$C$22)</f>
        <v>6</v>
      </c>
      <c r="I25" s="178">
        <f t="shared" ref="I25:I30" si="11">IFERROR((F25*C25*G25*H25)/12,"inválido")</f>
        <v>102.3</v>
      </c>
      <c r="J25" s="178">
        <f t="shared" ref="J25:J30" si="12">IFERROR(G25*F25*C25*H25,"inválido")</f>
        <v>1227.5999999999999</v>
      </c>
      <c r="K25" s="178">
        <f t="shared" ref="K25:K30" si="13">IFERROR(I25*60,"inválido")</f>
        <v>6138</v>
      </c>
    </row>
    <row r="26" spans="1:11" s="167" customFormat="1" ht="20.25" customHeight="1" x14ac:dyDescent="0.25">
      <c r="A26" s="165" t="s">
        <v>347</v>
      </c>
      <c r="B26" s="177" t="s">
        <v>348</v>
      </c>
      <c r="C26" s="177">
        <v>2</v>
      </c>
      <c r="D26" s="177" t="s">
        <v>315</v>
      </c>
      <c r="E26" s="177" t="s">
        <v>298</v>
      </c>
      <c r="F26" s="176">
        <v>63.9</v>
      </c>
      <c r="G26" s="177">
        <f t="shared" si="9"/>
        <v>1</v>
      </c>
      <c r="H26" s="177">
        <f t="shared" si="10"/>
        <v>6</v>
      </c>
      <c r="I26" s="178">
        <f t="shared" si="11"/>
        <v>63.9</v>
      </c>
      <c r="J26" s="178">
        <f t="shared" si="12"/>
        <v>766.8</v>
      </c>
      <c r="K26" s="178">
        <f t="shared" si="13"/>
        <v>3834</v>
      </c>
    </row>
    <row r="27" spans="1:11" s="167" customFormat="1" ht="20.25" customHeight="1" x14ac:dyDescent="0.25">
      <c r="A27" s="165" t="s">
        <v>349</v>
      </c>
      <c r="B27" s="177" t="s">
        <v>350</v>
      </c>
      <c r="C27" s="177">
        <v>3</v>
      </c>
      <c r="D27" s="177" t="s">
        <v>315</v>
      </c>
      <c r="E27" s="177" t="s">
        <v>300</v>
      </c>
      <c r="F27" s="176">
        <v>8.33</v>
      </c>
      <c r="G27" s="177">
        <f t="shared" si="9"/>
        <v>2</v>
      </c>
      <c r="H27" s="177">
        <f t="shared" si="10"/>
        <v>6</v>
      </c>
      <c r="I27" s="178">
        <f t="shared" si="11"/>
        <v>24.99</v>
      </c>
      <c r="J27" s="178">
        <f t="shared" si="12"/>
        <v>299.88</v>
      </c>
      <c r="K27" s="178">
        <f t="shared" si="13"/>
        <v>1499.3999999999999</v>
      </c>
    </row>
    <row r="28" spans="1:11" s="167" customFormat="1" ht="20.25" hidden="1" customHeight="1" x14ac:dyDescent="0.25">
      <c r="A28" s="165" t="s">
        <v>351</v>
      </c>
      <c r="B28" s="177"/>
      <c r="C28" s="177"/>
      <c r="D28" s="177"/>
      <c r="E28" s="177"/>
      <c r="F28" s="180"/>
      <c r="G28" s="177" t="str">
        <f t="shared" si="9"/>
        <v>inválido</v>
      </c>
      <c r="H28" s="177">
        <f t="shared" si="10"/>
        <v>0</v>
      </c>
      <c r="I28" s="178" t="str">
        <f t="shared" si="11"/>
        <v>inválido</v>
      </c>
      <c r="J28" s="178" t="str">
        <f t="shared" si="12"/>
        <v>inválido</v>
      </c>
      <c r="K28" s="178" t="str">
        <f t="shared" si="13"/>
        <v>inválido</v>
      </c>
    </row>
    <row r="29" spans="1:11" s="167" customFormat="1" ht="20.25" hidden="1" customHeight="1" x14ac:dyDescent="0.25">
      <c r="A29" s="165" t="s">
        <v>352</v>
      </c>
      <c r="B29" s="177"/>
      <c r="C29" s="177"/>
      <c r="D29" s="177"/>
      <c r="E29" s="177"/>
      <c r="F29" s="180"/>
      <c r="G29" s="177" t="str">
        <f t="shared" si="9"/>
        <v>inválido</v>
      </c>
      <c r="H29" s="177">
        <f t="shared" si="10"/>
        <v>0</v>
      </c>
      <c r="I29" s="178" t="str">
        <f t="shared" si="11"/>
        <v>inválido</v>
      </c>
      <c r="J29" s="178" t="str">
        <f t="shared" si="12"/>
        <v>inválido</v>
      </c>
      <c r="K29" s="178" t="str">
        <f t="shared" si="13"/>
        <v>inválido</v>
      </c>
    </row>
    <row r="30" spans="1:11" s="167" customFormat="1" ht="20.25" hidden="1" customHeight="1" x14ac:dyDescent="0.25">
      <c r="A30" s="165" t="s">
        <v>353</v>
      </c>
      <c r="B30" s="177"/>
      <c r="C30" s="177"/>
      <c r="D30" s="177"/>
      <c r="E30" s="177"/>
      <c r="F30" s="180"/>
      <c r="G30" s="177" t="str">
        <f t="shared" si="9"/>
        <v>inválido</v>
      </c>
      <c r="H30" s="177">
        <f t="shared" si="10"/>
        <v>0</v>
      </c>
      <c r="I30" s="178" t="str">
        <f t="shared" si="11"/>
        <v>inválido</v>
      </c>
      <c r="J30" s="178" t="str">
        <f t="shared" si="12"/>
        <v>inválido</v>
      </c>
      <c r="K30" s="178" t="str">
        <f t="shared" si="13"/>
        <v>inválido</v>
      </c>
    </row>
    <row r="31" spans="1:11" s="167" customFormat="1" ht="20.25" customHeight="1" x14ac:dyDescent="0.25">
      <c r="A31" s="197" t="s">
        <v>328</v>
      </c>
      <c r="B31" s="197"/>
      <c r="C31" s="197"/>
      <c r="D31" s="197"/>
      <c r="E31" s="197"/>
      <c r="F31" s="197"/>
      <c r="G31" s="197"/>
      <c r="H31" s="197"/>
      <c r="I31" s="181">
        <f>SUM(I24:I30)</f>
        <v>278.89</v>
      </c>
      <c r="J31" s="182">
        <f>I31*12</f>
        <v>3346.68</v>
      </c>
      <c r="K31" s="182">
        <f>I31*60</f>
        <v>16733.399999999998</v>
      </c>
    </row>
    <row r="32" spans="1:11" s="167" customFormat="1" ht="20.25" customHeight="1" x14ac:dyDescent="0.25">
      <c r="A32" s="197" t="s">
        <v>302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82">
        <f>IFERROR(I31/C22,"definir")</f>
        <v>46.481666666666662</v>
      </c>
    </row>
    <row r="33" spans="1:11" s="167" customFormat="1" ht="20.25" customHeight="1" x14ac:dyDescent="0.25">
      <c r="A33" s="183" t="s">
        <v>273</v>
      </c>
      <c r="B33" s="188" t="s">
        <v>19</v>
      </c>
      <c r="C33" s="189"/>
      <c r="D33" s="189"/>
      <c r="E33" s="189"/>
      <c r="F33" s="189"/>
      <c r="G33" s="189"/>
      <c r="H33" s="189"/>
      <c r="I33" s="189"/>
      <c r="J33" s="189"/>
      <c r="K33" s="190"/>
    </row>
    <row r="34" spans="1:11" s="167" customFormat="1" ht="20.25" customHeight="1" x14ac:dyDescent="0.25">
      <c r="A34" s="165">
        <v>1</v>
      </c>
      <c r="B34" s="191" t="s">
        <v>274</v>
      </c>
      <c r="C34" s="200" t="str">
        <f>'planilha - proposta'!C22</f>
        <v>Auxiliar de Cozinha</v>
      </c>
      <c r="D34" s="198"/>
      <c r="E34" s="198"/>
      <c r="F34" s="198"/>
      <c r="G34" s="198"/>
      <c r="H34" s="198"/>
      <c r="I34" s="198"/>
      <c r="J34" s="198"/>
      <c r="K34" s="199"/>
    </row>
    <row r="35" spans="1:11" s="167" customFormat="1" ht="20.25" customHeight="1" x14ac:dyDescent="0.25">
      <c r="A35" s="165">
        <v>2</v>
      </c>
      <c r="B35" s="191" t="s">
        <v>334</v>
      </c>
      <c r="C35" s="201">
        <f>'planilha - proposta'!E22+'planilha - proposta'!E23+'planilha - proposta'!E24</f>
        <v>14</v>
      </c>
      <c r="D35" s="192"/>
      <c r="E35" s="192"/>
      <c r="F35" s="192"/>
      <c r="G35" s="192"/>
      <c r="H35" s="192"/>
      <c r="I35" s="192"/>
      <c r="J35" s="192"/>
      <c r="K35" s="193"/>
    </row>
    <row r="36" spans="1:11" s="167" customFormat="1" ht="36" customHeight="1" x14ac:dyDescent="0.25">
      <c r="A36" s="175" t="s">
        <v>273</v>
      </c>
      <c r="B36" s="196" t="s">
        <v>275</v>
      </c>
      <c r="C36" s="166" t="s">
        <v>335</v>
      </c>
      <c r="D36" s="166" t="s">
        <v>336</v>
      </c>
      <c r="E36" s="166" t="s">
        <v>337</v>
      </c>
      <c r="F36" s="166" t="s">
        <v>338</v>
      </c>
      <c r="G36" s="166" t="s">
        <v>339</v>
      </c>
      <c r="H36" s="166" t="s">
        <v>318</v>
      </c>
      <c r="I36" s="166" t="s">
        <v>340</v>
      </c>
      <c r="J36" s="166" t="s">
        <v>341</v>
      </c>
      <c r="K36" s="166" t="s">
        <v>342</v>
      </c>
    </row>
    <row r="37" spans="1:11" s="167" customFormat="1" ht="20.25" customHeight="1" x14ac:dyDescent="0.25">
      <c r="A37" s="165" t="s">
        <v>343</v>
      </c>
      <c r="B37" s="177" t="s">
        <v>356</v>
      </c>
      <c r="C37" s="177">
        <v>2</v>
      </c>
      <c r="D37" s="177" t="s">
        <v>290</v>
      </c>
      <c r="E37" s="177" t="s">
        <v>300</v>
      </c>
      <c r="F37" s="176">
        <v>74.150000000000006</v>
      </c>
      <c r="G37" s="177">
        <f>IF(E37="mensal", 12, IF(E37="trimestral", 4, IF(E37="semestral", 2, IF(E37="anual", 1, "inválido"))))</f>
        <v>2</v>
      </c>
      <c r="H37" s="177">
        <f>IF(B37="",0,$C$35)</f>
        <v>14</v>
      </c>
      <c r="I37" s="178">
        <f>IFERROR((F37*C37*G37*H37)/12,"inválido")</f>
        <v>346.03333333333336</v>
      </c>
      <c r="J37" s="178">
        <f>IFERROR(G37*F37*C37*H37,"inválido")</f>
        <v>4152.4000000000005</v>
      </c>
      <c r="K37" s="178">
        <f>IFERROR(I37*60,"inválido")</f>
        <v>20762</v>
      </c>
    </row>
    <row r="38" spans="1:11" s="167" customFormat="1" ht="20.25" customHeight="1" x14ac:dyDescent="0.25">
      <c r="A38" s="165" t="s">
        <v>345</v>
      </c>
      <c r="B38" s="177" t="s">
        <v>346</v>
      </c>
      <c r="C38" s="177">
        <v>2</v>
      </c>
      <c r="D38" s="177" t="s">
        <v>290</v>
      </c>
      <c r="E38" s="177" t="s">
        <v>300</v>
      </c>
      <c r="F38" s="176">
        <v>46.63</v>
      </c>
      <c r="G38" s="177">
        <f t="shared" ref="G38:G43" si="14">IF(E38="mensal", 12, IF(E38="trimestral", 4, IF(E38="semestral", 2, IF(E38="anual", 1, "inválido"))))</f>
        <v>2</v>
      </c>
      <c r="H38" s="177">
        <f t="shared" ref="H38:H43" si="15">IF(B38="",0,$C$35)</f>
        <v>14</v>
      </c>
      <c r="I38" s="178">
        <f t="shared" ref="I38:I43" si="16">IFERROR((F38*C38*G38*H38)/12,"inválido")</f>
        <v>217.60666666666668</v>
      </c>
      <c r="J38" s="178">
        <f t="shared" ref="J38:J43" si="17">IFERROR(G38*F38*C38*H38,"inválido")</f>
        <v>2611.2800000000002</v>
      </c>
      <c r="K38" s="178">
        <f t="shared" ref="K38:K43" si="18">IFERROR(I38*60,"inválido")</f>
        <v>13056.400000000001</v>
      </c>
    </row>
    <row r="39" spans="1:11" s="167" customFormat="1" ht="20.25" customHeight="1" x14ac:dyDescent="0.25">
      <c r="A39" s="165" t="s">
        <v>347</v>
      </c>
      <c r="B39" s="177" t="s">
        <v>357</v>
      </c>
      <c r="C39" s="177">
        <v>2</v>
      </c>
      <c r="D39" s="177" t="s">
        <v>315</v>
      </c>
      <c r="E39" s="177" t="s">
        <v>298</v>
      </c>
      <c r="F39" s="176">
        <v>66.88</v>
      </c>
      <c r="G39" s="177">
        <f t="shared" si="14"/>
        <v>1</v>
      </c>
      <c r="H39" s="177">
        <f t="shared" si="15"/>
        <v>14</v>
      </c>
      <c r="I39" s="178">
        <f t="shared" si="16"/>
        <v>156.05333333333331</v>
      </c>
      <c r="J39" s="178">
        <f t="shared" si="17"/>
        <v>1872.6399999999999</v>
      </c>
      <c r="K39" s="178">
        <f t="shared" si="18"/>
        <v>9363.1999999999989</v>
      </c>
    </row>
    <row r="40" spans="1:11" s="167" customFormat="1" ht="20.25" customHeight="1" x14ac:dyDescent="0.25">
      <c r="A40" s="165" t="s">
        <v>349</v>
      </c>
      <c r="B40" s="177" t="s">
        <v>350</v>
      </c>
      <c r="C40" s="177">
        <v>3</v>
      </c>
      <c r="D40" s="177" t="s">
        <v>315</v>
      </c>
      <c r="E40" s="177" t="s">
        <v>300</v>
      </c>
      <c r="F40" s="176">
        <v>8.33</v>
      </c>
      <c r="G40" s="177">
        <f t="shared" si="14"/>
        <v>2</v>
      </c>
      <c r="H40" s="177">
        <f t="shared" si="15"/>
        <v>14</v>
      </c>
      <c r="I40" s="178">
        <f t="shared" si="16"/>
        <v>58.31</v>
      </c>
      <c r="J40" s="178">
        <f t="shared" si="17"/>
        <v>699.72</v>
      </c>
      <c r="K40" s="178">
        <f t="shared" si="18"/>
        <v>3498.6000000000004</v>
      </c>
    </row>
    <row r="41" spans="1:11" s="167" customFormat="1" ht="20.25" hidden="1" customHeight="1" x14ac:dyDescent="0.25">
      <c r="A41" s="165" t="s">
        <v>351</v>
      </c>
      <c r="B41" s="177"/>
      <c r="C41" s="177"/>
      <c r="D41" s="177"/>
      <c r="E41" s="177"/>
      <c r="F41" s="180"/>
      <c r="G41" s="177" t="str">
        <f t="shared" si="14"/>
        <v>inválido</v>
      </c>
      <c r="H41" s="177">
        <f t="shared" si="15"/>
        <v>0</v>
      </c>
      <c r="I41" s="178" t="str">
        <f t="shared" si="16"/>
        <v>inválido</v>
      </c>
      <c r="J41" s="178" t="str">
        <f t="shared" si="17"/>
        <v>inválido</v>
      </c>
      <c r="K41" s="178" t="str">
        <f t="shared" si="18"/>
        <v>inválido</v>
      </c>
    </row>
    <row r="42" spans="1:11" s="167" customFormat="1" ht="20.25" hidden="1" customHeight="1" x14ac:dyDescent="0.25">
      <c r="A42" s="165" t="s">
        <v>352</v>
      </c>
      <c r="B42" s="177"/>
      <c r="C42" s="177"/>
      <c r="D42" s="177"/>
      <c r="E42" s="177"/>
      <c r="F42" s="180"/>
      <c r="G42" s="177" t="str">
        <f t="shared" si="14"/>
        <v>inválido</v>
      </c>
      <c r="H42" s="177">
        <f t="shared" si="15"/>
        <v>0</v>
      </c>
      <c r="I42" s="178" t="str">
        <f t="shared" si="16"/>
        <v>inválido</v>
      </c>
      <c r="J42" s="178" t="str">
        <f t="shared" si="17"/>
        <v>inválido</v>
      </c>
      <c r="K42" s="178" t="str">
        <f t="shared" si="18"/>
        <v>inválido</v>
      </c>
    </row>
    <row r="43" spans="1:11" s="167" customFormat="1" ht="20.25" hidden="1" customHeight="1" x14ac:dyDescent="0.25">
      <c r="A43" s="165" t="s">
        <v>353</v>
      </c>
      <c r="B43" s="177"/>
      <c r="C43" s="177"/>
      <c r="D43" s="177"/>
      <c r="E43" s="177"/>
      <c r="F43" s="180"/>
      <c r="G43" s="177" t="str">
        <f t="shared" si="14"/>
        <v>inválido</v>
      </c>
      <c r="H43" s="177">
        <f t="shared" si="15"/>
        <v>0</v>
      </c>
      <c r="I43" s="178" t="str">
        <f t="shared" si="16"/>
        <v>inválido</v>
      </c>
      <c r="J43" s="178" t="str">
        <f t="shared" si="17"/>
        <v>inválido</v>
      </c>
      <c r="K43" s="178" t="str">
        <f t="shared" si="18"/>
        <v>inválido</v>
      </c>
    </row>
    <row r="44" spans="1:11" s="167" customFormat="1" ht="20.25" customHeight="1" x14ac:dyDescent="0.25">
      <c r="A44" s="197" t="s">
        <v>328</v>
      </c>
      <c r="B44" s="197"/>
      <c r="C44" s="197"/>
      <c r="D44" s="197"/>
      <c r="E44" s="197"/>
      <c r="F44" s="197"/>
      <c r="G44" s="197"/>
      <c r="H44" s="197"/>
      <c r="I44" s="181">
        <f>SUM(I37:I43)</f>
        <v>778.00333333333333</v>
      </c>
      <c r="J44" s="182">
        <f>I44*12</f>
        <v>9336.0400000000009</v>
      </c>
      <c r="K44" s="182">
        <f>I44*60</f>
        <v>46680.2</v>
      </c>
    </row>
    <row r="45" spans="1:11" s="167" customFormat="1" ht="20.25" customHeight="1" x14ac:dyDescent="0.25">
      <c r="A45" s="197" t="s">
        <v>302</v>
      </c>
      <c r="B45" s="197"/>
      <c r="C45" s="197"/>
      <c r="D45" s="197"/>
      <c r="E45" s="197"/>
      <c r="F45" s="197"/>
      <c r="G45" s="197"/>
      <c r="H45" s="197"/>
      <c r="I45" s="197"/>
      <c r="J45" s="197"/>
      <c r="K45" s="182">
        <f>IFERROR(I44/C35,"definir")</f>
        <v>55.571666666666665</v>
      </c>
    </row>
    <row r="46" spans="1:11" s="167" customFormat="1" ht="20.25" customHeight="1" x14ac:dyDescent="0.25">
      <c r="A46" s="183" t="s">
        <v>273</v>
      </c>
      <c r="B46" s="188" t="s">
        <v>19</v>
      </c>
      <c r="C46" s="189"/>
      <c r="D46" s="189"/>
      <c r="E46" s="189"/>
      <c r="F46" s="189"/>
      <c r="G46" s="189"/>
      <c r="H46" s="189"/>
      <c r="I46" s="189"/>
      <c r="J46" s="189"/>
      <c r="K46" s="190"/>
    </row>
    <row r="47" spans="1:11" s="167" customFormat="1" ht="20.25" customHeight="1" x14ac:dyDescent="0.25">
      <c r="A47" s="165">
        <v>1</v>
      </c>
      <c r="B47" s="191" t="s">
        <v>274</v>
      </c>
      <c r="C47" s="200" t="str">
        <f>'planilha - proposta'!C25</f>
        <v>Auxiliar de Nutrição</v>
      </c>
      <c r="D47" s="198"/>
      <c r="E47" s="198"/>
      <c r="F47" s="198"/>
      <c r="G47" s="198"/>
      <c r="H47" s="198"/>
      <c r="I47" s="198"/>
      <c r="J47" s="198"/>
      <c r="K47" s="199"/>
    </row>
    <row r="48" spans="1:11" s="167" customFormat="1" ht="20.25" customHeight="1" x14ac:dyDescent="0.25">
      <c r="A48" s="165">
        <v>2</v>
      </c>
      <c r="B48" s="191" t="s">
        <v>334</v>
      </c>
      <c r="C48" s="201">
        <f>'planilha - proposta'!E25+'planilha - proposta'!E26+'planilha - proposta'!E27</f>
        <v>8</v>
      </c>
      <c r="D48" s="192"/>
      <c r="E48" s="192"/>
      <c r="F48" s="192"/>
      <c r="G48" s="192"/>
      <c r="H48" s="192"/>
      <c r="I48" s="192"/>
      <c r="J48" s="192"/>
      <c r="K48" s="193"/>
    </row>
    <row r="49" spans="1:11" s="167" customFormat="1" ht="36" customHeight="1" x14ac:dyDescent="0.25">
      <c r="A49" s="175" t="s">
        <v>273</v>
      </c>
      <c r="B49" s="196" t="s">
        <v>275</v>
      </c>
      <c r="C49" s="166" t="s">
        <v>335</v>
      </c>
      <c r="D49" s="166" t="s">
        <v>336</v>
      </c>
      <c r="E49" s="166" t="s">
        <v>337</v>
      </c>
      <c r="F49" s="166" t="s">
        <v>338</v>
      </c>
      <c r="G49" s="166" t="s">
        <v>339</v>
      </c>
      <c r="H49" s="166" t="s">
        <v>318</v>
      </c>
      <c r="I49" s="166" t="s">
        <v>340</v>
      </c>
      <c r="J49" s="166" t="s">
        <v>341</v>
      </c>
      <c r="K49" s="166" t="s">
        <v>342</v>
      </c>
    </row>
    <row r="50" spans="1:11" s="167" customFormat="1" ht="20.25" customHeight="1" x14ac:dyDescent="0.25">
      <c r="A50" s="165" t="s">
        <v>343</v>
      </c>
      <c r="B50" s="177" t="s">
        <v>344</v>
      </c>
      <c r="C50" s="177">
        <v>2</v>
      </c>
      <c r="D50" s="177" t="s">
        <v>290</v>
      </c>
      <c r="E50" s="177" t="s">
        <v>300</v>
      </c>
      <c r="F50" s="176">
        <v>31.2</v>
      </c>
      <c r="G50" s="177">
        <f>IF(E50="mensal", 12, IF(E50="trimestral", 4, IF(E50="semestral", 2, IF(E50="anual", 1, "inválido"))))</f>
        <v>2</v>
      </c>
      <c r="H50" s="177">
        <f>IF(B50="",0,C48)</f>
        <v>8</v>
      </c>
      <c r="I50" s="178">
        <f>IFERROR((F50*C50*G50*H50)/12,"inválido")</f>
        <v>83.2</v>
      </c>
      <c r="J50" s="178">
        <f>IFERROR(G50*F50*C50*H50,"inválido")</f>
        <v>998.4</v>
      </c>
      <c r="K50" s="178">
        <f>IFERROR(I50*60,"inválido")</f>
        <v>4992</v>
      </c>
    </row>
    <row r="51" spans="1:11" s="167" customFormat="1" ht="20.25" customHeight="1" x14ac:dyDescent="0.25">
      <c r="A51" s="165" t="s">
        <v>345</v>
      </c>
      <c r="B51" s="177" t="s">
        <v>346</v>
      </c>
      <c r="C51" s="177">
        <v>2</v>
      </c>
      <c r="D51" s="177" t="s">
        <v>290</v>
      </c>
      <c r="E51" s="177" t="s">
        <v>300</v>
      </c>
      <c r="F51" s="176">
        <v>50.15</v>
      </c>
      <c r="G51" s="177">
        <f t="shared" ref="G51:G55" si="19">IF(E51="mensal", 12, IF(E51="trimestral", 4, IF(E51="semestral", 2, IF(E51="anual", 1, "inválido"))))</f>
        <v>2</v>
      </c>
      <c r="H51" s="177">
        <f>IF(B51="",0,C48)</f>
        <v>8</v>
      </c>
      <c r="I51" s="178">
        <f t="shared" ref="I51:I55" si="20">IFERROR((F51*C51*G51*H51)/12,"inválido")</f>
        <v>133.73333333333332</v>
      </c>
      <c r="J51" s="178">
        <f t="shared" ref="J51:J55" si="21">IFERROR(G51*F51*C51*H51,"inválido")</f>
        <v>1604.8</v>
      </c>
      <c r="K51" s="178">
        <f t="shared" ref="K51:K55" si="22">IFERROR(I51*60,"inválido")</f>
        <v>8023.9999999999991</v>
      </c>
    </row>
    <row r="52" spans="1:11" s="167" customFormat="1" ht="20.25" customHeight="1" x14ac:dyDescent="0.25">
      <c r="A52" s="165" t="s">
        <v>347</v>
      </c>
      <c r="B52" s="177" t="s">
        <v>358</v>
      </c>
      <c r="C52" s="177">
        <v>2</v>
      </c>
      <c r="D52" s="177" t="s">
        <v>290</v>
      </c>
      <c r="E52" s="177" t="s">
        <v>300</v>
      </c>
      <c r="F52" s="176">
        <v>61.5</v>
      </c>
      <c r="G52" s="177">
        <f t="shared" si="19"/>
        <v>2</v>
      </c>
      <c r="H52" s="177">
        <f>IF(B52="",0,C48)</f>
        <v>8</v>
      </c>
      <c r="I52" s="178">
        <f t="shared" si="20"/>
        <v>164</v>
      </c>
      <c r="J52" s="178">
        <f t="shared" si="21"/>
        <v>1968</v>
      </c>
      <c r="K52" s="178">
        <f t="shared" si="22"/>
        <v>9840</v>
      </c>
    </row>
    <row r="53" spans="1:11" s="167" customFormat="1" ht="20.25" customHeight="1" x14ac:dyDescent="0.25">
      <c r="A53" s="165" t="s">
        <v>113</v>
      </c>
      <c r="B53" s="177" t="s">
        <v>357</v>
      </c>
      <c r="C53" s="177">
        <v>2</v>
      </c>
      <c r="D53" s="177" t="s">
        <v>315</v>
      </c>
      <c r="E53" s="177" t="s">
        <v>298</v>
      </c>
      <c r="F53" s="176">
        <v>66.88</v>
      </c>
      <c r="G53" s="177">
        <f t="shared" si="19"/>
        <v>1</v>
      </c>
      <c r="H53" s="177">
        <f>IF(B53="",0,C48)</f>
        <v>8</v>
      </c>
      <c r="I53" s="178">
        <f t="shared" si="20"/>
        <v>89.173333333333332</v>
      </c>
      <c r="J53" s="178">
        <f t="shared" si="21"/>
        <v>1070.08</v>
      </c>
      <c r="K53" s="178">
        <f t="shared" si="22"/>
        <v>5350.4</v>
      </c>
    </row>
    <row r="54" spans="1:11" s="167" customFormat="1" ht="20.25" customHeight="1" x14ac:dyDescent="0.25">
      <c r="A54" s="165" t="s">
        <v>114</v>
      </c>
      <c r="B54" s="177" t="s">
        <v>359</v>
      </c>
      <c r="C54" s="177">
        <v>3</v>
      </c>
      <c r="D54" s="177" t="s">
        <v>315</v>
      </c>
      <c r="E54" s="177" t="s">
        <v>300</v>
      </c>
      <c r="F54" s="176">
        <v>6.63</v>
      </c>
      <c r="G54" s="177">
        <f t="shared" si="19"/>
        <v>2</v>
      </c>
      <c r="H54" s="177">
        <f>IF(B54="",0,C48)</f>
        <v>8</v>
      </c>
      <c r="I54" s="178">
        <f t="shared" si="20"/>
        <v>26.52</v>
      </c>
      <c r="J54" s="178">
        <f t="shared" si="21"/>
        <v>318.24</v>
      </c>
      <c r="K54" s="178">
        <f t="shared" si="22"/>
        <v>1591.2</v>
      </c>
    </row>
    <row r="55" spans="1:11" s="167" customFormat="1" ht="20.25" hidden="1" customHeight="1" x14ac:dyDescent="0.25">
      <c r="A55" s="165"/>
      <c r="B55" s="177"/>
      <c r="C55" s="177"/>
      <c r="D55" s="177"/>
      <c r="E55" s="177"/>
      <c r="F55" s="180"/>
      <c r="G55" s="177" t="str">
        <f t="shared" si="19"/>
        <v>inválido</v>
      </c>
      <c r="H55" s="177">
        <f>IF(B55="",0,C48)</f>
        <v>0</v>
      </c>
      <c r="I55" s="178" t="str">
        <f t="shared" si="20"/>
        <v>inválido</v>
      </c>
      <c r="J55" s="178" t="str">
        <f t="shared" si="21"/>
        <v>inválido</v>
      </c>
      <c r="K55" s="178" t="str">
        <f t="shared" si="22"/>
        <v>inválido</v>
      </c>
    </row>
    <row r="56" spans="1:11" s="167" customFormat="1" ht="20.25" customHeight="1" x14ac:dyDescent="0.25">
      <c r="A56" s="197" t="s">
        <v>360</v>
      </c>
      <c r="B56" s="197"/>
      <c r="C56" s="197"/>
      <c r="D56" s="197"/>
      <c r="E56" s="197"/>
      <c r="F56" s="197"/>
      <c r="G56" s="197"/>
      <c r="H56" s="197"/>
      <c r="I56" s="181">
        <f>SUM(I50:I55)</f>
        <v>496.62666666666667</v>
      </c>
      <c r="J56" s="182">
        <f>I56*12</f>
        <v>5959.52</v>
      </c>
      <c r="K56" s="182">
        <f>I56*60</f>
        <v>29797.599999999999</v>
      </c>
    </row>
    <row r="57" spans="1:11" s="167" customFormat="1" ht="20.25" customHeight="1" x14ac:dyDescent="0.25">
      <c r="A57" s="197" t="s">
        <v>302</v>
      </c>
      <c r="B57" s="197"/>
      <c r="C57" s="197"/>
      <c r="D57" s="197"/>
      <c r="E57" s="197"/>
      <c r="F57" s="197"/>
      <c r="G57" s="197"/>
      <c r="H57" s="197"/>
      <c r="I57" s="197"/>
      <c r="J57" s="197"/>
      <c r="K57" s="182">
        <f>IFERROR(I56/C48,"definir")</f>
        <v>62.078333333333333</v>
      </c>
    </row>
    <row r="58" spans="1:11" s="167" customFormat="1" ht="20.25" customHeight="1" x14ac:dyDescent="0.25">
      <c r="A58" s="183" t="s">
        <v>273</v>
      </c>
      <c r="B58" s="188" t="s">
        <v>19</v>
      </c>
      <c r="C58" s="189"/>
      <c r="D58" s="189"/>
      <c r="E58" s="189"/>
      <c r="F58" s="189"/>
      <c r="G58" s="189"/>
      <c r="H58" s="189"/>
      <c r="I58" s="189"/>
      <c r="J58" s="189"/>
      <c r="K58" s="190"/>
    </row>
    <row r="59" spans="1:11" s="167" customFormat="1" ht="20.25" customHeight="1" x14ac:dyDescent="0.25">
      <c r="A59" s="165">
        <v>1</v>
      </c>
      <c r="B59" s="191" t="s">
        <v>274</v>
      </c>
      <c r="C59" s="200" t="str">
        <f>'planilha - proposta'!C28</f>
        <v>Açougueiro</v>
      </c>
      <c r="D59" s="198"/>
      <c r="E59" s="198"/>
      <c r="F59" s="198"/>
      <c r="G59" s="198"/>
      <c r="H59" s="198"/>
      <c r="I59" s="198"/>
      <c r="J59" s="198"/>
      <c r="K59" s="199"/>
    </row>
    <row r="60" spans="1:11" s="167" customFormat="1" ht="20.25" customHeight="1" x14ac:dyDescent="0.25">
      <c r="A60" s="165">
        <v>2</v>
      </c>
      <c r="B60" s="191" t="s">
        <v>334</v>
      </c>
      <c r="C60" s="201">
        <f>'planilha - proposta'!E28+'planilha - proposta'!E29</f>
        <v>1</v>
      </c>
      <c r="D60" s="192"/>
      <c r="E60" s="192"/>
      <c r="F60" s="192"/>
      <c r="G60" s="192"/>
      <c r="H60" s="192"/>
      <c r="I60" s="192"/>
      <c r="J60" s="192"/>
      <c r="K60" s="193"/>
    </row>
    <row r="61" spans="1:11" s="167" customFormat="1" ht="36" customHeight="1" x14ac:dyDescent="0.25">
      <c r="A61" s="175" t="s">
        <v>273</v>
      </c>
      <c r="B61" s="196" t="s">
        <v>275</v>
      </c>
      <c r="C61" s="166" t="s">
        <v>335</v>
      </c>
      <c r="D61" s="166" t="s">
        <v>336</v>
      </c>
      <c r="E61" s="166" t="s">
        <v>337</v>
      </c>
      <c r="F61" s="166" t="s">
        <v>338</v>
      </c>
      <c r="G61" s="166" t="s">
        <v>339</v>
      </c>
      <c r="H61" s="166" t="s">
        <v>318</v>
      </c>
      <c r="I61" s="166" t="s">
        <v>340</v>
      </c>
      <c r="J61" s="166" t="s">
        <v>341</v>
      </c>
      <c r="K61" s="166" t="s">
        <v>342</v>
      </c>
    </row>
    <row r="62" spans="1:11" s="167" customFormat="1" ht="20.25" customHeight="1" x14ac:dyDescent="0.25">
      <c r="A62" s="165" t="s">
        <v>343</v>
      </c>
      <c r="B62" s="177" t="s">
        <v>344</v>
      </c>
      <c r="C62" s="177">
        <v>2</v>
      </c>
      <c r="D62" s="177" t="s">
        <v>290</v>
      </c>
      <c r="E62" s="177" t="s">
        <v>300</v>
      </c>
      <c r="F62" s="176">
        <v>47.92</v>
      </c>
      <c r="G62" s="177">
        <f>IF(E62="mensal", 12, IF(E62="trimestral", 4, IF(E62="semestral", 2, IF(E62="anual", 1, "inválido"))))</f>
        <v>2</v>
      </c>
      <c r="H62" s="177">
        <f>IF(B62="",0,$C$60)</f>
        <v>1</v>
      </c>
      <c r="I62" s="178">
        <f>IFERROR((F62*C62*G62*H62)/12,"inválido")</f>
        <v>15.973333333333334</v>
      </c>
      <c r="J62" s="178">
        <f>IFERROR(G62*F62*C62*H62,"inválido")</f>
        <v>191.68</v>
      </c>
      <c r="K62" s="178">
        <f>IFERROR(I62*60,"inválido")</f>
        <v>958.40000000000009</v>
      </c>
    </row>
    <row r="63" spans="1:11" s="167" customFormat="1" ht="20.25" customHeight="1" x14ac:dyDescent="0.25">
      <c r="A63" s="165" t="s">
        <v>345</v>
      </c>
      <c r="B63" s="177" t="s">
        <v>346</v>
      </c>
      <c r="C63" s="177">
        <v>2</v>
      </c>
      <c r="D63" s="177" t="s">
        <v>290</v>
      </c>
      <c r="E63" s="177" t="s">
        <v>300</v>
      </c>
      <c r="F63" s="176">
        <v>46.63</v>
      </c>
      <c r="G63" s="177">
        <f t="shared" ref="G63:G68" si="23">IF(E63="mensal", 12, IF(E63="trimestral", 4, IF(E63="semestral", 2, IF(E63="anual", 1, "inválido"))))</f>
        <v>2</v>
      </c>
      <c r="H63" s="177">
        <f t="shared" ref="H63:H68" si="24">IF(B63="",0,$C$60)</f>
        <v>1</v>
      </c>
      <c r="I63" s="178">
        <f t="shared" ref="I63:I68" si="25">IFERROR((F63*C63*G63*H63)/12,"inválido")</f>
        <v>15.543333333333335</v>
      </c>
      <c r="J63" s="178">
        <f t="shared" ref="J63:J68" si="26">IFERROR(G63*F63*C63*H63,"inválido")</f>
        <v>186.52</v>
      </c>
      <c r="K63" s="178">
        <f t="shared" ref="K63:K68" si="27">IFERROR(I63*60,"inválido")</f>
        <v>932.60000000000014</v>
      </c>
    </row>
    <row r="64" spans="1:11" s="167" customFormat="1" ht="20.25" customHeight="1" x14ac:dyDescent="0.25">
      <c r="A64" s="165" t="s">
        <v>347</v>
      </c>
      <c r="B64" s="177" t="s">
        <v>358</v>
      </c>
      <c r="C64" s="177">
        <v>2</v>
      </c>
      <c r="D64" s="177" t="s">
        <v>290</v>
      </c>
      <c r="E64" s="177" t="s">
        <v>300</v>
      </c>
      <c r="F64" s="176">
        <v>63</v>
      </c>
      <c r="G64" s="177">
        <f t="shared" si="23"/>
        <v>2</v>
      </c>
      <c r="H64" s="177">
        <f t="shared" si="24"/>
        <v>1</v>
      </c>
      <c r="I64" s="178">
        <f t="shared" si="25"/>
        <v>21</v>
      </c>
      <c r="J64" s="178">
        <f t="shared" si="26"/>
        <v>252</v>
      </c>
      <c r="K64" s="178">
        <f t="shared" si="27"/>
        <v>1260</v>
      </c>
    </row>
    <row r="65" spans="1:11" s="167" customFormat="1" ht="20.25" customHeight="1" x14ac:dyDescent="0.25">
      <c r="A65" s="165" t="s">
        <v>349</v>
      </c>
      <c r="B65" s="177" t="s">
        <v>357</v>
      </c>
      <c r="C65" s="177">
        <v>2</v>
      </c>
      <c r="D65" s="177" t="s">
        <v>315</v>
      </c>
      <c r="E65" s="177" t="s">
        <v>298</v>
      </c>
      <c r="F65" s="176">
        <v>32.6</v>
      </c>
      <c r="G65" s="177">
        <f t="shared" si="23"/>
        <v>1</v>
      </c>
      <c r="H65" s="177">
        <f t="shared" si="24"/>
        <v>1</v>
      </c>
      <c r="I65" s="178">
        <f t="shared" si="25"/>
        <v>5.4333333333333336</v>
      </c>
      <c r="J65" s="178">
        <f t="shared" si="26"/>
        <v>65.2</v>
      </c>
      <c r="K65" s="178">
        <f t="shared" si="27"/>
        <v>326</v>
      </c>
    </row>
    <row r="66" spans="1:11" s="167" customFormat="1" ht="20.25" customHeight="1" x14ac:dyDescent="0.25">
      <c r="A66" s="165" t="s">
        <v>351</v>
      </c>
      <c r="B66" s="177" t="s">
        <v>350</v>
      </c>
      <c r="C66" s="177">
        <v>3</v>
      </c>
      <c r="D66" s="177" t="s">
        <v>315</v>
      </c>
      <c r="E66" s="177" t="s">
        <v>300</v>
      </c>
      <c r="F66" s="176">
        <v>8.33</v>
      </c>
      <c r="G66" s="177">
        <f t="shared" si="23"/>
        <v>2</v>
      </c>
      <c r="H66" s="177">
        <f t="shared" si="24"/>
        <v>1</v>
      </c>
      <c r="I66" s="178">
        <f t="shared" si="25"/>
        <v>4.165</v>
      </c>
      <c r="J66" s="178">
        <f t="shared" si="26"/>
        <v>49.980000000000004</v>
      </c>
      <c r="K66" s="178">
        <f t="shared" si="27"/>
        <v>249.9</v>
      </c>
    </row>
    <row r="67" spans="1:11" s="167" customFormat="1" ht="20.25" hidden="1" customHeight="1" x14ac:dyDescent="0.25">
      <c r="A67" s="165" t="s">
        <v>352</v>
      </c>
      <c r="B67" s="177"/>
      <c r="C67" s="177"/>
      <c r="D67" s="177"/>
      <c r="E67" s="177"/>
      <c r="F67" s="180"/>
      <c r="G67" s="177" t="str">
        <f t="shared" si="23"/>
        <v>inválido</v>
      </c>
      <c r="H67" s="177">
        <f t="shared" si="24"/>
        <v>0</v>
      </c>
      <c r="I67" s="178" t="str">
        <f t="shared" si="25"/>
        <v>inválido</v>
      </c>
      <c r="J67" s="178" t="str">
        <f t="shared" si="26"/>
        <v>inválido</v>
      </c>
      <c r="K67" s="178" t="str">
        <f t="shared" si="27"/>
        <v>inválido</v>
      </c>
    </row>
    <row r="68" spans="1:11" s="167" customFormat="1" ht="20.25" hidden="1" customHeight="1" x14ac:dyDescent="0.25">
      <c r="A68" s="165" t="s">
        <v>353</v>
      </c>
      <c r="B68" s="177"/>
      <c r="C68" s="177"/>
      <c r="D68" s="177"/>
      <c r="E68" s="177"/>
      <c r="F68" s="180"/>
      <c r="G68" s="177" t="str">
        <f t="shared" si="23"/>
        <v>inválido</v>
      </c>
      <c r="H68" s="177">
        <f t="shared" si="24"/>
        <v>0</v>
      </c>
      <c r="I68" s="178" t="str">
        <f t="shared" si="25"/>
        <v>inválido</v>
      </c>
      <c r="J68" s="178" t="str">
        <f t="shared" si="26"/>
        <v>inválido</v>
      </c>
      <c r="K68" s="178" t="str">
        <f t="shared" si="27"/>
        <v>inválido</v>
      </c>
    </row>
    <row r="69" spans="1:11" s="167" customFormat="1" ht="20.25" customHeight="1" x14ac:dyDescent="0.25">
      <c r="A69" s="197" t="s">
        <v>360</v>
      </c>
      <c r="B69" s="197"/>
      <c r="C69" s="197"/>
      <c r="D69" s="197"/>
      <c r="E69" s="197"/>
      <c r="F69" s="197"/>
      <c r="G69" s="197"/>
      <c r="H69" s="197"/>
      <c r="I69" s="181">
        <f>SUM(I62:I68)</f>
        <v>62.115000000000002</v>
      </c>
      <c r="J69" s="182">
        <f>I69*12</f>
        <v>745.38</v>
      </c>
      <c r="K69" s="182">
        <f>I69*60</f>
        <v>3726.9</v>
      </c>
    </row>
    <row r="70" spans="1:11" s="167" customFormat="1" ht="20.25" customHeight="1" x14ac:dyDescent="0.25">
      <c r="A70" s="197" t="s">
        <v>302</v>
      </c>
      <c r="B70" s="197"/>
      <c r="C70" s="197"/>
      <c r="D70" s="197"/>
      <c r="E70" s="197"/>
      <c r="F70" s="197"/>
      <c r="G70" s="197"/>
      <c r="H70" s="197"/>
      <c r="I70" s="197"/>
      <c r="J70" s="197"/>
      <c r="K70" s="182">
        <f>IFERROR(I69/C60,"definir")</f>
        <v>62.115000000000002</v>
      </c>
    </row>
    <row r="71" spans="1:11" s="167" customFormat="1" ht="20.25" customHeight="1" x14ac:dyDescent="0.25">
      <c r="A71" s="183" t="s">
        <v>273</v>
      </c>
      <c r="B71" s="188" t="s">
        <v>19</v>
      </c>
      <c r="C71" s="189"/>
      <c r="D71" s="189"/>
      <c r="E71" s="189"/>
      <c r="F71" s="189"/>
      <c r="G71" s="189"/>
      <c r="H71" s="189"/>
      <c r="I71" s="189"/>
      <c r="J71" s="189"/>
      <c r="K71" s="190"/>
    </row>
    <row r="72" spans="1:11" s="167" customFormat="1" ht="20.25" customHeight="1" x14ac:dyDescent="0.25">
      <c r="A72" s="165">
        <v>1</v>
      </c>
      <c r="B72" s="191" t="s">
        <v>274</v>
      </c>
      <c r="C72" s="200" t="str">
        <f>'planilha - proposta'!C30</f>
        <v>Camareira</v>
      </c>
      <c r="D72" s="198"/>
      <c r="E72" s="198"/>
      <c r="F72" s="198"/>
      <c r="G72" s="198"/>
      <c r="H72" s="198"/>
      <c r="I72" s="198"/>
      <c r="J72" s="198"/>
      <c r="K72" s="199"/>
    </row>
    <row r="73" spans="1:11" s="167" customFormat="1" ht="20.25" customHeight="1" x14ac:dyDescent="0.25">
      <c r="A73" s="165">
        <v>2</v>
      </c>
      <c r="B73" s="191" t="s">
        <v>334</v>
      </c>
      <c r="C73" s="201">
        <f>'planilha - proposta'!E30+'planilha - proposta'!E31+'planilha - proposta'!E32</f>
        <v>15</v>
      </c>
      <c r="D73" s="192"/>
      <c r="E73" s="192"/>
      <c r="F73" s="192"/>
      <c r="G73" s="192"/>
      <c r="H73" s="192"/>
      <c r="I73" s="192"/>
      <c r="J73" s="192"/>
      <c r="K73" s="193"/>
    </row>
    <row r="74" spans="1:11" s="167" customFormat="1" ht="36" customHeight="1" x14ac:dyDescent="0.25">
      <c r="A74" s="175" t="s">
        <v>273</v>
      </c>
      <c r="B74" s="196" t="s">
        <v>275</v>
      </c>
      <c r="C74" s="166" t="s">
        <v>335</v>
      </c>
      <c r="D74" s="166" t="s">
        <v>336</v>
      </c>
      <c r="E74" s="166" t="s">
        <v>337</v>
      </c>
      <c r="F74" s="166" t="s">
        <v>338</v>
      </c>
      <c r="G74" s="166" t="s">
        <v>339</v>
      </c>
      <c r="H74" s="166" t="s">
        <v>318</v>
      </c>
      <c r="I74" s="166" t="s">
        <v>340</v>
      </c>
      <c r="J74" s="166" t="s">
        <v>341</v>
      </c>
      <c r="K74" s="166" t="s">
        <v>342</v>
      </c>
    </row>
    <row r="75" spans="1:11" s="167" customFormat="1" ht="20.25" customHeight="1" x14ac:dyDescent="0.25">
      <c r="A75" s="165" t="s">
        <v>343</v>
      </c>
      <c r="B75" s="177" t="s">
        <v>344</v>
      </c>
      <c r="C75" s="177">
        <v>2</v>
      </c>
      <c r="D75" s="177" t="s">
        <v>290</v>
      </c>
      <c r="E75" s="177" t="s">
        <v>300</v>
      </c>
      <c r="F75" s="176">
        <v>43.85</v>
      </c>
      <c r="G75" s="177">
        <f>IF(E75="mensal", 12, IF(E75="trimestral", 4, IF(E75="semestral", 2, IF(E75="anual", 1, "inválido"))))</f>
        <v>2</v>
      </c>
      <c r="H75" s="177">
        <f>IF(B75="",0,$C$73)</f>
        <v>15</v>
      </c>
      <c r="I75" s="178">
        <f>IFERROR((F75*C75*G75*H75)/12,"inválido")</f>
        <v>219.25</v>
      </c>
      <c r="J75" s="178">
        <f>IFERROR(G75*F75*C75*H75,"inválido")</f>
        <v>2631</v>
      </c>
      <c r="K75" s="178">
        <f>IFERROR(I75*60,"inválido")</f>
        <v>13155</v>
      </c>
    </row>
    <row r="76" spans="1:11" s="167" customFormat="1" ht="20.25" customHeight="1" x14ac:dyDescent="0.25">
      <c r="A76" s="165" t="s">
        <v>345</v>
      </c>
      <c r="B76" s="177" t="s">
        <v>346</v>
      </c>
      <c r="C76" s="177">
        <v>2</v>
      </c>
      <c r="D76" s="177" t="s">
        <v>290</v>
      </c>
      <c r="E76" s="177" t="s">
        <v>300</v>
      </c>
      <c r="F76" s="176">
        <v>50.15</v>
      </c>
      <c r="G76" s="177">
        <f t="shared" ref="G76:G81" si="28">IF(E76="mensal", 12, IF(E76="trimestral", 4, IF(E76="semestral", 2, IF(E76="anual", 1, "inválido"))))</f>
        <v>2</v>
      </c>
      <c r="H76" s="177">
        <f t="shared" ref="H76:H81" si="29">IF(B76="",0,$C$73)</f>
        <v>15</v>
      </c>
      <c r="I76" s="178">
        <f t="shared" ref="I76:I81" si="30">IFERROR((F76*C76*G76*H76)/12,"inválido")</f>
        <v>250.75</v>
      </c>
      <c r="J76" s="178">
        <f t="shared" ref="J76:J81" si="31">IFERROR(G76*F76*C76*H76,"inválido")</f>
        <v>3009</v>
      </c>
      <c r="K76" s="178">
        <f t="shared" ref="K76:K81" si="32">IFERROR(I76*60,"inválido")</f>
        <v>15045</v>
      </c>
    </row>
    <row r="77" spans="1:11" s="167" customFormat="1" ht="20.25" customHeight="1" x14ac:dyDescent="0.25">
      <c r="A77" s="165" t="s">
        <v>347</v>
      </c>
      <c r="B77" s="177" t="s">
        <v>361</v>
      </c>
      <c r="C77" s="177">
        <v>2</v>
      </c>
      <c r="D77" s="177" t="s">
        <v>290</v>
      </c>
      <c r="E77" s="177" t="s">
        <v>300</v>
      </c>
      <c r="F77" s="176">
        <v>55</v>
      </c>
      <c r="G77" s="177">
        <f t="shared" si="28"/>
        <v>2</v>
      </c>
      <c r="H77" s="177">
        <f t="shared" si="29"/>
        <v>15</v>
      </c>
      <c r="I77" s="178">
        <f t="shared" si="30"/>
        <v>275</v>
      </c>
      <c r="J77" s="178">
        <f t="shared" si="31"/>
        <v>3300</v>
      </c>
      <c r="K77" s="178">
        <f t="shared" si="32"/>
        <v>16500</v>
      </c>
    </row>
    <row r="78" spans="1:11" s="167" customFormat="1" ht="20.25" customHeight="1" x14ac:dyDescent="0.25">
      <c r="A78" s="165" t="s">
        <v>349</v>
      </c>
      <c r="B78" s="177" t="s">
        <v>362</v>
      </c>
      <c r="C78" s="177">
        <v>2</v>
      </c>
      <c r="D78" s="177" t="s">
        <v>315</v>
      </c>
      <c r="E78" s="177" t="s">
        <v>298</v>
      </c>
      <c r="F78" s="176">
        <v>79.900000000000006</v>
      </c>
      <c r="G78" s="177">
        <f t="shared" si="28"/>
        <v>1</v>
      </c>
      <c r="H78" s="177">
        <f t="shared" si="29"/>
        <v>15</v>
      </c>
      <c r="I78" s="178">
        <f t="shared" si="30"/>
        <v>199.75</v>
      </c>
      <c r="J78" s="178">
        <f t="shared" si="31"/>
        <v>2397</v>
      </c>
      <c r="K78" s="178">
        <f t="shared" si="32"/>
        <v>11985</v>
      </c>
    </row>
    <row r="79" spans="1:11" s="167" customFormat="1" ht="20.25" customHeight="1" x14ac:dyDescent="0.25">
      <c r="A79" s="165" t="s">
        <v>351</v>
      </c>
      <c r="B79" s="177" t="s">
        <v>350</v>
      </c>
      <c r="C79" s="177">
        <v>3</v>
      </c>
      <c r="D79" s="177" t="s">
        <v>315</v>
      </c>
      <c r="E79" s="177" t="s">
        <v>300</v>
      </c>
      <c r="F79" s="176">
        <v>8.33</v>
      </c>
      <c r="G79" s="177">
        <f t="shared" si="28"/>
        <v>2</v>
      </c>
      <c r="H79" s="177">
        <f t="shared" si="29"/>
        <v>15</v>
      </c>
      <c r="I79" s="178">
        <f t="shared" si="30"/>
        <v>62.475000000000001</v>
      </c>
      <c r="J79" s="178">
        <f t="shared" si="31"/>
        <v>749.7</v>
      </c>
      <c r="K79" s="178">
        <f t="shared" si="32"/>
        <v>3748.5</v>
      </c>
    </row>
    <row r="80" spans="1:11" s="167" customFormat="1" ht="20.25" customHeight="1" x14ac:dyDescent="0.25">
      <c r="A80" s="165" t="s">
        <v>352</v>
      </c>
      <c r="B80" s="177" t="s">
        <v>363</v>
      </c>
      <c r="C80" s="177">
        <v>2</v>
      </c>
      <c r="D80" s="177" t="s">
        <v>290</v>
      </c>
      <c r="E80" s="177" t="s">
        <v>300</v>
      </c>
      <c r="F80" s="176">
        <v>4</v>
      </c>
      <c r="G80" s="177">
        <f t="shared" si="28"/>
        <v>2</v>
      </c>
      <c r="H80" s="177">
        <f t="shared" si="29"/>
        <v>15</v>
      </c>
      <c r="I80" s="178">
        <f t="shared" si="30"/>
        <v>20</v>
      </c>
      <c r="J80" s="178">
        <f t="shared" si="31"/>
        <v>240</v>
      </c>
      <c r="K80" s="178">
        <f t="shared" si="32"/>
        <v>1200</v>
      </c>
    </row>
    <row r="81" spans="1:11" s="167" customFormat="1" ht="20.25" hidden="1" customHeight="1" x14ac:dyDescent="0.25">
      <c r="A81" s="165"/>
      <c r="B81" s="177"/>
      <c r="C81" s="177"/>
      <c r="D81" s="177"/>
      <c r="E81" s="177"/>
      <c r="F81" s="180"/>
      <c r="G81" s="177" t="str">
        <f t="shared" si="28"/>
        <v>inválido</v>
      </c>
      <c r="H81" s="177">
        <f t="shared" si="29"/>
        <v>0</v>
      </c>
      <c r="I81" s="178" t="str">
        <f t="shared" si="30"/>
        <v>inválido</v>
      </c>
      <c r="J81" s="178" t="str">
        <f t="shared" si="31"/>
        <v>inválido</v>
      </c>
      <c r="K81" s="178" t="str">
        <f t="shared" si="32"/>
        <v>inválido</v>
      </c>
    </row>
    <row r="82" spans="1:11" s="167" customFormat="1" ht="20.25" customHeight="1" x14ac:dyDescent="0.25">
      <c r="A82" s="197" t="s">
        <v>308</v>
      </c>
      <c r="B82" s="197"/>
      <c r="C82" s="197"/>
      <c r="D82" s="197"/>
      <c r="E82" s="197"/>
      <c r="F82" s="197"/>
      <c r="G82" s="197"/>
      <c r="H82" s="197"/>
      <c r="I82" s="181">
        <f>SUM(I75:I81)</f>
        <v>1027.2249999999999</v>
      </c>
      <c r="J82" s="182">
        <f>I82*12</f>
        <v>12326.699999999999</v>
      </c>
      <c r="K82" s="182">
        <f>I82*60</f>
        <v>61633.499999999993</v>
      </c>
    </row>
    <row r="83" spans="1:11" s="167" customFormat="1" ht="20.25" customHeight="1" x14ac:dyDescent="0.25">
      <c r="A83" s="197" t="s">
        <v>302</v>
      </c>
      <c r="B83" s="197"/>
      <c r="C83" s="197"/>
      <c r="D83" s="197"/>
      <c r="E83" s="197"/>
      <c r="F83" s="197"/>
      <c r="G83" s="197"/>
      <c r="H83" s="197"/>
      <c r="I83" s="197"/>
      <c r="J83" s="197"/>
      <c r="K83" s="182">
        <f>IFERROR(I82/C73,"definir")</f>
        <v>68.481666666666655</v>
      </c>
    </row>
    <row r="84" spans="1:11" s="167" customFormat="1" ht="20.25" customHeight="1" x14ac:dyDescent="0.25">
      <c r="A84" s="183" t="s">
        <v>273</v>
      </c>
      <c r="B84" s="188" t="s">
        <v>19</v>
      </c>
      <c r="C84" s="189"/>
      <c r="D84" s="189"/>
      <c r="E84" s="189"/>
      <c r="F84" s="189"/>
      <c r="G84" s="189"/>
      <c r="H84" s="189"/>
      <c r="I84" s="189"/>
      <c r="J84" s="189"/>
      <c r="K84" s="190"/>
    </row>
    <row r="85" spans="1:11" s="167" customFormat="1" ht="20.25" customHeight="1" x14ac:dyDescent="0.25">
      <c r="A85" s="165">
        <v>1</v>
      </c>
      <c r="B85" s="191" t="s">
        <v>274</v>
      </c>
      <c r="C85" s="200" t="str">
        <f>'planilha - proposta'!C33</f>
        <v>Copeiro Hospitalar</v>
      </c>
      <c r="D85" s="198"/>
      <c r="E85" s="198"/>
      <c r="F85" s="198"/>
      <c r="G85" s="198"/>
      <c r="H85" s="198"/>
      <c r="I85" s="198"/>
      <c r="J85" s="198"/>
      <c r="K85" s="199"/>
    </row>
    <row r="86" spans="1:11" s="167" customFormat="1" ht="20.25" customHeight="1" x14ac:dyDescent="0.25">
      <c r="A86" s="165">
        <v>2</v>
      </c>
      <c r="B86" s="191" t="s">
        <v>334</v>
      </c>
      <c r="C86" s="201">
        <f>'planilha - proposta'!E33+'planilha - proposta'!E34+'planilha - proposta'!E35</f>
        <v>30</v>
      </c>
      <c r="D86" s="192"/>
      <c r="E86" s="192"/>
      <c r="F86" s="192"/>
      <c r="G86" s="192"/>
      <c r="H86" s="192"/>
      <c r="I86" s="192"/>
      <c r="J86" s="192"/>
      <c r="K86" s="193"/>
    </row>
    <row r="87" spans="1:11" s="167" customFormat="1" ht="36" customHeight="1" x14ac:dyDescent="0.25">
      <c r="A87" s="175" t="s">
        <v>273</v>
      </c>
      <c r="B87" s="196" t="s">
        <v>275</v>
      </c>
      <c r="C87" s="166" t="s">
        <v>335</v>
      </c>
      <c r="D87" s="166" t="s">
        <v>336</v>
      </c>
      <c r="E87" s="166" t="s">
        <v>337</v>
      </c>
      <c r="F87" s="166" t="s">
        <v>338</v>
      </c>
      <c r="G87" s="166" t="s">
        <v>339</v>
      </c>
      <c r="H87" s="166" t="s">
        <v>318</v>
      </c>
      <c r="I87" s="166" t="s">
        <v>340</v>
      </c>
      <c r="J87" s="166" t="s">
        <v>341</v>
      </c>
      <c r="K87" s="166" t="s">
        <v>342</v>
      </c>
    </row>
    <row r="88" spans="1:11" s="167" customFormat="1" ht="20.25" customHeight="1" x14ac:dyDescent="0.25">
      <c r="A88" s="165" t="s">
        <v>343</v>
      </c>
      <c r="B88" s="177" t="s">
        <v>344</v>
      </c>
      <c r="C88" s="177">
        <v>2</v>
      </c>
      <c r="D88" s="177" t="s">
        <v>290</v>
      </c>
      <c r="E88" s="177" t="s">
        <v>300</v>
      </c>
      <c r="F88" s="176">
        <v>50.6</v>
      </c>
      <c r="G88" s="177">
        <f>IF(E88="mensal", 12, IF(E88="trimestral", 4, IF(E88="semestral", 2, IF(E88="anual", 1, "inválido"))))</f>
        <v>2</v>
      </c>
      <c r="H88" s="177">
        <f>IF(B88="",0,C86)</f>
        <v>30</v>
      </c>
      <c r="I88" s="178">
        <f>IFERROR((F88*C88*G88*H88)/12,"inválido")</f>
        <v>506</v>
      </c>
      <c r="J88" s="178">
        <f>IFERROR(G88*F88*C88*H88,"inválido")</f>
        <v>6072</v>
      </c>
      <c r="K88" s="178">
        <f>IFERROR(I88*60,"inválido")</f>
        <v>30360</v>
      </c>
    </row>
    <row r="89" spans="1:11" s="167" customFormat="1" ht="20.25" customHeight="1" x14ac:dyDescent="0.25">
      <c r="A89" s="165" t="s">
        <v>345</v>
      </c>
      <c r="B89" s="177" t="s">
        <v>346</v>
      </c>
      <c r="C89" s="177">
        <v>2</v>
      </c>
      <c r="D89" s="177" t="s">
        <v>290</v>
      </c>
      <c r="E89" s="177" t="s">
        <v>300</v>
      </c>
      <c r="F89" s="176">
        <v>50.15</v>
      </c>
      <c r="G89" s="177">
        <f t="shared" ref="G89:G93" si="33">IF(E89="mensal", 12, IF(E89="trimestral", 4, IF(E89="semestral", 2, IF(E89="anual", 1, "inválido"))))</f>
        <v>2</v>
      </c>
      <c r="H89" s="177">
        <f>IF(B89="",0,C86)</f>
        <v>30</v>
      </c>
      <c r="I89" s="178">
        <f t="shared" ref="I89:I93" si="34">IFERROR((F89*C89*G89*H89)/12,"inválido")</f>
        <v>501.5</v>
      </c>
      <c r="J89" s="178">
        <f t="shared" ref="J89:J93" si="35">IFERROR(G89*F89*C89*H89,"inválido")</f>
        <v>6018</v>
      </c>
      <c r="K89" s="178">
        <f t="shared" ref="K89:K93" si="36">IFERROR(I89*60,"inválido")</f>
        <v>30090</v>
      </c>
    </row>
    <row r="90" spans="1:11" s="167" customFormat="1" ht="20.25" customHeight="1" x14ac:dyDescent="0.25">
      <c r="A90" s="165" t="s">
        <v>347</v>
      </c>
      <c r="B90" s="177" t="s">
        <v>358</v>
      </c>
      <c r="C90" s="177">
        <v>1</v>
      </c>
      <c r="D90" s="177" t="s">
        <v>290</v>
      </c>
      <c r="E90" s="177" t="s">
        <v>300</v>
      </c>
      <c r="F90" s="176">
        <v>61.5</v>
      </c>
      <c r="G90" s="177">
        <f t="shared" si="33"/>
        <v>2</v>
      </c>
      <c r="H90" s="177">
        <f>IF(B90="",0,C86)</f>
        <v>30</v>
      </c>
      <c r="I90" s="178">
        <f t="shared" si="34"/>
        <v>307.5</v>
      </c>
      <c r="J90" s="178">
        <f t="shared" si="35"/>
        <v>3690</v>
      </c>
      <c r="K90" s="178">
        <f t="shared" si="36"/>
        <v>18450</v>
      </c>
    </row>
    <row r="91" spans="1:11" s="167" customFormat="1" ht="20.25" customHeight="1" x14ac:dyDescent="0.25">
      <c r="A91" s="165" t="s">
        <v>349</v>
      </c>
      <c r="B91" s="177" t="s">
        <v>357</v>
      </c>
      <c r="C91" s="177">
        <v>2</v>
      </c>
      <c r="D91" s="177" t="s">
        <v>315</v>
      </c>
      <c r="E91" s="177" t="s">
        <v>298</v>
      </c>
      <c r="F91" s="176">
        <v>66.88</v>
      </c>
      <c r="G91" s="177">
        <f t="shared" si="33"/>
        <v>1</v>
      </c>
      <c r="H91" s="177">
        <f>IF(B91="",0,C86)</f>
        <v>30</v>
      </c>
      <c r="I91" s="178">
        <f t="shared" si="34"/>
        <v>334.4</v>
      </c>
      <c r="J91" s="178">
        <f t="shared" si="35"/>
        <v>4012.7999999999997</v>
      </c>
      <c r="K91" s="178">
        <f t="shared" si="36"/>
        <v>20064</v>
      </c>
    </row>
    <row r="92" spans="1:11" s="167" customFormat="1" ht="20.25" customHeight="1" x14ac:dyDescent="0.25">
      <c r="A92" s="165" t="s">
        <v>351</v>
      </c>
      <c r="B92" s="177" t="s">
        <v>359</v>
      </c>
      <c r="C92" s="177">
        <v>3</v>
      </c>
      <c r="D92" s="177" t="s">
        <v>315</v>
      </c>
      <c r="E92" s="177" t="s">
        <v>300</v>
      </c>
      <c r="F92" s="176">
        <v>6.63</v>
      </c>
      <c r="G92" s="177">
        <f t="shared" si="33"/>
        <v>2</v>
      </c>
      <c r="H92" s="177">
        <f>IF(B92="",0,C86)</f>
        <v>30</v>
      </c>
      <c r="I92" s="178">
        <f t="shared" si="34"/>
        <v>99.45</v>
      </c>
      <c r="J92" s="178">
        <f t="shared" si="35"/>
        <v>1193.4000000000001</v>
      </c>
      <c r="K92" s="178">
        <f t="shared" si="36"/>
        <v>5967</v>
      </c>
    </row>
    <row r="93" spans="1:11" s="167" customFormat="1" ht="20.25" hidden="1" customHeight="1" x14ac:dyDescent="0.25">
      <c r="A93" s="165" t="s">
        <v>115</v>
      </c>
      <c r="B93" s="177"/>
      <c r="C93" s="177"/>
      <c r="D93" s="177"/>
      <c r="E93" s="177"/>
      <c r="F93" s="180"/>
      <c r="G93" s="177" t="str">
        <f t="shared" si="33"/>
        <v>inválido</v>
      </c>
      <c r="H93" s="177">
        <f>IF(B93="",0,C86)</f>
        <v>0</v>
      </c>
      <c r="I93" s="178" t="str">
        <f t="shared" si="34"/>
        <v>inválido</v>
      </c>
      <c r="J93" s="178" t="str">
        <f t="shared" si="35"/>
        <v>inválido</v>
      </c>
      <c r="K93" s="178" t="str">
        <f t="shared" si="36"/>
        <v>inválido</v>
      </c>
    </row>
    <row r="94" spans="1:11" s="167" customFormat="1" ht="20.25" customHeight="1" x14ac:dyDescent="0.25">
      <c r="A94" s="197" t="s">
        <v>360</v>
      </c>
      <c r="B94" s="197"/>
      <c r="C94" s="197"/>
      <c r="D94" s="197"/>
      <c r="E94" s="197"/>
      <c r="F94" s="197"/>
      <c r="G94" s="197"/>
      <c r="H94" s="197"/>
      <c r="I94" s="181">
        <f>SUM(I88:I93)</f>
        <v>1748.8500000000001</v>
      </c>
      <c r="J94" s="182">
        <f>I94*12</f>
        <v>20986.2</v>
      </c>
      <c r="K94" s="182">
        <f>I94*60</f>
        <v>104931.00000000001</v>
      </c>
    </row>
    <row r="95" spans="1:11" s="167" customFormat="1" ht="20.25" customHeight="1" x14ac:dyDescent="0.25">
      <c r="A95" s="197" t="s">
        <v>302</v>
      </c>
      <c r="B95" s="197"/>
      <c r="C95" s="197"/>
      <c r="D95" s="197"/>
      <c r="E95" s="197"/>
      <c r="F95" s="197"/>
      <c r="G95" s="197"/>
      <c r="H95" s="197"/>
      <c r="I95" s="197"/>
      <c r="J95" s="197"/>
      <c r="K95" s="182">
        <f>IFERROR(I94/C86,"definir")</f>
        <v>58.295000000000002</v>
      </c>
    </row>
    <row r="96" spans="1:11" s="167" customFormat="1" ht="20.25" customHeight="1" x14ac:dyDescent="0.25">
      <c r="A96" s="183" t="s">
        <v>273</v>
      </c>
      <c r="B96" s="188" t="s">
        <v>19</v>
      </c>
      <c r="C96" s="189"/>
      <c r="D96" s="189"/>
      <c r="E96" s="189"/>
      <c r="F96" s="189"/>
      <c r="G96" s="189"/>
      <c r="H96" s="189"/>
      <c r="I96" s="189"/>
      <c r="J96" s="189"/>
      <c r="K96" s="190"/>
    </row>
    <row r="97" spans="1:11" s="167" customFormat="1" ht="20.25" customHeight="1" x14ac:dyDescent="0.25">
      <c r="A97" s="165">
        <v>1</v>
      </c>
      <c r="B97" s="191" t="s">
        <v>274</v>
      </c>
      <c r="C97" s="200" t="str">
        <f>'planilha - proposta'!C36</f>
        <v>Costureiro</v>
      </c>
      <c r="D97" s="198"/>
      <c r="E97" s="198"/>
      <c r="F97" s="198"/>
      <c r="G97" s="198"/>
      <c r="H97" s="198"/>
      <c r="I97" s="198"/>
      <c r="J97" s="198"/>
      <c r="K97" s="199"/>
    </row>
    <row r="98" spans="1:11" s="167" customFormat="1" ht="20.25" customHeight="1" x14ac:dyDescent="0.25">
      <c r="A98" s="165">
        <v>2</v>
      </c>
      <c r="B98" s="191" t="s">
        <v>334</v>
      </c>
      <c r="C98" s="201">
        <f>'planilha - proposta'!E36</f>
        <v>2</v>
      </c>
      <c r="D98" s="192"/>
      <c r="E98" s="192"/>
      <c r="F98" s="192"/>
      <c r="G98" s="192"/>
      <c r="H98" s="192"/>
      <c r="I98" s="192"/>
      <c r="J98" s="192"/>
      <c r="K98" s="193"/>
    </row>
    <row r="99" spans="1:11" s="167" customFormat="1" ht="36" customHeight="1" x14ac:dyDescent="0.25">
      <c r="A99" s="175" t="s">
        <v>273</v>
      </c>
      <c r="B99" s="196" t="s">
        <v>275</v>
      </c>
      <c r="C99" s="166" t="s">
        <v>335</v>
      </c>
      <c r="D99" s="166" t="s">
        <v>336</v>
      </c>
      <c r="E99" s="166" t="s">
        <v>337</v>
      </c>
      <c r="F99" s="166" t="s">
        <v>338</v>
      </c>
      <c r="G99" s="166" t="s">
        <v>339</v>
      </c>
      <c r="H99" s="166" t="s">
        <v>318</v>
      </c>
      <c r="I99" s="166" t="s">
        <v>340</v>
      </c>
      <c r="J99" s="166" t="s">
        <v>341</v>
      </c>
      <c r="K99" s="166" t="s">
        <v>342</v>
      </c>
    </row>
    <row r="100" spans="1:11" s="167" customFormat="1" ht="20.25" customHeight="1" x14ac:dyDescent="0.25">
      <c r="A100" s="165" t="s">
        <v>343</v>
      </c>
      <c r="B100" s="177" t="s">
        <v>344</v>
      </c>
      <c r="C100" s="177">
        <v>2</v>
      </c>
      <c r="D100" s="177" t="s">
        <v>290</v>
      </c>
      <c r="E100" s="177" t="s">
        <v>300</v>
      </c>
      <c r="F100" s="176">
        <v>43.85</v>
      </c>
      <c r="G100" s="177">
        <f>IF(E100="mensal", 12, IF(E100="trimestral", 4, IF(E100="semestral", 2, IF(E100="anual", 1, "inválido"))))</f>
        <v>2</v>
      </c>
      <c r="H100" s="177">
        <f>IF(B100="",0,C98)</f>
        <v>2</v>
      </c>
      <c r="I100" s="178">
        <f>IFERROR((F100*C100*G100*H100)/12,"inválido")</f>
        <v>29.233333333333334</v>
      </c>
      <c r="J100" s="178">
        <f>IFERROR(G100*F100*C100*H100,"inválido")</f>
        <v>350.8</v>
      </c>
      <c r="K100" s="178">
        <f>IFERROR(I100*60,"inválido")</f>
        <v>1754</v>
      </c>
    </row>
    <row r="101" spans="1:11" s="167" customFormat="1" ht="20.25" customHeight="1" x14ac:dyDescent="0.25">
      <c r="A101" s="165" t="s">
        <v>345</v>
      </c>
      <c r="B101" s="177" t="s">
        <v>346</v>
      </c>
      <c r="C101" s="177">
        <v>2</v>
      </c>
      <c r="D101" s="177" t="s">
        <v>290</v>
      </c>
      <c r="E101" s="177" t="s">
        <v>300</v>
      </c>
      <c r="F101" s="176">
        <v>50.15</v>
      </c>
      <c r="G101" s="177">
        <f t="shared" ref="G101:G105" si="37">IF(E101="mensal", 12, IF(E101="trimestral", 4, IF(E101="semestral", 2, IF(E101="anual", 1, "inválido"))))</f>
        <v>2</v>
      </c>
      <c r="H101" s="177">
        <f>IF(B101="",0,C98)</f>
        <v>2</v>
      </c>
      <c r="I101" s="178">
        <f t="shared" ref="I101:I105" si="38">IFERROR((F101*C101*G101*H101)/12,"inválido")</f>
        <v>33.43333333333333</v>
      </c>
      <c r="J101" s="178">
        <f t="shared" ref="J101:J105" si="39">IFERROR(G101*F101*C101*H101,"inválido")</f>
        <v>401.2</v>
      </c>
      <c r="K101" s="178">
        <f t="shared" ref="K101:K105" si="40">IFERROR(I101*60,"inválido")</f>
        <v>2005.9999999999998</v>
      </c>
    </row>
    <row r="102" spans="1:11" s="167" customFormat="1" ht="20.25" customHeight="1" x14ac:dyDescent="0.25">
      <c r="A102" s="165" t="s">
        <v>111</v>
      </c>
      <c r="B102" s="177" t="s">
        <v>361</v>
      </c>
      <c r="C102" s="177">
        <v>2</v>
      </c>
      <c r="D102" s="177" t="s">
        <v>290</v>
      </c>
      <c r="E102" s="177" t="s">
        <v>300</v>
      </c>
      <c r="F102" s="176">
        <v>55</v>
      </c>
      <c r="G102" s="177">
        <f t="shared" si="37"/>
        <v>2</v>
      </c>
      <c r="H102" s="177">
        <f>IF(B102="",0,C98)</f>
        <v>2</v>
      </c>
      <c r="I102" s="178">
        <f t="shared" si="38"/>
        <v>36.666666666666664</v>
      </c>
      <c r="J102" s="178">
        <f t="shared" si="39"/>
        <v>440</v>
      </c>
      <c r="K102" s="178">
        <f t="shared" si="40"/>
        <v>2200</v>
      </c>
    </row>
    <row r="103" spans="1:11" s="167" customFormat="1" ht="20.25" customHeight="1" x14ac:dyDescent="0.25">
      <c r="A103" s="165" t="s">
        <v>113</v>
      </c>
      <c r="B103" s="177" t="s">
        <v>362</v>
      </c>
      <c r="C103" s="177">
        <v>2</v>
      </c>
      <c r="D103" s="177" t="s">
        <v>315</v>
      </c>
      <c r="E103" s="177" t="s">
        <v>298</v>
      </c>
      <c r="F103" s="176">
        <v>79.900000000000006</v>
      </c>
      <c r="G103" s="177">
        <f t="shared" si="37"/>
        <v>1</v>
      </c>
      <c r="H103" s="177">
        <f>IF(B103="",0,C98)</f>
        <v>2</v>
      </c>
      <c r="I103" s="178">
        <f t="shared" si="38"/>
        <v>26.633333333333336</v>
      </c>
      <c r="J103" s="178">
        <f t="shared" si="39"/>
        <v>319.60000000000002</v>
      </c>
      <c r="K103" s="178">
        <f t="shared" si="40"/>
        <v>1598.0000000000002</v>
      </c>
    </row>
    <row r="104" spans="1:11" s="167" customFormat="1" ht="20.25" customHeight="1" x14ac:dyDescent="0.25">
      <c r="A104" s="165" t="s">
        <v>114</v>
      </c>
      <c r="B104" s="177" t="s">
        <v>350</v>
      </c>
      <c r="C104" s="177">
        <v>3</v>
      </c>
      <c r="D104" s="177" t="s">
        <v>315</v>
      </c>
      <c r="E104" s="177" t="s">
        <v>300</v>
      </c>
      <c r="F104" s="176">
        <v>8.33</v>
      </c>
      <c r="G104" s="177">
        <f t="shared" si="37"/>
        <v>2</v>
      </c>
      <c r="H104" s="177">
        <f>IF(B104="",0,C98)</f>
        <v>2</v>
      </c>
      <c r="I104" s="178">
        <f t="shared" si="38"/>
        <v>8.33</v>
      </c>
      <c r="J104" s="178">
        <f t="shared" si="39"/>
        <v>99.960000000000008</v>
      </c>
      <c r="K104" s="178">
        <f t="shared" si="40"/>
        <v>499.8</v>
      </c>
    </row>
    <row r="105" spans="1:11" s="167" customFormat="1" ht="20.25" customHeight="1" x14ac:dyDescent="0.25">
      <c r="A105" s="165" t="s">
        <v>115</v>
      </c>
      <c r="B105" s="177" t="s">
        <v>363</v>
      </c>
      <c r="C105" s="177">
        <v>2</v>
      </c>
      <c r="D105" s="177" t="s">
        <v>290</v>
      </c>
      <c r="E105" s="177" t="s">
        <v>300</v>
      </c>
      <c r="F105" s="176">
        <v>3.6</v>
      </c>
      <c r="G105" s="177">
        <f t="shared" si="37"/>
        <v>2</v>
      </c>
      <c r="H105" s="177">
        <f>IF(B105="",0,C98)</f>
        <v>2</v>
      </c>
      <c r="I105" s="178">
        <f t="shared" si="38"/>
        <v>2.4</v>
      </c>
      <c r="J105" s="178">
        <f t="shared" si="39"/>
        <v>28.8</v>
      </c>
      <c r="K105" s="178">
        <f t="shared" si="40"/>
        <v>144</v>
      </c>
    </row>
    <row r="106" spans="1:11" s="167" customFormat="1" ht="20.25" customHeight="1" x14ac:dyDescent="0.25">
      <c r="A106" s="197" t="s">
        <v>308</v>
      </c>
      <c r="B106" s="197"/>
      <c r="C106" s="197"/>
      <c r="D106" s="197"/>
      <c r="E106" s="197"/>
      <c r="F106" s="197"/>
      <c r="G106" s="197"/>
      <c r="H106" s="197"/>
      <c r="I106" s="181">
        <f>SUM(I100:I105)</f>
        <v>136.69666666666669</v>
      </c>
      <c r="J106" s="182">
        <f>I106*12</f>
        <v>1640.3600000000001</v>
      </c>
      <c r="K106" s="182">
        <f>I106*60</f>
        <v>8201.8000000000011</v>
      </c>
    </row>
    <row r="107" spans="1:11" s="167" customFormat="1" ht="20.25" customHeight="1" x14ac:dyDescent="0.25">
      <c r="A107" s="197" t="s">
        <v>302</v>
      </c>
      <c r="B107" s="197"/>
      <c r="C107" s="197"/>
      <c r="D107" s="197"/>
      <c r="E107" s="197"/>
      <c r="F107" s="197"/>
      <c r="G107" s="197"/>
      <c r="H107" s="197"/>
      <c r="I107" s="197"/>
      <c r="J107" s="197"/>
      <c r="K107" s="182">
        <f>IFERROR(I106/C98,"definir")</f>
        <v>68.348333333333343</v>
      </c>
    </row>
    <row r="108" spans="1:11" s="167" customFormat="1" ht="20.25" customHeight="1" x14ac:dyDescent="0.25">
      <c r="A108" s="183" t="s">
        <v>273</v>
      </c>
      <c r="B108" s="188" t="s">
        <v>19</v>
      </c>
      <c r="C108" s="189"/>
      <c r="D108" s="189"/>
      <c r="E108" s="189"/>
      <c r="F108" s="189"/>
      <c r="G108" s="189"/>
      <c r="H108" s="189"/>
      <c r="I108" s="189"/>
      <c r="J108" s="189"/>
      <c r="K108" s="190"/>
    </row>
    <row r="109" spans="1:11" s="167" customFormat="1" ht="20.25" customHeight="1" x14ac:dyDescent="0.25">
      <c r="A109" s="165">
        <v>1</v>
      </c>
      <c r="B109" s="191" t="s">
        <v>274</v>
      </c>
      <c r="C109" s="200" t="str">
        <f>'planilha - proposta'!C37</f>
        <v>Cozinheiro Hospitalar</v>
      </c>
      <c r="D109" s="198"/>
      <c r="E109" s="198"/>
      <c r="F109" s="198"/>
      <c r="G109" s="198"/>
      <c r="H109" s="198"/>
      <c r="I109" s="198"/>
      <c r="J109" s="198"/>
      <c r="K109" s="199"/>
    </row>
    <row r="110" spans="1:11" s="167" customFormat="1" ht="20.25" customHeight="1" x14ac:dyDescent="0.25">
      <c r="A110" s="165">
        <v>2</v>
      </c>
      <c r="B110" s="191" t="s">
        <v>334</v>
      </c>
      <c r="C110" s="201">
        <f>'planilha - proposta'!E37+'planilha - proposta'!E38+'planilha - proposta'!E39</f>
        <v>14</v>
      </c>
      <c r="D110" s="192"/>
      <c r="E110" s="192"/>
      <c r="F110" s="192"/>
      <c r="G110" s="192"/>
      <c r="H110" s="192"/>
      <c r="I110" s="192"/>
      <c r="J110" s="192"/>
      <c r="K110" s="193"/>
    </row>
    <row r="111" spans="1:11" s="167" customFormat="1" ht="36" customHeight="1" x14ac:dyDescent="0.25">
      <c r="A111" s="175" t="s">
        <v>273</v>
      </c>
      <c r="B111" s="196" t="s">
        <v>275</v>
      </c>
      <c r="C111" s="166" t="s">
        <v>335</v>
      </c>
      <c r="D111" s="166" t="s">
        <v>336</v>
      </c>
      <c r="E111" s="166" t="s">
        <v>337</v>
      </c>
      <c r="F111" s="166" t="s">
        <v>338</v>
      </c>
      <c r="G111" s="166" t="s">
        <v>339</v>
      </c>
      <c r="H111" s="166" t="s">
        <v>318</v>
      </c>
      <c r="I111" s="166" t="s">
        <v>340</v>
      </c>
      <c r="J111" s="166" t="s">
        <v>341</v>
      </c>
      <c r="K111" s="166" t="s">
        <v>342</v>
      </c>
    </row>
    <row r="112" spans="1:11" s="167" customFormat="1" ht="20.25" customHeight="1" x14ac:dyDescent="0.25">
      <c r="A112" s="165" t="s">
        <v>343</v>
      </c>
      <c r="B112" s="177" t="s">
        <v>356</v>
      </c>
      <c r="C112" s="177">
        <v>2</v>
      </c>
      <c r="D112" s="177" t="s">
        <v>290</v>
      </c>
      <c r="E112" s="177" t="s">
        <v>300</v>
      </c>
      <c r="F112" s="176">
        <v>74.150000000000006</v>
      </c>
      <c r="G112" s="177">
        <f>IF(E112="mensal", 12, IF(E112="trimestral", 4, IF(E112="semestral", 2, IF(E112="anual", 1, "inválido"))))</f>
        <v>2</v>
      </c>
      <c r="H112" s="177">
        <f>IF(B112="",0,$C$110)</f>
        <v>14</v>
      </c>
      <c r="I112" s="178">
        <f>IFERROR((F112*C112*G112*H112)/12,"inválido")</f>
        <v>346.03333333333336</v>
      </c>
      <c r="J112" s="178">
        <f>IFERROR(G112*F112*C112*H112,"inválido")</f>
        <v>4152.4000000000005</v>
      </c>
      <c r="K112" s="178">
        <f>IFERROR(I112*60,"inválido")</f>
        <v>20762</v>
      </c>
    </row>
    <row r="113" spans="1:11" s="167" customFormat="1" ht="20.25" customHeight="1" x14ac:dyDescent="0.25">
      <c r="A113" s="165" t="s">
        <v>345</v>
      </c>
      <c r="B113" s="177" t="s">
        <v>346</v>
      </c>
      <c r="C113" s="177">
        <v>2</v>
      </c>
      <c r="D113" s="177" t="s">
        <v>290</v>
      </c>
      <c r="E113" s="177" t="s">
        <v>300</v>
      </c>
      <c r="F113" s="176">
        <v>46.63</v>
      </c>
      <c r="G113" s="177">
        <f t="shared" ref="G113:G116" si="41">IF(E113="mensal", 12, IF(E113="trimestral", 4, IF(E113="semestral", 2, IF(E113="anual", 1, "inválido"))))</f>
        <v>2</v>
      </c>
      <c r="H113" s="177">
        <f t="shared" ref="H113:H116" si="42">IF(B113="",0,$C$110)</f>
        <v>14</v>
      </c>
      <c r="I113" s="178">
        <f t="shared" ref="I113:I116" si="43">IFERROR((F113*C113*G113*H113)/12,"inválido")</f>
        <v>217.60666666666668</v>
      </c>
      <c r="J113" s="178">
        <f t="shared" ref="J113:J116" si="44">IFERROR(G113*F113*C113*H113,"inválido")</f>
        <v>2611.2800000000002</v>
      </c>
      <c r="K113" s="178">
        <f t="shared" ref="K113:K116" si="45">IFERROR(I113*60,"inválido")</f>
        <v>13056.400000000001</v>
      </c>
    </row>
    <row r="114" spans="1:11" s="167" customFormat="1" ht="20.25" customHeight="1" x14ac:dyDescent="0.25">
      <c r="A114" s="165" t="s">
        <v>347</v>
      </c>
      <c r="B114" s="177" t="s">
        <v>357</v>
      </c>
      <c r="C114" s="177">
        <v>2</v>
      </c>
      <c r="D114" s="177" t="s">
        <v>315</v>
      </c>
      <c r="E114" s="177" t="s">
        <v>298</v>
      </c>
      <c r="F114" s="176">
        <v>66.88</v>
      </c>
      <c r="G114" s="177">
        <f t="shared" si="41"/>
        <v>1</v>
      </c>
      <c r="H114" s="177">
        <f t="shared" si="42"/>
        <v>14</v>
      </c>
      <c r="I114" s="178">
        <f t="shared" si="43"/>
        <v>156.05333333333331</v>
      </c>
      <c r="J114" s="178">
        <f t="shared" si="44"/>
        <v>1872.6399999999999</v>
      </c>
      <c r="K114" s="178">
        <f t="shared" si="45"/>
        <v>9363.1999999999989</v>
      </c>
    </row>
    <row r="115" spans="1:11" s="167" customFormat="1" ht="20.25" customHeight="1" x14ac:dyDescent="0.25">
      <c r="A115" s="165" t="s">
        <v>349</v>
      </c>
      <c r="B115" s="177" t="s">
        <v>350</v>
      </c>
      <c r="C115" s="177">
        <v>3</v>
      </c>
      <c r="D115" s="177" t="s">
        <v>315</v>
      </c>
      <c r="E115" s="177" t="s">
        <v>300</v>
      </c>
      <c r="F115" s="176">
        <v>8.33</v>
      </c>
      <c r="G115" s="177">
        <f t="shared" si="41"/>
        <v>2</v>
      </c>
      <c r="H115" s="177">
        <f t="shared" si="42"/>
        <v>14</v>
      </c>
      <c r="I115" s="178">
        <f t="shared" si="43"/>
        <v>58.31</v>
      </c>
      <c r="J115" s="178">
        <f t="shared" si="44"/>
        <v>699.72</v>
      </c>
      <c r="K115" s="178">
        <f t="shared" si="45"/>
        <v>3498.6000000000004</v>
      </c>
    </row>
    <row r="116" spans="1:11" s="167" customFormat="1" ht="20.25" hidden="1" customHeight="1" x14ac:dyDescent="0.25">
      <c r="A116" s="165" t="s">
        <v>351</v>
      </c>
      <c r="B116" s="177"/>
      <c r="C116" s="177"/>
      <c r="D116" s="177"/>
      <c r="E116" s="177"/>
      <c r="F116" s="180"/>
      <c r="G116" s="177" t="str">
        <f t="shared" si="41"/>
        <v>inválido</v>
      </c>
      <c r="H116" s="177">
        <f t="shared" si="42"/>
        <v>0</v>
      </c>
      <c r="I116" s="178" t="str">
        <f t="shared" si="43"/>
        <v>inválido</v>
      </c>
      <c r="J116" s="178" t="str">
        <f t="shared" si="44"/>
        <v>inválido</v>
      </c>
      <c r="K116" s="178" t="str">
        <f t="shared" si="45"/>
        <v>inválido</v>
      </c>
    </row>
    <row r="117" spans="1:11" s="167" customFormat="1" ht="20.25" hidden="1" customHeight="1" x14ac:dyDescent="0.25">
      <c r="A117" s="165" t="s">
        <v>352</v>
      </c>
      <c r="B117" s="177"/>
      <c r="C117" s="177"/>
      <c r="D117" s="177"/>
      <c r="E117" s="177"/>
      <c r="F117" s="180"/>
      <c r="G117" s="177" t="str">
        <f t="shared" ref="G117:G118" si="46">IF(E117="mensal", 12, IF(E117="trimestral", 4, IF(E117="semestral", 2, IF(E117="anual", 1, "inválido"))))</f>
        <v>inválido</v>
      </c>
      <c r="H117" s="177">
        <f>IF(B117="",0,C110)</f>
        <v>0</v>
      </c>
      <c r="I117" s="178" t="str">
        <f t="shared" ref="I117:I118" si="47">IFERROR((F117*C117*G117*H117)/12,"inválido")</f>
        <v>inválido</v>
      </c>
      <c r="J117" s="178" t="str">
        <f t="shared" ref="J117:J118" si="48">IFERROR(G117*F117*C117*H117,"inválido")</f>
        <v>inválido</v>
      </c>
      <c r="K117" s="178" t="str">
        <f t="shared" ref="K117:K118" si="49">IFERROR(I117*60,"inválido")</f>
        <v>inválido</v>
      </c>
    </row>
    <row r="118" spans="1:11" s="167" customFormat="1" ht="20.25" hidden="1" customHeight="1" x14ac:dyDescent="0.25">
      <c r="A118" s="165" t="s">
        <v>353</v>
      </c>
      <c r="B118" s="177"/>
      <c r="C118" s="177"/>
      <c r="D118" s="177"/>
      <c r="E118" s="177"/>
      <c r="F118" s="180"/>
      <c r="G118" s="177" t="str">
        <f t="shared" si="46"/>
        <v>inválido</v>
      </c>
      <c r="H118" s="177">
        <f>IF(B118="",0,C110)</f>
        <v>0</v>
      </c>
      <c r="I118" s="178" t="str">
        <f t="shared" si="47"/>
        <v>inválido</v>
      </c>
      <c r="J118" s="178" t="str">
        <f t="shared" si="48"/>
        <v>inválido</v>
      </c>
      <c r="K118" s="178" t="str">
        <f t="shared" si="49"/>
        <v>inválido</v>
      </c>
    </row>
    <row r="119" spans="1:11" s="167" customFormat="1" ht="20.25" customHeight="1" x14ac:dyDescent="0.25">
      <c r="A119" s="197" t="s">
        <v>328</v>
      </c>
      <c r="B119" s="197"/>
      <c r="C119" s="197"/>
      <c r="D119" s="197"/>
      <c r="E119" s="197"/>
      <c r="F119" s="197"/>
      <c r="G119" s="197"/>
      <c r="H119" s="197"/>
      <c r="I119" s="181">
        <f>SUM(I112:I118)</f>
        <v>778.00333333333333</v>
      </c>
      <c r="J119" s="182">
        <f>I119*12</f>
        <v>9336.0400000000009</v>
      </c>
      <c r="K119" s="182">
        <f>I119*60</f>
        <v>46680.2</v>
      </c>
    </row>
    <row r="120" spans="1:11" s="167" customFormat="1" ht="20.25" customHeight="1" x14ac:dyDescent="0.25">
      <c r="A120" s="197" t="s">
        <v>302</v>
      </c>
      <c r="B120" s="197"/>
      <c r="C120" s="197"/>
      <c r="D120" s="197"/>
      <c r="E120" s="197"/>
      <c r="F120" s="197"/>
      <c r="G120" s="197"/>
      <c r="H120" s="197"/>
      <c r="I120" s="197"/>
      <c r="J120" s="197"/>
      <c r="K120" s="182">
        <f>IFERROR(I119/C110,"definir")</f>
        <v>55.571666666666665</v>
      </c>
    </row>
    <row r="121" spans="1:11" s="167" customFormat="1" ht="20.25" customHeight="1" x14ac:dyDescent="0.25">
      <c r="A121" s="183" t="s">
        <v>273</v>
      </c>
      <c r="B121" s="188" t="s">
        <v>19</v>
      </c>
      <c r="C121" s="189"/>
      <c r="D121" s="189"/>
      <c r="E121" s="189"/>
      <c r="F121" s="189"/>
      <c r="G121" s="189"/>
      <c r="H121" s="189"/>
      <c r="I121" s="189"/>
      <c r="J121" s="189"/>
      <c r="K121" s="190"/>
    </row>
    <row r="122" spans="1:11" s="167" customFormat="1" ht="20.25" customHeight="1" x14ac:dyDescent="0.25">
      <c r="A122" s="165">
        <v>1</v>
      </c>
      <c r="B122" s="191" t="s">
        <v>274</v>
      </c>
      <c r="C122" s="200" t="str">
        <f>'planilha - proposta'!C40</f>
        <v>Despenseiro/Armazenista</v>
      </c>
      <c r="D122" s="198"/>
      <c r="E122" s="198"/>
      <c r="F122" s="198"/>
      <c r="G122" s="198"/>
      <c r="H122" s="198"/>
      <c r="I122" s="198"/>
      <c r="J122" s="198"/>
      <c r="K122" s="199"/>
    </row>
    <row r="123" spans="1:11" s="167" customFormat="1" ht="20.25" customHeight="1" x14ac:dyDescent="0.25">
      <c r="A123" s="165">
        <v>2</v>
      </c>
      <c r="B123" s="191" t="s">
        <v>334</v>
      </c>
      <c r="C123" s="201">
        <f>'planilha - proposta'!E40+'planilha - proposta'!E41+'planilha - proposta'!E42</f>
        <v>2</v>
      </c>
      <c r="D123" s="192"/>
      <c r="E123" s="192"/>
      <c r="F123" s="192"/>
      <c r="G123" s="192"/>
      <c r="H123" s="192"/>
      <c r="I123" s="192"/>
      <c r="J123" s="192"/>
      <c r="K123" s="193"/>
    </row>
    <row r="124" spans="1:11" s="167" customFormat="1" ht="36" customHeight="1" x14ac:dyDescent="0.25">
      <c r="A124" s="175" t="s">
        <v>273</v>
      </c>
      <c r="B124" s="196" t="s">
        <v>275</v>
      </c>
      <c r="C124" s="166" t="s">
        <v>335</v>
      </c>
      <c r="D124" s="166" t="s">
        <v>336</v>
      </c>
      <c r="E124" s="166" t="s">
        <v>337</v>
      </c>
      <c r="F124" s="166" t="s">
        <v>338</v>
      </c>
      <c r="G124" s="166" t="s">
        <v>339</v>
      </c>
      <c r="H124" s="166" t="s">
        <v>318</v>
      </c>
      <c r="I124" s="166" t="s">
        <v>340</v>
      </c>
      <c r="J124" s="166" t="s">
        <v>341</v>
      </c>
      <c r="K124" s="166" t="s">
        <v>342</v>
      </c>
    </row>
    <row r="125" spans="1:11" s="167" customFormat="1" ht="20.25" customHeight="1" x14ac:dyDescent="0.25">
      <c r="A125" s="165" t="s">
        <v>343</v>
      </c>
      <c r="B125" s="177" t="s">
        <v>344</v>
      </c>
      <c r="C125" s="177">
        <v>2</v>
      </c>
      <c r="D125" s="177" t="s">
        <v>290</v>
      </c>
      <c r="E125" s="177" t="s">
        <v>300</v>
      </c>
      <c r="F125" s="176">
        <v>47.92</v>
      </c>
      <c r="G125" s="177">
        <f>IF(E125="mensal", 12, IF(E125="trimestral", 4, IF(E125="semestral", 2, IF(E125="anual", 1, "inválido"))))</f>
        <v>2</v>
      </c>
      <c r="H125" s="177">
        <f>IF(B125="",0,C123)</f>
        <v>2</v>
      </c>
      <c r="I125" s="178">
        <f>IFERROR((F125*C125*G125*H125)/12,"inválido")</f>
        <v>31.946666666666669</v>
      </c>
      <c r="J125" s="178">
        <f>IFERROR(G125*F125*C125*H125,"inválido")</f>
        <v>383.36</v>
      </c>
      <c r="K125" s="178">
        <f>IFERROR(I125*60,"inválido")</f>
        <v>1916.8000000000002</v>
      </c>
    </row>
    <row r="126" spans="1:11" s="167" customFormat="1" ht="20.25" customHeight="1" x14ac:dyDescent="0.25">
      <c r="A126" s="165" t="s">
        <v>345</v>
      </c>
      <c r="B126" s="177" t="s">
        <v>346</v>
      </c>
      <c r="C126" s="177">
        <v>2</v>
      </c>
      <c r="D126" s="177" t="s">
        <v>290</v>
      </c>
      <c r="E126" s="177" t="s">
        <v>300</v>
      </c>
      <c r="F126" s="176">
        <v>46.63</v>
      </c>
      <c r="G126" s="177">
        <f t="shared" ref="G126:G130" si="50">IF(E126="mensal", 12, IF(E126="trimestral", 4, IF(E126="semestral", 2, IF(E126="anual", 1, "inválido"))))</f>
        <v>2</v>
      </c>
      <c r="H126" s="177">
        <f>IF(B126="",0,C123)</f>
        <v>2</v>
      </c>
      <c r="I126" s="178">
        <f t="shared" ref="I126:I130" si="51">IFERROR((F126*C126*G126*H126)/12,"inválido")</f>
        <v>31.08666666666667</v>
      </c>
      <c r="J126" s="178">
        <f t="shared" ref="J126:J130" si="52">IFERROR(G126*F126*C126*H126,"inválido")</f>
        <v>373.04</v>
      </c>
      <c r="K126" s="178">
        <f t="shared" ref="K126:K130" si="53">IFERROR(I126*60,"inválido")</f>
        <v>1865.2000000000003</v>
      </c>
    </row>
    <row r="127" spans="1:11" s="167" customFormat="1" ht="20.25" customHeight="1" x14ac:dyDescent="0.25">
      <c r="A127" s="165" t="s">
        <v>347</v>
      </c>
      <c r="B127" s="177" t="s">
        <v>348</v>
      </c>
      <c r="C127" s="177">
        <v>2</v>
      </c>
      <c r="D127" s="177" t="s">
        <v>315</v>
      </c>
      <c r="E127" s="177" t="s">
        <v>298</v>
      </c>
      <c r="F127" s="176">
        <v>63.9</v>
      </c>
      <c r="G127" s="177">
        <f t="shared" si="50"/>
        <v>1</v>
      </c>
      <c r="H127" s="177">
        <f>IF(B127="",0,C123)</f>
        <v>2</v>
      </c>
      <c r="I127" s="178">
        <f t="shared" si="51"/>
        <v>21.3</v>
      </c>
      <c r="J127" s="178">
        <f t="shared" si="52"/>
        <v>255.6</v>
      </c>
      <c r="K127" s="178">
        <f t="shared" si="53"/>
        <v>1278</v>
      </c>
    </row>
    <row r="128" spans="1:11" s="167" customFormat="1" ht="20.25" customHeight="1" x14ac:dyDescent="0.25">
      <c r="A128" s="165" t="s">
        <v>349</v>
      </c>
      <c r="B128" s="177" t="s">
        <v>350</v>
      </c>
      <c r="C128" s="177">
        <v>3</v>
      </c>
      <c r="D128" s="177" t="s">
        <v>315</v>
      </c>
      <c r="E128" s="177" t="s">
        <v>300</v>
      </c>
      <c r="F128" s="176">
        <v>8.33</v>
      </c>
      <c r="G128" s="177">
        <f t="shared" si="50"/>
        <v>2</v>
      </c>
      <c r="H128" s="177">
        <f>IF(B128="",0,C123)</f>
        <v>2</v>
      </c>
      <c r="I128" s="178">
        <f t="shared" si="51"/>
        <v>8.33</v>
      </c>
      <c r="J128" s="178">
        <f t="shared" si="52"/>
        <v>99.960000000000008</v>
      </c>
      <c r="K128" s="178">
        <f t="shared" si="53"/>
        <v>499.8</v>
      </c>
    </row>
    <row r="129" spans="1:11" s="167" customFormat="1" ht="20.25" hidden="1" customHeight="1" x14ac:dyDescent="0.25">
      <c r="A129" s="165" t="s">
        <v>114</v>
      </c>
      <c r="B129" s="177"/>
      <c r="C129" s="177"/>
      <c r="D129" s="177"/>
      <c r="E129" s="177"/>
      <c r="F129" s="180"/>
      <c r="G129" s="177" t="str">
        <f t="shared" si="50"/>
        <v>inválido</v>
      </c>
      <c r="H129" s="177">
        <f>IF(B129="",0,C123)</f>
        <v>0</v>
      </c>
      <c r="I129" s="178" t="str">
        <f t="shared" si="51"/>
        <v>inválido</v>
      </c>
      <c r="J129" s="178" t="str">
        <f t="shared" si="52"/>
        <v>inválido</v>
      </c>
      <c r="K129" s="178" t="str">
        <f t="shared" si="53"/>
        <v>inválido</v>
      </c>
    </row>
    <row r="130" spans="1:11" s="167" customFormat="1" ht="20.25" hidden="1" customHeight="1" x14ac:dyDescent="0.25">
      <c r="A130" s="165" t="s">
        <v>115</v>
      </c>
      <c r="B130" s="177"/>
      <c r="C130" s="177"/>
      <c r="D130" s="177"/>
      <c r="E130" s="177"/>
      <c r="F130" s="180"/>
      <c r="G130" s="177" t="str">
        <f t="shared" si="50"/>
        <v>inválido</v>
      </c>
      <c r="H130" s="177">
        <f>IF(B130="",0,C123)</f>
        <v>0</v>
      </c>
      <c r="I130" s="178" t="str">
        <f t="shared" si="51"/>
        <v>inválido</v>
      </c>
      <c r="J130" s="178" t="str">
        <f t="shared" si="52"/>
        <v>inválido</v>
      </c>
      <c r="K130" s="178" t="str">
        <f t="shared" si="53"/>
        <v>inválido</v>
      </c>
    </row>
    <row r="131" spans="1:11" s="167" customFormat="1" ht="20.25" customHeight="1" x14ac:dyDescent="0.25">
      <c r="A131" s="197" t="s">
        <v>328</v>
      </c>
      <c r="B131" s="197"/>
      <c r="C131" s="197"/>
      <c r="D131" s="197"/>
      <c r="E131" s="197"/>
      <c r="F131" s="197"/>
      <c r="G131" s="197"/>
      <c r="H131" s="197"/>
      <c r="I131" s="181">
        <f>SUM(I125:I130)</f>
        <v>92.663333333333341</v>
      </c>
      <c r="J131" s="182">
        <f>I131*12</f>
        <v>1111.96</v>
      </c>
      <c r="K131" s="182">
        <f>I131*60</f>
        <v>5559.8</v>
      </c>
    </row>
    <row r="132" spans="1:11" s="167" customFormat="1" ht="20.25" customHeight="1" x14ac:dyDescent="0.25">
      <c r="A132" s="197" t="s">
        <v>302</v>
      </c>
      <c r="B132" s="197"/>
      <c r="C132" s="197"/>
      <c r="D132" s="197"/>
      <c r="E132" s="197"/>
      <c r="F132" s="197"/>
      <c r="G132" s="197"/>
      <c r="H132" s="197"/>
      <c r="I132" s="197"/>
      <c r="J132" s="197"/>
      <c r="K132" s="182">
        <f>IFERROR(I131/C123,"definir")</f>
        <v>46.331666666666671</v>
      </c>
    </row>
    <row r="133" spans="1:11" s="167" customFormat="1" ht="20.25" customHeight="1" x14ac:dyDescent="0.25">
      <c r="A133" s="183" t="s">
        <v>273</v>
      </c>
      <c r="B133" s="188" t="s">
        <v>19</v>
      </c>
      <c r="C133" s="189"/>
      <c r="D133" s="189"/>
      <c r="E133" s="189"/>
      <c r="F133" s="189"/>
      <c r="G133" s="189"/>
      <c r="H133" s="189"/>
      <c r="I133" s="189"/>
      <c r="J133" s="189"/>
      <c r="K133" s="190"/>
    </row>
    <row r="134" spans="1:11" s="167" customFormat="1" ht="20.25" customHeight="1" x14ac:dyDescent="0.25">
      <c r="A134" s="165">
        <v>1</v>
      </c>
      <c r="B134" s="191" t="s">
        <v>274</v>
      </c>
      <c r="C134" s="200" t="str">
        <f>'planilha - proposta'!C43</f>
        <v>Operador de Câmara Fria</v>
      </c>
      <c r="D134" s="198"/>
      <c r="E134" s="198"/>
      <c r="F134" s="198"/>
      <c r="G134" s="198"/>
      <c r="H134" s="198"/>
      <c r="I134" s="198"/>
      <c r="J134" s="198"/>
      <c r="K134" s="199"/>
    </row>
    <row r="135" spans="1:11" s="167" customFormat="1" ht="20.25" customHeight="1" x14ac:dyDescent="0.25">
      <c r="A135" s="165">
        <v>2</v>
      </c>
      <c r="B135" s="191" t="s">
        <v>334</v>
      </c>
      <c r="C135" s="201">
        <f>'planilha - proposta'!E43</f>
        <v>2</v>
      </c>
      <c r="D135" s="192"/>
      <c r="E135" s="192"/>
      <c r="F135" s="192"/>
      <c r="G135" s="192"/>
      <c r="H135" s="192"/>
      <c r="I135" s="192"/>
      <c r="J135" s="192"/>
      <c r="K135" s="193"/>
    </row>
    <row r="136" spans="1:11" s="167" customFormat="1" ht="36" customHeight="1" x14ac:dyDescent="0.25">
      <c r="A136" s="175" t="s">
        <v>273</v>
      </c>
      <c r="B136" s="196" t="s">
        <v>275</v>
      </c>
      <c r="C136" s="166" t="s">
        <v>335</v>
      </c>
      <c r="D136" s="166" t="s">
        <v>336</v>
      </c>
      <c r="E136" s="166" t="s">
        <v>337</v>
      </c>
      <c r="F136" s="166" t="s">
        <v>338</v>
      </c>
      <c r="G136" s="166" t="s">
        <v>339</v>
      </c>
      <c r="H136" s="166" t="s">
        <v>318</v>
      </c>
      <c r="I136" s="166" t="s">
        <v>340</v>
      </c>
      <c r="J136" s="166" t="s">
        <v>341</v>
      </c>
      <c r="K136" s="166" t="s">
        <v>342</v>
      </c>
    </row>
    <row r="137" spans="1:11" s="167" customFormat="1" ht="20.25" customHeight="1" x14ac:dyDescent="0.25">
      <c r="A137" s="165" t="s">
        <v>343</v>
      </c>
      <c r="B137" s="177" t="s">
        <v>344</v>
      </c>
      <c r="C137" s="177">
        <v>2</v>
      </c>
      <c r="D137" s="177" t="s">
        <v>290</v>
      </c>
      <c r="E137" s="177" t="s">
        <v>300</v>
      </c>
      <c r="F137" s="176">
        <v>47.92</v>
      </c>
      <c r="G137" s="177">
        <f>IF(E137="mensal", 12, IF(E137="trimestral", 4, IF(E137="semestral", 2, IF(E137="anual", 1, "inválido"))))</f>
        <v>2</v>
      </c>
      <c r="H137" s="177">
        <f>IF(B137="",0,C135)</f>
        <v>2</v>
      </c>
      <c r="I137" s="178">
        <f>IFERROR((F137*C137*G137*H137)/12,"inválido")</f>
        <v>31.946666666666669</v>
      </c>
      <c r="J137" s="178">
        <f>IFERROR(G137*F137*C137*H137,"inválido")</f>
        <v>383.36</v>
      </c>
      <c r="K137" s="178">
        <f>IFERROR(I137*60,"inválido")</f>
        <v>1916.8000000000002</v>
      </c>
    </row>
    <row r="138" spans="1:11" s="167" customFormat="1" ht="20.25" customHeight="1" x14ac:dyDescent="0.25">
      <c r="A138" s="165" t="s">
        <v>345</v>
      </c>
      <c r="B138" s="177" t="s">
        <v>346</v>
      </c>
      <c r="C138" s="177">
        <v>2</v>
      </c>
      <c r="D138" s="177" t="s">
        <v>290</v>
      </c>
      <c r="E138" s="177" t="s">
        <v>300</v>
      </c>
      <c r="F138" s="176">
        <v>46.63</v>
      </c>
      <c r="G138" s="177">
        <f t="shared" ref="G138:G142" si="54">IF(E138="mensal", 12, IF(E138="trimestral", 4, IF(E138="semestral", 2, IF(E138="anual", 1, "inválido"))))</f>
        <v>2</v>
      </c>
      <c r="H138" s="177">
        <f>IF(B138="",0,C135)</f>
        <v>2</v>
      </c>
      <c r="I138" s="178">
        <f t="shared" ref="I138:I142" si="55">IFERROR((F138*C138*G138*H138)/12,"inválido")</f>
        <v>31.08666666666667</v>
      </c>
      <c r="J138" s="178">
        <f t="shared" ref="J138:J142" si="56">IFERROR(G138*F138*C138*H138,"inválido")</f>
        <v>373.04</v>
      </c>
      <c r="K138" s="178">
        <f t="shared" ref="K138:K142" si="57">IFERROR(I138*60,"inválido")</f>
        <v>1865.2000000000003</v>
      </c>
    </row>
    <row r="139" spans="1:11" s="167" customFormat="1" ht="20.25" customHeight="1" x14ac:dyDescent="0.25">
      <c r="A139" s="165" t="s">
        <v>347</v>
      </c>
      <c r="B139" s="177" t="s">
        <v>348</v>
      </c>
      <c r="C139" s="177">
        <v>2</v>
      </c>
      <c r="D139" s="177" t="s">
        <v>315</v>
      </c>
      <c r="E139" s="177" t="s">
        <v>298</v>
      </c>
      <c r="F139" s="176">
        <v>32.6</v>
      </c>
      <c r="G139" s="177">
        <f t="shared" si="54"/>
        <v>1</v>
      </c>
      <c r="H139" s="177">
        <f>IF(B139="",0,C135)</f>
        <v>2</v>
      </c>
      <c r="I139" s="178">
        <f t="shared" si="55"/>
        <v>10.866666666666667</v>
      </c>
      <c r="J139" s="178">
        <f t="shared" si="56"/>
        <v>130.4</v>
      </c>
      <c r="K139" s="178">
        <f t="shared" si="57"/>
        <v>652</v>
      </c>
    </row>
    <row r="140" spans="1:11" s="167" customFormat="1" ht="20.25" customHeight="1" x14ac:dyDescent="0.25">
      <c r="A140" s="165" t="s">
        <v>349</v>
      </c>
      <c r="B140" s="177" t="s">
        <v>359</v>
      </c>
      <c r="C140" s="177">
        <v>3</v>
      </c>
      <c r="D140" s="177" t="s">
        <v>315</v>
      </c>
      <c r="E140" s="177" t="s">
        <v>300</v>
      </c>
      <c r="F140" s="176">
        <v>6.63</v>
      </c>
      <c r="G140" s="177">
        <f t="shared" si="54"/>
        <v>2</v>
      </c>
      <c r="H140" s="177">
        <f>IF(B140="",0,C135)</f>
        <v>2</v>
      </c>
      <c r="I140" s="178">
        <f t="shared" si="55"/>
        <v>6.63</v>
      </c>
      <c r="J140" s="178">
        <f t="shared" si="56"/>
        <v>79.56</v>
      </c>
      <c r="K140" s="178">
        <f t="shared" si="57"/>
        <v>397.8</v>
      </c>
    </row>
    <row r="141" spans="1:11" s="167" customFormat="1" ht="20.25" hidden="1" customHeight="1" x14ac:dyDescent="0.25">
      <c r="A141" s="165" t="s">
        <v>351</v>
      </c>
      <c r="B141" s="177"/>
      <c r="C141" s="177"/>
      <c r="D141" s="177"/>
      <c r="E141" s="177"/>
      <c r="F141" s="180"/>
      <c r="G141" s="177" t="str">
        <f t="shared" si="54"/>
        <v>inválido</v>
      </c>
      <c r="H141" s="177">
        <f>IF(B141="",0,C135)</f>
        <v>0</v>
      </c>
      <c r="I141" s="178" t="str">
        <f t="shared" si="55"/>
        <v>inválido</v>
      </c>
      <c r="J141" s="178" t="str">
        <f t="shared" si="56"/>
        <v>inválido</v>
      </c>
      <c r="K141" s="178" t="str">
        <f t="shared" si="57"/>
        <v>inválido</v>
      </c>
    </row>
    <row r="142" spans="1:11" s="167" customFormat="1" ht="20.25" hidden="1" customHeight="1" x14ac:dyDescent="0.25">
      <c r="A142" s="165" t="s">
        <v>352</v>
      </c>
      <c r="B142" s="177"/>
      <c r="C142" s="177"/>
      <c r="D142" s="177"/>
      <c r="E142" s="177"/>
      <c r="F142" s="180"/>
      <c r="G142" s="177" t="str">
        <f t="shared" si="54"/>
        <v>inválido</v>
      </c>
      <c r="H142" s="177">
        <f>IF(B142="",0,C135)</f>
        <v>0</v>
      </c>
      <c r="I142" s="178" t="str">
        <f t="shared" si="55"/>
        <v>inválido</v>
      </c>
      <c r="J142" s="178" t="str">
        <f t="shared" si="56"/>
        <v>inválido</v>
      </c>
      <c r="K142" s="178" t="str">
        <f t="shared" si="57"/>
        <v>inválido</v>
      </c>
    </row>
    <row r="143" spans="1:11" s="167" customFormat="1" ht="20.25" customHeight="1" x14ac:dyDescent="0.25">
      <c r="A143" s="197" t="s">
        <v>328</v>
      </c>
      <c r="B143" s="197"/>
      <c r="C143" s="197"/>
      <c r="D143" s="197"/>
      <c r="E143" s="197"/>
      <c r="F143" s="197"/>
      <c r="G143" s="197"/>
      <c r="H143" s="197"/>
      <c r="I143" s="181">
        <f>SUM(I137:I142)</f>
        <v>80.53</v>
      </c>
      <c r="J143" s="182">
        <f>I143*12</f>
        <v>966.36</v>
      </c>
      <c r="K143" s="182">
        <f>I143*60</f>
        <v>4831.8</v>
      </c>
    </row>
    <row r="144" spans="1:11" s="167" customFormat="1" ht="20.25" customHeight="1" x14ac:dyDescent="0.25">
      <c r="A144" s="197" t="s">
        <v>302</v>
      </c>
      <c r="B144" s="197"/>
      <c r="C144" s="197"/>
      <c r="D144" s="197"/>
      <c r="E144" s="197"/>
      <c r="F144" s="197"/>
      <c r="G144" s="197"/>
      <c r="H144" s="197"/>
      <c r="I144" s="197"/>
      <c r="J144" s="197"/>
      <c r="K144" s="182">
        <f>IFERROR(I143/C135,"definir")</f>
        <v>40.265000000000001</v>
      </c>
    </row>
    <row r="145" spans="1:11" s="167" customFormat="1" ht="20.25" customHeight="1" x14ac:dyDescent="0.25">
      <c r="A145" s="183" t="s">
        <v>273</v>
      </c>
      <c r="B145" s="188" t="s">
        <v>19</v>
      </c>
      <c r="C145" s="189"/>
      <c r="D145" s="189"/>
      <c r="E145" s="189"/>
      <c r="F145" s="189"/>
      <c r="G145" s="189"/>
      <c r="H145" s="189"/>
      <c r="I145" s="189"/>
      <c r="J145" s="189"/>
      <c r="K145" s="190"/>
    </row>
    <row r="146" spans="1:11" s="167" customFormat="1" ht="20.25" customHeight="1" x14ac:dyDescent="0.25">
      <c r="A146" s="165">
        <v>1</v>
      </c>
      <c r="B146" s="191" t="s">
        <v>274</v>
      </c>
      <c r="C146" s="200" t="str">
        <f>'planilha - proposta'!C44</f>
        <v>Governanta em Hotelaria</v>
      </c>
      <c r="D146" s="198"/>
      <c r="E146" s="198"/>
      <c r="F146" s="198"/>
      <c r="G146" s="198"/>
      <c r="H146" s="198"/>
      <c r="I146" s="198"/>
      <c r="J146" s="198"/>
      <c r="K146" s="199"/>
    </row>
    <row r="147" spans="1:11" s="167" customFormat="1" ht="20.25" customHeight="1" x14ac:dyDescent="0.25">
      <c r="A147" s="165">
        <v>2</v>
      </c>
      <c r="B147" s="191" t="s">
        <v>334</v>
      </c>
      <c r="C147" s="201">
        <f>'planilha - proposta'!E44+'planilha - proposta'!E45+'planilha - proposta'!E46</f>
        <v>4</v>
      </c>
      <c r="D147" s="192"/>
      <c r="E147" s="192"/>
      <c r="F147" s="192"/>
      <c r="G147" s="192"/>
      <c r="H147" s="192"/>
      <c r="I147" s="192"/>
      <c r="J147" s="192"/>
      <c r="K147" s="193"/>
    </row>
    <row r="148" spans="1:11" s="167" customFormat="1" ht="36" customHeight="1" x14ac:dyDescent="0.25">
      <c r="A148" s="175" t="s">
        <v>273</v>
      </c>
      <c r="B148" s="196" t="s">
        <v>275</v>
      </c>
      <c r="C148" s="166" t="s">
        <v>335</v>
      </c>
      <c r="D148" s="166" t="s">
        <v>336</v>
      </c>
      <c r="E148" s="166" t="s">
        <v>337</v>
      </c>
      <c r="F148" s="166" t="s">
        <v>338</v>
      </c>
      <c r="G148" s="166" t="s">
        <v>339</v>
      </c>
      <c r="H148" s="166" t="s">
        <v>318</v>
      </c>
      <c r="I148" s="166" t="s">
        <v>340</v>
      </c>
      <c r="J148" s="166" t="s">
        <v>341</v>
      </c>
      <c r="K148" s="166" t="s">
        <v>342</v>
      </c>
    </row>
    <row r="149" spans="1:11" s="167" customFormat="1" ht="20.25" customHeight="1" x14ac:dyDescent="0.25">
      <c r="A149" s="165" t="s">
        <v>343</v>
      </c>
      <c r="B149" s="177" t="s">
        <v>344</v>
      </c>
      <c r="C149" s="177">
        <v>2</v>
      </c>
      <c r="D149" s="177" t="s">
        <v>290</v>
      </c>
      <c r="E149" s="177" t="s">
        <v>300</v>
      </c>
      <c r="F149" s="176">
        <v>43.85</v>
      </c>
      <c r="G149" s="177">
        <f>IF(E149="mensal", 12, IF(E149="trimestral", 4, IF(E149="semestral", 2, IF(E149="anual", 1, "inválido"))))</f>
        <v>2</v>
      </c>
      <c r="H149" s="177">
        <f>IF(B149="",0,C147)</f>
        <v>4</v>
      </c>
      <c r="I149" s="178">
        <f>IFERROR((F149*C149*G149*H149)/12,"inválido")</f>
        <v>58.466666666666669</v>
      </c>
      <c r="J149" s="178">
        <f>IFERROR(G149*F149*C149*H149,"inválido")</f>
        <v>701.6</v>
      </c>
      <c r="K149" s="178">
        <f>IFERROR(I149*60,"inválido")</f>
        <v>3508</v>
      </c>
    </row>
    <row r="150" spans="1:11" s="167" customFormat="1" ht="20.25" customHeight="1" x14ac:dyDescent="0.25">
      <c r="A150" s="165" t="s">
        <v>345</v>
      </c>
      <c r="B150" s="177" t="s">
        <v>346</v>
      </c>
      <c r="C150" s="177">
        <v>2</v>
      </c>
      <c r="D150" s="177" t="s">
        <v>290</v>
      </c>
      <c r="E150" s="177" t="s">
        <v>300</v>
      </c>
      <c r="F150" s="176">
        <v>50.15</v>
      </c>
      <c r="G150" s="177">
        <f t="shared" ref="G150:G154" si="58">IF(E150="mensal", 12, IF(E150="trimestral", 4, IF(E150="semestral", 2, IF(E150="anual", 1, "inválido"))))</f>
        <v>2</v>
      </c>
      <c r="H150" s="177">
        <f>IF(B150="",0,C147)</f>
        <v>4</v>
      </c>
      <c r="I150" s="178">
        <f t="shared" ref="I150:I154" si="59">IFERROR((F150*C150*G150*H150)/12,"inválido")</f>
        <v>66.86666666666666</v>
      </c>
      <c r="J150" s="178">
        <f t="shared" ref="J150:J154" si="60">IFERROR(G150*F150*C150*H150,"inválido")</f>
        <v>802.4</v>
      </c>
      <c r="K150" s="178">
        <f t="shared" ref="K150:K154" si="61">IFERROR(I150*60,"inválido")</f>
        <v>4011.9999999999995</v>
      </c>
    </row>
    <row r="151" spans="1:11" s="167" customFormat="1" ht="20.25" customHeight="1" x14ac:dyDescent="0.25">
      <c r="A151" s="165" t="s">
        <v>347</v>
      </c>
      <c r="B151" s="177" t="s">
        <v>362</v>
      </c>
      <c r="C151" s="177">
        <v>2</v>
      </c>
      <c r="D151" s="177" t="s">
        <v>315</v>
      </c>
      <c r="E151" s="177" t="s">
        <v>298</v>
      </c>
      <c r="F151" s="176">
        <v>79.900000000000006</v>
      </c>
      <c r="G151" s="177">
        <f t="shared" si="58"/>
        <v>1</v>
      </c>
      <c r="H151" s="177">
        <f>IF(B151="",0,C147)</f>
        <v>4</v>
      </c>
      <c r="I151" s="178">
        <f t="shared" si="59"/>
        <v>53.266666666666673</v>
      </c>
      <c r="J151" s="178">
        <f t="shared" si="60"/>
        <v>639.20000000000005</v>
      </c>
      <c r="K151" s="178">
        <f t="shared" si="61"/>
        <v>3196.0000000000005</v>
      </c>
    </row>
    <row r="152" spans="1:11" s="167" customFormat="1" ht="20.25" customHeight="1" x14ac:dyDescent="0.25">
      <c r="A152" s="165" t="s">
        <v>349</v>
      </c>
      <c r="B152" s="177" t="s">
        <v>350</v>
      </c>
      <c r="C152" s="177">
        <v>3</v>
      </c>
      <c r="D152" s="177" t="s">
        <v>315</v>
      </c>
      <c r="E152" s="177" t="s">
        <v>300</v>
      </c>
      <c r="F152" s="176">
        <v>8.33</v>
      </c>
      <c r="G152" s="177">
        <f t="shared" si="58"/>
        <v>2</v>
      </c>
      <c r="H152" s="177">
        <f>IF(B152="",0,C147)</f>
        <v>4</v>
      </c>
      <c r="I152" s="178">
        <f t="shared" si="59"/>
        <v>16.66</v>
      </c>
      <c r="J152" s="178">
        <f t="shared" si="60"/>
        <v>199.92000000000002</v>
      </c>
      <c r="K152" s="178">
        <f t="shared" si="61"/>
        <v>999.6</v>
      </c>
    </row>
    <row r="153" spans="1:11" s="167" customFormat="1" ht="20.25" hidden="1" customHeight="1" x14ac:dyDescent="0.25">
      <c r="A153" s="165" t="s">
        <v>114</v>
      </c>
      <c r="B153" s="177"/>
      <c r="C153" s="177"/>
      <c r="D153" s="177"/>
      <c r="E153" s="177"/>
      <c r="F153" s="180"/>
      <c r="G153" s="177" t="str">
        <f t="shared" si="58"/>
        <v>inválido</v>
      </c>
      <c r="H153" s="177">
        <f>IF(B153="",0,C147)</f>
        <v>0</v>
      </c>
      <c r="I153" s="178" t="str">
        <f t="shared" si="59"/>
        <v>inválido</v>
      </c>
      <c r="J153" s="178" t="str">
        <f t="shared" si="60"/>
        <v>inválido</v>
      </c>
      <c r="K153" s="178" t="str">
        <f t="shared" si="61"/>
        <v>inválido</v>
      </c>
    </row>
    <row r="154" spans="1:11" s="167" customFormat="1" ht="20.25" hidden="1" customHeight="1" x14ac:dyDescent="0.25">
      <c r="A154" s="165" t="s">
        <v>115</v>
      </c>
      <c r="B154" s="177"/>
      <c r="C154" s="177"/>
      <c r="D154" s="177"/>
      <c r="E154" s="177"/>
      <c r="F154" s="180"/>
      <c r="G154" s="177" t="str">
        <f t="shared" si="58"/>
        <v>inválido</v>
      </c>
      <c r="H154" s="177">
        <f>IF(B154="",0,C147)</f>
        <v>0</v>
      </c>
      <c r="I154" s="178" t="str">
        <f t="shared" si="59"/>
        <v>inválido</v>
      </c>
      <c r="J154" s="178" t="str">
        <f t="shared" si="60"/>
        <v>inválido</v>
      </c>
      <c r="K154" s="178" t="str">
        <f t="shared" si="61"/>
        <v>inválido</v>
      </c>
    </row>
    <row r="155" spans="1:11" s="167" customFormat="1" ht="20.25" customHeight="1" x14ac:dyDescent="0.25">
      <c r="A155" s="197" t="s">
        <v>328</v>
      </c>
      <c r="B155" s="197"/>
      <c r="C155" s="197"/>
      <c r="D155" s="197"/>
      <c r="E155" s="197"/>
      <c r="F155" s="197"/>
      <c r="G155" s="197"/>
      <c r="H155" s="197"/>
      <c r="I155" s="181">
        <f>SUM(I149:I154)</f>
        <v>195.26</v>
      </c>
      <c r="J155" s="182">
        <f>I155*12</f>
        <v>2343.12</v>
      </c>
      <c r="K155" s="182">
        <f>I155*60</f>
        <v>11715.599999999999</v>
      </c>
    </row>
    <row r="156" spans="1:11" s="167" customFormat="1" ht="20.25" customHeight="1" x14ac:dyDescent="0.25">
      <c r="A156" s="197" t="s">
        <v>302</v>
      </c>
      <c r="B156" s="197"/>
      <c r="C156" s="197"/>
      <c r="D156" s="197"/>
      <c r="E156" s="197"/>
      <c r="F156" s="197"/>
      <c r="G156" s="197"/>
      <c r="H156" s="197"/>
      <c r="I156" s="197"/>
      <c r="J156" s="197"/>
      <c r="K156" s="182">
        <f>IFERROR(I155/C147,"definir")</f>
        <v>48.814999999999998</v>
      </c>
    </row>
    <row r="157" spans="1:11" s="167" customFormat="1" ht="20.25" customHeight="1" x14ac:dyDescent="0.25">
      <c r="A157" s="183" t="s">
        <v>273</v>
      </c>
      <c r="B157" s="188" t="s">
        <v>19</v>
      </c>
      <c r="C157" s="189"/>
      <c r="D157" s="189"/>
      <c r="E157" s="189"/>
      <c r="F157" s="189"/>
      <c r="G157" s="189"/>
      <c r="H157" s="189"/>
      <c r="I157" s="189"/>
      <c r="J157" s="189"/>
      <c r="K157" s="190"/>
    </row>
    <row r="158" spans="1:11" s="167" customFormat="1" ht="20.25" customHeight="1" x14ac:dyDescent="0.25">
      <c r="A158" s="165">
        <v>1</v>
      </c>
      <c r="B158" s="165" t="s">
        <v>274</v>
      </c>
      <c r="C158" s="200" t="str">
        <f>'planilha - proposta'!C47</f>
        <v>Auxiliar de Lavanderia</v>
      </c>
      <c r="D158" s="198"/>
      <c r="E158" s="198"/>
      <c r="F158" s="198"/>
      <c r="G158" s="198"/>
      <c r="H158" s="198"/>
      <c r="I158" s="198"/>
      <c r="J158" s="198"/>
      <c r="K158" s="199"/>
    </row>
    <row r="159" spans="1:11" s="167" customFormat="1" ht="20.25" customHeight="1" x14ac:dyDescent="0.25">
      <c r="A159" s="165">
        <v>2</v>
      </c>
      <c r="B159" s="165" t="s">
        <v>334</v>
      </c>
      <c r="C159" s="201">
        <f>'planilha - proposta'!E47+'planilha - proposta'!E48+'planilha - proposta'!E49</f>
        <v>23</v>
      </c>
      <c r="D159" s="192"/>
      <c r="E159" s="192"/>
      <c r="F159" s="192"/>
      <c r="G159" s="192"/>
      <c r="H159" s="192"/>
      <c r="I159" s="192"/>
      <c r="J159" s="192"/>
      <c r="K159" s="193"/>
    </row>
    <row r="160" spans="1:11" s="167" customFormat="1" ht="36" customHeight="1" x14ac:dyDescent="0.25">
      <c r="A160" s="175" t="s">
        <v>273</v>
      </c>
      <c r="B160" s="196" t="s">
        <v>275</v>
      </c>
      <c r="C160" s="166" t="s">
        <v>335</v>
      </c>
      <c r="D160" s="166" t="s">
        <v>336</v>
      </c>
      <c r="E160" s="166" t="s">
        <v>337</v>
      </c>
      <c r="F160" s="166" t="s">
        <v>338</v>
      </c>
      <c r="G160" s="166" t="s">
        <v>339</v>
      </c>
      <c r="H160" s="166" t="s">
        <v>318</v>
      </c>
      <c r="I160" s="166" t="s">
        <v>340</v>
      </c>
      <c r="J160" s="166" t="s">
        <v>341</v>
      </c>
      <c r="K160" s="166" t="s">
        <v>342</v>
      </c>
    </row>
    <row r="161" spans="1:11" s="167" customFormat="1" ht="20.25" customHeight="1" x14ac:dyDescent="0.25">
      <c r="A161" s="165" t="s">
        <v>343</v>
      </c>
      <c r="B161" s="177" t="s">
        <v>344</v>
      </c>
      <c r="C161" s="177">
        <v>2</v>
      </c>
      <c r="D161" s="177" t="s">
        <v>290</v>
      </c>
      <c r="E161" s="177" t="s">
        <v>300</v>
      </c>
      <c r="F161" s="176">
        <v>42.45</v>
      </c>
      <c r="G161" s="177">
        <f>IF(E161="mensal", 12, IF(E161="trimestral", 4, IF(E161="semestral", 2, IF(E161="anual", 1, "inválido"))))</f>
        <v>2</v>
      </c>
      <c r="H161" s="177">
        <f>IF(B161="",0,$C$159)</f>
        <v>23</v>
      </c>
      <c r="I161" s="178">
        <f>IFERROR((F161*C161*G161*H161)/12,"inválido")</f>
        <v>325.45</v>
      </c>
      <c r="J161" s="178">
        <f>IFERROR(G161*F161*C161*H161,"inválido")</f>
        <v>3905.4</v>
      </c>
      <c r="K161" s="178">
        <f>IFERROR(I161*60,"inválido")</f>
        <v>19527</v>
      </c>
    </row>
    <row r="162" spans="1:11" s="167" customFormat="1" ht="20.25" customHeight="1" x14ac:dyDescent="0.25">
      <c r="A162" s="165" t="s">
        <v>345</v>
      </c>
      <c r="B162" s="177" t="s">
        <v>346</v>
      </c>
      <c r="C162" s="177">
        <v>2</v>
      </c>
      <c r="D162" s="177" t="s">
        <v>290</v>
      </c>
      <c r="E162" s="177" t="s">
        <v>300</v>
      </c>
      <c r="F162" s="176">
        <v>51.63</v>
      </c>
      <c r="G162" s="177">
        <f t="shared" ref="G162:G169" si="62">IF(E162="mensal", 12, IF(E162="trimestral", 4, IF(E162="semestral", 2, IF(E162="anual", 1, "inválido"))))</f>
        <v>2</v>
      </c>
      <c r="H162" s="177">
        <f t="shared" ref="H162:H169" si="63">IF(B162="",0,$C$159)</f>
        <v>23</v>
      </c>
      <c r="I162" s="178">
        <f t="shared" ref="I162:I169" si="64">IFERROR((F162*C162*G162*H162)/12,"inválido")</f>
        <v>395.83</v>
      </c>
      <c r="J162" s="178">
        <f t="shared" ref="J162:J169" si="65">IFERROR(G162*F162*C162*H162,"inválido")</f>
        <v>4749.96</v>
      </c>
      <c r="K162" s="178">
        <f t="shared" ref="K162:K169" si="66">IFERROR(I162*60,"inválido")</f>
        <v>23749.8</v>
      </c>
    </row>
    <row r="163" spans="1:11" s="167" customFormat="1" ht="20.25" customHeight="1" x14ac:dyDescent="0.25">
      <c r="A163" s="165" t="s">
        <v>347</v>
      </c>
      <c r="B163" s="177" t="s">
        <v>364</v>
      </c>
      <c r="C163" s="177">
        <v>2</v>
      </c>
      <c r="D163" s="177" t="s">
        <v>315</v>
      </c>
      <c r="E163" s="177" t="s">
        <v>298</v>
      </c>
      <c r="F163" s="176">
        <v>35.9</v>
      </c>
      <c r="G163" s="177">
        <f t="shared" si="62"/>
        <v>1</v>
      </c>
      <c r="H163" s="177">
        <f t="shared" si="63"/>
        <v>23</v>
      </c>
      <c r="I163" s="178">
        <f t="shared" si="64"/>
        <v>137.61666666666665</v>
      </c>
      <c r="J163" s="178">
        <f t="shared" si="65"/>
        <v>1651.3999999999999</v>
      </c>
      <c r="K163" s="178">
        <f t="shared" si="66"/>
        <v>8256.9999999999982</v>
      </c>
    </row>
    <row r="164" spans="1:11" s="167" customFormat="1" ht="20.25" customHeight="1" x14ac:dyDescent="0.25">
      <c r="A164" s="165" t="s">
        <v>349</v>
      </c>
      <c r="B164" s="177" t="s">
        <v>365</v>
      </c>
      <c r="C164" s="177">
        <v>2</v>
      </c>
      <c r="D164" s="177" t="s">
        <v>315</v>
      </c>
      <c r="E164" s="177" t="s">
        <v>298</v>
      </c>
      <c r="F164" s="176">
        <v>43.4</v>
      </c>
      <c r="G164" s="177">
        <f t="shared" si="62"/>
        <v>1</v>
      </c>
      <c r="H164" s="177">
        <f t="shared" si="63"/>
        <v>23</v>
      </c>
      <c r="I164" s="178">
        <f t="shared" si="64"/>
        <v>166.36666666666665</v>
      </c>
      <c r="J164" s="178">
        <f t="shared" si="65"/>
        <v>1996.3999999999999</v>
      </c>
      <c r="K164" s="178">
        <f t="shared" si="66"/>
        <v>9981.9999999999982</v>
      </c>
    </row>
    <row r="165" spans="1:11" s="167" customFormat="1" ht="20.25" customHeight="1" x14ac:dyDescent="0.25">
      <c r="A165" s="165" t="s">
        <v>351</v>
      </c>
      <c r="B165" s="177" t="s">
        <v>366</v>
      </c>
      <c r="C165" s="177">
        <v>3</v>
      </c>
      <c r="D165" s="177" t="s">
        <v>315</v>
      </c>
      <c r="E165" s="177" t="s">
        <v>300</v>
      </c>
      <c r="F165" s="176">
        <v>6.63</v>
      </c>
      <c r="G165" s="177">
        <f t="shared" ref="G165:G167" si="67">IF(E165="mensal", 12, IF(E165="trimestral", 4, IF(E165="semestral", 2, IF(E165="anual", 1, "inválido"))))</f>
        <v>2</v>
      </c>
      <c r="H165" s="177">
        <f t="shared" si="63"/>
        <v>23</v>
      </c>
      <c r="I165" s="178">
        <f t="shared" ref="I165:I167" si="68">IFERROR((F165*C165*G165*H165)/12,"inválido")</f>
        <v>76.245000000000005</v>
      </c>
      <c r="J165" s="178">
        <f t="shared" ref="J165:J167" si="69">IFERROR(G165*F165*C165*H165,"inválido")</f>
        <v>914.94</v>
      </c>
      <c r="K165" s="178">
        <f t="shared" ref="K165:K167" si="70">IFERROR(I165*60,"inválido")</f>
        <v>4574.7000000000007</v>
      </c>
    </row>
    <row r="166" spans="1:11" s="167" customFormat="1" ht="20.25" customHeight="1" x14ac:dyDescent="0.25">
      <c r="A166" s="165" t="s">
        <v>352</v>
      </c>
      <c r="B166" s="177" t="s">
        <v>367</v>
      </c>
      <c r="C166" s="177">
        <v>2</v>
      </c>
      <c r="D166" s="177" t="s">
        <v>290</v>
      </c>
      <c r="E166" s="177" t="s">
        <v>300</v>
      </c>
      <c r="F166" s="176">
        <v>88.25</v>
      </c>
      <c r="G166" s="177">
        <f t="shared" si="67"/>
        <v>2</v>
      </c>
      <c r="H166" s="177">
        <f t="shared" si="63"/>
        <v>23</v>
      </c>
      <c r="I166" s="178">
        <f t="shared" si="68"/>
        <v>676.58333333333337</v>
      </c>
      <c r="J166" s="178">
        <f t="shared" si="69"/>
        <v>8119</v>
      </c>
      <c r="K166" s="178">
        <f t="shared" si="70"/>
        <v>40595</v>
      </c>
    </row>
    <row r="167" spans="1:11" s="167" customFormat="1" ht="20.25" hidden="1" customHeight="1" x14ac:dyDescent="0.25">
      <c r="A167" s="165" t="s">
        <v>353</v>
      </c>
      <c r="B167" s="177"/>
      <c r="C167" s="177"/>
      <c r="D167" s="177"/>
      <c r="E167" s="177"/>
      <c r="F167" s="180"/>
      <c r="G167" s="177" t="str">
        <f t="shared" si="67"/>
        <v>inválido</v>
      </c>
      <c r="H167" s="177">
        <f t="shared" si="63"/>
        <v>0</v>
      </c>
      <c r="I167" s="178" t="str">
        <f t="shared" si="68"/>
        <v>inválido</v>
      </c>
      <c r="J167" s="178" t="str">
        <f t="shared" si="69"/>
        <v>inválido</v>
      </c>
      <c r="K167" s="178" t="str">
        <f t="shared" si="70"/>
        <v>inválido</v>
      </c>
    </row>
    <row r="168" spans="1:11" s="167" customFormat="1" ht="20.25" hidden="1" customHeight="1" x14ac:dyDescent="0.25">
      <c r="A168" s="165" t="s">
        <v>354</v>
      </c>
      <c r="B168" s="177"/>
      <c r="C168" s="177"/>
      <c r="D168" s="177"/>
      <c r="E168" s="177"/>
      <c r="F168" s="180"/>
      <c r="G168" s="177" t="str">
        <f t="shared" si="62"/>
        <v>inválido</v>
      </c>
      <c r="H168" s="177">
        <f>IF(B168="",0,$C$159)</f>
        <v>0</v>
      </c>
      <c r="I168" s="178" t="str">
        <f t="shared" si="64"/>
        <v>inválido</v>
      </c>
      <c r="J168" s="178" t="str">
        <f t="shared" si="65"/>
        <v>inválido</v>
      </c>
      <c r="K168" s="178" t="str">
        <f t="shared" si="66"/>
        <v>inválido</v>
      </c>
    </row>
    <row r="169" spans="1:11" s="167" customFormat="1" ht="20.25" hidden="1" customHeight="1" x14ac:dyDescent="0.25">
      <c r="A169" s="165" t="s">
        <v>355</v>
      </c>
      <c r="B169" s="177"/>
      <c r="C169" s="177"/>
      <c r="D169" s="177"/>
      <c r="E169" s="177"/>
      <c r="F169" s="180"/>
      <c r="G169" s="177" t="str">
        <f t="shared" si="62"/>
        <v>inválido</v>
      </c>
      <c r="H169" s="177">
        <f t="shared" si="63"/>
        <v>0</v>
      </c>
      <c r="I169" s="178" t="str">
        <f t="shared" si="64"/>
        <v>inválido</v>
      </c>
      <c r="J169" s="178" t="str">
        <f t="shared" si="65"/>
        <v>inválido</v>
      </c>
      <c r="K169" s="178" t="str">
        <f t="shared" si="66"/>
        <v>inválido</v>
      </c>
    </row>
    <row r="170" spans="1:11" s="167" customFormat="1" ht="20.25" customHeight="1" x14ac:dyDescent="0.25">
      <c r="A170" s="197" t="s">
        <v>308</v>
      </c>
      <c r="B170" s="197"/>
      <c r="C170" s="197"/>
      <c r="D170" s="197"/>
      <c r="E170" s="197"/>
      <c r="F170" s="197"/>
      <c r="G170" s="197"/>
      <c r="H170" s="197"/>
      <c r="I170" s="181">
        <f>SUM(I161:I169)</f>
        <v>1778.0916666666667</v>
      </c>
      <c r="J170" s="182">
        <f>I170*12</f>
        <v>21337.1</v>
      </c>
      <c r="K170" s="182">
        <f>I170*60</f>
        <v>106685.5</v>
      </c>
    </row>
    <row r="171" spans="1:11" s="167" customFormat="1" ht="20.25" customHeight="1" x14ac:dyDescent="0.25">
      <c r="A171" s="197" t="s">
        <v>302</v>
      </c>
      <c r="B171" s="197"/>
      <c r="C171" s="197"/>
      <c r="D171" s="197"/>
      <c r="E171" s="197"/>
      <c r="F171" s="197"/>
      <c r="G171" s="197"/>
      <c r="H171" s="197"/>
      <c r="I171" s="197"/>
      <c r="J171" s="197"/>
      <c r="K171" s="182">
        <f>IFERROR(I170/C159,"definir")</f>
        <v>77.308333333333337</v>
      </c>
    </row>
    <row r="172" spans="1:11" s="167" customFormat="1" ht="20.25" customHeight="1" x14ac:dyDescent="0.25">
      <c r="A172" s="183" t="s">
        <v>273</v>
      </c>
      <c r="B172" s="188" t="s">
        <v>19</v>
      </c>
      <c r="C172" s="189"/>
      <c r="D172" s="189"/>
      <c r="E172" s="189"/>
      <c r="F172" s="189"/>
      <c r="G172" s="189"/>
      <c r="H172" s="189"/>
      <c r="I172" s="189"/>
      <c r="J172" s="189"/>
      <c r="K172" s="190"/>
    </row>
    <row r="173" spans="1:11" s="167" customFormat="1" ht="20.25" customHeight="1" x14ac:dyDescent="0.25">
      <c r="A173" s="165">
        <v>1</v>
      </c>
      <c r="B173" s="165" t="s">
        <v>274</v>
      </c>
      <c r="C173" s="200" t="str">
        <f>'planilha - proposta'!C50</f>
        <v>Técnico em Nutrição</v>
      </c>
      <c r="D173" s="198"/>
      <c r="E173" s="198"/>
      <c r="F173" s="198"/>
      <c r="G173" s="198"/>
      <c r="H173" s="198"/>
      <c r="I173" s="198"/>
      <c r="J173" s="198"/>
      <c r="K173" s="199"/>
    </row>
    <row r="174" spans="1:11" s="167" customFormat="1" ht="20.25" customHeight="1" x14ac:dyDescent="0.25">
      <c r="A174" s="165">
        <v>2</v>
      </c>
      <c r="B174" s="165" t="s">
        <v>334</v>
      </c>
      <c r="C174" s="201">
        <f>'planilha - proposta'!E50+'planilha - proposta'!E51+'planilha - proposta'!E52</f>
        <v>17</v>
      </c>
      <c r="D174" s="192"/>
      <c r="E174" s="192"/>
      <c r="F174" s="192"/>
      <c r="G174" s="192"/>
      <c r="H174" s="192"/>
      <c r="I174" s="192"/>
      <c r="J174" s="192"/>
      <c r="K174" s="193"/>
    </row>
    <row r="175" spans="1:11" s="167" customFormat="1" ht="36" customHeight="1" x14ac:dyDescent="0.25">
      <c r="A175" s="175" t="s">
        <v>273</v>
      </c>
      <c r="B175" s="196" t="s">
        <v>275</v>
      </c>
      <c r="C175" s="166" t="s">
        <v>335</v>
      </c>
      <c r="D175" s="166" t="s">
        <v>336</v>
      </c>
      <c r="E175" s="166" t="s">
        <v>337</v>
      </c>
      <c r="F175" s="166" t="s">
        <v>338</v>
      </c>
      <c r="G175" s="166" t="s">
        <v>339</v>
      </c>
      <c r="H175" s="166" t="s">
        <v>318</v>
      </c>
      <c r="I175" s="166" t="s">
        <v>340</v>
      </c>
      <c r="J175" s="166" t="s">
        <v>341</v>
      </c>
      <c r="K175" s="166" t="s">
        <v>342</v>
      </c>
    </row>
    <row r="176" spans="1:11" s="167" customFormat="1" ht="20.25" customHeight="1" x14ac:dyDescent="0.25">
      <c r="A176" s="165" t="s">
        <v>343</v>
      </c>
      <c r="B176" s="177" t="s">
        <v>344</v>
      </c>
      <c r="C176" s="177">
        <v>2</v>
      </c>
      <c r="D176" s="177" t="s">
        <v>290</v>
      </c>
      <c r="E176" s="177" t="s">
        <v>300</v>
      </c>
      <c r="F176" s="176">
        <v>31.2</v>
      </c>
      <c r="G176" s="177">
        <f>IF(E176="mensal", 12, IF(E176="trimestral", 4, IF(E176="semestral", 2, IF(E176="anual", 1, "inválido"))))</f>
        <v>2</v>
      </c>
      <c r="H176" s="177">
        <f>IF(B176="",0,C174)</f>
        <v>17</v>
      </c>
      <c r="I176" s="178">
        <f>IFERROR((F176*C176*G176*H176)/12,"inválido")</f>
        <v>176.79999999999998</v>
      </c>
      <c r="J176" s="178">
        <f>IFERROR(G176*F176*C176*H176,"inválido")</f>
        <v>2121.6</v>
      </c>
      <c r="K176" s="178">
        <f>IFERROR(I176*60,"inválido")</f>
        <v>10607.999999999998</v>
      </c>
    </row>
    <row r="177" spans="1:11" s="167" customFormat="1" ht="20.25" customHeight="1" x14ac:dyDescent="0.25">
      <c r="A177" s="165" t="s">
        <v>345</v>
      </c>
      <c r="B177" s="177" t="s">
        <v>346</v>
      </c>
      <c r="C177" s="177">
        <v>2</v>
      </c>
      <c r="D177" s="177" t="s">
        <v>290</v>
      </c>
      <c r="E177" s="177" t="s">
        <v>300</v>
      </c>
      <c r="F177" s="176">
        <v>46.63</v>
      </c>
      <c r="G177" s="177">
        <f t="shared" ref="G177:G181" si="71">IF(E177="mensal", 12, IF(E177="trimestral", 4, IF(E177="semestral", 2, IF(E177="anual", 1, "inválido"))))</f>
        <v>2</v>
      </c>
      <c r="H177" s="177">
        <f>IF(B177="",0,C174)</f>
        <v>17</v>
      </c>
      <c r="I177" s="178">
        <f t="shared" ref="I177:I181" si="72">IFERROR((F177*C177*G177*H177)/12,"inválido")</f>
        <v>264.23666666666668</v>
      </c>
      <c r="J177" s="178">
        <f t="shared" ref="J177:J181" si="73">IFERROR(G177*F177*C177*H177,"inválido")</f>
        <v>3170.84</v>
      </c>
      <c r="K177" s="178">
        <f t="shared" ref="K177:K181" si="74">IFERROR(I177*60,"inválido")</f>
        <v>15854.2</v>
      </c>
    </row>
    <row r="178" spans="1:11" s="167" customFormat="1" ht="20.25" customHeight="1" x14ac:dyDescent="0.25">
      <c r="A178" s="165" t="s">
        <v>347</v>
      </c>
      <c r="B178" s="177" t="s">
        <v>358</v>
      </c>
      <c r="C178" s="177">
        <v>2</v>
      </c>
      <c r="D178" s="177" t="s">
        <v>290</v>
      </c>
      <c r="E178" s="177" t="s">
        <v>300</v>
      </c>
      <c r="F178" s="176">
        <v>61.5</v>
      </c>
      <c r="G178" s="177">
        <f t="shared" si="71"/>
        <v>2</v>
      </c>
      <c r="H178" s="177">
        <f>IF(B178="",0,C174)</f>
        <v>17</v>
      </c>
      <c r="I178" s="178">
        <f t="shared" si="72"/>
        <v>348.5</v>
      </c>
      <c r="J178" s="178">
        <f t="shared" si="73"/>
        <v>4182</v>
      </c>
      <c r="K178" s="178">
        <f t="shared" si="74"/>
        <v>20910</v>
      </c>
    </row>
    <row r="179" spans="1:11" s="167" customFormat="1" ht="20.25" customHeight="1" x14ac:dyDescent="0.25">
      <c r="A179" s="165" t="s">
        <v>113</v>
      </c>
      <c r="B179" s="177" t="s">
        <v>357</v>
      </c>
      <c r="C179" s="177">
        <v>2</v>
      </c>
      <c r="D179" s="177" t="s">
        <v>315</v>
      </c>
      <c r="E179" s="177" t="s">
        <v>298</v>
      </c>
      <c r="F179" s="176">
        <v>66.88</v>
      </c>
      <c r="G179" s="177">
        <f t="shared" si="71"/>
        <v>1</v>
      </c>
      <c r="H179" s="177">
        <f>IF(B179="",0,C174)</f>
        <v>17</v>
      </c>
      <c r="I179" s="178">
        <f t="shared" si="72"/>
        <v>189.49333333333334</v>
      </c>
      <c r="J179" s="178">
        <f t="shared" si="73"/>
        <v>2273.92</v>
      </c>
      <c r="K179" s="178">
        <f t="shared" si="74"/>
        <v>11369.6</v>
      </c>
    </row>
    <row r="180" spans="1:11" s="167" customFormat="1" ht="20.25" customHeight="1" x14ac:dyDescent="0.25">
      <c r="A180" s="165" t="s">
        <v>114</v>
      </c>
      <c r="B180" s="177" t="s">
        <v>359</v>
      </c>
      <c r="C180" s="177">
        <v>3</v>
      </c>
      <c r="D180" s="177" t="s">
        <v>315</v>
      </c>
      <c r="E180" s="177" t="s">
        <v>298</v>
      </c>
      <c r="F180" s="176">
        <v>6.63</v>
      </c>
      <c r="G180" s="177">
        <f t="shared" si="71"/>
        <v>1</v>
      </c>
      <c r="H180" s="177">
        <f>IF(B180="",0,C174)</f>
        <v>17</v>
      </c>
      <c r="I180" s="178">
        <f t="shared" si="72"/>
        <v>28.177499999999998</v>
      </c>
      <c r="J180" s="178">
        <f t="shared" si="73"/>
        <v>338.13</v>
      </c>
      <c r="K180" s="178">
        <f t="shared" si="74"/>
        <v>1690.6499999999999</v>
      </c>
    </row>
    <row r="181" spans="1:11" s="167" customFormat="1" ht="20.25" hidden="1" customHeight="1" x14ac:dyDescent="0.25">
      <c r="A181" s="165" t="s">
        <v>115</v>
      </c>
      <c r="B181" s="177"/>
      <c r="C181" s="177"/>
      <c r="D181" s="177"/>
      <c r="E181" s="177"/>
      <c r="F181" s="180"/>
      <c r="G181" s="177" t="str">
        <f t="shared" si="71"/>
        <v>inválido</v>
      </c>
      <c r="H181" s="177">
        <f>IF(B181="",0,C174)</f>
        <v>0</v>
      </c>
      <c r="I181" s="178" t="str">
        <f t="shared" si="72"/>
        <v>inválido</v>
      </c>
      <c r="J181" s="178" t="str">
        <f t="shared" si="73"/>
        <v>inválido</v>
      </c>
      <c r="K181" s="178" t="str">
        <f t="shared" si="74"/>
        <v>inválido</v>
      </c>
    </row>
    <row r="182" spans="1:11" s="167" customFormat="1" ht="20.25" customHeight="1" x14ac:dyDescent="0.25">
      <c r="A182" s="197" t="s">
        <v>360</v>
      </c>
      <c r="B182" s="197"/>
      <c r="C182" s="197"/>
      <c r="D182" s="197"/>
      <c r="E182" s="197"/>
      <c r="F182" s="197"/>
      <c r="G182" s="197"/>
      <c r="H182" s="197"/>
      <c r="I182" s="181">
        <f>SUM(I176:I181)</f>
        <v>1007.2075</v>
      </c>
      <c r="J182" s="182">
        <f>I182*12</f>
        <v>12086.49</v>
      </c>
      <c r="K182" s="182">
        <f>I182*60</f>
        <v>60432.45</v>
      </c>
    </row>
    <row r="183" spans="1:11" s="167" customFormat="1" ht="20.25" customHeight="1" x14ac:dyDescent="0.25">
      <c r="A183" s="197" t="s">
        <v>302</v>
      </c>
      <c r="B183" s="197"/>
      <c r="C183" s="197"/>
      <c r="D183" s="197"/>
      <c r="E183" s="197"/>
      <c r="F183" s="197"/>
      <c r="G183" s="197"/>
      <c r="H183" s="197"/>
      <c r="I183" s="197"/>
      <c r="J183" s="197"/>
      <c r="K183" s="182">
        <f>IFERROR(I182/C174,"definir")</f>
        <v>59.247500000000002</v>
      </c>
    </row>
    <row r="184" spans="1:11" s="167" customFormat="1" ht="20.25" customHeight="1" x14ac:dyDescent="0.25">
      <c r="A184" s="183" t="s">
        <v>273</v>
      </c>
      <c r="B184" s="188" t="s">
        <v>19</v>
      </c>
      <c r="C184" s="189"/>
      <c r="D184" s="189"/>
      <c r="E184" s="189"/>
      <c r="F184" s="189"/>
      <c r="G184" s="189"/>
      <c r="H184" s="189"/>
      <c r="I184" s="189"/>
      <c r="J184" s="189"/>
      <c r="K184" s="190"/>
    </row>
    <row r="185" spans="1:11" s="167" customFormat="1" ht="20.25" customHeight="1" x14ac:dyDescent="0.25">
      <c r="A185" s="165">
        <v>1</v>
      </c>
      <c r="B185" s="165" t="s">
        <v>274</v>
      </c>
      <c r="C185" s="200" t="str">
        <f>'planilha - proposta'!C53</f>
        <v>Supervisor de Lavanderia</v>
      </c>
      <c r="D185" s="198"/>
      <c r="E185" s="198"/>
      <c r="F185" s="198"/>
      <c r="G185" s="198"/>
      <c r="H185" s="198"/>
      <c r="I185" s="198"/>
      <c r="J185" s="198"/>
      <c r="K185" s="199"/>
    </row>
    <row r="186" spans="1:11" s="167" customFormat="1" ht="20.25" customHeight="1" x14ac:dyDescent="0.25">
      <c r="A186" s="165">
        <v>2</v>
      </c>
      <c r="B186" s="165" t="s">
        <v>334</v>
      </c>
      <c r="C186" s="201">
        <f>'planilha - proposta'!E53</f>
        <v>1</v>
      </c>
      <c r="D186" s="192"/>
      <c r="E186" s="192"/>
      <c r="F186" s="192"/>
      <c r="G186" s="192"/>
      <c r="H186" s="192"/>
      <c r="I186" s="192"/>
      <c r="J186" s="192"/>
      <c r="K186" s="193"/>
    </row>
    <row r="187" spans="1:11" s="167" customFormat="1" ht="36" customHeight="1" x14ac:dyDescent="0.25">
      <c r="A187" s="175" t="s">
        <v>273</v>
      </c>
      <c r="B187" s="196" t="s">
        <v>275</v>
      </c>
      <c r="C187" s="166" t="s">
        <v>335</v>
      </c>
      <c r="D187" s="166" t="s">
        <v>336</v>
      </c>
      <c r="E187" s="166" t="s">
        <v>337</v>
      </c>
      <c r="F187" s="166" t="s">
        <v>338</v>
      </c>
      <c r="G187" s="166" t="s">
        <v>339</v>
      </c>
      <c r="H187" s="166" t="s">
        <v>318</v>
      </c>
      <c r="I187" s="166" t="s">
        <v>340</v>
      </c>
      <c r="J187" s="166" t="s">
        <v>341</v>
      </c>
      <c r="K187" s="166" t="s">
        <v>342</v>
      </c>
    </row>
    <row r="188" spans="1:11" s="167" customFormat="1" ht="20.25" customHeight="1" x14ac:dyDescent="0.25">
      <c r="A188" s="165" t="s">
        <v>343</v>
      </c>
      <c r="B188" s="177" t="s">
        <v>344</v>
      </c>
      <c r="C188" s="177">
        <v>2</v>
      </c>
      <c r="D188" s="177" t="s">
        <v>290</v>
      </c>
      <c r="E188" s="177" t="s">
        <v>300</v>
      </c>
      <c r="F188" s="176">
        <v>43.85</v>
      </c>
      <c r="G188" s="177">
        <f>IF(E188="mensal", 12, IF(E188="trimestral", 4, IF(E188="semestral", 2, IF(E188="anual", 1, "inválido"))))</f>
        <v>2</v>
      </c>
      <c r="H188" s="177">
        <f>IF(B188="",0,C186)</f>
        <v>1</v>
      </c>
      <c r="I188" s="178">
        <f>IFERROR((F188*C188*G188*H188)/12,"inválido")</f>
        <v>14.616666666666667</v>
      </c>
      <c r="J188" s="178">
        <f>IFERROR(G188*F188*C188*H188,"inválido")</f>
        <v>175.4</v>
      </c>
      <c r="K188" s="178">
        <f>IFERROR(I188*60,"inválido")</f>
        <v>877</v>
      </c>
    </row>
    <row r="189" spans="1:11" s="167" customFormat="1" ht="20.25" customHeight="1" x14ac:dyDescent="0.25">
      <c r="A189" s="165" t="s">
        <v>345</v>
      </c>
      <c r="B189" s="177" t="s">
        <v>346</v>
      </c>
      <c r="C189" s="177">
        <v>2</v>
      </c>
      <c r="D189" s="177" t="s">
        <v>290</v>
      </c>
      <c r="E189" s="177" t="s">
        <v>300</v>
      </c>
      <c r="F189" s="176">
        <v>50.15</v>
      </c>
      <c r="G189" s="177">
        <f t="shared" ref="G189:G193" si="75">IF(E189="mensal", 12, IF(E189="trimestral", 4, IF(E189="semestral", 2, IF(E189="anual", 1, "inválido"))))</f>
        <v>2</v>
      </c>
      <c r="H189" s="177">
        <f>IF(B189="",0,C186)</f>
        <v>1</v>
      </c>
      <c r="I189" s="178">
        <f t="shared" ref="I189:I193" si="76">IFERROR((F189*C189*G189*H189)/12,"inválido")</f>
        <v>16.716666666666665</v>
      </c>
      <c r="J189" s="178">
        <f t="shared" ref="J189:J193" si="77">IFERROR(G189*F189*C189*H189,"inválido")</f>
        <v>200.6</v>
      </c>
      <c r="K189" s="178">
        <f t="shared" ref="K189:K193" si="78">IFERROR(I189*60,"inválido")</f>
        <v>1002.9999999999999</v>
      </c>
    </row>
    <row r="190" spans="1:11" s="167" customFormat="1" ht="20.25" customHeight="1" x14ac:dyDescent="0.25">
      <c r="A190" s="165" t="s">
        <v>111</v>
      </c>
      <c r="B190" s="177" t="s">
        <v>362</v>
      </c>
      <c r="C190" s="177">
        <v>2</v>
      </c>
      <c r="D190" s="177" t="s">
        <v>315</v>
      </c>
      <c r="E190" s="177" t="s">
        <v>298</v>
      </c>
      <c r="F190" s="176">
        <v>79.900000000000006</v>
      </c>
      <c r="G190" s="177">
        <f t="shared" si="75"/>
        <v>1</v>
      </c>
      <c r="H190" s="177">
        <f>IF(B190="",0,C186)</f>
        <v>1</v>
      </c>
      <c r="I190" s="178">
        <f t="shared" si="76"/>
        <v>13.316666666666668</v>
      </c>
      <c r="J190" s="178">
        <f t="shared" si="77"/>
        <v>159.80000000000001</v>
      </c>
      <c r="K190" s="178">
        <f t="shared" si="78"/>
        <v>799.00000000000011</v>
      </c>
    </row>
    <row r="191" spans="1:11" s="167" customFormat="1" ht="20.25" customHeight="1" x14ac:dyDescent="0.25">
      <c r="A191" s="165" t="s">
        <v>113</v>
      </c>
      <c r="B191" s="177" t="s">
        <v>350</v>
      </c>
      <c r="C191" s="177">
        <v>3</v>
      </c>
      <c r="D191" s="177" t="s">
        <v>315</v>
      </c>
      <c r="E191" s="177" t="s">
        <v>300</v>
      </c>
      <c r="F191" s="176">
        <v>8.33</v>
      </c>
      <c r="G191" s="177">
        <f t="shared" si="75"/>
        <v>2</v>
      </c>
      <c r="H191" s="177">
        <f>IF(B191="",0,C186)</f>
        <v>1</v>
      </c>
      <c r="I191" s="178">
        <f t="shared" si="76"/>
        <v>4.165</v>
      </c>
      <c r="J191" s="178">
        <f t="shared" si="77"/>
        <v>49.980000000000004</v>
      </c>
      <c r="K191" s="178">
        <f t="shared" si="78"/>
        <v>249.9</v>
      </c>
    </row>
    <row r="192" spans="1:11" s="167" customFormat="1" ht="20.25" hidden="1" customHeight="1" x14ac:dyDescent="0.25">
      <c r="A192" s="165" t="s">
        <v>114</v>
      </c>
      <c r="B192" s="177"/>
      <c r="C192" s="177"/>
      <c r="D192" s="177"/>
      <c r="E192" s="177"/>
      <c r="F192" s="180"/>
      <c r="G192" s="177" t="str">
        <f t="shared" si="75"/>
        <v>inválido</v>
      </c>
      <c r="H192" s="177">
        <f>IF(B192="",0,C186)</f>
        <v>0</v>
      </c>
      <c r="I192" s="178" t="str">
        <f t="shared" si="76"/>
        <v>inválido</v>
      </c>
      <c r="J192" s="178" t="str">
        <f t="shared" si="77"/>
        <v>inválido</v>
      </c>
      <c r="K192" s="178" t="str">
        <f t="shared" si="78"/>
        <v>inválido</v>
      </c>
    </row>
    <row r="193" spans="1:11" s="167" customFormat="1" ht="20.25" hidden="1" customHeight="1" x14ac:dyDescent="0.25">
      <c r="A193" s="165" t="s">
        <v>115</v>
      </c>
      <c r="B193" s="177"/>
      <c r="C193" s="177"/>
      <c r="D193" s="177"/>
      <c r="E193" s="177"/>
      <c r="F193" s="180"/>
      <c r="G193" s="177" t="str">
        <f t="shared" si="75"/>
        <v>inválido</v>
      </c>
      <c r="H193" s="177">
        <f>IF(B193="",0,C186)</f>
        <v>0</v>
      </c>
      <c r="I193" s="178" t="str">
        <f t="shared" si="76"/>
        <v>inválido</v>
      </c>
      <c r="J193" s="178" t="str">
        <f t="shared" si="77"/>
        <v>inválido</v>
      </c>
      <c r="K193" s="178" t="str">
        <f t="shared" si="78"/>
        <v>inválido</v>
      </c>
    </row>
    <row r="194" spans="1:11" s="167" customFormat="1" ht="20.25" customHeight="1" x14ac:dyDescent="0.25">
      <c r="A194" s="197" t="s">
        <v>328</v>
      </c>
      <c r="B194" s="197"/>
      <c r="C194" s="197"/>
      <c r="D194" s="197"/>
      <c r="E194" s="197"/>
      <c r="F194" s="197"/>
      <c r="G194" s="197"/>
      <c r="H194" s="197"/>
      <c r="I194" s="181">
        <f>SUM(I188:I193)</f>
        <v>48.814999999999998</v>
      </c>
      <c r="J194" s="182">
        <f>I194*12</f>
        <v>585.78</v>
      </c>
      <c r="K194" s="182">
        <f>I194*60</f>
        <v>2928.8999999999996</v>
      </c>
    </row>
    <row r="195" spans="1:11" s="167" customFormat="1" ht="20.25" customHeight="1" x14ac:dyDescent="0.25">
      <c r="A195" s="197" t="s">
        <v>302</v>
      </c>
      <c r="B195" s="197"/>
      <c r="C195" s="197"/>
      <c r="D195" s="197"/>
      <c r="E195" s="197"/>
      <c r="F195" s="197"/>
      <c r="G195" s="197"/>
      <c r="H195" s="197"/>
      <c r="I195" s="197"/>
      <c r="J195" s="197"/>
      <c r="K195" s="182">
        <f>IFERROR(I194/C186,"definir")</f>
        <v>48.814999999999998</v>
      </c>
    </row>
    <row r="196" spans="1:11" s="167" customFormat="1" ht="20.25" customHeight="1" x14ac:dyDescent="0.25">
      <c r="A196" s="183" t="s">
        <v>273</v>
      </c>
      <c r="B196" s="188" t="s">
        <v>19</v>
      </c>
      <c r="C196" s="189"/>
      <c r="D196" s="189"/>
      <c r="E196" s="189"/>
      <c r="F196" s="189"/>
      <c r="G196" s="189"/>
      <c r="H196" s="189"/>
      <c r="I196" s="189"/>
      <c r="J196" s="189"/>
      <c r="K196" s="190"/>
    </row>
    <row r="197" spans="1:11" s="167" customFormat="1" ht="20.25" customHeight="1" x14ac:dyDescent="0.25">
      <c r="A197" s="165">
        <v>1</v>
      </c>
      <c r="B197" s="165" t="s">
        <v>274</v>
      </c>
      <c r="C197" s="200" t="str">
        <f>'planilha - proposta'!C54</f>
        <v>Supervisor de Hotelaria</v>
      </c>
      <c r="D197" s="198"/>
      <c r="E197" s="198"/>
      <c r="F197" s="198"/>
      <c r="G197" s="198"/>
      <c r="H197" s="198"/>
      <c r="I197" s="198"/>
      <c r="J197" s="198"/>
      <c r="K197" s="199"/>
    </row>
    <row r="198" spans="1:11" s="167" customFormat="1" ht="20.25" customHeight="1" x14ac:dyDescent="0.25">
      <c r="A198" s="165">
        <v>2</v>
      </c>
      <c r="B198" s="165" t="s">
        <v>334</v>
      </c>
      <c r="C198" s="201">
        <f>'planilha - proposta'!E54</f>
        <v>1</v>
      </c>
      <c r="D198" s="192"/>
      <c r="E198" s="192"/>
      <c r="F198" s="192"/>
      <c r="G198" s="192"/>
      <c r="H198" s="192"/>
      <c r="I198" s="192"/>
      <c r="J198" s="192"/>
      <c r="K198" s="193"/>
    </row>
    <row r="199" spans="1:11" s="167" customFormat="1" ht="36" customHeight="1" x14ac:dyDescent="0.25">
      <c r="A199" s="175" t="s">
        <v>273</v>
      </c>
      <c r="B199" s="196" t="s">
        <v>275</v>
      </c>
      <c r="C199" s="166" t="s">
        <v>335</v>
      </c>
      <c r="D199" s="166" t="s">
        <v>336</v>
      </c>
      <c r="E199" s="166" t="s">
        <v>337</v>
      </c>
      <c r="F199" s="166" t="s">
        <v>338</v>
      </c>
      <c r="G199" s="166" t="s">
        <v>339</v>
      </c>
      <c r="H199" s="166" t="s">
        <v>318</v>
      </c>
      <c r="I199" s="166" t="s">
        <v>340</v>
      </c>
      <c r="J199" s="166" t="s">
        <v>341</v>
      </c>
      <c r="K199" s="166" t="s">
        <v>342</v>
      </c>
    </row>
    <row r="200" spans="1:11" s="167" customFormat="1" ht="20.25" customHeight="1" x14ac:dyDescent="0.25">
      <c r="A200" s="165" t="s">
        <v>343</v>
      </c>
      <c r="B200" s="177" t="s">
        <v>344</v>
      </c>
      <c r="C200" s="177">
        <v>2</v>
      </c>
      <c r="D200" s="177" t="s">
        <v>290</v>
      </c>
      <c r="E200" s="177" t="s">
        <v>300</v>
      </c>
      <c r="F200" s="176">
        <v>43.85</v>
      </c>
      <c r="G200" s="177">
        <f>IF(E200="mensal", 12, IF(E200="trimestral", 4, IF(E200="semestral", 2, IF(E200="anual", 1, "inválido"))))</f>
        <v>2</v>
      </c>
      <c r="H200" s="177">
        <f>IF(B200="",0,C198)</f>
        <v>1</v>
      </c>
      <c r="I200" s="178">
        <f>IFERROR((F200*C200*G200*H200)/12,"inválido")</f>
        <v>14.616666666666667</v>
      </c>
      <c r="J200" s="178">
        <f>IFERROR(G200*F200*C200*H200,"inválido")</f>
        <v>175.4</v>
      </c>
      <c r="K200" s="178">
        <f>IFERROR(I200*60,"inválido")</f>
        <v>877</v>
      </c>
    </row>
    <row r="201" spans="1:11" s="167" customFormat="1" ht="20.25" customHeight="1" x14ac:dyDescent="0.25">
      <c r="A201" s="165" t="s">
        <v>345</v>
      </c>
      <c r="B201" s="177" t="s">
        <v>346</v>
      </c>
      <c r="C201" s="177">
        <v>2</v>
      </c>
      <c r="D201" s="177" t="s">
        <v>290</v>
      </c>
      <c r="E201" s="177" t="s">
        <v>300</v>
      </c>
      <c r="F201" s="176">
        <v>50.15</v>
      </c>
      <c r="G201" s="177">
        <f t="shared" ref="G201:G205" si="79">IF(E201="mensal", 12, IF(E201="trimestral", 4, IF(E201="semestral", 2, IF(E201="anual", 1, "inválido"))))</f>
        <v>2</v>
      </c>
      <c r="H201" s="177">
        <f>IF(B201="",0,C198)</f>
        <v>1</v>
      </c>
      <c r="I201" s="178">
        <f t="shared" ref="I201:I205" si="80">IFERROR((F201*C201*G201*H201)/12,"inválido")</f>
        <v>16.716666666666665</v>
      </c>
      <c r="J201" s="178">
        <f t="shared" ref="J201:J205" si="81">IFERROR(G201*F201*C201*H201,"inválido")</f>
        <v>200.6</v>
      </c>
      <c r="K201" s="178">
        <f t="shared" ref="K201:K205" si="82">IFERROR(I201*60,"inválido")</f>
        <v>1002.9999999999999</v>
      </c>
    </row>
    <row r="202" spans="1:11" s="167" customFormat="1" ht="20.25" customHeight="1" x14ac:dyDescent="0.25">
      <c r="A202" s="165" t="s">
        <v>111</v>
      </c>
      <c r="B202" s="177" t="s">
        <v>362</v>
      </c>
      <c r="C202" s="177">
        <v>2</v>
      </c>
      <c r="D202" s="177" t="s">
        <v>315</v>
      </c>
      <c r="E202" s="177" t="s">
        <v>298</v>
      </c>
      <c r="F202" s="176">
        <v>79.900000000000006</v>
      </c>
      <c r="G202" s="177">
        <f t="shared" si="79"/>
        <v>1</v>
      </c>
      <c r="H202" s="177">
        <f>IF(B202="",0,C198)</f>
        <v>1</v>
      </c>
      <c r="I202" s="178">
        <f t="shared" si="80"/>
        <v>13.316666666666668</v>
      </c>
      <c r="J202" s="178">
        <f t="shared" si="81"/>
        <v>159.80000000000001</v>
      </c>
      <c r="K202" s="178">
        <f t="shared" si="82"/>
        <v>799.00000000000011</v>
      </c>
    </row>
    <row r="203" spans="1:11" s="167" customFormat="1" ht="20.25" customHeight="1" x14ac:dyDescent="0.25">
      <c r="A203" s="165" t="s">
        <v>113</v>
      </c>
      <c r="B203" s="177" t="s">
        <v>350</v>
      </c>
      <c r="C203" s="177">
        <v>3</v>
      </c>
      <c r="D203" s="177" t="s">
        <v>315</v>
      </c>
      <c r="E203" s="177" t="s">
        <v>300</v>
      </c>
      <c r="F203" s="176">
        <v>8.33</v>
      </c>
      <c r="G203" s="177">
        <f t="shared" si="79"/>
        <v>2</v>
      </c>
      <c r="H203" s="177">
        <f>IF(B203="",0,C198)</f>
        <v>1</v>
      </c>
      <c r="I203" s="178">
        <f t="shared" si="80"/>
        <v>4.165</v>
      </c>
      <c r="J203" s="178">
        <f t="shared" si="81"/>
        <v>49.980000000000004</v>
      </c>
      <c r="K203" s="178">
        <f t="shared" si="82"/>
        <v>249.9</v>
      </c>
    </row>
    <row r="204" spans="1:11" s="167" customFormat="1" ht="20.25" hidden="1" customHeight="1" x14ac:dyDescent="0.25">
      <c r="A204" s="165" t="s">
        <v>114</v>
      </c>
      <c r="B204" s="177"/>
      <c r="C204" s="177"/>
      <c r="D204" s="177"/>
      <c r="E204" s="177"/>
      <c r="F204" s="180"/>
      <c r="G204" s="177" t="str">
        <f t="shared" si="79"/>
        <v>inválido</v>
      </c>
      <c r="H204" s="177">
        <f>IF(B204="",0,C198)</f>
        <v>0</v>
      </c>
      <c r="I204" s="178" t="str">
        <f t="shared" si="80"/>
        <v>inválido</v>
      </c>
      <c r="J204" s="178" t="str">
        <f t="shared" si="81"/>
        <v>inválido</v>
      </c>
      <c r="K204" s="178" t="str">
        <f t="shared" si="82"/>
        <v>inválido</v>
      </c>
    </row>
    <row r="205" spans="1:11" s="167" customFormat="1" ht="20.25" hidden="1" customHeight="1" x14ac:dyDescent="0.25">
      <c r="A205" s="165" t="s">
        <v>115</v>
      </c>
      <c r="B205" s="177"/>
      <c r="C205" s="177"/>
      <c r="D205" s="177"/>
      <c r="E205" s="177"/>
      <c r="F205" s="180"/>
      <c r="G205" s="177" t="str">
        <f t="shared" si="79"/>
        <v>inválido</v>
      </c>
      <c r="H205" s="177">
        <f>IF(B205="",0,C198)</f>
        <v>0</v>
      </c>
      <c r="I205" s="178" t="str">
        <f t="shared" si="80"/>
        <v>inválido</v>
      </c>
      <c r="J205" s="178" t="str">
        <f t="shared" si="81"/>
        <v>inválido</v>
      </c>
      <c r="K205" s="178" t="str">
        <f t="shared" si="82"/>
        <v>inválido</v>
      </c>
    </row>
    <row r="206" spans="1:11" s="167" customFormat="1" ht="20.25" customHeight="1" x14ac:dyDescent="0.25">
      <c r="A206" s="197" t="s">
        <v>328</v>
      </c>
      <c r="B206" s="197"/>
      <c r="C206" s="197"/>
      <c r="D206" s="197"/>
      <c r="E206" s="197"/>
      <c r="F206" s="197"/>
      <c r="G206" s="197"/>
      <c r="H206" s="197"/>
      <c r="I206" s="181">
        <f>SUM(I200:I205)</f>
        <v>48.814999999999998</v>
      </c>
      <c r="J206" s="182">
        <f>I206*12</f>
        <v>585.78</v>
      </c>
      <c r="K206" s="182">
        <f>I206*60</f>
        <v>2928.8999999999996</v>
      </c>
    </row>
    <row r="207" spans="1:11" s="167" customFormat="1" ht="20.25" customHeight="1" x14ac:dyDescent="0.25">
      <c r="A207" s="197" t="s">
        <v>302</v>
      </c>
      <c r="B207" s="197"/>
      <c r="C207" s="197"/>
      <c r="D207" s="197"/>
      <c r="E207" s="197"/>
      <c r="F207" s="197"/>
      <c r="G207" s="197"/>
      <c r="H207" s="197"/>
      <c r="I207" s="197"/>
      <c r="J207" s="197"/>
      <c r="K207" s="182">
        <f>IFERROR(I206/C198,"definir")</f>
        <v>48.814999999999998</v>
      </c>
    </row>
    <row r="208" spans="1:11" s="167" customFormat="1" ht="20.25" customHeight="1" x14ac:dyDescent="0.25">
      <c r="A208" s="183" t="s">
        <v>273</v>
      </c>
      <c r="B208" s="188" t="s">
        <v>19</v>
      </c>
      <c r="C208" s="189"/>
      <c r="D208" s="189"/>
      <c r="E208" s="189"/>
      <c r="F208" s="189"/>
      <c r="G208" s="189"/>
      <c r="H208" s="189"/>
      <c r="I208" s="189"/>
      <c r="J208" s="189"/>
      <c r="K208" s="190"/>
    </row>
    <row r="209" spans="1:11" s="167" customFormat="1" ht="20.25" customHeight="1" x14ac:dyDescent="0.25">
      <c r="A209" s="165">
        <v>1</v>
      </c>
      <c r="B209" s="165" t="s">
        <v>274</v>
      </c>
      <c r="C209" s="200" t="str">
        <f>'planilha - proposta'!C55</f>
        <v>Maqueiro</v>
      </c>
      <c r="D209" s="198"/>
      <c r="E209" s="198"/>
      <c r="F209" s="198"/>
      <c r="G209" s="198"/>
      <c r="H209" s="198"/>
      <c r="I209" s="198"/>
      <c r="J209" s="198"/>
      <c r="K209" s="199"/>
    </row>
    <row r="210" spans="1:11" s="167" customFormat="1" ht="20.25" customHeight="1" x14ac:dyDescent="0.25">
      <c r="A210" s="165">
        <v>2</v>
      </c>
      <c r="B210" s="165" t="s">
        <v>334</v>
      </c>
      <c r="C210" s="201">
        <f>'planilha - proposta'!E55+'planilha - proposta'!E56+'planilha - proposta'!E57</f>
        <v>21</v>
      </c>
      <c r="D210" s="192"/>
      <c r="E210" s="192"/>
      <c r="F210" s="192"/>
      <c r="G210" s="192"/>
      <c r="H210" s="192"/>
      <c r="I210" s="192"/>
      <c r="J210" s="192"/>
      <c r="K210" s="193"/>
    </row>
    <row r="211" spans="1:11" s="167" customFormat="1" ht="36" customHeight="1" x14ac:dyDescent="0.25">
      <c r="A211" s="175" t="s">
        <v>273</v>
      </c>
      <c r="B211" s="196" t="s">
        <v>275</v>
      </c>
      <c r="C211" s="166" t="s">
        <v>335</v>
      </c>
      <c r="D211" s="166" t="s">
        <v>336</v>
      </c>
      <c r="E211" s="166" t="s">
        <v>337</v>
      </c>
      <c r="F211" s="166" t="s">
        <v>338</v>
      </c>
      <c r="G211" s="166" t="s">
        <v>339</v>
      </c>
      <c r="H211" s="166" t="s">
        <v>318</v>
      </c>
      <c r="I211" s="166" t="s">
        <v>340</v>
      </c>
      <c r="J211" s="166" t="s">
        <v>341</v>
      </c>
      <c r="K211" s="166" t="s">
        <v>342</v>
      </c>
    </row>
    <row r="212" spans="1:11" s="167" customFormat="1" ht="20.25" customHeight="1" x14ac:dyDescent="0.25">
      <c r="A212" s="165" t="s">
        <v>343</v>
      </c>
      <c r="B212" s="177" t="s">
        <v>344</v>
      </c>
      <c r="C212" s="177">
        <v>2</v>
      </c>
      <c r="D212" s="177" t="s">
        <v>290</v>
      </c>
      <c r="E212" s="177" t="s">
        <v>300</v>
      </c>
      <c r="F212" s="176">
        <v>43.85</v>
      </c>
      <c r="G212" s="177">
        <f>IF(E212="mensal", 12, IF(E212="trimestral", 4, IF(E212="semestral", 2, IF(E212="anual", 1, "inválido"))))</f>
        <v>2</v>
      </c>
      <c r="H212" s="177">
        <f>IF(B212="",0,C210)</f>
        <v>21</v>
      </c>
      <c r="I212" s="178">
        <f>IFERROR((F212*C212*G212*H212)/12,"inválido")</f>
        <v>306.95</v>
      </c>
      <c r="J212" s="178">
        <f>IFERROR(G212*F212*C212*H212,"inválido")</f>
        <v>3683.4</v>
      </c>
      <c r="K212" s="178">
        <f>IFERROR(I212*60,"inválido")</f>
        <v>18417</v>
      </c>
    </row>
    <row r="213" spans="1:11" s="167" customFormat="1" ht="20.25" customHeight="1" x14ac:dyDescent="0.25">
      <c r="A213" s="165" t="s">
        <v>345</v>
      </c>
      <c r="B213" s="177" t="s">
        <v>346</v>
      </c>
      <c r="C213" s="177">
        <v>2</v>
      </c>
      <c r="D213" s="177" t="s">
        <v>290</v>
      </c>
      <c r="E213" s="177" t="s">
        <v>300</v>
      </c>
      <c r="F213" s="176">
        <v>50.15</v>
      </c>
      <c r="G213" s="177">
        <f t="shared" ref="G213:G217" si="83">IF(E213="mensal", 12, IF(E213="trimestral", 4, IF(E213="semestral", 2, IF(E213="anual", 1, "inválido"))))</f>
        <v>2</v>
      </c>
      <c r="H213" s="177">
        <f>IF(B213="",0,C210)</f>
        <v>21</v>
      </c>
      <c r="I213" s="178">
        <f t="shared" ref="I213:I217" si="84">IFERROR((F213*C213*G213*H213)/12,"inválido")</f>
        <v>351.04999999999995</v>
      </c>
      <c r="J213" s="178">
        <f t="shared" ref="J213:J217" si="85">IFERROR(G213*F213*C213*H213,"inválido")</f>
        <v>4212.5999999999995</v>
      </c>
      <c r="K213" s="178">
        <f t="shared" ref="K213:K217" si="86">IFERROR(I213*60,"inválido")</f>
        <v>21062.999999999996</v>
      </c>
    </row>
    <row r="214" spans="1:11" s="167" customFormat="1" ht="20.25" customHeight="1" x14ac:dyDescent="0.25">
      <c r="A214" s="165" t="s">
        <v>347</v>
      </c>
      <c r="B214" s="177" t="s">
        <v>361</v>
      </c>
      <c r="C214" s="177">
        <v>2</v>
      </c>
      <c r="D214" s="177" t="s">
        <v>290</v>
      </c>
      <c r="E214" s="177" t="s">
        <v>300</v>
      </c>
      <c r="F214" s="176">
        <v>49.15</v>
      </c>
      <c r="G214" s="177">
        <f t="shared" si="83"/>
        <v>2</v>
      </c>
      <c r="H214" s="177">
        <f>IF(B214="",0,C210)</f>
        <v>21</v>
      </c>
      <c r="I214" s="178">
        <f t="shared" si="84"/>
        <v>344.04999999999995</v>
      </c>
      <c r="J214" s="178">
        <f t="shared" si="85"/>
        <v>4128.5999999999995</v>
      </c>
      <c r="K214" s="178">
        <f t="shared" si="86"/>
        <v>20642.999999999996</v>
      </c>
    </row>
    <row r="215" spans="1:11" s="167" customFormat="1" ht="20.25" customHeight="1" x14ac:dyDescent="0.25">
      <c r="A215" s="165" t="s">
        <v>349</v>
      </c>
      <c r="B215" s="177" t="s">
        <v>348</v>
      </c>
      <c r="C215" s="177">
        <v>2</v>
      </c>
      <c r="D215" s="177" t="s">
        <v>315</v>
      </c>
      <c r="E215" s="177" t="s">
        <v>298</v>
      </c>
      <c r="F215" s="176">
        <v>63.9</v>
      </c>
      <c r="G215" s="177">
        <f t="shared" si="83"/>
        <v>1</v>
      </c>
      <c r="H215" s="177">
        <f>IF(B215="",0,C210)</f>
        <v>21</v>
      </c>
      <c r="I215" s="178">
        <f t="shared" si="84"/>
        <v>223.64999999999998</v>
      </c>
      <c r="J215" s="178">
        <f t="shared" si="85"/>
        <v>2683.7999999999997</v>
      </c>
      <c r="K215" s="178">
        <f t="shared" si="86"/>
        <v>13418.999999999998</v>
      </c>
    </row>
    <row r="216" spans="1:11" s="167" customFormat="1" ht="20.25" customHeight="1" x14ac:dyDescent="0.25">
      <c r="A216" s="165" t="s">
        <v>351</v>
      </c>
      <c r="B216" s="177" t="s">
        <v>350</v>
      </c>
      <c r="C216" s="177">
        <v>3</v>
      </c>
      <c r="D216" s="177" t="s">
        <v>315</v>
      </c>
      <c r="E216" s="177" t="s">
        <v>300</v>
      </c>
      <c r="F216" s="176">
        <v>5.33</v>
      </c>
      <c r="G216" s="177">
        <f t="shared" si="83"/>
        <v>2</v>
      </c>
      <c r="H216" s="177">
        <f>IF(B216="",0,C210)</f>
        <v>21</v>
      </c>
      <c r="I216" s="178">
        <f t="shared" si="84"/>
        <v>55.965000000000003</v>
      </c>
      <c r="J216" s="178">
        <f t="shared" si="85"/>
        <v>671.58</v>
      </c>
      <c r="K216" s="178">
        <f t="shared" si="86"/>
        <v>3357.9</v>
      </c>
    </row>
    <row r="217" spans="1:11" s="167" customFormat="1" ht="20.25" hidden="1" customHeight="1" x14ac:dyDescent="0.25">
      <c r="A217" s="165" t="s">
        <v>352</v>
      </c>
      <c r="B217" s="177"/>
      <c r="C217" s="177"/>
      <c r="D217" s="177"/>
      <c r="E217" s="177"/>
      <c r="F217" s="180"/>
      <c r="G217" s="177" t="str">
        <f t="shared" si="83"/>
        <v>inválido</v>
      </c>
      <c r="H217" s="177">
        <f>IF(B217="",0,C210)</f>
        <v>0</v>
      </c>
      <c r="I217" s="178" t="str">
        <f t="shared" si="84"/>
        <v>inválido</v>
      </c>
      <c r="J217" s="178" t="str">
        <f t="shared" si="85"/>
        <v>inválido</v>
      </c>
      <c r="K217" s="178" t="str">
        <f t="shared" si="86"/>
        <v>inválido</v>
      </c>
    </row>
    <row r="218" spans="1:11" s="167" customFormat="1" ht="20.25" customHeight="1" x14ac:dyDescent="0.25">
      <c r="A218" s="197" t="s">
        <v>360</v>
      </c>
      <c r="B218" s="197"/>
      <c r="C218" s="197"/>
      <c r="D218" s="197"/>
      <c r="E218" s="197"/>
      <c r="F218" s="197"/>
      <c r="G218" s="197"/>
      <c r="H218" s="197"/>
      <c r="I218" s="181">
        <f>SUM(I212:I217)</f>
        <v>1281.6649999999997</v>
      </c>
      <c r="J218" s="182">
        <f>I218*12</f>
        <v>15379.979999999996</v>
      </c>
      <c r="K218" s="182">
        <f>I218*60</f>
        <v>76899.89999999998</v>
      </c>
    </row>
    <row r="219" spans="1:11" s="167" customFormat="1" ht="20.25" customHeight="1" x14ac:dyDescent="0.25">
      <c r="A219" s="197" t="s">
        <v>302</v>
      </c>
      <c r="B219" s="197"/>
      <c r="C219" s="197"/>
      <c r="D219" s="197"/>
      <c r="E219" s="197"/>
      <c r="F219" s="197"/>
      <c r="G219" s="197"/>
      <c r="H219" s="197"/>
      <c r="I219" s="197"/>
      <c r="J219" s="197"/>
      <c r="K219" s="182">
        <f>IFERROR(I218/C210,"definir")</f>
        <v>61.031666666666652</v>
      </c>
    </row>
    <row r="220" spans="1:11" s="167" customFormat="1" ht="20.25" customHeight="1" x14ac:dyDescent="0.25">
      <c r="A220" s="183" t="s">
        <v>273</v>
      </c>
      <c r="B220" s="188" t="s">
        <v>19</v>
      </c>
      <c r="C220" s="189"/>
      <c r="D220" s="189"/>
      <c r="E220" s="189"/>
      <c r="F220" s="189"/>
      <c r="G220" s="189"/>
      <c r="H220" s="189"/>
      <c r="I220" s="189"/>
      <c r="J220" s="189"/>
      <c r="K220" s="190"/>
    </row>
    <row r="221" spans="1:11" s="167" customFormat="1" ht="20.25" customHeight="1" x14ac:dyDescent="0.25">
      <c r="A221" s="165">
        <v>1</v>
      </c>
      <c r="B221" s="165" t="s">
        <v>274</v>
      </c>
      <c r="C221" s="200" t="str">
        <f>'planilha - proposta'!C58</f>
        <v>Motorista</v>
      </c>
      <c r="D221" s="198"/>
      <c r="E221" s="198"/>
      <c r="F221" s="198"/>
      <c r="G221" s="198"/>
      <c r="H221" s="198"/>
      <c r="I221" s="198"/>
      <c r="J221" s="198"/>
      <c r="K221" s="199"/>
    </row>
    <row r="222" spans="1:11" s="167" customFormat="1" ht="20.25" customHeight="1" x14ac:dyDescent="0.25">
      <c r="A222" s="165">
        <v>2</v>
      </c>
      <c r="B222" s="165" t="s">
        <v>334</v>
      </c>
      <c r="C222" s="201">
        <f>'planilha - proposta'!E58</f>
        <v>1</v>
      </c>
      <c r="D222" s="192"/>
      <c r="E222" s="192"/>
      <c r="F222" s="192"/>
      <c r="G222" s="192"/>
      <c r="H222" s="192"/>
      <c r="I222" s="192"/>
      <c r="J222" s="192"/>
      <c r="K222" s="193"/>
    </row>
    <row r="223" spans="1:11" s="167" customFormat="1" ht="36" customHeight="1" x14ac:dyDescent="0.25">
      <c r="A223" s="175" t="s">
        <v>273</v>
      </c>
      <c r="B223" s="196" t="s">
        <v>275</v>
      </c>
      <c r="C223" s="166" t="s">
        <v>335</v>
      </c>
      <c r="D223" s="166" t="s">
        <v>336</v>
      </c>
      <c r="E223" s="166" t="s">
        <v>337</v>
      </c>
      <c r="F223" s="166" t="s">
        <v>338</v>
      </c>
      <c r="G223" s="166" t="s">
        <v>339</v>
      </c>
      <c r="H223" s="166" t="s">
        <v>318</v>
      </c>
      <c r="I223" s="166" t="s">
        <v>340</v>
      </c>
      <c r="J223" s="166" t="s">
        <v>341</v>
      </c>
      <c r="K223" s="166" t="s">
        <v>342</v>
      </c>
    </row>
    <row r="224" spans="1:11" s="167" customFormat="1" ht="20.25" customHeight="1" x14ac:dyDescent="0.25">
      <c r="A224" s="165" t="s">
        <v>343</v>
      </c>
      <c r="B224" s="177" t="s">
        <v>344</v>
      </c>
      <c r="C224" s="177">
        <v>2</v>
      </c>
      <c r="D224" s="177" t="s">
        <v>290</v>
      </c>
      <c r="E224" s="177" t="s">
        <v>300</v>
      </c>
      <c r="F224" s="176">
        <v>59.08</v>
      </c>
      <c r="G224" s="177">
        <f>IF(E224="mensal", 12, IF(E224="trimestral", 4, IF(E224="semestral", 2, IF(E224="anual", 1, "inválido"))))</f>
        <v>2</v>
      </c>
      <c r="H224" s="177">
        <f>IF(B224="",0,C222)</f>
        <v>1</v>
      </c>
      <c r="I224" s="178">
        <f>IFERROR((F224*C224*G224*H224)/12,"inválido")</f>
        <v>19.693333333333332</v>
      </c>
      <c r="J224" s="178">
        <f>IFERROR(G224*F224*C224*H224,"inválido")</f>
        <v>236.32</v>
      </c>
      <c r="K224" s="178">
        <f>IFERROR(I224*60,"inválido")</f>
        <v>1181.5999999999999</v>
      </c>
    </row>
    <row r="225" spans="1:11" s="167" customFormat="1" ht="20.25" customHeight="1" x14ac:dyDescent="0.25">
      <c r="A225" s="165" t="s">
        <v>110</v>
      </c>
      <c r="B225" s="177" t="s">
        <v>346</v>
      </c>
      <c r="C225" s="177">
        <v>2</v>
      </c>
      <c r="D225" s="177" t="s">
        <v>290</v>
      </c>
      <c r="E225" s="177" t="s">
        <v>300</v>
      </c>
      <c r="F225" s="176">
        <v>43.85</v>
      </c>
      <c r="G225" s="177">
        <f t="shared" ref="G225:G229" si="87">IF(E225="mensal", 12, IF(E225="trimestral", 4, IF(E225="semestral", 2, IF(E225="anual", 1, "inválido"))))</f>
        <v>2</v>
      </c>
      <c r="H225" s="177">
        <f>IF(B225="",0,C222)</f>
        <v>1</v>
      </c>
      <c r="I225" s="178">
        <f t="shared" ref="I225:I229" si="88">IFERROR((F225*C225*G225*H225)/12,"inválido")</f>
        <v>14.616666666666667</v>
      </c>
      <c r="J225" s="178">
        <f t="shared" ref="J225:J229" si="89">IFERROR(G225*F225*C225*H225,"inválido")</f>
        <v>175.4</v>
      </c>
      <c r="K225" s="178">
        <f t="shared" ref="K225:K229" si="90">IFERROR(I225*60,"inválido")</f>
        <v>877</v>
      </c>
    </row>
    <row r="226" spans="1:11" s="167" customFormat="1" ht="20.25" customHeight="1" x14ac:dyDescent="0.25">
      <c r="A226" s="165" t="s">
        <v>111</v>
      </c>
      <c r="B226" s="177" t="s">
        <v>362</v>
      </c>
      <c r="C226" s="177">
        <v>2</v>
      </c>
      <c r="D226" s="177" t="s">
        <v>315</v>
      </c>
      <c r="E226" s="177" t="s">
        <v>298</v>
      </c>
      <c r="F226" s="176">
        <v>79.900000000000006</v>
      </c>
      <c r="G226" s="177">
        <f t="shared" si="87"/>
        <v>1</v>
      </c>
      <c r="H226" s="177">
        <f>IF(B226="",0,C222)</f>
        <v>1</v>
      </c>
      <c r="I226" s="178">
        <f t="shared" si="88"/>
        <v>13.316666666666668</v>
      </c>
      <c r="J226" s="178">
        <f t="shared" si="89"/>
        <v>159.80000000000001</v>
      </c>
      <c r="K226" s="178">
        <f t="shared" si="90"/>
        <v>799.00000000000011</v>
      </c>
    </row>
    <row r="227" spans="1:11" s="167" customFormat="1" ht="20.25" customHeight="1" x14ac:dyDescent="0.25">
      <c r="A227" s="165" t="s">
        <v>113</v>
      </c>
      <c r="B227" s="177" t="s">
        <v>350</v>
      </c>
      <c r="C227" s="177">
        <v>3</v>
      </c>
      <c r="D227" s="177" t="s">
        <v>315</v>
      </c>
      <c r="E227" s="177" t="s">
        <v>300</v>
      </c>
      <c r="F227" s="176">
        <v>5.33</v>
      </c>
      <c r="G227" s="177">
        <f t="shared" si="87"/>
        <v>2</v>
      </c>
      <c r="H227" s="177">
        <f>IF(B227="",0,C222)</f>
        <v>1</v>
      </c>
      <c r="I227" s="178">
        <f t="shared" si="88"/>
        <v>2.665</v>
      </c>
      <c r="J227" s="178">
        <f t="shared" si="89"/>
        <v>31.98</v>
      </c>
      <c r="K227" s="178">
        <f t="shared" si="90"/>
        <v>159.9</v>
      </c>
    </row>
    <row r="228" spans="1:11" s="167" customFormat="1" ht="20.25" customHeight="1" x14ac:dyDescent="0.25">
      <c r="A228" s="165" t="s">
        <v>114</v>
      </c>
      <c r="B228" s="177" t="s">
        <v>368</v>
      </c>
      <c r="C228" s="177">
        <v>1</v>
      </c>
      <c r="D228" s="177" t="s">
        <v>290</v>
      </c>
      <c r="E228" s="177" t="s">
        <v>300</v>
      </c>
      <c r="F228" s="176">
        <v>79</v>
      </c>
      <c r="G228" s="177">
        <f t="shared" si="87"/>
        <v>2</v>
      </c>
      <c r="H228" s="177">
        <f>IF(B228="",0,C222)</f>
        <v>1</v>
      </c>
      <c r="I228" s="178">
        <f t="shared" si="88"/>
        <v>13.166666666666666</v>
      </c>
      <c r="J228" s="178">
        <f t="shared" si="89"/>
        <v>158</v>
      </c>
      <c r="K228" s="178">
        <f t="shared" si="90"/>
        <v>790</v>
      </c>
    </row>
    <row r="229" spans="1:11" s="167" customFormat="1" ht="20.25" hidden="1" customHeight="1" x14ac:dyDescent="0.25">
      <c r="A229" s="165" t="s">
        <v>115</v>
      </c>
      <c r="B229" s="177"/>
      <c r="C229" s="177"/>
      <c r="D229" s="177"/>
      <c r="E229" s="177"/>
      <c r="F229" s="180"/>
      <c r="G229" s="177" t="str">
        <f t="shared" si="87"/>
        <v>inválido</v>
      </c>
      <c r="H229" s="177">
        <f>IF(B229="",0,C222)</f>
        <v>0</v>
      </c>
      <c r="I229" s="178" t="str">
        <f t="shared" si="88"/>
        <v>inválido</v>
      </c>
      <c r="J229" s="178" t="str">
        <f t="shared" si="89"/>
        <v>inválido</v>
      </c>
      <c r="K229" s="178" t="str">
        <f t="shared" si="90"/>
        <v>inválido</v>
      </c>
    </row>
    <row r="230" spans="1:11" s="167" customFormat="1" ht="20.25" customHeight="1" x14ac:dyDescent="0.25">
      <c r="A230" s="197" t="s">
        <v>360</v>
      </c>
      <c r="B230" s="197"/>
      <c r="C230" s="197"/>
      <c r="D230" s="197"/>
      <c r="E230" s="197"/>
      <c r="F230" s="197"/>
      <c r="G230" s="197"/>
      <c r="H230" s="197"/>
      <c r="I230" s="181">
        <f>SUM(I224:I229)</f>
        <v>63.458333333333336</v>
      </c>
      <c r="J230" s="182">
        <f>I230*12</f>
        <v>761.5</v>
      </c>
      <c r="K230" s="182">
        <f>I230*60</f>
        <v>3807.5</v>
      </c>
    </row>
    <row r="231" spans="1:11" s="167" customFormat="1" ht="20.25" customHeight="1" x14ac:dyDescent="0.25">
      <c r="A231" s="197" t="s">
        <v>302</v>
      </c>
      <c r="B231" s="197"/>
      <c r="C231" s="197"/>
      <c r="D231" s="197"/>
      <c r="E231" s="197"/>
      <c r="F231" s="197"/>
      <c r="G231" s="197"/>
      <c r="H231" s="197"/>
      <c r="I231" s="197"/>
      <c r="J231" s="197"/>
      <c r="K231" s="182">
        <f>IFERROR(I230/C222,"definir")</f>
        <v>63.458333333333336</v>
      </c>
    </row>
    <row r="232" spans="1:11" s="167" customFormat="1" ht="20.25" customHeight="1" x14ac:dyDescent="0.25">
      <c r="A232" s="183" t="s">
        <v>273</v>
      </c>
      <c r="B232" s="188" t="s">
        <v>19</v>
      </c>
      <c r="C232" s="189"/>
      <c r="D232" s="189"/>
      <c r="E232" s="189"/>
      <c r="F232" s="189"/>
      <c r="G232" s="189"/>
      <c r="H232" s="189"/>
      <c r="I232" s="189"/>
      <c r="J232" s="189"/>
      <c r="K232" s="190"/>
    </row>
    <row r="233" spans="1:11" s="167" customFormat="1" ht="20.25" customHeight="1" x14ac:dyDescent="0.25">
      <c r="A233" s="165">
        <v>1</v>
      </c>
      <c r="B233" s="191" t="s">
        <v>274</v>
      </c>
      <c r="C233" s="200" t="str">
        <f>'planilha - proposta'!C59</f>
        <v>Condutor de Ambulância</v>
      </c>
      <c r="D233" s="198"/>
      <c r="E233" s="198"/>
      <c r="F233" s="198"/>
      <c r="G233" s="198"/>
      <c r="H233" s="198"/>
      <c r="I233" s="198"/>
      <c r="J233" s="198"/>
      <c r="K233" s="199"/>
    </row>
    <row r="234" spans="1:11" s="167" customFormat="1" ht="20.25" customHeight="1" x14ac:dyDescent="0.25">
      <c r="A234" s="165">
        <v>2</v>
      </c>
      <c r="B234" s="191" t="s">
        <v>334</v>
      </c>
      <c r="C234" s="201">
        <f>'planilha - proposta'!E59+'planilha - proposta'!E60</f>
        <v>6</v>
      </c>
      <c r="D234" s="192"/>
      <c r="E234" s="192"/>
      <c r="F234" s="192"/>
      <c r="G234" s="192"/>
      <c r="H234" s="192"/>
      <c r="I234" s="192"/>
      <c r="J234" s="192"/>
      <c r="K234" s="193"/>
    </row>
    <row r="235" spans="1:11" s="167" customFormat="1" ht="36" customHeight="1" x14ac:dyDescent="0.25">
      <c r="A235" s="175" t="s">
        <v>273</v>
      </c>
      <c r="B235" s="196" t="s">
        <v>275</v>
      </c>
      <c r="C235" s="166" t="s">
        <v>335</v>
      </c>
      <c r="D235" s="166" t="s">
        <v>336</v>
      </c>
      <c r="E235" s="166" t="s">
        <v>337</v>
      </c>
      <c r="F235" s="166" t="s">
        <v>338</v>
      </c>
      <c r="G235" s="166" t="s">
        <v>339</v>
      </c>
      <c r="H235" s="166" t="s">
        <v>318</v>
      </c>
      <c r="I235" s="166" t="s">
        <v>340</v>
      </c>
      <c r="J235" s="166" t="s">
        <v>341</v>
      </c>
      <c r="K235" s="166" t="s">
        <v>342</v>
      </c>
    </row>
    <row r="236" spans="1:11" s="167" customFormat="1" ht="20.25" customHeight="1" x14ac:dyDescent="0.25">
      <c r="A236" s="165" t="s">
        <v>343</v>
      </c>
      <c r="B236" s="177" t="s">
        <v>369</v>
      </c>
      <c r="C236" s="177">
        <v>2</v>
      </c>
      <c r="D236" s="177" t="s">
        <v>290</v>
      </c>
      <c r="E236" s="177" t="s">
        <v>300</v>
      </c>
      <c r="F236" s="176">
        <v>169.89</v>
      </c>
      <c r="G236" s="177">
        <f>IF(E236="mensal", 12, IF(E236="trimestral", 4, IF(E236="semestral", 2, IF(E236="anual", 1, "inválido"))))</f>
        <v>2</v>
      </c>
      <c r="H236" s="177">
        <f>IF(B236="",0,C234)</f>
        <v>6</v>
      </c>
      <c r="I236" s="178">
        <f>IFERROR((F236*C236*G236*H236)/12,"inválido")</f>
        <v>339.78</v>
      </c>
      <c r="J236" s="178">
        <f>IFERROR(G236*F236*C236*H236,"inválido")</f>
        <v>4077.3599999999997</v>
      </c>
      <c r="K236" s="178">
        <f>IFERROR(I236*60,"inválido")</f>
        <v>20386.8</v>
      </c>
    </row>
    <row r="237" spans="1:11" s="167" customFormat="1" ht="20.25" customHeight="1" x14ac:dyDescent="0.25">
      <c r="A237" s="165" t="s">
        <v>345</v>
      </c>
      <c r="B237" s="177" t="s">
        <v>344</v>
      </c>
      <c r="C237" s="177">
        <v>2</v>
      </c>
      <c r="D237" s="177" t="s">
        <v>290</v>
      </c>
      <c r="E237" s="177" t="s">
        <v>300</v>
      </c>
      <c r="F237" s="176">
        <v>30.55</v>
      </c>
      <c r="G237" s="177">
        <f t="shared" ref="G237:G241" si="91">IF(E237="mensal", 12, IF(E237="trimestral", 4, IF(E237="semestral", 2, IF(E237="anual", 1, "inválido"))))</f>
        <v>2</v>
      </c>
      <c r="H237" s="177">
        <f>IF(B237="",0,C234)</f>
        <v>6</v>
      </c>
      <c r="I237" s="178">
        <f t="shared" ref="I237:I241" si="92">IFERROR((F237*C237*G237*H237)/12,"inválido")</f>
        <v>61.1</v>
      </c>
      <c r="J237" s="178">
        <f t="shared" ref="J237:J241" si="93">IFERROR(G237*F237*C237*H237,"inválido")</f>
        <v>733.2</v>
      </c>
      <c r="K237" s="178">
        <f t="shared" ref="K237:K241" si="94">IFERROR(I237*60,"inválido")</f>
        <v>3666</v>
      </c>
    </row>
    <row r="238" spans="1:11" s="167" customFormat="1" ht="20.25" customHeight="1" x14ac:dyDescent="0.25">
      <c r="A238" s="165" t="s">
        <v>347</v>
      </c>
      <c r="B238" s="177" t="s">
        <v>348</v>
      </c>
      <c r="C238" s="177">
        <v>2</v>
      </c>
      <c r="D238" s="177" t="s">
        <v>315</v>
      </c>
      <c r="E238" s="177" t="s">
        <v>298</v>
      </c>
      <c r="F238" s="176">
        <v>229.9</v>
      </c>
      <c r="G238" s="177">
        <f t="shared" si="91"/>
        <v>1</v>
      </c>
      <c r="H238" s="177">
        <f>IF(B238="",0,C234)</f>
        <v>6</v>
      </c>
      <c r="I238" s="178">
        <f t="shared" si="92"/>
        <v>229.9</v>
      </c>
      <c r="J238" s="178">
        <f t="shared" si="93"/>
        <v>2758.8</v>
      </c>
      <c r="K238" s="178">
        <f t="shared" si="94"/>
        <v>13794</v>
      </c>
    </row>
    <row r="239" spans="1:11" s="167" customFormat="1" ht="20.25" customHeight="1" x14ac:dyDescent="0.25">
      <c r="A239" s="165" t="s">
        <v>349</v>
      </c>
      <c r="B239" s="177" t="s">
        <v>366</v>
      </c>
      <c r="C239" s="177">
        <v>3</v>
      </c>
      <c r="D239" s="177" t="s">
        <v>315</v>
      </c>
      <c r="E239" s="177" t="s">
        <v>300</v>
      </c>
      <c r="F239" s="176">
        <v>6.33</v>
      </c>
      <c r="G239" s="177">
        <f t="shared" si="91"/>
        <v>2</v>
      </c>
      <c r="H239" s="177">
        <f>IF(B239="",0,C234)</f>
        <v>6</v>
      </c>
      <c r="I239" s="178">
        <f t="shared" si="92"/>
        <v>18.990000000000002</v>
      </c>
      <c r="J239" s="178">
        <f t="shared" si="93"/>
        <v>227.88000000000002</v>
      </c>
      <c r="K239" s="178">
        <f t="shared" si="94"/>
        <v>1139.4000000000001</v>
      </c>
    </row>
    <row r="240" spans="1:11" s="167" customFormat="1" ht="20.25" hidden="1" customHeight="1" x14ac:dyDescent="0.25">
      <c r="A240" s="165" t="s">
        <v>351</v>
      </c>
      <c r="B240" s="177"/>
      <c r="C240" s="177"/>
      <c r="D240" s="177"/>
      <c r="E240" s="177"/>
      <c r="F240" s="180"/>
      <c r="G240" s="177" t="str">
        <f t="shared" si="91"/>
        <v>inválido</v>
      </c>
      <c r="H240" s="177">
        <f>IF(B240="",0,C234)</f>
        <v>0</v>
      </c>
      <c r="I240" s="178" t="str">
        <f t="shared" si="92"/>
        <v>inválido</v>
      </c>
      <c r="J240" s="178" t="str">
        <f t="shared" si="93"/>
        <v>inválido</v>
      </c>
      <c r="K240" s="178" t="str">
        <f t="shared" si="94"/>
        <v>inválido</v>
      </c>
    </row>
    <row r="241" spans="1:11" s="167" customFormat="1" ht="20.25" hidden="1" customHeight="1" x14ac:dyDescent="0.25">
      <c r="A241" s="165" t="s">
        <v>352</v>
      </c>
      <c r="B241" s="177"/>
      <c r="C241" s="177"/>
      <c r="D241" s="177"/>
      <c r="E241" s="177"/>
      <c r="F241" s="180"/>
      <c r="G241" s="177" t="str">
        <f t="shared" si="91"/>
        <v>inválido</v>
      </c>
      <c r="H241" s="177">
        <f>IF(B241="",0,C234)</f>
        <v>0</v>
      </c>
      <c r="I241" s="178" t="str">
        <f t="shared" si="92"/>
        <v>inválido</v>
      </c>
      <c r="J241" s="178" t="str">
        <f t="shared" si="93"/>
        <v>inválido</v>
      </c>
      <c r="K241" s="178" t="str">
        <f t="shared" si="94"/>
        <v>inválido</v>
      </c>
    </row>
    <row r="242" spans="1:11" s="167" customFormat="1" ht="20.25" customHeight="1" x14ac:dyDescent="0.25">
      <c r="A242" s="197" t="s">
        <v>328</v>
      </c>
      <c r="B242" s="197"/>
      <c r="C242" s="197"/>
      <c r="D242" s="197"/>
      <c r="E242" s="197"/>
      <c r="F242" s="197"/>
      <c r="G242" s="197"/>
      <c r="H242" s="197"/>
      <c r="I242" s="181">
        <f>SUM(I236:I241)</f>
        <v>649.77</v>
      </c>
      <c r="J242" s="182">
        <f>I242*12</f>
        <v>7797.24</v>
      </c>
      <c r="K242" s="182">
        <f>I242*60</f>
        <v>38986.199999999997</v>
      </c>
    </row>
    <row r="243" spans="1:11" s="167" customFormat="1" ht="20.25" customHeight="1" x14ac:dyDescent="0.25">
      <c r="A243" s="197" t="s">
        <v>302</v>
      </c>
      <c r="B243" s="197"/>
      <c r="C243" s="197"/>
      <c r="D243" s="197"/>
      <c r="E243" s="197"/>
      <c r="F243" s="197"/>
      <c r="G243" s="197"/>
      <c r="H243" s="197"/>
      <c r="I243" s="197"/>
      <c r="J243" s="197"/>
      <c r="K243" s="182">
        <f>IFERROR(I242/C234,"definir")</f>
        <v>108.295</v>
      </c>
    </row>
    <row r="244" spans="1:11" s="167" customFormat="1" ht="20.25" customHeight="1" x14ac:dyDescent="0.25">
      <c r="A244" s="183" t="s">
        <v>273</v>
      </c>
      <c r="B244" s="188" t="s">
        <v>19</v>
      </c>
      <c r="C244" s="189"/>
      <c r="D244" s="189"/>
      <c r="E244" s="189"/>
      <c r="F244" s="189"/>
      <c r="G244" s="189"/>
      <c r="H244" s="189"/>
      <c r="I244" s="189"/>
      <c r="J244" s="189"/>
      <c r="K244" s="190"/>
    </row>
    <row r="245" spans="1:11" s="167" customFormat="1" ht="20.25" customHeight="1" x14ac:dyDescent="0.25">
      <c r="A245" s="165">
        <v>1</v>
      </c>
      <c r="B245" s="165" t="s">
        <v>274</v>
      </c>
      <c r="C245" s="200" t="str">
        <f>'planilha - proposta'!C61</f>
        <v>Bombeiro Civil</v>
      </c>
      <c r="D245" s="198"/>
      <c r="E245" s="198"/>
      <c r="F245" s="198"/>
      <c r="G245" s="198"/>
      <c r="H245" s="198"/>
      <c r="I245" s="198"/>
      <c r="J245" s="198"/>
      <c r="K245" s="199"/>
    </row>
    <row r="246" spans="1:11" s="167" customFormat="1" ht="20.25" customHeight="1" x14ac:dyDescent="0.25">
      <c r="A246" s="165">
        <v>2</v>
      </c>
      <c r="B246" s="165" t="s">
        <v>334</v>
      </c>
      <c r="C246" s="201">
        <f>'planilha - proposta'!E61+'planilha - proposta'!E62</f>
        <v>8</v>
      </c>
      <c r="D246" s="192"/>
      <c r="E246" s="192"/>
      <c r="F246" s="192"/>
      <c r="G246" s="192"/>
      <c r="H246" s="192"/>
      <c r="I246" s="192"/>
      <c r="J246" s="192"/>
      <c r="K246" s="193"/>
    </row>
    <row r="247" spans="1:11" s="167" customFormat="1" ht="36" customHeight="1" x14ac:dyDescent="0.25">
      <c r="A247" s="175" t="s">
        <v>273</v>
      </c>
      <c r="B247" s="196" t="s">
        <v>275</v>
      </c>
      <c r="C247" s="166" t="s">
        <v>335</v>
      </c>
      <c r="D247" s="166" t="s">
        <v>336</v>
      </c>
      <c r="E247" s="166" t="s">
        <v>337</v>
      </c>
      <c r="F247" s="166" t="s">
        <v>338</v>
      </c>
      <c r="G247" s="166" t="s">
        <v>339</v>
      </c>
      <c r="H247" s="166" t="s">
        <v>318</v>
      </c>
      <c r="I247" s="166" t="s">
        <v>340</v>
      </c>
      <c r="J247" s="166" t="s">
        <v>341</v>
      </c>
      <c r="K247" s="166" t="s">
        <v>342</v>
      </c>
    </row>
    <row r="248" spans="1:11" s="167" customFormat="1" ht="20.25" customHeight="1" x14ac:dyDescent="0.25">
      <c r="A248" s="165" t="s">
        <v>343</v>
      </c>
      <c r="B248" s="177" t="s">
        <v>370</v>
      </c>
      <c r="C248" s="177">
        <v>1</v>
      </c>
      <c r="D248" s="177" t="s">
        <v>290</v>
      </c>
      <c r="E248" s="177" t="s">
        <v>298</v>
      </c>
      <c r="F248" s="176">
        <v>130</v>
      </c>
      <c r="G248" s="177">
        <f t="shared" ref="G248:G253" si="95">IF(E248="mensal", 12, IF(E248="trimestral", 4, IF(E248="semestral", 2, IF(E248="anual", 1, "inválido"))))</f>
        <v>1</v>
      </c>
      <c r="H248" s="177">
        <f t="shared" ref="H248:H256" si="96">IF(B248="",0,$C$246)</f>
        <v>8</v>
      </c>
      <c r="I248" s="178">
        <f>IFERROR((F248*C248*G248*H248)/12,"inválido")</f>
        <v>86.666666666666671</v>
      </c>
      <c r="J248" s="178">
        <f>IFERROR(G248*F248*C248*H248,"inválido")</f>
        <v>1040</v>
      </c>
      <c r="K248" s="178">
        <f>IFERROR(I248*60,"inválido")</f>
        <v>5200</v>
      </c>
    </row>
    <row r="249" spans="1:11" s="167" customFormat="1" ht="20.25" customHeight="1" x14ac:dyDescent="0.25">
      <c r="A249" s="165" t="s">
        <v>345</v>
      </c>
      <c r="B249" s="177" t="s">
        <v>346</v>
      </c>
      <c r="C249" s="177">
        <v>2</v>
      </c>
      <c r="D249" s="177" t="s">
        <v>290</v>
      </c>
      <c r="E249" s="177" t="s">
        <v>300</v>
      </c>
      <c r="F249" s="176">
        <v>121.67</v>
      </c>
      <c r="G249" s="177">
        <f t="shared" si="95"/>
        <v>2</v>
      </c>
      <c r="H249" s="177">
        <f t="shared" si="96"/>
        <v>8</v>
      </c>
      <c r="I249" s="178">
        <f>IFERROR((F249*C249*G249*H249)/12,"inválido")</f>
        <v>324.45333333333332</v>
      </c>
      <c r="J249" s="178">
        <f t="shared" ref="J249:J256" si="97">IFERROR(G249*F249*C249*H249,"inválido")</f>
        <v>3893.44</v>
      </c>
      <c r="K249" s="178">
        <f t="shared" ref="K249:K256" si="98">IFERROR(I249*60,"inválido")</f>
        <v>19467.2</v>
      </c>
    </row>
    <row r="250" spans="1:11" s="167" customFormat="1" ht="20.25" customHeight="1" x14ac:dyDescent="0.25">
      <c r="A250" s="165" t="s">
        <v>347</v>
      </c>
      <c r="B250" s="177" t="s">
        <v>368</v>
      </c>
      <c r="C250" s="177">
        <v>1</v>
      </c>
      <c r="D250" s="177" t="s">
        <v>290</v>
      </c>
      <c r="E250" s="177" t="s">
        <v>300</v>
      </c>
      <c r="F250" s="176">
        <v>39.9</v>
      </c>
      <c r="G250" s="177">
        <f t="shared" si="95"/>
        <v>2</v>
      </c>
      <c r="H250" s="177">
        <f t="shared" si="96"/>
        <v>8</v>
      </c>
      <c r="I250" s="178">
        <f>IFERROR((F250*C250*G250*H250)/12,"inválido")</f>
        <v>53.199999999999996</v>
      </c>
      <c r="J250" s="178">
        <f t="shared" si="97"/>
        <v>638.4</v>
      </c>
      <c r="K250" s="178">
        <f t="shared" si="98"/>
        <v>3191.9999999999995</v>
      </c>
    </row>
    <row r="251" spans="1:11" s="167" customFormat="1" ht="20.25" customHeight="1" x14ac:dyDescent="0.25">
      <c r="A251" s="165" t="s">
        <v>349</v>
      </c>
      <c r="B251" s="177" t="s">
        <v>344</v>
      </c>
      <c r="C251" s="177">
        <v>2</v>
      </c>
      <c r="D251" s="177" t="s">
        <v>290</v>
      </c>
      <c r="E251" s="177" t="s">
        <v>300</v>
      </c>
      <c r="F251" s="176">
        <v>30.55</v>
      </c>
      <c r="G251" s="177">
        <f t="shared" si="95"/>
        <v>2</v>
      </c>
      <c r="H251" s="177">
        <f t="shared" si="96"/>
        <v>8</v>
      </c>
      <c r="I251" s="178">
        <f>IFERROR((F251*C251*G251*H251)/12,"inválido")</f>
        <v>81.466666666666669</v>
      </c>
      <c r="J251" s="178">
        <f t="shared" si="97"/>
        <v>977.6</v>
      </c>
      <c r="K251" s="178">
        <f t="shared" si="98"/>
        <v>4888</v>
      </c>
    </row>
    <row r="252" spans="1:11" s="167" customFormat="1" ht="20.25" customHeight="1" x14ac:dyDescent="0.25">
      <c r="A252" s="165" t="s">
        <v>351</v>
      </c>
      <c r="B252" s="177" t="s">
        <v>372</v>
      </c>
      <c r="C252" s="177">
        <v>1</v>
      </c>
      <c r="D252" s="177" t="s">
        <v>290</v>
      </c>
      <c r="E252" s="177" t="s">
        <v>300</v>
      </c>
      <c r="F252" s="176">
        <v>2475.37</v>
      </c>
      <c r="G252" s="177">
        <f t="shared" si="95"/>
        <v>2</v>
      </c>
      <c r="H252" s="177">
        <f t="shared" si="96"/>
        <v>8</v>
      </c>
      <c r="I252" s="178">
        <f>IFERROR((F252*C252*G252*H252)/12,"inválido")</f>
        <v>3300.4933333333333</v>
      </c>
      <c r="J252" s="178">
        <f t="shared" si="97"/>
        <v>39605.919999999998</v>
      </c>
      <c r="K252" s="178">
        <f t="shared" si="98"/>
        <v>198029.6</v>
      </c>
    </row>
    <row r="253" spans="1:11" s="167" customFormat="1" ht="20.25" customHeight="1" x14ac:dyDescent="0.25">
      <c r="A253" s="165" t="s">
        <v>352</v>
      </c>
      <c r="B253" s="177" t="s">
        <v>348</v>
      </c>
      <c r="C253" s="177">
        <v>2</v>
      </c>
      <c r="D253" s="177" t="s">
        <v>315</v>
      </c>
      <c r="E253" s="177" t="s">
        <v>298</v>
      </c>
      <c r="F253" s="176">
        <v>159.99</v>
      </c>
      <c r="G253" s="177">
        <f t="shared" si="95"/>
        <v>1</v>
      </c>
      <c r="H253" s="177">
        <f t="shared" si="96"/>
        <v>8</v>
      </c>
      <c r="I253" s="178">
        <f t="shared" ref="I253:I256" si="99">IFERROR((F253*C253*G253*H253)/12,"inválido")</f>
        <v>213.32000000000002</v>
      </c>
      <c r="J253" s="178">
        <f t="shared" si="97"/>
        <v>2559.84</v>
      </c>
      <c r="K253" s="178">
        <f t="shared" si="98"/>
        <v>12799.2</v>
      </c>
    </row>
    <row r="254" spans="1:11" s="167" customFormat="1" ht="20.25" customHeight="1" x14ac:dyDescent="0.25">
      <c r="A254" s="165" t="s">
        <v>353</v>
      </c>
      <c r="B254" s="177" t="s">
        <v>366</v>
      </c>
      <c r="C254" s="177">
        <v>3</v>
      </c>
      <c r="D254" s="177" t="s">
        <v>315</v>
      </c>
      <c r="E254" s="177" t="s">
        <v>300</v>
      </c>
      <c r="F254" s="176">
        <v>6.33</v>
      </c>
      <c r="G254" s="177">
        <f t="shared" ref="G254:G256" si="100">IF(E254="mensal", 12, IF(E254="trimestral", 4, IF(E254="semestral", 2, IF(E254="anual", 1, "inválido"))))</f>
        <v>2</v>
      </c>
      <c r="H254" s="177">
        <f t="shared" si="96"/>
        <v>8</v>
      </c>
      <c r="I254" s="178">
        <f t="shared" si="99"/>
        <v>25.320000000000004</v>
      </c>
      <c r="J254" s="178">
        <f t="shared" si="97"/>
        <v>303.84000000000003</v>
      </c>
      <c r="K254" s="178">
        <f t="shared" si="98"/>
        <v>1519.2000000000003</v>
      </c>
    </row>
    <row r="255" spans="1:11" s="167" customFormat="1" ht="20.25" customHeight="1" x14ac:dyDescent="0.25">
      <c r="A255" s="165" t="s">
        <v>354</v>
      </c>
      <c r="B255" s="177" t="s">
        <v>373</v>
      </c>
      <c r="C255" s="177">
        <v>2</v>
      </c>
      <c r="D255" s="177" t="s">
        <v>315</v>
      </c>
      <c r="E255" s="177" t="s">
        <v>300</v>
      </c>
      <c r="F255" s="176">
        <f>(4.99+5+4.5)/3</f>
        <v>4.83</v>
      </c>
      <c r="G255" s="177">
        <f t="shared" si="100"/>
        <v>2</v>
      </c>
      <c r="H255" s="177">
        <f t="shared" si="96"/>
        <v>8</v>
      </c>
      <c r="I255" s="178">
        <f t="shared" si="99"/>
        <v>12.88</v>
      </c>
      <c r="J255" s="178">
        <f t="shared" si="97"/>
        <v>154.56</v>
      </c>
      <c r="K255" s="178">
        <f t="shared" si="98"/>
        <v>772.80000000000007</v>
      </c>
    </row>
    <row r="256" spans="1:11" s="167" customFormat="1" ht="20.25" hidden="1" customHeight="1" x14ac:dyDescent="0.25">
      <c r="A256" s="165"/>
      <c r="B256" s="177"/>
      <c r="C256" s="177"/>
      <c r="D256" s="177"/>
      <c r="E256" s="177"/>
      <c r="F256" s="180"/>
      <c r="G256" s="177" t="str">
        <f t="shared" si="100"/>
        <v>inválido</v>
      </c>
      <c r="H256" s="177">
        <f t="shared" si="96"/>
        <v>0</v>
      </c>
      <c r="I256" s="178" t="str">
        <f t="shared" si="99"/>
        <v>inválido</v>
      </c>
      <c r="J256" s="178" t="str">
        <f t="shared" si="97"/>
        <v>inválido</v>
      </c>
      <c r="K256" s="178" t="str">
        <f t="shared" si="98"/>
        <v>inválido</v>
      </c>
    </row>
    <row r="257" spans="1:13" s="167" customFormat="1" ht="20.25" hidden="1" customHeight="1" x14ac:dyDescent="0.25">
      <c r="A257" s="165"/>
      <c r="B257" s="177"/>
      <c r="C257" s="177"/>
      <c r="D257" s="177"/>
      <c r="E257" s="177"/>
      <c r="F257" s="180"/>
      <c r="G257" s="177" t="str">
        <f t="shared" ref="G257:G261" si="101">IF(E257="mensal", 12, IF(E257="trimestral", 4, IF(E257="semestral", 2, IF(E257="anual", 1, "inválido"))))</f>
        <v>inválido</v>
      </c>
      <c r="H257" s="177">
        <f t="shared" ref="H257" si="102">IF(B257="",0,$C$246)</f>
        <v>0</v>
      </c>
      <c r="I257" s="178" t="str">
        <f t="shared" ref="I257:I261" si="103">IFERROR((F257*C257*G257*H257)/12,"inválido")</f>
        <v>inválido</v>
      </c>
      <c r="J257" s="178" t="str">
        <f t="shared" ref="J257:J261" si="104">IFERROR(G257*F257*C257*H257,"inválido")</f>
        <v>inválido</v>
      </c>
      <c r="K257" s="178" t="str">
        <f t="shared" ref="K257:K261" si="105">IFERROR(I257*60,"inválido")</f>
        <v>inválido</v>
      </c>
    </row>
    <row r="258" spans="1:13" s="167" customFormat="1" ht="20.25" hidden="1" customHeight="1" x14ac:dyDescent="0.25">
      <c r="A258" s="165"/>
      <c r="B258" s="177"/>
      <c r="C258" s="177"/>
      <c r="D258" s="177"/>
      <c r="E258" s="177"/>
      <c r="F258" s="180"/>
      <c r="G258" s="177" t="str">
        <f t="shared" si="101"/>
        <v>inválido</v>
      </c>
      <c r="H258" s="177">
        <f>IF(B258="",0,C246)</f>
        <v>0</v>
      </c>
      <c r="I258" s="178" t="str">
        <f t="shared" si="103"/>
        <v>inválido</v>
      </c>
      <c r="J258" s="178" t="str">
        <f t="shared" si="104"/>
        <v>inválido</v>
      </c>
      <c r="K258" s="178" t="str">
        <f t="shared" si="105"/>
        <v>inválido</v>
      </c>
    </row>
    <row r="259" spans="1:13" s="167" customFormat="1" ht="20.25" hidden="1" customHeight="1" x14ac:dyDescent="0.25">
      <c r="A259" s="165"/>
      <c r="B259" s="177"/>
      <c r="C259" s="177"/>
      <c r="D259" s="177"/>
      <c r="E259" s="177"/>
      <c r="F259" s="180"/>
      <c r="G259" s="177" t="str">
        <f t="shared" si="101"/>
        <v>inválido</v>
      </c>
      <c r="H259" s="177">
        <f>IF(B259="",0,C246)</f>
        <v>0</v>
      </c>
      <c r="I259" s="178" t="str">
        <f t="shared" si="103"/>
        <v>inválido</v>
      </c>
      <c r="J259" s="178" t="str">
        <f t="shared" si="104"/>
        <v>inválido</v>
      </c>
      <c r="K259" s="178" t="str">
        <f t="shared" si="105"/>
        <v>inválido</v>
      </c>
    </row>
    <row r="260" spans="1:13" s="167" customFormat="1" ht="20.25" hidden="1" customHeight="1" x14ac:dyDescent="0.25">
      <c r="A260" s="165"/>
      <c r="B260" s="177"/>
      <c r="C260" s="177"/>
      <c r="D260" s="177"/>
      <c r="E260" s="177"/>
      <c r="F260" s="180"/>
      <c r="G260" s="177" t="str">
        <f t="shared" si="101"/>
        <v>inválido</v>
      </c>
      <c r="H260" s="177">
        <f>IF(B260="",0,C246)</f>
        <v>0</v>
      </c>
      <c r="I260" s="178" t="str">
        <f t="shared" si="103"/>
        <v>inválido</v>
      </c>
      <c r="J260" s="178" t="str">
        <f t="shared" si="104"/>
        <v>inválido</v>
      </c>
      <c r="K260" s="178" t="str">
        <f t="shared" si="105"/>
        <v>inválido</v>
      </c>
    </row>
    <row r="261" spans="1:13" s="167" customFormat="1" ht="20.25" hidden="1" customHeight="1" x14ac:dyDescent="0.25">
      <c r="A261" s="165"/>
      <c r="B261" s="177"/>
      <c r="C261" s="177"/>
      <c r="D261" s="177"/>
      <c r="E261" s="177"/>
      <c r="F261" s="180"/>
      <c r="G261" s="177" t="str">
        <f t="shared" si="101"/>
        <v>inválido</v>
      </c>
      <c r="H261" s="177">
        <f>IF(B261="",0,C246)</f>
        <v>0</v>
      </c>
      <c r="I261" s="178" t="str">
        <f t="shared" si="103"/>
        <v>inválido</v>
      </c>
      <c r="J261" s="178" t="str">
        <f t="shared" si="104"/>
        <v>inválido</v>
      </c>
      <c r="K261" s="178" t="str">
        <f t="shared" si="105"/>
        <v>inválido</v>
      </c>
    </row>
    <row r="262" spans="1:13" s="167" customFormat="1" ht="20.25" customHeight="1" x14ac:dyDescent="0.25">
      <c r="A262" s="197" t="s">
        <v>320</v>
      </c>
      <c r="B262" s="197"/>
      <c r="C262" s="197"/>
      <c r="D262" s="197"/>
      <c r="E262" s="197"/>
      <c r="F262" s="197"/>
      <c r="G262" s="197"/>
      <c r="H262" s="197"/>
      <c r="I262" s="181">
        <f>SUM(I248:I261)</f>
        <v>4097.8</v>
      </c>
      <c r="J262" s="182">
        <f>I262*12</f>
        <v>49173.600000000006</v>
      </c>
      <c r="K262" s="182">
        <f>I262*60</f>
        <v>245868</v>
      </c>
    </row>
    <row r="263" spans="1:13" s="167" customFormat="1" ht="20.25" customHeight="1" x14ac:dyDescent="0.25">
      <c r="A263" s="197" t="s">
        <v>302</v>
      </c>
      <c r="B263" s="197"/>
      <c r="C263" s="197"/>
      <c r="D263" s="197"/>
      <c r="E263" s="197"/>
      <c r="F263" s="197"/>
      <c r="G263" s="197"/>
      <c r="H263" s="197"/>
      <c r="I263" s="197"/>
      <c r="J263" s="197"/>
      <c r="K263" s="182">
        <f>IFERROR(I262/C246,"definir")</f>
        <v>512.22500000000002</v>
      </c>
      <c r="M263" s="179"/>
    </row>
    <row r="264" spans="1:13" s="167" customFormat="1" ht="20.25" customHeight="1" x14ac:dyDescent="0.25"/>
  </sheetData>
  <dataValidations count="2">
    <dataValidation type="list" allowBlank="1" showInputMessage="1" showErrorMessage="1" sqref="E9:E17 E24:E30 E37:E43 E50:E55 E62:E68 E75:E81 E88:E93 E248:E261 E112:E118 E125:E130 E137:E142 E188:E193 E161:E169 E176:E181 E100:E105 E200:E205 E212:E217 E224:E229 E236:E241 E149:E154">
      <formula1>"mensal, trimestral, semestral, anual"</formula1>
    </dataValidation>
    <dataValidation type="list" allowBlank="1" showInputMessage="1" showErrorMessage="1" sqref="D9:D17 D24:D30 D37:D43 D50:D55 D62:D68 D75:D81 D88:D93 D212:D217 D112:D118 D125:D130 D137:D142 D188:D193 D161:D169 D176:D181 D100:D105 D200:D205 D248:D261 D224:D229 D236:D241 D149:D154">
      <formula1>"par, unidade"</formula1>
    </dataValidation>
  </dataValidations>
  <printOptions horizontalCentered="1"/>
  <pageMargins left="0.62992125984251968" right="0.62992125984251968" top="0.19685039370078741" bottom="0.19685039370078741" header="0" footer="0"/>
  <pageSetup paperSize="9" scale="86" fitToHeight="0" orientation="landscape" r:id="rId1"/>
  <ignoredErrors>
    <ignoredError sqref="F255" unlockedFormula="1"/>
  </ignoredError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9900"/>
    <pageSetUpPr fitToPage="1"/>
  </sheetPr>
  <dimension ref="A1:M53"/>
  <sheetViews>
    <sheetView showGridLines="0" zoomScaleNormal="100" workbookViewId="0">
      <selection activeCell="C25" sqref="C25"/>
    </sheetView>
  </sheetViews>
  <sheetFormatPr defaultColWidth="15" defaultRowHeight="15" x14ac:dyDescent="0.25"/>
  <cols>
    <col min="1" max="1" width="7.140625" style="1" customWidth="1"/>
    <col min="2" max="2" width="47" style="1" customWidth="1"/>
    <col min="3" max="4" width="14.85546875" style="1" customWidth="1"/>
    <col min="5" max="8" width="19.85546875" style="1" customWidth="1"/>
    <col min="9" max="9" width="19.85546875" style="58" customWidth="1"/>
    <col min="10" max="10" width="3.7109375" style="205" customWidth="1"/>
    <col min="11" max="12" width="15" style="51" hidden="1" customWidth="1"/>
    <col min="13" max="13" width="0" style="207" hidden="1" customWidth="1"/>
    <col min="14" max="16384" width="15" style="1"/>
  </cols>
  <sheetData>
    <row r="1" spans="1:13" ht="18.75" customHeight="1" x14ac:dyDescent="0.25">
      <c r="A1" s="130" t="s">
        <v>16</v>
      </c>
      <c r="B1" s="131"/>
      <c r="C1" s="131"/>
      <c r="D1" s="131"/>
      <c r="E1" s="131"/>
      <c r="F1" s="131"/>
      <c r="G1" s="131"/>
      <c r="H1" s="131"/>
      <c r="I1" s="131"/>
      <c r="J1" s="204"/>
      <c r="K1" s="50"/>
      <c r="L1" s="50"/>
    </row>
    <row r="2" spans="1:13" ht="15.75" customHeight="1" x14ac:dyDescent="0.25">
      <c r="A2" s="258" t="s">
        <v>17</v>
      </c>
      <c r="B2" s="258"/>
      <c r="C2" s="258"/>
      <c r="D2" s="258"/>
      <c r="E2" s="258"/>
      <c r="F2" s="258"/>
      <c r="G2" s="258"/>
      <c r="H2" s="258"/>
      <c r="I2" s="258"/>
      <c r="J2" s="204"/>
      <c r="K2" s="50"/>
      <c r="L2" s="50"/>
    </row>
    <row r="3" spans="1:13" ht="15" customHeight="1" x14ac:dyDescent="0.25">
      <c r="A3" s="259" t="s">
        <v>374</v>
      </c>
      <c r="B3" s="259"/>
      <c r="C3" s="259"/>
      <c r="D3" s="259"/>
      <c r="E3" s="259"/>
      <c r="F3" s="259"/>
      <c r="G3" s="259"/>
      <c r="H3" s="259"/>
      <c r="I3" s="259"/>
      <c r="J3" s="204"/>
      <c r="K3" s="50"/>
      <c r="L3" s="50"/>
    </row>
    <row r="4" spans="1:13" ht="15" customHeight="1" x14ac:dyDescent="0.25">
      <c r="A4" s="6"/>
      <c r="B4" s="6"/>
      <c r="C4" s="6"/>
      <c r="D4" s="6"/>
      <c r="E4" s="6"/>
      <c r="F4" s="6"/>
      <c r="G4" s="6"/>
      <c r="H4" s="6"/>
      <c r="I4" s="6"/>
      <c r="J4" s="204"/>
      <c r="K4" s="50"/>
      <c r="L4" s="50"/>
    </row>
    <row r="5" spans="1:13" x14ac:dyDescent="0.25">
      <c r="A5" s="203" t="s">
        <v>273</v>
      </c>
      <c r="B5" s="260" t="s">
        <v>375</v>
      </c>
      <c r="C5" s="260"/>
      <c r="D5" s="260"/>
      <c r="E5" s="260"/>
      <c r="F5" s="260"/>
      <c r="G5" s="260"/>
      <c r="H5" s="260"/>
      <c r="I5" s="260"/>
    </row>
    <row r="6" spans="1:13" x14ac:dyDescent="0.25">
      <c r="A6" s="62">
        <v>1</v>
      </c>
      <c r="B6" s="63" t="s">
        <v>376</v>
      </c>
      <c r="C6" s="261" t="s">
        <v>377</v>
      </c>
      <c r="D6" s="261"/>
      <c r="E6" s="261"/>
      <c r="F6" s="261"/>
      <c r="G6" s="261"/>
      <c r="H6" s="261"/>
      <c r="I6" s="261"/>
    </row>
    <row r="7" spans="1:13" x14ac:dyDescent="0.25">
      <c r="A7" s="62">
        <v>2</v>
      </c>
      <c r="B7" s="63" t="s">
        <v>378</v>
      </c>
      <c r="C7" s="256">
        <f>SUM(K9:K16)</f>
        <v>73</v>
      </c>
      <c r="D7" s="256"/>
      <c r="E7" s="256"/>
      <c r="F7" s="256"/>
      <c r="G7" s="256"/>
      <c r="H7" s="256"/>
      <c r="I7" s="256"/>
    </row>
    <row r="8" spans="1:13" ht="25.5" x14ac:dyDescent="0.25">
      <c r="A8" s="64" t="s">
        <v>273</v>
      </c>
      <c r="B8" s="65" t="s">
        <v>379</v>
      </c>
      <c r="C8" s="65" t="s">
        <v>380</v>
      </c>
      <c r="D8" s="65" t="s">
        <v>336</v>
      </c>
      <c r="E8" s="65" t="s">
        <v>338</v>
      </c>
      <c r="F8" s="65" t="s">
        <v>381</v>
      </c>
      <c r="G8" s="65" t="s">
        <v>382</v>
      </c>
      <c r="H8" s="65" t="s">
        <v>383</v>
      </c>
      <c r="I8" s="65" t="s">
        <v>286</v>
      </c>
      <c r="L8" s="52" t="s">
        <v>165</v>
      </c>
    </row>
    <row r="9" spans="1:13" ht="15" customHeight="1" x14ac:dyDescent="0.25">
      <c r="A9" s="62">
        <v>1</v>
      </c>
      <c r="B9" s="126" t="s">
        <v>165</v>
      </c>
      <c r="C9" s="127">
        <v>3</v>
      </c>
      <c r="D9" s="68" t="s">
        <v>290</v>
      </c>
      <c r="E9" s="128">
        <v>2165</v>
      </c>
      <c r="F9" s="67">
        <v>60</v>
      </c>
      <c r="G9" s="129">
        <f>((E9*0.8)*C9)/F9</f>
        <v>86.6</v>
      </c>
      <c r="H9" s="129">
        <f>G9*12</f>
        <v>1039.1999999999998</v>
      </c>
      <c r="I9" s="129">
        <f>G9*60</f>
        <v>5196</v>
      </c>
      <c r="K9" s="53">
        <f>SUMIF('planilha - proposta'!C17:C62,Radios!B9,'planilha - proposta'!E17:E62)</f>
        <v>6</v>
      </c>
      <c r="L9" s="52" t="s">
        <v>170</v>
      </c>
      <c r="M9" s="208"/>
    </row>
    <row r="10" spans="1:13" x14ac:dyDescent="0.25">
      <c r="A10" s="62">
        <v>2</v>
      </c>
      <c r="B10" s="126" t="s">
        <v>248</v>
      </c>
      <c r="C10" s="127">
        <v>11</v>
      </c>
      <c r="D10" s="68" t="s">
        <v>290</v>
      </c>
      <c r="E10" s="128">
        <v>2165</v>
      </c>
      <c r="F10" s="67">
        <v>60</v>
      </c>
      <c r="G10" s="129">
        <f t="shared" ref="G10:G16" si="0">((E10*0.8)*C10)/F10</f>
        <v>317.53333333333336</v>
      </c>
      <c r="H10" s="129">
        <f t="shared" ref="H10:H16" si="1">G10*12</f>
        <v>3810.4000000000005</v>
      </c>
      <c r="I10" s="129">
        <f t="shared" ref="I10:I12" si="2">G10*60</f>
        <v>19052</v>
      </c>
      <c r="K10" s="53">
        <f>SUMIF('planilha - proposta'!C18:C63,Radios!B10,'planilha - proposta'!E18:E63)</f>
        <v>21</v>
      </c>
      <c r="L10" s="52" t="s">
        <v>175</v>
      </c>
      <c r="M10" s="208"/>
    </row>
    <row r="11" spans="1:13" x14ac:dyDescent="0.25">
      <c r="A11" s="62">
        <v>3</v>
      </c>
      <c r="B11" s="126" t="s">
        <v>265</v>
      </c>
      <c r="C11" s="127">
        <v>5</v>
      </c>
      <c r="D11" s="68" t="s">
        <v>290</v>
      </c>
      <c r="E11" s="128">
        <v>2165</v>
      </c>
      <c r="F11" s="67">
        <v>60</v>
      </c>
      <c r="G11" s="129">
        <f t="shared" si="0"/>
        <v>144.33333333333334</v>
      </c>
      <c r="H11" s="129">
        <f t="shared" si="1"/>
        <v>1732</v>
      </c>
      <c r="I11" s="129">
        <f t="shared" si="2"/>
        <v>8660</v>
      </c>
      <c r="K11" s="53">
        <f>SUMIF('planilha - proposta'!C19:C63,Radios!B11,'planilha - proposta'!E19:E63)</f>
        <v>8</v>
      </c>
      <c r="L11" s="52" t="s">
        <v>180</v>
      </c>
      <c r="M11" s="208"/>
    </row>
    <row r="12" spans="1:13" x14ac:dyDescent="0.25">
      <c r="A12" s="62">
        <v>4</v>
      </c>
      <c r="B12" s="126" t="s">
        <v>184</v>
      </c>
      <c r="C12" s="127">
        <v>6</v>
      </c>
      <c r="D12" s="68" t="s">
        <v>290</v>
      </c>
      <c r="E12" s="128">
        <v>2165</v>
      </c>
      <c r="F12" s="67">
        <v>60</v>
      </c>
      <c r="G12" s="129">
        <f t="shared" si="0"/>
        <v>173.2</v>
      </c>
      <c r="H12" s="129">
        <f t="shared" si="1"/>
        <v>2078.3999999999996</v>
      </c>
      <c r="I12" s="129">
        <f t="shared" si="2"/>
        <v>10392</v>
      </c>
      <c r="K12" s="53">
        <f>SUMIF('planilha - proposta'!C20:C64,Radios!B12,'planilha - proposta'!E20:E64)</f>
        <v>15</v>
      </c>
      <c r="L12" s="52" t="s">
        <v>184</v>
      </c>
    </row>
    <row r="13" spans="1:13" x14ac:dyDescent="0.25">
      <c r="A13" s="62">
        <v>5</v>
      </c>
      <c r="B13" s="126" t="s">
        <v>217</v>
      </c>
      <c r="C13" s="127">
        <v>3</v>
      </c>
      <c r="D13" s="68" t="s">
        <v>290</v>
      </c>
      <c r="E13" s="128">
        <v>2165</v>
      </c>
      <c r="F13" s="67">
        <v>60</v>
      </c>
      <c r="G13" s="129">
        <f t="shared" si="0"/>
        <v>86.6</v>
      </c>
      <c r="H13" s="129">
        <f t="shared" si="1"/>
        <v>1039.1999999999998</v>
      </c>
      <c r="I13" s="129">
        <f t="shared" ref="I13" si="3">G13*60</f>
        <v>5196</v>
      </c>
      <c r="K13" s="53">
        <f>SUMIF('planilha - proposta'!C21:C65,Radios!B13,'planilha - proposta'!E21:E65)</f>
        <v>4</v>
      </c>
      <c r="L13" s="52" t="s">
        <v>190</v>
      </c>
    </row>
    <row r="14" spans="1:13" x14ac:dyDescent="0.25">
      <c r="A14" s="62">
        <v>6</v>
      </c>
      <c r="B14" s="126" t="s">
        <v>232</v>
      </c>
      <c r="C14" s="127">
        <v>7</v>
      </c>
      <c r="D14" s="68" t="s">
        <v>290</v>
      </c>
      <c r="E14" s="128">
        <v>2165</v>
      </c>
      <c r="F14" s="67">
        <v>60</v>
      </c>
      <c r="G14" s="129">
        <f t="shared" si="0"/>
        <v>202.06666666666666</v>
      </c>
      <c r="H14" s="129">
        <f t="shared" si="1"/>
        <v>2424.8000000000002</v>
      </c>
      <c r="I14" s="129">
        <f t="shared" ref="I14:I16" si="4">G14*60</f>
        <v>12124</v>
      </c>
      <c r="K14" s="53">
        <f>SUMIF('planilha - proposta'!C22:C66,Radios!B14,'planilha - proposta'!E22:E66)</f>
        <v>17</v>
      </c>
      <c r="L14" s="52" t="s">
        <v>197</v>
      </c>
    </row>
    <row r="15" spans="1:13" x14ac:dyDescent="0.25">
      <c r="A15" s="62">
        <v>7</v>
      </c>
      <c r="B15" s="126" t="s">
        <v>240</v>
      </c>
      <c r="C15" s="127">
        <v>1</v>
      </c>
      <c r="D15" s="68" t="s">
        <v>290</v>
      </c>
      <c r="E15" s="128">
        <v>2165</v>
      </c>
      <c r="F15" s="67">
        <v>60</v>
      </c>
      <c r="G15" s="129">
        <f t="shared" si="0"/>
        <v>28.866666666666667</v>
      </c>
      <c r="H15" s="129">
        <f t="shared" si="1"/>
        <v>346.4</v>
      </c>
      <c r="I15" s="129">
        <f t="shared" si="4"/>
        <v>1732</v>
      </c>
      <c r="K15" s="53">
        <f>SUMIF('planilha - proposta'!C23:C67,Radios!B15,'planilha - proposta'!E23:E67)</f>
        <v>1</v>
      </c>
      <c r="L15" s="52" t="s">
        <v>201</v>
      </c>
    </row>
    <row r="16" spans="1:13" x14ac:dyDescent="0.25">
      <c r="A16" s="62">
        <v>8</v>
      </c>
      <c r="B16" s="126" t="s">
        <v>244</v>
      </c>
      <c r="C16" s="127">
        <v>1</v>
      </c>
      <c r="D16" s="68" t="s">
        <v>290</v>
      </c>
      <c r="E16" s="128">
        <v>2165</v>
      </c>
      <c r="F16" s="67">
        <v>60</v>
      </c>
      <c r="G16" s="129">
        <f t="shared" si="0"/>
        <v>28.866666666666667</v>
      </c>
      <c r="H16" s="129">
        <f t="shared" si="1"/>
        <v>346.4</v>
      </c>
      <c r="I16" s="129">
        <f t="shared" si="4"/>
        <v>1732</v>
      </c>
      <c r="K16" s="53">
        <f>SUMIF('planilha - proposta'!C24:C68,Radios!B16,'planilha - proposta'!E24:E68)</f>
        <v>1</v>
      </c>
      <c r="L16" s="52" t="s">
        <v>207</v>
      </c>
    </row>
    <row r="17" spans="1:12" x14ac:dyDescent="0.25">
      <c r="A17" s="257" t="s">
        <v>384</v>
      </c>
      <c r="B17" s="257"/>
      <c r="C17" s="257"/>
      <c r="D17" s="257"/>
      <c r="E17" s="257"/>
      <c r="F17" s="257"/>
      <c r="G17" s="72">
        <f>SUM(G9:G16)</f>
        <v>1068.0666666666666</v>
      </c>
      <c r="H17" s="72">
        <f t="shared" ref="H17:I17" si="5">SUM(H9:H16)</f>
        <v>12816.8</v>
      </c>
      <c r="I17" s="72">
        <f t="shared" si="5"/>
        <v>64084</v>
      </c>
      <c r="K17" s="53"/>
      <c r="L17" s="52" t="s">
        <v>213</v>
      </c>
    </row>
    <row r="18" spans="1:12" x14ac:dyDescent="0.25">
      <c r="A18" s="253" t="s">
        <v>302</v>
      </c>
      <c r="B18" s="254"/>
      <c r="C18" s="254"/>
      <c r="D18" s="254"/>
      <c r="E18" s="254"/>
      <c r="F18" s="254"/>
      <c r="G18" s="254"/>
      <c r="H18" s="255"/>
      <c r="I18" s="72">
        <f>G17/C7</f>
        <v>14.631050228310501</v>
      </c>
      <c r="J18" s="206"/>
      <c r="L18" s="52" t="s">
        <v>217</v>
      </c>
    </row>
    <row r="19" spans="1:12" x14ac:dyDescent="0.25">
      <c r="A19" s="54" t="s">
        <v>385</v>
      </c>
      <c r="B19" s="55"/>
      <c r="C19" s="55"/>
      <c r="D19" s="55"/>
      <c r="E19" s="55"/>
      <c r="F19" s="55"/>
      <c r="G19" s="55"/>
      <c r="H19" s="55"/>
      <c r="I19" s="56"/>
      <c r="L19" s="52" t="s">
        <v>224</v>
      </c>
    </row>
    <row r="20" spans="1:12" ht="17.25" x14ac:dyDescent="0.25">
      <c r="A20" s="57" t="s">
        <v>386</v>
      </c>
      <c r="B20" s="55"/>
      <c r="C20" s="55"/>
      <c r="D20" s="55"/>
      <c r="E20" s="55"/>
      <c r="F20" s="55"/>
      <c r="G20" s="55"/>
      <c r="H20" s="55"/>
      <c r="I20" s="56"/>
      <c r="L20" s="52" t="s">
        <v>232</v>
      </c>
    </row>
    <row r="21" spans="1:12" x14ac:dyDescent="0.25">
      <c r="L21" s="52" t="s">
        <v>240</v>
      </c>
    </row>
    <row r="22" spans="1:12" x14ac:dyDescent="0.25">
      <c r="L22" s="52" t="s">
        <v>244</v>
      </c>
    </row>
    <row r="23" spans="1:12" x14ac:dyDescent="0.25">
      <c r="L23" s="52" t="s">
        <v>161</v>
      </c>
    </row>
    <row r="24" spans="1:12" x14ac:dyDescent="0.25">
      <c r="L24" s="52" t="s">
        <v>248</v>
      </c>
    </row>
    <row r="25" spans="1:12" x14ac:dyDescent="0.25">
      <c r="L25" s="52" t="s">
        <v>256</v>
      </c>
    </row>
    <row r="26" spans="1:12" x14ac:dyDescent="0.25">
      <c r="L26" s="52" t="s">
        <v>260</v>
      </c>
    </row>
    <row r="27" spans="1:12" x14ac:dyDescent="0.25">
      <c r="L27" s="52" t="s">
        <v>265</v>
      </c>
    </row>
    <row r="28" spans="1:12" x14ac:dyDescent="0.25">
      <c r="L28" s="59"/>
    </row>
    <row r="29" spans="1:12" x14ac:dyDescent="0.25">
      <c r="L29" s="59"/>
    </row>
    <row r="30" spans="1:12" x14ac:dyDescent="0.25">
      <c r="L30" s="59"/>
    </row>
    <row r="31" spans="1:12" x14ac:dyDescent="0.25">
      <c r="L31" s="59"/>
    </row>
    <row r="32" spans="1:12" x14ac:dyDescent="0.25">
      <c r="L32" s="59"/>
    </row>
    <row r="33" spans="12:12" x14ac:dyDescent="0.25">
      <c r="L33" s="59"/>
    </row>
    <row r="34" spans="12:12" x14ac:dyDescent="0.25">
      <c r="L34" s="59"/>
    </row>
    <row r="35" spans="12:12" x14ac:dyDescent="0.25">
      <c r="L35" s="59"/>
    </row>
    <row r="36" spans="12:12" x14ac:dyDescent="0.25">
      <c r="L36" s="59"/>
    </row>
    <row r="37" spans="12:12" x14ac:dyDescent="0.25">
      <c r="L37" s="59"/>
    </row>
    <row r="38" spans="12:12" x14ac:dyDescent="0.25">
      <c r="L38" s="59"/>
    </row>
    <row r="39" spans="12:12" x14ac:dyDescent="0.25">
      <c r="L39" s="59"/>
    </row>
    <row r="40" spans="12:12" x14ac:dyDescent="0.25">
      <c r="L40" s="59"/>
    </row>
    <row r="41" spans="12:12" x14ac:dyDescent="0.25">
      <c r="L41" s="59"/>
    </row>
    <row r="42" spans="12:12" x14ac:dyDescent="0.25">
      <c r="L42" s="59"/>
    </row>
    <row r="43" spans="12:12" x14ac:dyDescent="0.25">
      <c r="L43" s="59"/>
    </row>
    <row r="44" spans="12:12" x14ac:dyDescent="0.25">
      <c r="L44" s="59"/>
    </row>
    <row r="45" spans="12:12" x14ac:dyDescent="0.25">
      <c r="L45" s="59"/>
    </row>
    <row r="46" spans="12:12" x14ac:dyDescent="0.25">
      <c r="L46" s="59"/>
    </row>
    <row r="47" spans="12:12" x14ac:dyDescent="0.25">
      <c r="L47" s="59"/>
    </row>
    <row r="48" spans="12:12" x14ac:dyDescent="0.25">
      <c r="L48" s="59"/>
    </row>
    <row r="49" spans="12:12" x14ac:dyDescent="0.25">
      <c r="L49" s="59"/>
    </row>
    <row r="50" spans="12:12" x14ac:dyDescent="0.25">
      <c r="L50" s="59"/>
    </row>
    <row r="51" spans="12:12" x14ac:dyDescent="0.25">
      <c r="L51" s="59"/>
    </row>
    <row r="52" spans="12:12" x14ac:dyDescent="0.25">
      <c r="L52" s="59"/>
    </row>
    <row r="53" spans="12:12" x14ac:dyDescent="0.25">
      <c r="L53" s="59"/>
    </row>
  </sheetData>
  <mergeCells count="7">
    <mergeCell ref="A18:H18"/>
    <mergeCell ref="C7:I7"/>
    <mergeCell ref="A17:F17"/>
    <mergeCell ref="A2:I2"/>
    <mergeCell ref="A3:I3"/>
    <mergeCell ref="B5:I5"/>
    <mergeCell ref="C6:I6"/>
  </mergeCells>
  <dataValidations count="2">
    <dataValidation type="list" allowBlank="1" showInputMessage="1" showErrorMessage="1" sqref="D9:D16">
      <formula1>"par, unidade"</formula1>
    </dataValidation>
    <dataValidation type="list" allowBlank="1" showInputMessage="1" showErrorMessage="1" sqref="B9:B16">
      <formula1>$L$8:$L$27</formula1>
    </dataValidation>
  </dataValidations>
  <hyperlinks>
    <hyperlink ref="A20" r:id="rId1"/>
  </hyperlinks>
  <pageMargins left="0.51181102362204722" right="0.51181102362204722" top="0.39370078740157483" bottom="0.39370078740157483" header="0.31496062992125984" footer="0.31496062992125984"/>
  <pageSetup paperSize="9" scale="60" fitToHeight="0" orientation="portrait"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D501"/>
  <sheetViews>
    <sheetView workbookViewId="0">
      <selection activeCell="F237" sqref="F237"/>
    </sheetView>
  </sheetViews>
  <sheetFormatPr defaultRowHeight="15" x14ac:dyDescent="0.25"/>
  <cols>
    <col min="1" max="1" width="85.5703125" style="1" customWidth="1"/>
    <col min="2" max="2" width="17.7109375" style="1" customWidth="1"/>
    <col min="3" max="4" width="17.7109375" customWidth="1"/>
  </cols>
  <sheetData>
    <row r="1" spans="1:4" x14ac:dyDescent="0.25">
      <c r="A1" s="160" t="s">
        <v>275</v>
      </c>
      <c r="B1" s="160" t="s">
        <v>387</v>
      </c>
      <c r="C1" s="161" t="s">
        <v>388</v>
      </c>
      <c r="D1" s="161" t="s">
        <v>390</v>
      </c>
    </row>
    <row r="2" spans="1:4" x14ac:dyDescent="0.25">
      <c r="A2" s="68" t="s">
        <v>373</v>
      </c>
      <c r="B2" s="68" t="str">
        <f>IFERROR(VLOOKUP(A2,'Uniformes '!$B$9:$K$263,4,FALSE),0)</f>
        <v>semestral</v>
      </c>
      <c r="C2" s="140">
        <f ca="1">SUMIF('Uniformes '!$B$9:$B$263,ResumoFardamento!A2,'Uniformes '!$C$9:$C$255)</f>
        <v>2</v>
      </c>
      <c r="D2" s="162">
        <f ca="1">SUMIF('Uniformes '!$B$9:$B$263,ResumoFardamento!A2,'Uniformes '!$I$9:$I$255)</f>
        <v>12.88</v>
      </c>
    </row>
    <row r="3" spans="1:4" x14ac:dyDescent="0.25">
      <c r="A3" s="68" t="s">
        <v>365</v>
      </c>
      <c r="B3" s="68" t="str">
        <f>IFERROR(VLOOKUP(A3,'Uniformes '!$B$9:$K$263,4,FALSE),0)</f>
        <v>anual</v>
      </c>
      <c r="C3" s="140">
        <f ca="1">SUMIF('Uniformes '!$B$9:$B$263,ResumoFardamento!A3,'Uniformes '!$C$9:$C$255)</f>
        <v>2</v>
      </c>
      <c r="D3" s="162">
        <f ca="1">SUMIF('Uniformes '!$B$9:$B$263,ResumoFardamento!A3,'Uniformes '!$I$9:$I$255)</f>
        <v>166.36666666666665</v>
      </c>
    </row>
    <row r="4" spans="1:4" x14ac:dyDescent="0.25">
      <c r="A4" s="68" t="s">
        <v>348</v>
      </c>
      <c r="B4" s="68" t="str">
        <f>IFERROR(VLOOKUP(A4,'Uniformes '!$B$9:$K$263,4,FALSE),0)</f>
        <v>anual</v>
      </c>
      <c r="C4" s="140">
        <f ca="1">SUMIF('Uniformes '!$B$9:$B$263,ResumoFardamento!A4,'Uniformes '!$C$9:$C$255)</f>
        <v>14</v>
      </c>
      <c r="D4" s="162">
        <f ca="1">SUMIF('Uniformes '!$B$9:$B$263,ResumoFardamento!A4,'Uniformes '!$I$9:$I$255)</f>
        <v>773.5866666666667</v>
      </c>
    </row>
    <row r="5" spans="1:4" x14ac:dyDescent="0.25">
      <c r="A5" s="68" t="s">
        <v>364</v>
      </c>
      <c r="B5" s="68" t="str">
        <f>IFERROR(VLOOKUP(A5,'Uniformes '!$B$9:$K$263,4,FALSE),0)</f>
        <v>anual</v>
      </c>
      <c r="C5" s="140">
        <f ca="1">SUMIF('Uniformes '!$B$9:$B$263,ResumoFardamento!A5,'Uniformes '!$C$9:$C$255)</f>
        <v>2</v>
      </c>
      <c r="D5" s="162">
        <f ca="1">SUMIF('Uniformes '!$B$9:$B$263,ResumoFardamento!A5,'Uniformes '!$I$9:$I$255)</f>
        <v>137.61666666666665</v>
      </c>
    </row>
    <row r="6" spans="1:4" x14ac:dyDescent="0.25">
      <c r="A6" s="68" t="s">
        <v>346</v>
      </c>
      <c r="B6" s="68" t="str">
        <f>IFERROR(VLOOKUP(A6,'Uniformes '!$B$9:$K$263,4,FALSE),0)</f>
        <v>semestral</v>
      </c>
      <c r="C6" s="140">
        <f ca="1">SUMIF('Uniformes '!$B$9:$B$263,ResumoFardamento!A6,'Uniformes '!$C$9:$C$255)</f>
        <v>38</v>
      </c>
      <c r="D6" s="162">
        <f ca="1">SUMIF('Uniformes '!$B$9:$B$263,ResumoFardamento!A6,'Uniformes '!$I$9:$I$255)</f>
        <v>3001.85</v>
      </c>
    </row>
    <row r="7" spans="1:4" x14ac:dyDescent="0.25">
      <c r="A7" s="68" t="s">
        <v>344</v>
      </c>
      <c r="B7" s="68" t="str">
        <f>IFERROR(VLOOKUP(A7,'Uniformes '!$B$9:$K$263,4,FALSE),0)</f>
        <v>semestral</v>
      </c>
      <c r="C7" s="140">
        <f ca="1">SUMIF('Uniformes '!$B$9:$B$263,ResumoFardamento!A7,'Uniformes '!$C$9:$C$255)</f>
        <v>36</v>
      </c>
      <c r="D7" s="162">
        <f ca="1">SUMIF('Uniformes '!$B$9:$B$263,ResumoFardamento!A7,'Uniformes '!$I$9:$I$255)</f>
        <v>2079.0266666666666</v>
      </c>
    </row>
    <row r="8" spans="1:4" x14ac:dyDescent="0.25">
      <c r="A8" s="71" t="s">
        <v>371</v>
      </c>
      <c r="B8" s="68">
        <f>IFERROR(VLOOKUP(A8,'Uniformes '!$B$9:$K$263,4,FALSE),0)</f>
        <v>0</v>
      </c>
      <c r="C8" s="140">
        <f ca="1">SUMIF('Uniformes '!$B$9:$B$263,ResumoFardamento!A8,'Uniformes '!$C$9:$C$255)</f>
        <v>0</v>
      </c>
      <c r="D8" s="162">
        <f ca="1">SUMIF('Uniformes '!$B$9:$B$263,ResumoFardamento!A8,'Uniformes '!$I$9:$I$255)</f>
        <v>0</v>
      </c>
    </row>
    <row r="9" spans="1:4" x14ac:dyDescent="0.25">
      <c r="A9" s="68" t="s">
        <v>368</v>
      </c>
      <c r="B9" s="68" t="str">
        <f>IFERROR(VLOOKUP(A9,'Uniformes '!$B$9:$K$263,4,FALSE),0)</f>
        <v>semestral</v>
      </c>
      <c r="C9" s="140">
        <f ca="1">SUMIF('Uniformes '!$B$9:$B$263,ResumoFardamento!A9,'Uniformes '!$C$9:$C$255)</f>
        <v>2</v>
      </c>
      <c r="D9" s="162">
        <f ca="1">SUMIF('Uniformes '!$B$9:$B$263,ResumoFardamento!A9,'Uniformes '!$I$9:$I$255)</f>
        <v>66.36666666666666</v>
      </c>
    </row>
    <row r="10" spans="1:4" x14ac:dyDescent="0.25">
      <c r="A10" s="71" t="s">
        <v>361</v>
      </c>
      <c r="B10" s="68" t="str">
        <f>IFERROR(VLOOKUP(A10,'Uniformes '!$B$9:$K$263,4,FALSE),0)</f>
        <v>semestral</v>
      </c>
      <c r="C10" s="140">
        <f ca="1">SUMIF('Uniformes '!$B$9:$B$263,ResumoFardamento!A10,'Uniformes '!$C$9:$C$255)</f>
        <v>6</v>
      </c>
      <c r="D10" s="162">
        <f ca="1">SUMIF('Uniformes '!$B$9:$B$263,ResumoFardamento!A10,'Uniformes '!$I$9:$I$255)</f>
        <v>655.7166666666667</v>
      </c>
    </row>
    <row r="11" spans="1:4" x14ac:dyDescent="0.25">
      <c r="A11" s="68" t="s">
        <v>367</v>
      </c>
      <c r="B11" s="68" t="str">
        <f>IFERROR(VLOOKUP(A11,'Uniformes '!$B$9:$K$263,4,FALSE),0)</f>
        <v>semestral</v>
      </c>
      <c r="C11" s="140">
        <f ca="1">SUMIF('Uniformes '!$B$9:$B$263,ResumoFardamento!A11,'Uniformes '!$C$9:$C$255)</f>
        <v>2</v>
      </c>
      <c r="D11" s="162">
        <f ca="1">SUMIF('Uniformes '!$B$9:$B$263,ResumoFardamento!A11,'Uniformes '!$I$9:$I$255)</f>
        <v>676.58333333333337</v>
      </c>
    </row>
    <row r="12" spans="1:4" x14ac:dyDescent="0.25">
      <c r="A12" s="68" t="s">
        <v>356</v>
      </c>
      <c r="B12" s="68" t="str">
        <f>IFERROR(VLOOKUP(A12,'Uniformes '!$B$9:$K$263,4,FALSE),0)</f>
        <v>semestral</v>
      </c>
      <c r="C12" s="140">
        <f ca="1">SUMIF('Uniformes '!$B$9:$B$263,ResumoFardamento!A12,'Uniformes '!$C$9:$C$255)</f>
        <v>4</v>
      </c>
      <c r="D12" s="162">
        <f ca="1">SUMIF('Uniformes '!$B$9:$B$263,ResumoFardamento!A12,'Uniformes '!$I$9:$I$255)</f>
        <v>692.06666666666672</v>
      </c>
    </row>
    <row r="13" spans="1:4" x14ac:dyDescent="0.25">
      <c r="A13" s="68" t="s">
        <v>370</v>
      </c>
      <c r="B13" s="68" t="str">
        <f>IFERROR(VLOOKUP(A13,'Uniformes '!$B$9:$K$263,4,FALSE),0)</f>
        <v>anual</v>
      </c>
      <c r="C13" s="140">
        <f ca="1">SUMIF('Uniformes '!$B$9:$B$263,ResumoFardamento!A13,'Uniformes '!$C$9:$C$255)</f>
        <v>1</v>
      </c>
      <c r="D13" s="162">
        <f ca="1">SUMIF('Uniformes '!$B$9:$B$263,ResumoFardamento!A13,'Uniformes '!$I$9:$I$255)</f>
        <v>86.666666666666671</v>
      </c>
    </row>
    <row r="14" spans="1:4" x14ac:dyDescent="0.25">
      <c r="A14" s="68" t="s">
        <v>358</v>
      </c>
      <c r="B14" s="68" t="str">
        <f>IFERROR(VLOOKUP(A14,'Uniformes '!$B$9:$K$263,4,FALSE),0)</f>
        <v>semestral</v>
      </c>
      <c r="C14" s="140">
        <f ca="1">SUMIF('Uniformes '!$B$9:$B$263,ResumoFardamento!A14,'Uniformes '!$C$9:$C$255)</f>
        <v>7</v>
      </c>
      <c r="D14" s="162">
        <f ca="1">SUMIF('Uniformes '!$B$9:$B$263,ResumoFardamento!A14,'Uniformes '!$I$9:$I$255)</f>
        <v>841</v>
      </c>
    </row>
    <row r="15" spans="1:4" x14ac:dyDescent="0.25">
      <c r="A15" s="71" t="s">
        <v>372</v>
      </c>
      <c r="B15" s="68" t="str">
        <f>IFERROR(VLOOKUP(A15,'Uniformes '!$B$9:$K$263,4,FALSE),0)</f>
        <v>semestral</v>
      </c>
      <c r="C15" s="140">
        <f ca="1">SUMIF('Uniformes '!$B$9:$B$263,ResumoFardamento!A15,'Uniformes '!$C$9:$C$255)</f>
        <v>1</v>
      </c>
      <c r="D15" s="162">
        <f ca="1">SUMIF('Uniformes '!$B$9:$B$263,ResumoFardamento!A15,'Uniformes '!$I$9:$I$255)</f>
        <v>3300.4933333333333</v>
      </c>
    </row>
    <row r="16" spans="1:4" x14ac:dyDescent="0.25">
      <c r="A16" s="68" t="s">
        <v>369</v>
      </c>
      <c r="B16" s="68" t="str">
        <f>IFERROR(VLOOKUP(A16,'Uniformes '!$B$9:$K$263,4,FALSE),0)</f>
        <v>semestral</v>
      </c>
      <c r="C16" s="140">
        <f ca="1">SUMIF('Uniformes '!$B$9:$B$263,ResumoFardamento!A16,'Uniformes '!$C$9:$C$255)</f>
        <v>2</v>
      </c>
      <c r="D16" s="162">
        <f ca="1">SUMIF('Uniformes '!$B$9:$B$263,ResumoFardamento!A16,'Uniformes '!$I$9:$I$255)</f>
        <v>339.78</v>
      </c>
    </row>
    <row r="17" spans="1:4" x14ac:dyDescent="0.25">
      <c r="A17" s="68" t="s">
        <v>359</v>
      </c>
      <c r="B17" s="68" t="str">
        <f>IFERROR(VLOOKUP(A17,'Uniformes '!$B$9:$K$263,4,FALSE),0)</f>
        <v>semestral</v>
      </c>
      <c r="C17" s="140">
        <f ca="1">SUMIF('Uniformes '!$B$9:$B$263,ResumoFardamento!A17,'Uniformes '!$C$9:$C$255)</f>
        <v>12</v>
      </c>
      <c r="D17" s="162">
        <f ca="1">SUMIF('Uniformes '!$B$9:$B$263,ResumoFardamento!A17,'Uniformes '!$I$9:$I$255)</f>
        <v>160.7775</v>
      </c>
    </row>
    <row r="18" spans="1:4" x14ac:dyDescent="0.25">
      <c r="A18" s="68" t="s">
        <v>350</v>
      </c>
      <c r="B18" s="68" t="str">
        <f>IFERROR(VLOOKUP(A18,'Uniformes '!$B$9:$K$263,4,FALSE),0)</f>
        <v>semestral</v>
      </c>
      <c r="C18" s="140">
        <f ca="1">SUMIF('Uniformes '!$B$9:$B$263,ResumoFardamento!A18,'Uniformes '!$C$9:$C$255)</f>
        <v>39</v>
      </c>
      <c r="D18" s="162">
        <f ca="1">SUMIF('Uniformes '!$B$9:$B$263,ResumoFardamento!A18,'Uniformes '!$I$9:$I$255)</f>
        <v>312.69500000000005</v>
      </c>
    </row>
    <row r="19" spans="1:4" x14ac:dyDescent="0.25">
      <c r="A19" s="68" t="s">
        <v>366</v>
      </c>
      <c r="B19" s="68" t="str">
        <f>IFERROR(VLOOKUP(A19,'Uniformes '!$B$9:$K$263,4,FALSE),0)</f>
        <v>semestral</v>
      </c>
      <c r="C19" s="140">
        <f ca="1">SUMIF('Uniformes '!$B$9:$B$263,ResumoFardamento!A19,'Uniformes '!$C$9:$C$255)</f>
        <v>9</v>
      </c>
      <c r="D19" s="162">
        <f ca="1">SUMIF('Uniformes '!$B$9:$B$263,ResumoFardamento!A19,'Uniformes '!$I$9:$I$255)</f>
        <v>120.55500000000002</v>
      </c>
    </row>
    <row r="20" spans="1:4" x14ac:dyDescent="0.25">
      <c r="A20" s="68" t="s">
        <v>363</v>
      </c>
      <c r="B20" s="68" t="str">
        <f>IFERROR(VLOOKUP(A20,'Uniformes '!$B$9:$K$263,4,FALSE),0)</f>
        <v>semestral</v>
      </c>
      <c r="C20" s="140">
        <f ca="1">SUMIF('Uniformes '!$B$9:$B$263,ResumoFardamento!A20,'Uniformes '!$C$9:$C$255)</f>
        <v>4</v>
      </c>
      <c r="D20" s="162">
        <f ca="1">SUMIF('Uniformes '!$B$9:$B$263,ResumoFardamento!A20,'Uniformes '!$I$9:$I$255)</f>
        <v>22.4</v>
      </c>
    </row>
    <row r="21" spans="1:4" x14ac:dyDescent="0.25">
      <c r="A21" s="68" t="s">
        <v>362</v>
      </c>
      <c r="B21" s="68" t="str">
        <f>IFERROR(VLOOKUP(A21,'Uniformes '!$B$9:$K$263,4,FALSE),0)</f>
        <v>anual</v>
      </c>
      <c r="C21" s="140">
        <f ca="1">SUMIF('Uniformes '!$B$9:$B$263,ResumoFardamento!A21,'Uniformes '!$C$9:$C$255)</f>
        <v>12</v>
      </c>
      <c r="D21" s="162">
        <f ca="1">SUMIF('Uniformes '!$B$9:$B$263,ResumoFardamento!A21,'Uniformes '!$I$9:$I$255)</f>
        <v>319.59999999999997</v>
      </c>
    </row>
    <row r="22" spans="1:4" x14ac:dyDescent="0.25">
      <c r="A22" s="68" t="s">
        <v>357</v>
      </c>
      <c r="B22" s="68" t="str">
        <f>IFERROR(VLOOKUP(A22,'Uniformes '!$B$9:$K$263,4,FALSE),0)</f>
        <v>anual</v>
      </c>
      <c r="C22" s="140">
        <f ca="1">SUMIF('Uniformes '!$B$9:$B$263,ResumoFardamento!A22,'Uniformes '!$C$9:$C$255)</f>
        <v>12</v>
      </c>
      <c r="D22" s="162">
        <f ca="1">SUMIF('Uniformes '!$B$9:$B$263,ResumoFardamento!A22,'Uniformes '!$I$9:$I$255)</f>
        <v>930.60666666666657</v>
      </c>
    </row>
    <row r="23" spans="1:4" x14ac:dyDescent="0.25">
      <c r="A23"/>
      <c r="B23"/>
      <c r="D23" s="163">
        <f ca="1">SUM(D2:D22)</f>
        <v>14696.634166666667</v>
      </c>
    </row>
    <row r="24" spans="1:4" x14ac:dyDescent="0.25">
      <c r="A24"/>
      <c r="B24"/>
    </row>
    <row r="25" spans="1:4" x14ac:dyDescent="0.25">
      <c r="A25"/>
      <c r="B25"/>
    </row>
    <row r="26" spans="1:4" x14ac:dyDescent="0.25">
      <c r="A26"/>
      <c r="B26"/>
    </row>
    <row r="27" spans="1:4" x14ac:dyDescent="0.25">
      <c r="A27"/>
      <c r="B27"/>
    </row>
    <row r="28" spans="1:4" x14ac:dyDescent="0.25">
      <c r="A28"/>
      <c r="B28"/>
    </row>
    <row r="29" spans="1:4" x14ac:dyDescent="0.25">
      <c r="A29"/>
      <c r="B29"/>
    </row>
    <row r="30" spans="1:4" x14ac:dyDescent="0.25">
      <c r="A30"/>
      <c r="B30"/>
    </row>
    <row r="31" spans="1:4" x14ac:dyDescent="0.25">
      <c r="A31"/>
      <c r="B31"/>
    </row>
    <row r="32" spans="1:4" x14ac:dyDescent="0.25">
      <c r="A32"/>
      <c r="B32"/>
    </row>
    <row r="33" spans="1:2" x14ac:dyDescent="0.25">
      <c r="A33"/>
      <c r="B33"/>
    </row>
    <row r="34" spans="1:2" x14ac:dyDescent="0.25">
      <c r="A34"/>
      <c r="B34"/>
    </row>
    <row r="35" spans="1:2" x14ac:dyDescent="0.25">
      <c r="A35"/>
      <c r="B35"/>
    </row>
    <row r="36" spans="1:2" x14ac:dyDescent="0.25">
      <c r="A36"/>
      <c r="B36"/>
    </row>
    <row r="37" spans="1:2" x14ac:dyDescent="0.25">
      <c r="A37"/>
      <c r="B37"/>
    </row>
    <row r="38" spans="1:2" x14ac:dyDescent="0.25">
      <c r="A38"/>
      <c r="B38"/>
    </row>
    <row r="39" spans="1:2" x14ac:dyDescent="0.25">
      <c r="A39"/>
      <c r="B39"/>
    </row>
    <row r="40" spans="1:2" x14ac:dyDescent="0.25">
      <c r="A40"/>
      <c r="B40"/>
    </row>
    <row r="41" spans="1:2" x14ac:dyDescent="0.25">
      <c r="A41"/>
      <c r="B41"/>
    </row>
    <row r="42" spans="1:2" x14ac:dyDescent="0.25">
      <c r="A42"/>
      <c r="B42"/>
    </row>
    <row r="43" spans="1:2" x14ac:dyDescent="0.25">
      <c r="A43"/>
      <c r="B43"/>
    </row>
    <row r="44" spans="1:2" x14ac:dyDescent="0.25">
      <c r="A44"/>
      <c r="B44"/>
    </row>
    <row r="45" spans="1:2" x14ac:dyDescent="0.25">
      <c r="A45"/>
      <c r="B45"/>
    </row>
    <row r="46" spans="1:2" x14ac:dyDescent="0.25">
      <c r="A46"/>
      <c r="B46"/>
    </row>
    <row r="47" spans="1:2" x14ac:dyDescent="0.25">
      <c r="A47"/>
      <c r="B47"/>
    </row>
    <row r="48" spans="1:2" x14ac:dyDescent="0.25">
      <c r="A48"/>
      <c r="B48"/>
    </row>
    <row r="49" spans="1:2" x14ac:dyDescent="0.25">
      <c r="A49"/>
      <c r="B49"/>
    </row>
    <row r="50" spans="1:2" x14ac:dyDescent="0.25">
      <c r="A50"/>
      <c r="B50"/>
    </row>
    <row r="51" spans="1:2" x14ac:dyDescent="0.25">
      <c r="A51"/>
      <c r="B51"/>
    </row>
    <row r="52" spans="1:2" x14ac:dyDescent="0.25">
      <c r="A52"/>
      <c r="B52"/>
    </row>
    <row r="53" spans="1:2" x14ac:dyDescent="0.25">
      <c r="A53"/>
      <c r="B53"/>
    </row>
    <row r="54" spans="1:2" x14ac:dyDescent="0.25">
      <c r="A54"/>
      <c r="B54"/>
    </row>
    <row r="55" spans="1:2" x14ac:dyDescent="0.25">
      <c r="A55"/>
      <c r="B55"/>
    </row>
    <row r="56" spans="1:2" x14ac:dyDescent="0.25">
      <c r="A56"/>
      <c r="B56"/>
    </row>
    <row r="57" spans="1:2" x14ac:dyDescent="0.25">
      <c r="A57"/>
      <c r="B57"/>
    </row>
    <row r="58" spans="1:2" x14ac:dyDescent="0.25">
      <c r="A58"/>
      <c r="B58"/>
    </row>
    <row r="59" spans="1:2" x14ac:dyDescent="0.25">
      <c r="A59"/>
      <c r="B59"/>
    </row>
    <row r="60" spans="1:2" x14ac:dyDescent="0.25">
      <c r="A60"/>
      <c r="B60"/>
    </row>
    <row r="61" spans="1:2" x14ac:dyDescent="0.25">
      <c r="A61"/>
      <c r="B61"/>
    </row>
    <row r="62" spans="1:2" x14ac:dyDescent="0.25">
      <c r="A62"/>
      <c r="B62"/>
    </row>
    <row r="63" spans="1:2" x14ac:dyDescent="0.25">
      <c r="A63"/>
      <c r="B63"/>
    </row>
    <row r="64" spans="1:2" x14ac:dyDescent="0.25">
      <c r="A64"/>
      <c r="B64"/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  <row r="94" spans="1:2" x14ac:dyDescent="0.25">
      <c r="A94"/>
      <c r="B94"/>
    </row>
    <row r="95" spans="1:2" x14ac:dyDescent="0.25">
      <c r="A95"/>
      <c r="B95"/>
    </row>
    <row r="96" spans="1:2" x14ac:dyDescent="0.25">
      <c r="A96"/>
      <c r="B96"/>
    </row>
    <row r="97" spans="1:2" x14ac:dyDescent="0.25">
      <c r="A97"/>
      <c r="B97"/>
    </row>
    <row r="98" spans="1:2" x14ac:dyDescent="0.25">
      <c r="A98"/>
      <c r="B98"/>
    </row>
    <row r="99" spans="1:2" x14ac:dyDescent="0.25">
      <c r="A99"/>
      <c r="B99"/>
    </row>
    <row r="100" spans="1:2" x14ac:dyDescent="0.25">
      <c r="A100"/>
      <c r="B100"/>
    </row>
    <row r="101" spans="1:2" x14ac:dyDescent="0.25">
      <c r="A101"/>
      <c r="B101"/>
    </row>
    <row r="102" spans="1:2" x14ac:dyDescent="0.25">
      <c r="A102"/>
      <c r="B102"/>
    </row>
    <row r="103" spans="1:2" x14ac:dyDescent="0.25">
      <c r="A103"/>
      <c r="B103"/>
    </row>
    <row r="104" spans="1:2" x14ac:dyDescent="0.25">
      <c r="A104"/>
      <c r="B104"/>
    </row>
    <row r="105" spans="1:2" x14ac:dyDescent="0.25">
      <c r="A105"/>
      <c r="B105"/>
    </row>
    <row r="106" spans="1:2" x14ac:dyDescent="0.25">
      <c r="A106"/>
      <c r="B106"/>
    </row>
    <row r="107" spans="1:2" x14ac:dyDescent="0.25">
      <c r="A107"/>
      <c r="B107"/>
    </row>
    <row r="108" spans="1:2" x14ac:dyDescent="0.25">
      <c r="A108"/>
      <c r="B108"/>
    </row>
    <row r="109" spans="1:2" x14ac:dyDescent="0.25">
      <c r="A109"/>
      <c r="B109"/>
    </row>
    <row r="110" spans="1:2" x14ac:dyDescent="0.25">
      <c r="A110"/>
      <c r="B110"/>
    </row>
    <row r="111" spans="1:2" x14ac:dyDescent="0.25">
      <c r="A111"/>
      <c r="B111"/>
    </row>
    <row r="112" spans="1:2" x14ac:dyDescent="0.25">
      <c r="A112"/>
      <c r="B112"/>
    </row>
    <row r="113" spans="1:2" x14ac:dyDescent="0.25">
      <c r="A113"/>
      <c r="B113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  <row r="134" spans="1:2" x14ac:dyDescent="0.25">
      <c r="A134"/>
      <c r="B134"/>
    </row>
    <row r="135" spans="1:2" x14ac:dyDescent="0.25">
      <c r="A135"/>
      <c r="B135"/>
    </row>
    <row r="136" spans="1:2" x14ac:dyDescent="0.25">
      <c r="A136"/>
      <c r="B136"/>
    </row>
    <row r="137" spans="1:2" x14ac:dyDescent="0.25">
      <c r="A137"/>
      <c r="B137"/>
    </row>
    <row r="138" spans="1:2" x14ac:dyDescent="0.25">
      <c r="A138"/>
      <c r="B138"/>
    </row>
    <row r="139" spans="1:2" x14ac:dyDescent="0.25">
      <c r="A139"/>
      <c r="B139"/>
    </row>
    <row r="140" spans="1:2" x14ac:dyDescent="0.25">
      <c r="A140"/>
      <c r="B140"/>
    </row>
    <row r="141" spans="1:2" x14ac:dyDescent="0.25">
      <c r="A141"/>
      <c r="B141"/>
    </row>
    <row r="142" spans="1:2" x14ac:dyDescent="0.25">
      <c r="A142"/>
      <c r="B142"/>
    </row>
    <row r="143" spans="1:2" x14ac:dyDescent="0.25">
      <c r="A143"/>
      <c r="B143"/>
    </row>
    <row r="144" spans="1:2" x14ac:dyDescent="0.25">
      <c r="A144"/>
      <c r="B144"/>
    </row>
    <row r="145" spans="1:2" x14ac:dyDescent="0.25">
      <c r="A145"/>
      <c r="B145"/>
    </row>
    <row r="146" spans="1:2" x14ac:dyDescent="0.25">
      <c r="A146"/>
      <c r="B146"/>
    </row>
    <row r="147" spans="1:2" x14ac:dyDescent="0.25">
      <c r="A147"/>
      <c r="B147"/>
    </row>
    <row r="148" spans="1:2" x14ac:dyDescent="0.25">
      <c r="A148"/>
      <c r="B148"/>
    </row>
    <row r="149" spans="1:2" x14ac:dyDescent="0.25">
      <c r="A149"/>
      <c r="B149"/>
    </row>
    <row r="150" spans="1:2" x14ac:dyDescent="0.25">
      <c r="A150"/>
      <c r="B150"/>
    </row>
    <row r="151" spans="1:2" x14ac:dyDescent="0.25">
      <c r="A151"/>
      <c r="B151"/>
    </row>
    <row r="152" spans="1:2" x14ac:dyDescent="0.25">
      <c r="A152"/>
      <c r="B152"/>
    </row>
    <row r="153" spans="1:2" x14ac:dyDescent="0.25">
      <c r="A153"/>
      <c r="B153"/>
    </row>
    <row r="154" spans="1:2" x14ac:dyDescent="0.25">
      <c r="A154"/>
      <c r="B154"/>
    </row>
    <row r="155" spans="1:2" x14ac:dyDescent="0.25">
      <c r="A155"/>
      <c r="B155"/>
    </row>
    <row r="156" spans="1:2" x14ac:dyDescent="0.25">
      <c r="A156"/>
      <c r="B156"/>
    </row>
    <row r="157" spans="1:2" x14ac:dyDescent="0.25">
      <c r="A157"/>
      <c r="B157"/>
    </row>
    <row r="158" spans="1:2" x14ac:dyDescent="0.25">
      <c r="A158"/>
      <c r="B158"/>
    </row>
    <row r="159" spans="1:2" x14ac:dyDescent="0.25">
      <c r="A159"/>
      <c r="B159"/>
    </row>
    <row r="160" spans="1:2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  <row r="167" spans="1:2" x14ac:dyDescent="0.25">
      <c r="A167"/>
      <c r="B167"/>
    </row>
    <row r="168" spans="1:2" x14ac:dyDescent="0.25">
      <c r="A168"/>
      <c r="B168"/>
    </row>
    <row r="169" spans="1:2" x14ac:dyDescent="0.25">
      <c r="A169"/>
      <c r="B169"/>
    </row>
    <row r="170" spans="1:2" x14ac:dyDescent="0.25">
      <c r="A170"/>
      <c r="B170"/>
    </row>
    <row r="171" spans="1:2" x14ac:dyDescent="0.25">
      <c r="A171"/>
      <c r="B171"/>
    </row>
    <row r="172" spans="1:2" x14ac:dyDescent="0.25">
      <c r="A172"/>
      <c r="B172"/>
    </row>
    <row r="173" spans="1:2" x14ac:dyDescent="0.25">
      <c r="A173"/>
      <c r="B173"/>
    </row>
    <row r="174" spans="1:2" x14ac:dyDescent="0.25">
      <c r="A174"/>
      <c r="B174"/>
    </row>
    <row r="175" spans="1:2" x14ac:dyDescent="0.25">
      <c r="A175"/>
      <c r="B175"/>
    </row>
    <row r="176" spans="1:2" x14ac:dyDescent="0.25">
      <c r="A176"/>
      <c r="B176"/>
    </row>
    <row r="177" spans="1:2" x14ac:dyDescent="0.25">
      <c r="A177"/>
      <c r="B177"/>
    </row>
    <row r="178" spans="1:2" x14ac:dyDescent="0.25">
      <c r="A178"/>
      <c r="B178"/>
    </row>
    <row r="179" spans="1:2" x14ac:dyDescent="0.25">
      <c r="A179"/>
      <c r="B179"/>
    </row>
    <row r="180" spans="1:2" x14ac:dyDescent="0.25">
      <c r="A180"/>
      <c r="B180"/>
    </row>
    <row r="181" spans="1:2" x14ac:dyDescent="0.25">
      <c r="A181"/>
      <c r="B181"/>
    </row>
    <row r="182" spans="1:2" x14ac:dyDescent="0.25">
      <c r="A182"/>
      <c r="B182"/>
    </row>
    <row r="183" spans="1:2" x14ac:dyDescent="0.25">
      <c r="A183"/>
      <c r="B183"/>
    </row>
    <row r="184" spans="1:2" x14ac:dyDescent="0.25">
      <c r="A184"/>
      <c r="B184"/>
    </row>
    <row r="185" spans="1:2" x14ac:dyDescent="0.25">
      <c r="A185"/>
      <c r="B185"/>
    </row>
    <row r="186" spans="1:2" x14ac:dyDescent="0.25">
      <c r="A186"/>
      <c r="B186"/>
    </row>
    <row r="187" spans="1:2" x14ac:dyDescent="0.25">
      <c r="A187"/>
      <c r="B187"/>
    </row>
    <row r="188" spans="1:2" x14ac:dyDescent="0.25">
      <c r="A188"/>
      <c r="B188"/>
    </row>
    <row r="189" spans="1:2" x14ac:dyDescent="0.25">
      <c r="A189"/>
      <c r="B189"/>
    </row>
    <row r="190" spans="1:2" x14ac:dyDescent="0.25">
      <c r="A190"/>
      <c r="B190"/>
    </row>
    <row r="191" spans="1:2" x14ac:dyDescent="0.25">
      <c r="A191"/>
      <c r="B191"/>
    </row>
    <row r="192" spans="1:2" x14ac:dyDescent="0.25">
      <c r="A192"/>
      <c r="B192"/>
    </row>
    <row r="193" spans="1:2" x14ac:dyDescent="0.25">
      <c r="A193"/>
      <c r="B193"/>
    </row>
    <row r="194" spans="1:2" x14ac:dyDescent="0.25">
      <c r="A194"/>
      <c r="B194"/>
    </row>
    <row r="195" spans="1:2" x14ac:dyDescent="0.25">
      <c r="A195"/>
      <c r="B195"/>
    </row>
    <row r="196" spans="1:2" x14ac:dyDescent="0.25">
      <c r="A196"/>
      <c r="B196"/>
    </row>
    <row r="197" spans="1:2" x14ac:dyDescent="0.25">
      <c r="A197"/>
      <c r="B197"/>
    </row>
    <row r="198" spans="1:2" x14ac:dyDescent="0.25">
      <c r="A198"/>
      <c r="B198"/>
    </row>
    <row r="199" spans="1:2" x14ac:dyDescent="0.25">
      <c r="A199"/>
      <c r="B199"/>
    </row>
    <row r="200" spans="1:2" x14ac:dyDescent="0.25">
      <c r="A200"/>
      <c r="B200"/>
    </row>
    <row r="201" spans="1:2" x14ac:dyDescent="0.25">
      <c r="A201"/>
      <c r="B201"/>
    </row>
    <row r="202" spans="1:2" x14ac:dyDescent="0.25">
      <c r="A202"/>
      <c r="B202"/>
    </row>
    <row r="203" spans="1:2" x14ac:dyDescent="0.25">
      <c r="A203"/>
      <c r="B203"/>
    </row>
    <row r="204" spans="1:2" x14ac:dyDescent="0.25">
      <c r="A204"/>
      <c r="B204"/>
    </row>
    <row r="205" spans="1:2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  <row r="219" spans="1:2" x14ac:dyDescent="0.25">
      <c r="A219"/>
      <c r="B219"/>
    </row>
    <row r="220" spans="1:2" x14ac:dyDescent="0.25">
      <c r="A220"/>
      <c r="B220"/>
    </row>
    <row r="221" spans="1:2" x14ac:dyDescent="0.25">
      <c r="A221"/>
      <c r="B221"/>
    </row>
    <row r="222" spans="1:2" x14ac:dyDescent="0.25">
      <c r="A222"/>
      <c r="B222"/>
    </row>
    <row r="223" spans="1:2" x14ac:dyDescent="0.25">
      <c r="A223"/>
      <c r="B223"/>
    </row>
    <row r="224" spans="1:2" x14ac:dyDescent="0.25">
      <c r="A224"/>
      <c r="B224"/>
    </row>
    <row r="225" spans="1:2" x14ac:dyDescent="0.25">
      <c r="A225"/>
      <c r="B225"/>
    </row>
    <row r="226" spans="1:2" x14ac:dyDescent="0.25">
      <c r="A226"/>
      <c r="B226"/>
    </row>
    <row r="227" spans="1:2" x14ac:dyDescent="0.25">
      <c r="A227"/>
      <c r="B227"/>
    </row>
    <row r="228" spans="1:2" x14ac:dyDescent="0.25">
      <c r="A228"/>
      <c r="B228"/>
    </row>
    <row r="229" spans="1:2" x14ac:dyDescent="0.25">
      <c r="A229"/>
      <c r="B229"/>
    </row>
    <row r="230" spans="1:2" x14ac:dyDescent="0.25">
      <c r="A230"/>
      <c r="B230"/>
    </row>
    <row r="231" spans="1:2" x14ac:dyDescent="0.25">
      <c r="A231"/>
      <c r="B231"/>
    </row>
    <row r="232" spans="1:2" x14ac:dyDescent="0.25">
      <c r="A232"/>
      <c r="B232"/>
    </row>
    <row r="233" spans="1:2" x14ac:dyDescent="0.25">
      <c r="A233"/>
      <c r="B233"/>
    </row>
    <row r="234" spans="1:2" x14ac:dyDescent="0.25">
      <c r="A234"/>
      <c r="B234"/>
    </row>
    <row r="235" spans="1:2" x14ac:dyDescent="0.25">
      <c r="A235"/>
      <c r="B235"/>
    </row>
    <row r="236" spans="1:2" x14ac:dyDescent="0.25">
      <c r="A236"/>
      <c r="B236"/>
    </row>
    <row r="237" spans="1:2" x14ac:dyDescent="0.25">
      <c r="A237"/>
      <c r="B237"/>
    </row>
    <row r="238" spans="1:2" x14ac:dyDescent="0.25">
      <c r="A238"/>
      <c r="B238"/>
    </row>
    <row r="239" spans="1:2" x14ac:dyDescent="0.25">
      <c r="A239"/>
      <c r="B239"/>
    </row>
    <row r="240" spans="1:2" x14ac:dyDescent="0.25">
      <c r="A240"/>
      <c r="B240"/>
    </row>
    <row r="241" spans="1:2" x14ac:dyDescent="0.25">
      <c r="A241"/>
      <c r="B241"/>
    </row>
    <row r="242" spans="1:2" x14ac:dyDescent="0.25">
      <c r="A242"/>
      <c r="B242"/>
    </row>
    <row r="243" spans="1:2" x14ac:dyDescent="0.25">
      <c r="A243"/>
      <c r="B243"/>
    </row>
    <row r="244" spans="1:2" x14ac:dyDescent="0.25">
      <c r="A244"/>
      <c r="B244"/>
    </row>
    <row r="245" spans="1:2" x14ac:dyDescent="0.25">
      <c r="A245"/>
      <c r="B245"/>
    </row>
    <row r="246" spans="1:2" x14ac:dyDescent="0.25">
      <c r="A246"/>
      <c r="B246"/>
    </row>
    <row r="247" spans="1:2" x14ac:dyDescent="0.25">
      <c r="A247"/>
      <c r="B247"/>
    </row>
    <row r="248" spans="1:2" x14ac:dyDescent="0.25">
      <c r="A248"/>
      <c r="B248"/>
    </row>
    <row r="249" spans="1:2" x14ac:dyDescent="0.25">
      <c r="A249"/>
      <c r="B249"/>
    </row>
    <row r="250" spans="1:2" x14ac:dyDescent="0.25">
      <c r="A250"/>
      <c r="B250"/>
    </row>
    <row r="251" spans="1:2" x14ac:dyDescent="0.25">
      <c r="A251"/>
      <c r="B251"/>
    </row>
    <row r="252" spans="1:2" x14ac:dyDescent="0.25">
      <c r="A252"/>
      <c r="B252"/>
    </row>
    <row r="253" spans="1:2" x14ac:dyDescent="0.25">
      <c r="A253"/>
      <c r="B253"/>
    </row>
    <row r="254" spans="1:2" x14ac:dyDescent="0.25">
      <c r="A254"/>
      <c r="B254"/>
    </row>
    <row r="255" spans="1:2" x14ac:dyDescent="0.25">
      <c r="A255"/>
      <c r="B255"/>
    </row>
    <row r="256" spans="1:2" x14ac:dyDescent="0.25">
      <c r="A256"/>
      <c r="B256"/>
    </row>
    <row r="257" spans="1:2" x14ac:dyDescent="0.25">
      <c r="A257"/>
      <c r="B257"/>
    </row>
    <row r="258" spans="1:2" x14ac:dyDescent="0.25">
      <c r="A258"/>
      <c r="B258"/>
    </row>
    <row r="259" spans="1:2" x14ac:dyDescent="0.25">
      <c r="A259"/>
      <c r="B259"/>
    </row>
    <row r="260" spans="1:2" x14ac:dyDescent="0.25">
      <c r="A260"/>
      <c r="B260"/>
    </row>
    <row r="261" spans="1:2" x14ac:dyDescent="0.25">
      <c r="A261"/>
      <c r="B261"/>
    </row>
    <row r="262" spans="1:2" x14ac:dyDescent="0.25">
      <c r="A262"/>
      <c r="B262"/>
    </row>
    <row r="263" spans="1:2" x14ac:dyDescent="0.25">
      <c r="A263"/>
      <c r="B263"/>
    </row>
    <row r="264" spans="1:2" x14ac:dyDescent="0.25">
      <c r="A264"/>
      <c r="B264"/>
    </row>
    <row r="265" spans="1:2" x14ac:dyDescent="0.25">
      <c r="A265"/>
      <c r="B265"/>
    </row>
    <row r="266" spans="1:2" x14ac:dyDescent="0.25">
      <c r="A266"/>
      <c r="B266"/>
    </row>
    <row r="267" spans="1:2" x14ac:dyDescent="0.25">
      <c r="A267"/>
      <c r="B267"/>
    </row>
    <row r="268" spans="1:2" x14ac:dyDescent="0.25">
      <c r="A268"/>
      <c r="B268"/>
    </row>
    <row r="269" spans="1:2" x14ac:dyDescent="0.25">
      <c r="A269"/>
      <c r="B269"/>
    </row>
    <row r="270" spans="1:2" x14ac:dyDescent="0.25">
      <c r="A270"/>
      <c r="B270"/>
    </row>
    <row r="271" spans="1:2" x14ac:dyDescent="0.25">
      <c r="A271"/>
      <c r="B271"/>
    </row>
    <row r="272" spans="1:2" x14ac:dyDescent="0.25">
      <c r="A272"/>
      <c r="B272"/>
    </row>
    <row r="273" spans="1:2" x14ac:dyDescent="0.25">
      <c r="A273"/>
      <c r="B273"/>
    </row>
    <row r="274" spans="1:2" x14ac:dyDescent="0.25">
      <c r="A274"/>
      <c r="B274"/>
    </row>
    <row r="275" spans="1:2" x14ac:dyDescent="0.25">
      <c r="A275"/>
      <c r="B275"/>
    </row>
    <row r="276" spans="1:2" x14ac:dyDescent="0.25">
      <c r="A276"/>
      <c r="B276"/>
    </row>
    <row r="277" spans="1:2" x14ac:dyDescent="0.25">
      <c r="A277"/>
      <c r="B277"/>
    </row>
    <row r="278" spans="1:2" x14ac:dyDescent="0.25">
      <c r="A278"/>
      <c r="B278"/>
    </row>
    <row r="279" spans="1:2" x14ac:dyDescent="0.25">
      <c r="A279"/>
      <c r="B279"/>
    </row>
    <row r="280" spans="1:2" x14ac:dyDescent="0.25">
      <c r="A280"/>
      <c r="B280"/>
    </row>
    <row r="281" spans="1:2" x14ac:dyDescent="0.25">
      <c r="A281"/>
      <c r="B281"/>
    </row>
    <row r="282" spans="1:2" x14ac:dyDescent="0.25">
      <c r="A282"/>
      <c r="B282"/>
    </row>
    <row r="283" spans="1:2" x14ac:dyDescent="0.25">
      <c r="A283"/>
      <c r="B283"/>
    </row>
    <row r="284" spans="1:2" x14ac:dyDescent="0.25">
      <c r="A284"/>
      <c r="B284"/>
    </row>
    <row r="285" spans="1:2" x14ac:dyDescent="0.25">
      <c r="A285"/>
      <c r="B285"/>
    </row>
    <row r="286" spans="1:2" x14ac:dyDescent="0.25">
      <c r="A286"/>
      <c r="B286"/>
    </row>
    <row r="287" spans="1:2" x14ac:dyDescent="0.25">
      <c r="A287"/>
      <c r="B287"/>
    </row>
    <row r="288" spans="1:2" x14ac:dyDescent="0.25">
      <c r="A288"/>
      <c r="B288"/>
    </row>
    <row r="289" spans="1:2" x14ac:dyDescent="0.25">
      <c r="A289"/>
      <c r="B289"/>
    </row>
    <row r="290" spans="1:2" x14ac:dyDescent="0.25">
      <c r="A290"/>
      <c r="B290"/>
    </row>
    <row r="291" spans="1:2" x14ac:dyDescent="0.25">
      <c r="A291"/>
      <c r="B291"/>
    </row>
    <row r="292" spans="1:2" x14ac:dyDescent="0.25">
      <c r="A292"/>
      <c r="B292"/>
    </row>
    <row r="293" spans="1:2" x14ac:dyDescent="0.25">
      <c r="A293"/>
      <c r="B293"/>
    </row>
    <row r="294" spans="1:2" x14ac:dyDescent="0.25">
      <c r="A294"/>
      <c r="B294"/>
    </row>
    <row r="295" spans="1:2" x14ac:dyDescent="0.25">
      <c r="A295"/>
      <c r="B295"/>
    </row>
    <row r="296" spans="1:2" x14ac:dyDescent="0.25">
      <c r="A296"/>
      <c r="B296"/>
    </row>
    <row r="297" spans="1:2" x14ac:dyDescent="0.25">
      <c r="A297"/>
      <c r="B297"/>
    </row>
    <row r="298" spans="1:2" x14ac:dyDescent="0.25">
      <c r="A298"/>
      <c r="B298"/>
    </row>
    <row r="299" spans="1:2" x14ac:dyDescent="0.25">
      <c r="A299"/>
      <c r="B299"/>
    </row>
    <row r="300" spans="1:2" x14ac:dyDescent="0.25">
      <c r="A300"/>
      <c r="B300"/>
    </row>
    <row r="301" spans="1:2" x14ac:dyDescent="0.25">
      <c r="A301"/>
      <c r="B301"/>
    </row>
    <row r="302" spans="1:2" x14ac:dyDescent="0.25">
      <c r="A302"/>
      <c r="B302"/>
    </row>
    <row r="303" spans="1:2" x14ac:dyDescent="0.25">
      <c r="A303"/>
      <c r="B303"/>
    </row>
    <row r="304" spans="1:2" x14ac:dyDescent="0.25">
      <c r="A304"/>
      <c r="B304"/>
    </row>
    <row r="305" spans="1:2" x14ac:dyDescent="0.25">
      <c r="A305"/>
      <c r="B305"/>
    </row>
    <row r="306" spans="1:2" x14ac:dyDescent="0.25">
      <c r="A306"/>
      <c r="B306"/>
    </row>
    <row r="307" spans="1:2" x14ac:dyDescent="0.25">
      <c r="A307"/>
      <c r="B307"/>
    </row>
    <row r="308" spans="1:2" x14ac:dyDescent="0.25">
      <c r="A308"/>
      <c r="B308"/>
    </row>
    <row r="309" spans="1:2" x14ac:dyDescent="0.25">
      <c r="A309"/>
      <c r="B309"/>
    </row>
    <row r="310" spans="1:2" x14ac:dyDescent="0.25">
      <c r="A310"/>
      <c r="B310"/>
    </row>
    <row r="311" spans="1:2" x14ac:dyDescent="0.25">
      <c r="A311"/>
      <c r="B311"/>
    </row>
    <row r="312" spans="1:2" x14ac:dyDescent="0.25">
      <c r="A312"/>
      <c r="B312"/>
    </row>
    <row r="313" spans="1:2" x14ac:dyDescent="0.25">
      <c r="A313"/>
      <c r="B313"/>
    </row>
    <row r="314" spans="1:2" x14ac:dyDescent="0.25">
      <c r="A314"/>
      <c r="B314"/>
    </row>
    <row r="315" spans="1:2" x14ac:dyDescent="0.25">
      <c r="A315"/>
      <c r="B315"/>
    </row>
    <row r="316" spans="1:2" x14ac:dyDescent="0.25">
      <c r="A316"/>
      <c r="B316"/>
    </row>
    <row r="317" spans="1:2" x14ac:dyDescent="0.25">
      <c r="A317"/>
      <c r="B317"/>
    </row>
    <row r="318" spans="1:2" x14ac:dyDescent="0.25">
      <c r="A318"/>
      <c r="B318"/>
    </row>
    <row r="319" spans="1:2" x14ac:dyDescent="0.25">
      <c r="A319"/>
      <c r="B319"/>
    </row>
    <row r="320" spans="1:2" x14ac:dyDescent="0.25">
      <c r="A320"/>
      <c r="B320"/>
    </row>
    <row r="321" spans="1:2" x14ac:dyDescent="0.25">
      <c r="A321"/>
      <c r="B321"/>
    </row>
    <row r="322" spans="1:2" x14ac:dyDescent="0.25">
      <c r="A322"/>
      <c r="B322"/>
    </row>
    <row r="323" spans="1:2" x14ac:dyDescent="0.25">
      <c r="A323"/>
      <c r="B323"/>
    </row>
    <row r="324" spans="1:2" x14ac:dyDescent="0.25">
      <c r="A324"/>
      <c r="B324"/>
    </row>
    <row r="325" spans="1:2" x14ac:dyDescent="0.25">
      <c r="A325"/>
      <c r="B325"/>
    </row>
    <row r="326" spans="1:2" x14ac:dyDescent="0.25">
      <c r="A326"/>
      <c r="B326"/>
    </row>
    <row r="327" spans="1:2" x14ac:dyDescent="0.25">
      <c r="A327"/>
      <c r="B327"/>
    </row>
    <row r="328" spans="1:2" x14ac:dyDescent="0.25">
      <c r="A328"/>
      <c r="B328"/>
    </row>
    <row r="329" spans="1:2" x14ac:dyDescent="0.25">
      <c r="A329"/>
      <c r="B329"/>
    </row>
    <row r="330" spans="1:2" x14ac:dyDescent="0.25">
      <c r="A330"/>
      <c r="B330"/>
    </row>
    <row r="331" spans="1:2" x14ac:dyDescent="0.25">
      <c r="A331"/>
      <c r="B331"/>
    </row>
    <row r="332" spans="1:2" x14ac:dyDescent="0.25">
      <c r="A332"/>
      <c r="B332"/>
    </row>
    <row r="333" spans="1:2" x14ac:dyDescent="0.25">
      <c r="A333"/>
      <c r="B333"/>
    </row>
    <row r="334" spans="1:2" x14ac:dyDescent="0.25">
      <c r="A334"/>
      <c r="B334"/>
    </row>
    <row r="335" spans="1:2" x14ac:dyDescent="0.25">
      <c r="A335"/>
      <c r="B335"/>
    </row>
    <row r="336" spans="1:2" x14ac:dyDescent="0.25">
      <c r="A336"/>
      <c r="B336"/>
    </row>
    <row r="337" spans="1:2" x14ac:dyDescent="0.25">
      <c r="A337"/>
      <c r="B337"/>
    </row>
    <row r="338" spans="1:2" x14ac:dyDescent="0.25">
      <c r="A338"/>
      <c r="B338"/>
    </row>
    <row r="339" spans="1:2" x14ac:dyDescent="0.25">
      <c r="A339"/>
      <c r="B339"/>
    </row>
    <row r="340" spans="1:2" x14ac:dyDescent="0.25">
      <c r="A340"/>
      <c r="B340"/>
    </row>
    <row r="341" spans="1:2" x14ac:dyDescent="0.25">
      <c r="A341"/>
      <c r="B341"/>
    </row>
    <row r="342" spans="1:2" x14ac:dyDescent="0.25">
      <c r="A342"/>
      <c r="B342"/>
    </row>
    <row r="343" spans="1:2" x14ac:dyDescent="0.25">
      <c r="A343"/>
      <c r="B343"/>
    </row>
    <row r="344" spans="1:2" x14ac:dyDescent="0.25">
      <c r="A344"/>
      <c r="B344"/>
    </row>
    <row r="345" spans="1:2" x14ac:dyDescent="0.25">
      <c r="A345"/>
      <c r="B345"/>
    </row>
    <row r="346" spans="1:2" x14ac:dyDescent="0.25">
      <c r="A346"/>
      <c r="B346"/>
    </row>
    <row r="347" spans="1:2" x14ac:dyDescent="0.25">
      <c r="A347"/>
      <c r="B347"/>
    </row>
    <row r="348" spans="1:2" x14ac:dyDescent="0.25">
      <c r="A348"/>
      <c r="B348"/>
    </row>
    <row r="349" spans="1:2" x14ac:dyDescent="0.25">
      <c r="A349"/>
      <c r="B349"/>
    </row>
    <row r="350" spans="1:2" x14ac:dyDescent="0.25">
      <c r="A350"/>
      <c r="B350"/>
    </row>
    <row r="351" spans="1:2" x14ac:dyDescent="0.25">
      <c r="A351"/>
      <c r="B351"/>
    </row>
    <row r="352" spans="1:2" x14ac:dyDescent="0.25">
      <c r="A352"/>
      <c r="B352"/>
    </row>
    <row r="353" spans="1:2" x14ac:dyDescent="0.25">
      <c r="A353"/>
      <c r="B353"/>
    </row>
    <row r="354" spans="1:2" x14ac:dyDescent="0.25">
      <c r="A354"/>
      <c r="B354"/>
    </row>
    <row r="355" spans="1:2" x14ac:dyDescent="0.25">
      <c r="A355"/>
      <c r="B355"/>
    </row>
    <row r="356" spans="1:2" x14ac:dyDescent="0.25">
      <c r="A356"/>
      <c r="B356"/>
    </row>
    <row r="357" spans="1:2" x14ac:dyDescent="0.25">
      <c r="A357"/>
      <c r="B357"/>
    </row>
    <row r="358" spans="1:2" x14ac:dyDescent="0.25">
      <c r="A358"/>
      <c r="B358"/>
    </row>
    <row r="359" spans="1:2" x14ac:dyDescent="0.25">
      <c r="A359"/>
      <c r="B359"/>
    </row>
    <row r="360" spans="1:2" x14ac:dyDescent="0.25">
      <c r="A360"/>
      <c r="B360"/>
    </row>
    <row r="361" spans="1:2" x14ac:dyDescent="0.25">
      <c r="A361"/>
      <c r="B361"/>
    </row>
    <row r="362" spans="1:2" x14ac:dyDescent="0.25">
      <c r="A362"/>
      <c r="B362"/>
    </row>
    <row r="363" spans="1:2" x14ac:dyDescent="0.25">
      <c r="A363"/>
      <c r="B363"/>
    </row>
    <row r="364" spans="1:2" x14ac:dyDescent="0.25">
      <c r="A364"/>
      <c r="B364"/>
    </row>
    <row r="365" spans="1:2" x14ac:dyDescent="0.25">
      <c r="A365"/>
      <c r="B365"/>
    </row>
    <row r="366" spans="1:2" x14ac:dyDescent="0.25">
      <c r="A366"/>
      <c r="B366"/>
    </row>
    <row r="367" spans="1:2" x14ac:dyDescent="0.25">
      <c r="A367"/>
      <c r="B367"/>
    </row>
    <row r="368" spans="1:2" x14ac:dyDescent="0.25">
      <c r="A368"/>
      <c r="B368"/>
    </row>
    <row r="369" spans="1:2" x14ac:dyDescent="0.25">
      <c r="A369"/>
      <c r="B369"/>
    </row>
    <row r="370" spans="1:2" x14ac:dyDescent="0.25">
      <c r="A370"/>
      <c r="B370"/>
    </row>
    <row r="371" spans="1:2" x14ac:dyDescent="0.25">
      <c r="A371"/>
      <c r="B371"/>
    </row>
    <row r="372" spans="1:2" x14ac:dyDescent="0.25">
      <c r="A372"/>
      <c r="B372"/>
    </row>
    <row r="373" spans="1:2" x14ac:dyDescent="0.25">
      <c r="A373"/>
      <c r="B373"/>
    </row>
    <row r="374" spans="1:2" x14ac:dyDescent="0.25">
      <c r="A374"/>
      <c r="B374"/>
    </row>
    <row r="375" spans="1:2" x14ac:dyDescent="0.25">
      <c r="A375"/>
      <c r="B375"/>
    </row>
    <row r="376" spans="1:2" x14ac:dyDescent="0.25">
      <c r="A376"/>
      <c r="B376"/>
    </row>
    <row r="377" spans="1:2" x14ac:dyDescent="0.25">
      <c r="A377"/>
      <c r="B377"/>
    </row>
    <row r="378" spans="1:2" x14ac:dyDescent="0.25">
      <c r="A378"/>
      <c r="B378"/>
    </row>
    <row r="379" spans="1:2" x14ac:dyDescent="0.25">
      <c r="A379"/>
      <c r="B379"/>
    </row>
    <row r="380" spans="1:2" x14ac:dyDescent="0.25">
      <c r="A380"/>
      <c r="B380"/>
    </row>
    <row r="381" spans="1:2" x14ac:dyDescent="0.25">
      <c r="A381"/>
      <c r="B381"/>
    </row>
    <row r="382" spans="1:2" x14ac:dyDescent="0.25">
      <c r="A382"/>
      <c r="B382"/>
    </row>
    <row r="383" spans="1:2" x14ac:dyDescent="0.25">
      <c r="A383"/>
      <c r="B383"/>
    </row>
    <row r="384" spans="1:2" x14ac:dyDescent="0.25">
      <c r="A384"/>
      <c r="B384"/>
    </row>
    <row r="385" spans="1:2" x14ac:dyDescent="0.25">
      <c r="A385"/>
      <c r="B385"/>
    </row>
    <row r="386" spans="1:2" x14ac:dyDescent="0.25">
      <c r="A386"/>
      <c r="B386"/>
    </row>
    <row r="387" spans="1:2" x14ac:dyDescent="0.25">
      <c r="A387"/>
      <c r="B387"/>
    </row>
    <row r="388" spans="1:2" x14ac:dyDescent="0.25">
      <c r="A388"/>
      <c r="B388"/>
    </row>
    <row r="389" spans="1:2" x14ac:dyDescent="0.25">
      <c r="A389"/>
      <c r="B389"/>
    </row>
    <row r="390" spans="1:2" x14ac:dyDescent="0.25">
      <c r="A390"/>
      <c r="B390"/>
    </row>
    <row r="391" spans="1:2" x14ac:dyDescent="0.25">
      <c r="A391"/>
      <c r="B391"/>
    </row>
    <row r="392" spans="1:2" x14ac:dyDescent="0.25">
      <c r="A392"/>
      <c r="B392"/>
    </row>
    <row r="393" spans="1:2" x14ac:dyDescent="0.25">
      <c r="A393"/>
      <c r="B393"/>
    </row>
    <row r="394" spans="1:2" x14ac:dyDescent="0.25">
      <c r="A394"/>
      <c r="B394"/>
    </row>
    <row r="395" spans="1:2" x14ac:dyDescent="0.25">
      <c r="A395"/>
      <c r="B395"/>
    </row>
    <row r="396" spans="1:2" x14ac:dyDescent="0.25">
      <c r="A396"/>
      <c r="B396"/>
    </row>
    <row r="397" spans="1:2" x14ac:dyDescent="0.25">
      <c r="A397"/>
      <c r="B397"/>
    </row>
    <row r="398" spans="1:2" x14ac:dyDescent="0.25">
      <c r="A398"/>
      <c r="B398"/>
    </row>
    <row r="399" spans="1:2" x14ac:dyDescent="0.25">
      <c r="A399"/>
      <c r="B399"/>
    </row>
    <row r="400" spans="1:2" x14ac:dyDescent="0.25">
      <c r="A400"/>
      <c r="B400"/>
    </row>
    <row r="401" spans="1:2" x14ac:dyDescent="0.25">
      <c r="A401"/>
      <c r="B401"/>
    </row>
    <row r="402" spans="1:2" x14ac:dyDescent="0.25">
      <c r="A402"/>
      <c r="B402"/>
    </row>
    <row r="403" spans="1:2" x14ac:dyDescent="0.25">
      <c r="A403"/>
      <c r="B403"/>
    </row>
    <row r="404" spans="1:2" x14ac:dyDescent="0.25">
      <c r="A404"/>
      <c r="B404"/>
    </row>
    <row r="405" spans="1:2" x14ac:dyDescent="0.25">
      <c r="A405"/>
      <c r="B405"/>
    </row>
    <row r="406" spans="1:2" x14ac:dyDescent="0.25">
      <c r="A406"/>
      <c r="B406"/>
    </row>
    <row r="407" spans="1:2" x14ac:dyDescent="0.25">
      <c r="A407"/>
      <c r="B407"/>
    </row>
    <row r="408" spans="1:2" x14ac:dyDescent="0.25">
      <c r="A408"/>
      <c r="B408"/>
    </row>
    <row r="409" spans="1:2" x14ac:dyDescent="0.25">
      <c r="A409"/>
      <c r="B409"/>
    </row>
    <row r="410" spans="1:2" x14ac:dyDescent="0.25">
      <c r="A410"/>
      <c r="B410"/>
    </row>
    <row r="411" spans="1:2" x14ac:dyDescent="0.25">
      <c r="A411"/>
      <c r="B411"/>
    </row>
    <row r="412" spans="1:2" x14ac:dyDescent="0.25">
      <c r="A412"/>
      <c r="B412"/>
    </row>
    <row r="413" spans="1:2" x14ac:dyDescent="0.25">
      <c r="A413"/>
      <c r="B413"/>
    </row>
    <row r="414" spans="1:2" x14ac:dyDescent="0.25">
      <c r="A414"/>
      <c r="B414"/>
    </row>
    <row r="415" spans="1:2" x14ac:dyDescent="0.25">
      <c r="A415"/>
      <c r="B415"/>
    </row>
    <row r="416" spans="1:2" x14ac:dyDescent="0.25">
      <c r="A416"/>
      <c r="B416"/>
    </row>
    <row r="417" spans="1:2" x14ac:dyDescent="0.25">
      <c r="A417"/>
      <c r="B417"/>
    </row>
    <row r="418" spans="1:2" x14ac:dyDescent="0.25">
      <c r="A418"/>
      <c r="B418"/>
    </row>
    <row r="419" spans="1:2" x14ac:dyDescent="0.25">
      <c r="A419"/>
      <c r="B419"/>
    </row>
    <row r="420" spans="1:2" x14ac:dyDescent="0.25">
      <c r="A420"/>
      <c r="B420"/>
    </row>
    <row r="421" spans="1:2" x14ac:dyDescent="0.25">
      <c r="A421"/>
      <c r="B421"/>
    </row>
    <row r="422" spans="1:2" x14ac:dyDescent="0.25">
      <c r="A422"/>
      <c r="B422"/>
    </row>
    <row r="423" spans="1:2" x14ac:dyDescent="0.25">
      <c r="A423"/>
      <c r="B423"/>
    </row>
    <row r="424" spans="1:2" x14ac:dyDescent="0.25">
      <c r="A424"/>
      <c r="B424"/>
    </row>
    <row r="425" spans="1:2" x14ac:dyDescent="0.25">
      <c r="A425"/>
      <c r="B425"/>
    </row>
    <row r="426" spans="1:2" x14ac:dyDescent="0.25">
      <c r="A426"/>
      <c r="B426"/>
    </row>
    <row r="427" spans="1:2" x14ac:dyDescent="0.25">
      <c r="A427"/>
      <c r="B427"/>
    </row>
    <row r="428" spans="1:2" x14ac:dyDescent="0.25">
      <c r="A428"/>
      <c r="B428"/>
    </row>
    <row r="429" spans="1:2" x14ac:dyDescent="0.25">
      <c r="A429"/>
      <c r="B429"/>
    </row>
    <row r="430" spans="1:2" x14ac:dyDescent="0.25">
      <c r="A430"/>
      <c r="B430"/>
    </row>
    <row r="431" spans="1:2" x14ac:dyDescent="0.25">
      <c r="A431"/>
      <c r="B431"/>
    </row>
    <row r="432" spans="1:2" x14ac:dyDescent="0.25">
      <c r="A432"/>
      <c r="B432"/>
    </row>
    <row r="433" spans="1:2" x14ac:dyDescent="0.25">
      <c r="A433"/>
      <c r="B433"/>
    </row>
    <row r="434" spans="1:2" x14ac:dyDescent="0.25">
      <c r="A434"/>
      <c r="B434"/>
    </row>
    <row r="435" spans="1:2" x14ac:dyDescent="0.25">
      <c r="A435"/>
      <c r="B435"/>
    </row>
    <row r="436" spans="1:2" x14ac:dyDescent="0.25">
      <c r="A436"/>
      <c r="B436"/>
    </row>
    <row r="437" spans="1:2" x14ac:dyDescent="0.25">
      <c r="A437"/>
      <c r="B437"/>
    </row>
    <row r="438" spans="1:2" x14ac:dyDescent="0.25">
      <c r="A438"/>
      <c r="B438"/>
    </row>
    <row r="439" spans="1:2" x14ac:dyDescent="0.25">
      <c r="A439"/>
      <c r="B439"/>
    </row>
    <row r="440" spans="1:2" x14ac:dyDescent="0.25">
      <c r="A440"/>
      <c r="B440"/>
    </row>
    <row r="441" spans="1:2" x14ac:dyDescent="0.25">
      <c r="A441"/>
      <c r="B441"/>
    </row>
    <row r="442" spans="1:2" x14ac:dyDescent="0.25">
      <c r="A442"/>
      <c r="B442"/>
    </row>
    <row r="443" spans="1:2" x14ac:dyDescent="0.25">
      <c r="A443"/>
      <c r="B443"/>
    </row>
    <row r="444" spans="1:2" x14ac:dyDescent="0.25">
      <c r="A444"/>
      <c r="B444"/>
    </row>
    <row r="445" spans="1:2" x14ac:dyDescent="0.25">
      <c r="A445"/>
      <c r="B445"/>
    </row>
    <row r="446" spans="1:2" x14ac:dyDescent="0.25">
      <c r="A446"/>
      <c r="B446"/>
    </row>
    <row r="447" spans="1:2" x14ac:dyDescent="0.25">
      <c r="A447"/>
      <c r="B447"/>
    </row>
    <row r="448" spans="1:2" x14ac:dyDescent="0.25">
      <c r="A448"/>
      <c r="B448"/>
    </row>
    <row r="449" spans="1:2" x14ac:dyDescent="0.25">
      <c r="A449"/>
      <c r="B449"/>
    </row>
    <row r="450" spans="1:2" x14ac:dyDescent="0.25">
      <c r="A450"/>
      <c r="B450"/>
    </row>
    <row r="451" spans="1:2" x14ac:dyDescent="0.25">
      <c r="A451"/>
      <c r="B451"/>
    </row>
    <row r="452" spans="1:2" x14ac:dyDescent="0.25">
      <c r="A452"/>
      <c r="B452"/>
    </row>
    <row r="453" spans="1:2" x14ac:dyDescent="0.25">
      <c r="A453"/>
      <c r="B453"/>
    </row>
    <row r="454" spans="1:2" x14ac:dyDescent="0.25">
      <c r="A454"/>
      <c r="B454"/>
    </row>
    <row r="455" spans="1:2" x14ac:dyDescent="0.25">
      <c r="A455"/>
      <c r="B455"/>
    </row>
    <row r="456" spans="1:2" x14ac:dyDescent="0.25">
      <c r="A456"/>
      <c r="B456"/>
    </row>
    <row r="457" spans="1:2" x14ac:dyDescent="0.25">
      <c r="A457"/>
      <c r="B457"/>
    </row>
    <row r="458" spans="1:2" x14ac:dyDescent="0.25">
      <c r="A458"/>
      <c r="B458"/>
    </row>
    <row r="459" spans="1:2" x14ac:dyDescent="0.25">
      <c r="A459"/>
      <c r="B459"/>
    </row>
    <row r="460" spans="1:2" x14ac:dyDescent="0.25">
      <c r="A460"/>
      <c r="B460"/>
    </row>
    <row r="461" spans="1:2" x14ac:dyDescent="0.25">
      <c r="A461"/>
      <c r="B461"/>
    </row>
    <row r="462" spans="1:2" x14ac:dyDescent="0.25">
      <c r="A462"/>
      <c r="B462"/>
    </row>
    <row r="463" spans="1:2" x14ac:dyDescent="0.25">
      <c r="A463"/>
      <c r="B463"/>
    </row>
    <row r="464" spans="1:2" x14ac:dyDescent="0.25">
      <c r="A464"/>
      <c r="B464"/>
    </row>
    <row r="465" spans="1:2" x14ac:dyDescent="0.25">
      <c r="A465"/>
      <c r="B465"/>
    </row>
    <row r="466" spans="1:2" x14ac:dyDescent="0.25">
      <c r="A466"/>
      <c r="B466"/>
    </row>
    <row r="467" spans="1:2" x14ac:dyDescent="0.25">
      <c r="A467"/>
      <c r="B467"/>
    </row>
    <row r="468" spans="1:2" x14ac:dyDescent="0.25">
      <c r="A468"/>
      <c r="B468"/>
    </row>
    <row r="469" spans="1:2" x14ac:dyDescent="0.25">
      <c r="A469"/>
      <c r="B469"/>
    </row>
    <row r="470" spans="1:2" x14ac:dyDescent="0.25">
      <c r="A470"/>
      <c r="B470"/>
    </row>
    <row r="471" spans="1:2" x14ac:dyDescent="0.25">
      <c r="A471"/>
      <c r="B471"/>
    </row>
    <row r="472" spans="1:2" x14ac:dyDescent="0.25">
      <c r="A472"/>
      <c r="B472"/>
    </row>
    <row r="473" spans="1:2" x14ac:dyDescent="0.25">
      <c r="A473"/>
      <c r="B473"/>
    </row>
    <row r="474" spans="1:2" x14ac:dyDescent="0.25">
      <c r="A474"/>
      <c r="B474"/>
    </row>
    <row r="475" spans="1:2" x14ac:dyDescent="0.25">
      <c r="A475"/>
      <c r="B475"/>
    </row>
    <row r="476" spans="1:2" x14ac:dyDescent="0.25">
      <c r="A476"/>
      <c r="B476"/>
    </row>
    <row r="477" spans="1:2" x14ac:dyDescent="0.25">
      <c r="A477"/>
      <c r="B477"/>
    </row>
    <row r="478" spans="1:2" x14ac:dyDescent="0.25">
      <c r="A478"/>
      <c r="B478"/>
    </row>
    <row r="479" spans="1:2" x14ac:dyDescent="0.25">
      <c r="A479"/>
      <c r="B479"/>
    </row>
    <row r="480" spans="1:2" x14ac:dyDescent="0.25">
      <c r="A480"/>
      <c r="B480"/>
    </row>
    <row r="481" spans="1:2" x14ac:dyDescent="0.25">
      <c r="A481"/>
      <c r="B481"/>
    </row>
    <row r="482" spans="1:2" x14ac:dyDescent="0.25">
      <c r="A482"/>
      <c r="B482"/>
    </row>
    <row r="483" spans="1:2" x14ac:dyDescent="0.25">
      <c r="A483"/>
      <c r="B483"/>
    </row>
    <row r="484" spans="1:2" x14ac:dyDescent="0.25">
      <c r="A484"/>
      <c r="B484"/>
    </row>
    <row r="485" spans="1:2" x14ac:dyDescent="0.25">
      <c r="A485"/>
      <c r="B485"/>
    </row>
    <row r="486" spans="1:2" x14ac:dyDescent="0.25">
      <c r="A486"/>
      <c r="B486"/>
    </row>
    <row r="487" spans="1:2" x14ac:dyDescent="0.25">
      <c r="A487"/>
      <c r="B487"/>
    </row>
    <row r="488" spans="1:2" x14ac:dyDescent="0.25">
      <c r="A488"/>
      <c r="B488"/>
    </row>
    <row r="489" spans="1:2" x14ac:dyDescent="0.25">
      <c r="A489"/>
      <c r="B489"/>
    </row>
    <row r="490" spans="1:2" x14ac:dyDescent="0.25">
      <c r="A490"/>
      <c r="B490"/>
    </row>
    <row r="491" spans="1:2" x14ac:dyDescent="0.25">
      <c r="A491"/>
      <c r="B491"/>
    </row>
    <row r="492" spans="1:2" x14ac:dyDescent="0.25">
      <c r="A492"/>
      <c r="B492"/>
    </row>
    <row r="493" spans="1:2" x14ac:dyDescent="0.25">
      <c r="A493"/>
      <c r="B493"/>
    </row>
    <row r="494" spans="1:2" x14ac:dyDescent="0.25">
      <c r="A494"/>
      <c r="B494"/>
    </row>
    <row r="495" spans="1:2" x14ac:dyDescent="0.25">
      <c r="A495"/>
      <c r="B495"/>
    </row>
    <row r="496" spans="1:2" x14ac:dyDescent="0.25">
      <c r="A496"/>
      <c r="B496"/>
    </row>
    <row r="497" spans="1:2" x14ac:dyDescent="0.25">
      <c r="A497"/>
      <c r="B497"/>
    </row>
    <row r="498" spans="1:2" x14ac:dyDescent="0.25">
      <c r="A498"/>
      <c r="B498"/>
    </row>
    <row r="499" spans="1:2" x14ac:dyDescent="0.25">
      <c r="A499"/>
      <c r="B499"/>
    </row>
    <row r="500" spans="1:2" x14ac:dyDescent="0.25">
      <c r="A500"/>
      <c r="B500"/>
    </row>
    <row r="501" spans="1:2" x14ac:dyDescent="0.25">
      <c r="A501"/>
      <c r="B501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T509"/>
  <sheetViews>
    <sheetView showGridLines="0" zoomScaleNormal="100" workbookViewId="0">
      <pane xSplit="8" ySplit="8" topLeftCell="I9" activePane="bottomRight" state="frozen"/>
      <selection activeCell="M58" sqref="M58"/>
      <selection pane="topRight" activeCell="M58" sqref="M58"/>
      <selection pane="bottomLeft" activeCell="M58" sqref="M58"/>
      <selection pane="bottomRight" activeCell="M58" sqref="M58"/>
    </sheetView>
  </sheetViews>
  <sheetFormatPr defaultColWidth="9.140625" defaultRowHeight="15" x14ac:dyDescent="0.25"/>
  <cols>
    <col min="1" max="1" width="5.42578125" style="2" customWidth="1"/>
    <col min="2" max="2" width="20.7109375" style="2" customWidth="1"/>
    <col min="3" max="3" width="25.85546875" style="2" customWidth="1"/>
    <col min="4" max="7" width="12.140625" style="2" customWidth="1"/>
    <col min="8" max="8" width="12.140625" style="12" customWidth="1"/>
    <col min="9" max="16" width="15.5703125" style="2" customWidth="1"/>
    <col min="17" max="17" width="23.28515625" style="2" customWidth="1"/>
    <col min="18" max="36" width="15.5703125" style="2" customWidth="1"/>
    <col min="37" max="38" width="21.140625" style="2" customWidth="1"/>
    <col min="39" max="40" width="15.5703125" style="2" customWidth="1"/>
    <col min="41" max="42" width="22.42578125" style="2" customWidth="1"/>
    <col min="43" max="44" width="20.5703125" style="2" customWidth="1"/>
    <col min="45" max="46" width="15.5703125" style="2" customWidth="1"/>
    <col min="47" max="48" width="18.28515625" style="2" customWidth="1"/>
    <col min="49" max="50" width="20.5703125" style="2" customWidth="1"/>
    <col min="51" max="52" width="21.140625" style="2" customWidth="1"/>
    <col min="53" max="54" width="18.28515625" style="2" customWidth="1"/>
    <col min="55" max="56" width="21.140625" style="2" customWidth="1"/>
    <col min="57" max="70" width="15.5703125" style="2" customWidth="1"/>
    <col min="71" max="71" width="16.5703125" style="2" customWidth="1"/>
    <col min="72" max="72" width="11.42578125" style="2" bestFit="1" customWidth="1"/>
    <col min="73" max="16384" width="9.140625" style="2"/>
  </cols>
  <sheetData>
    <row r="1" spans="1:72" s="1" customFormat="1" ht="18.75" x14ac:dyDescent="0.25">
      <c r="A1" s="130" t="s">
        <v>16</v>
      </c>
      <c r="B1" s="3"/>
      <c r="C1" s="3"/>
      <c r="D1" s="3"/>
      <c r="E1" s="3"/>
      <c r="H1" s="11"/>
    </row>
    <row r="2" spans="1:72" s="1" customFormat="1" ht="16.5" customHeight="1" x14ac:dyDescent="0.25">
      <c r="A2" s="4" t="s">
        <v>17</v>
      </c>
      <c r="B2" s="4"/>
      <c r="C2" s="4"/>
      <c r="D2" s="4"/>
      <c r="E2" s="4"/>
      <c r="H2" s="11"/>
    </row>
    <row r="3" spans="1:72" s="1" customFormat="1" ht="6.75" customHeight="1" x14ac:dyDescent="0.25">
      <c r="B3" s="6"/>
      <c r="C3" s="6"/>
      <c r="D3" s="6"/>
      <c r="E3" s="6"/>
      <c r="H3" s="11"/>
    </row>
    <row r="4" spans="1:72" s="1" customFormat="1" ht="16.5" customHeight="1" x14ac:dyDescent="0.25">
      <c r="A4" s="202" t="s">
        <v>18</v>
      </c>
      <c r="B4" s="202"/>
      <c r="C4" s="202"/>
      <c r="D4" s="5"/>
      <c r="E4" s="5"/>
      <c r="H4" s="11"/>
    </row>
    <row r="5" spans="1:72" ht="16.5" customHeight="1" x14ac:dyDescent="0.25">
      <c r="A5" s="247">
        <v>1045</v>
      </c>
      <c r="B5" s="247"/>
      <c r="C5" s="202"/>
      <c r="D5" s="5"/>
      <c r="E5" s="5"/>
    </row>
    <row r="6" spans="1:72" ht="9" customHeight="1" x14ac:dyDescent="0.25">
      <c r="A6" s="7"/>
      <c r="B6" s="7"/>
      <c r="C6" s="7"/>
      <c r="D6" s="7"/>
      <c r="E6" s="7"/>
    </row>
    <row r="7" spans="1:72" s="10" customFormat="1" ht="18.75" customHeight="1" x14ac:dyDescent="0.25">
      <c r="A7" s="239" t="s">
        <v>19</v>
      </c>
      <c r="B7" s="238"/>
      <c r="C7" s="238"/>
      <c r="D7" s="238"/>
      <c r="E7" s="238"/>
      <c r="F7" s="238"/>
      <c r="G7" s="238"/>
      <c r="H7" s="238"/>
      <c r="I7" s="246" t="s">
        <v>20</v>
      </c>
      <c r="J7" s="238"/>
      <c r="K7" s="238"/>
      <c r="L7" s="238"/>
      <c r="M7" s="238"/>
      <c r="N7" s="240"/>
      <c r="O7" s="238" t="s">
        <v>21</v>
      </c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40"/>
      <c r="AG7" s="246" t="s">
        <v>22</v>
      </c>
      <c r="AH7" s="238"/>
      <c r="AI7" s="238"/>
      <c r="AJ7" s="238"/>
      <c r="AK7" s="238"/>
      <c r="AL7" s="238"/>
      <c r="AM7" s="238"/>
      <c r="AN7" s="238"/>
      <c r="AO7" s="238"/>
      <c r="AP7" s="238"/>
      <c r="AQ7" s="238"/>
      <c r="AR7" s="240"/>
      <c r="AS7" s="246" t="s">
        <v>23</v>
      </c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40"/>
      <c r="BE7" s="238" t="s">
        <v>24</v>
      </c>
      <c r="BF7" s="238"/>
      <c r="BG7" s="238"/>
      <c r="BH7" s="238"/>
      <c r="BI7" s="246" t="s">
        <v>25</v>
      </c>
      <c r="BJ7" s="238"/>
      <c r="BK7" s="238"/>
      <c r="BL7" s="238"/>
      <c r="BM7" s="238"/>
      <c r="BN7" s="238"/>
      <c r="BO7" s="238"/>
      <c r="BP7" s="238"/>
      <c r="BQ7" s="238"/>
      <c r="BR7" s="238"/>
      <c r="BS7" s="41"/>
    </row>
    <row r="8" spans="1:72" s="9" customFormat="1" ht="30.75" customHeight="1" x14ac:dyDescent="0.25">
      <c r="A8" s="248" t="s">
        <v>19</v>
      </c>
      <c r="B8" s="244"/>
      <c r="C8" s="244"/>
      <c r="D8" s="244"/>
      <c r="E8" s="243" t="s">
        <v>26</v>
      </c>
      <c r="F8" s="244"/>
      <c r="G8" s="244"/>
      <c r="H8" s="244"/>
      <c r="I8" s="243" t="s">
        <v>27</v>
      </c>
      <c r="J8" s="244"/>
      <c r="K8" s="244"/>
      <c r="L8" s="244"/>
      <c r="M8" s="244"/>
      <c r="N8" s="245"/>
      <c r="O8" s="244" t="s">
        <v>28</v>
      </c>
      <c r="P8" s="244"/>
      <c r="Q8" s="244"/>
      <c r="R8" s="243" t="s">
        <v>29</v>
      </c>
      <c r="S8" s="244"/>
      <c r="T8" s="244"/>
      <c r="U8" s="244"/>
      <c r="V8" s="244"/>
      <c r="W8" s="244"/>
      <c r="X8" s="244"/>
      <c r="Y8" s="244"/>
      <c r="Z8" s="245"/>
      <c r="AA8" s="243" t="s">
        <v>30</v>
      </c>
      <c r="AB8" s="244"/>
      <c r="AC8" s="244"/>
      <c r="AD8" s="244"/>
      <c r="AE8" s="244"/>
      <c r="AF8" s="245"/>
      <c r="AG8" s="244" t="s">
        <v>31</v>
      </c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5"/>
      <c r="AS8" s="243" t="s">
        <v>32</v>
      </c>
      <c r="AT8" s="244"/>
      <c r="AU8" s="244"/>
      <c r="AV8" s="244"/>
      <c r="AW8" s="244"/>
      <c r="AX8" s="244"/>
      <c r="AY8" s="244"/>
      <c r="AZ8" s="244"/>
      <c r="BA8" s="244"/>
      <c r="BB8" s="245"/>
      <c r="BC8" s="244" t="s">
        <v>33</v>
      </c>
      <c r="BD8" s="244"/>
      <c r="BE8" s="243" t="s">
        <v>34</v>
      </c>
      <c r="BF8" s="244"/>
      <c r="BG8" s="244"/>
      <c r="BH8" s="244"/>
      <c r="BI8" s="241" t="s">
        <v>35</v>
      </c>
      <c r="BJ8" s="242"/>
      <c r="BK8" s="242"/>
      <c r="BL8" s="242"/>
      <c r="BM8" s="241" t="s">
        <v>36</v>
      </c>
      <c r="BN8" s="242"/>
      <c r="BO8" s="242"/>
      <c r="BP8" s="242"/>
      <c r="BQ8" s="242"/>
      <c r="BR8" s="242"/>
      <c r="BS8" s="44" t="s">
        <v>37</v>
      </c>
    </row>
    <row r="9" spans="1:72" s="22" customFormat="1" ht="45" customHeight="1" x14ac:dyDescent="0.25">
      <c r="A9" s="15" t="s">
        <v>38</v>
      </c>
      <c r="B9" s="15" t="s">
        <v>39</v>
      </c>
      <c r="C9" s="15" t="s">
        <v>40</v>
      </c>
      <c r="D9" s="18" t="s">
        <v>41</v>
      </c>
      <c r="E9" s="20" t="s">
        <v>42</v>
      </c>
      <c r="F9" s="15" t="s">
        <v>43</v>
      </c>
      <c r="G9" s="15" t="s">
        <v>44</v>
      </c>
      <c r="H9" s="18" t="s">
        <v>45</v>
      </c>
      <c r="I9" s="20" t="s">
        <v>43</v>
      </c>
      <c r="J9" s="16" t="s">
        <v>46</v>
      </c>
      <c r="K9" s="15" t="s">
        <v>47</v>
      </c>
      <c r="L9" s="16" t="s">
        <v>48</v>
      </c>
      <c r="M9" s="15" t="s">
        <v>49</v>
      </c>
      <c r="N9" s="17" t="s">
        <v>50</v>
      </c>
      <c r="O9" s="16" t="s">
        <v>51</v>
      </c>
      <c r="P9" s="17" t="s">
        <v>52</v>
      </c>
      <c r="Q9" s="18" t="s">
        <v>53</v>
      </c>
      <c r="R9" s="20" t="s">
        <v>54</v>
      </c>
      <c r="S9" s="15" t="s">
        <v>55</v>
      </c>
      <c r="T9" s="15" t="s">
        <v>56</v>
      </c>
      <c r="U9" s="18" t="s">
        <v>57</v>
      </c>
      <c r="V9" s="15" t="s">
        <v>58</v>
      </c>
      <c r="W9" s="15" t="s">
        <v>59</v>
      </c>
      <c r="X9" s="15" t="s">
        <v>60</v>
      </c>
      <c r="Y9" s="15" t="s">
        <v>61</v>
      </c>
      <c r="Z9" s="17" t="s">
        <v>62</v>
      </c>
      <c r="AA9" s="15" t="s">
        <v>63</v>
      </c>
      <c r="AB9" s="15" t="s">
        <v>64</v>
      </c>
      <c r="AC9" s="15" t="s">
        <v>65</v>
      </c>
      <c r="AD9" s="15" t="s">
        <v>66</v>
      </c>
      <c r="AE9" s="15" t="s">
        <v>67</v>
      </c>
      <c r="AF9" s="17" t="s">
        <v>68</v>
      </c>
      <c r="AG9" s="21" t="s">
        <v>69</v>
      </c>
      <c r="AH9" s="15" t="s">
        <v>70</v>
      </c>
      <c r="AI9" s="16" t="s">
        <v>71</v>
      </c>
      <c r="AJ9" s="15" t="s">
        <v>72</v>
      </c>
      <c r="AK9" s="15" t="s">
        <v>73</v>
      </c>
      <c r="AL9" s="15" t="s">
        <v>74</v>
      </c>
      <c r="AM9" s="15" t="s">
        <v>75</v>
      </c>
      <c r="AN9" s="15" t="s">
        <v>76</v>
      </c>
      <c r="AO9" s="15" t="s">
        <v>77</v>
      </c>
      <c r="AP9" s="15" t="s">
        <v>78</v>
      </c>
      <c r="AQ9" s="18" t="s">
        <v>79</v>
      </c>
      <c r="AR9" s="15" t="s">
        <v>80</v>
      </c>
      <c r="AS9" s="99" t="s">
        <v>81</v>
      </c>
      <c r="AT9" s="15" t="s">
        <v>82</v>
      </c>
      <c r="AU9" s="100" t="s">
        <v>83</v>
      </c>
      <c r="AV9" s="15" t="s">
        <v>84</v>
      </c>
      <c r="AW9" s="100" t="s">
        <v>85</v>
      </c>
      <c r="AX9" s="15" t="s">
        <v>86</v>
      </c>
      <c r="AY9" s="100" t="s">
        <v>87</v>
      </c>
      <c r="AZ9" s="15" t="s">
        <v>88</v>
      </c>
      <c r="BA9" s="100" t="s">
        <v>89</v>
      </c>
      <c r="BB9" s="17" t="s">
        <v>90</v>
      </c>
      <c r="BC9" s="101" t="s">
        <v>91</v>
      </c>
      <c r="BD9" s="18" t="s">
        <v>92</v>
      </c>
      <c r="BE9" s="99" t="s">
        <v>93</v>
      </c>
      <c r="BF9" s="15" t="s">
        <v>94</v>
      </c>
      <c r="BG9" s="100" t="s">
        <v>95</v>
      </c>
      <c r="BH9" s="102" t="s">
        <v>96</v>
      </c>
      <c r="BI9" s="101" t="s">
        <v>97</v>
      </c>
      <c r="BJ9" s="100" t="s">
        <v>98</v>
      </c>
      <c r="BK9" s="103" t="s">
        <v>99</v>
      </c>
      <c r="BL9" s="104" t="s">
        <v>100</v>
      </c>
      <c r="BM9" s="99" t="s">
        <v>101</v>
      </c>
      <c r="BN9" s="100" t="s">
        <v>102</v>
      </c>
      <c r="BO9" s="104" t="s">
        <v>103</v>
      </c>
      <c r="BP9" s="104" t="s">
        <v>104</v>
      </c>
      <c r="BQ9" s="100" t="s">
        <v>105</v>
      </c>
      <c r="BR9" s="104" t="s">
        <v>106</v>
      </c>
      <c r="BS9" s="39" t="s">
        <v>107</v>
      </c>
    </row>
    <row r="10" spans="1:72" s="8" customFormat="1" ht="15" customHeight="1" x14ac:dyDescent="0.25">
      <c r="A10" s="14" t="s">
        <v>108</v>
      </c>
      <c r="B10" s="14" t="str">
        <f>'planilha - proposta'!C33</f>
        <v>Copeiro Hospitalar</v>
      </c>
      <c r="C10" s="14" t="str">
        <f>'planilha - proposta'!D33</f>
        <v>Copeiro Hospitalar - 12x36d</v>
      </c>
      <c r="D10" s="19" t="str">
        <f>'planilha - proposta'!B33</f>
        <v>5134-30</v>
      </c>
      <c r="E10" s="30">
        <f>'planilha - proposta'!E33</f>
        <v>22</v>
      </c>
      <c r="F10" s="136">
        <v>1100</v>
      </c>
      <c r="G10" s="105" t="s">
        <v>109</v>
      </c>
      <c r="H10" s="132">
        <v>43599</v>
      </c>
      <c r="I10" s="107">
        <v>1100</v>
      </c>
      <c r="J10" s="108"/>
      <c r="K10" s="125">
        <f t="shared" ref="K10" si="0">J10*I10</f>
        <v>0</v>
      </c>
      <c r="L10" s="108">
        <v>0.2</v>
      </c>
      <c r="M10" s="125">
        <f t="shared" ref="M10:M16" si="1">L10*$A$5</f>
        <v>209</v>
      </c>
      <c r="N10" s="185">
        <v>10</v>
      </c>
      <c r="O10" s="37">
        <f t="shared" ref="O10:O16" si="2">(I10+K10+M10+N10)*0.0833</f>
        <v>109.87269999999999</v>
      </c>
      <c r="P10" s="35">
        <f t="shared" ref="P10:P16" si="3">(I10+K10+M10+N10)*0.11108</f>
        <v>146.51452</v>
      </c>
      <c r="Q10" s="31">
        <f t="shared" ref="Q10:Q16" si="4">(0.338+T10)*(O10+P10)</f>
        <v>86.658880360000012</v>
      </c>
      <c r="R10" s="23">
        <f t="shared" ref="R10:R16" si="5">0.2*(I10+K10+M10+N10)</f>
        <v>263.8</v>
      </c>
      <c r="S10" s="35">
        <f t="shared" ref="S10:S16" si="6">0.025*(I10+K10+M10+N10)</f>
        <v>32.975000000000001</v>
      </c>
      <c r="T10" s="110"/>
      <c r="U10" s="35">
        <f t="shared" ref="U10:U16" si="7">T10*($I10+$K10+$M10+$N10)</f>
        <v>0</v>
      </c>
      <c r="V10" s="35">
        <f t="shared" ref="V10:V16" si="8">0.015*(I10+K10+M10+N10)</f>
        <v>19.785</v>
      </c>
      <c r="W10" s="35">
        <f t="shared" ref="W10:W16" si="9">0.01*(I10+K10+M10+N10)</f>
        <v>13.19</v>
      </c>
      <c r="X10" s="35">
        <f t="shared" ref="X10:X16" si="10">0.006*(I10+K10+M10+N10)</f>
        <v>7.9140000000000006</v>
      </c>
      <c r="Y10" s="35">
        <f t="shared" ref="Y10:Y16" si="11">0.002*(I10+K10+M10+N10)</f>
        <v>2.6379999999999999</v>
      </c>
      <c r="Z10" s="34">
        <f t="shared" ref="Z10:Z16" si="12">0.08*(I10+K10+M10+N10)</f>
        <v>105.52</v>
      </c>
      <c r="AA10" s="111">
        <f>15*2*4.15-F10*0.06</f>
        <v>58.500000000000014</v>
      </c>
      <c r="AB10" s="112">
        <v>140</v>
      </c>
      <c r="AC10" s="112">
        <v>0</v>
      </c>
      <c r="AD10" s="112">
        <v>0</v>
      </c>
      <c r="AE10" s="112">
        <v>0</v>
      </c>
      <c r="AF10" s="113">
        <v>0</v>
      </c>
      <c r="AG10" s="114">
        <v>4.1999999999999997E-3</v>
      </c>
      <c r="AH10" s="29">
        <f t="shared" ref="AH10:AH16" si="13">AG10*($I10+$K10+$M10+$N10)</f>
        <v>5.5397999999999996</v>
      </c>
      <c r="AI10" s="110">
        <v>2.9999999999999997E-4</v>
      </c>
      <c r="AJ10" s="29">
        <f t="shared" ref="AJ10:AJ16" si="14">AI10*($I10+$K10+$M10+$N10)</f>
        <v>0.39569999999999994</v>
      </c>
      <c r="AK10" s="110">
        <v>3.2000000000000001E-2</v>
      </c>
      <c r="AL10" s="29">
        <f t="shared" ref="AL10:AL16" si="15">AK10*($I10+$K10+$M10+$N10)</f>
        <v>42.207999999999998</v>
      </c>
      <c r="AM10" s="110">
        <v>1.9400000000000001E-2</v>
      </c>
      <c r="AN10" s="29">
        <f t="shared" ref="AN10:AN16" si="16">AM10*($I10+$K10+$M10+$N10)</f>
        <v>25.5886</v>
      </c>
      <c r="AO10" s="110">
        <v>6.9999999999999999E-4</v>
      </c>
      <c r="AP10" s="29">
        <f t="shared" ref="AP10:AP16" si="17">AO10*($I10+$K10+$M10+$N10)</f>
        <v>0.92330000000000001</v>
      </c>
      <c r="AQ10" s="110">
        <v>1E-3</v>
      </c>
      <c r="AR10" s="36">
        <f t="shared" ref="AR10:AR16" si="18">AQ10*($I10+$K10+$M10+$N10)</f>
        <v>1.319</v>
      </c>
      <c r="AS10" s="115">
        <v>8.0000000000000004E-4</v>
      </c>
      <c r="AT10" s="29">
        <f t="shared" ref="AT10:AT16" si="19">AS10*(I10+K10+M10+N10)</f>
        <v>1.0552000000000001</v>
      </c>
      <c r="AU10" s="110">
        <v>2.0000000000000001E-4</v>
      </c>
      <c r="AV10" s="35">
        <f t="shared" ref="AV10:AV16" si="20">AU10*(I10+K10+M10+N10)</f>
        <v>0.26380000000000003</v>
      </c>
      <c r="AW10" s="110">
        <v>4.0000000000000002E-4</v>
      </c>
      <c r="AX10" s="35">
        <f t="shared" ref="AX10:AX16" si="21">AW10*(I10+K10+M10+N10)</f>
        <v>0.52760000000000007</v>
      </c>
      <c r="AY10" s="110">
        <v>6.9999999999999999E-4</v>
      </c>
      <c r="AZ10" s="35">
        <f t="shared" ref="AZ10:AZ16" si="22">AY10*(I10+K10+M10+N10)</f>
        <v>0.92330000000000001</v>
      </c>
      <c r="BA10" s="110">
        <v>9.4100000000000003E-2</v>
      </c>
      <c r="BB10" s="34">
        <f t="shared" ref="BB10:BB16" si="23">BA10*(I10+K10+M10+N10)</f>
        <v>124.11790000000001</v>
      </c>
      <c r="BC10" s="114">
        <v>0</v>
      </c>
      <c r="BD10" s="31">
        <f t="shared" ref="BD10:BD16" si="24">BC10*(I10+K10+M10+N10)</f>
        <v>0</v>
      </c>
      <c r="BE10" s="32">
        <f>IF(E10=0,0,'Uniformes '!$K$95)</f>
        <v>58.295000000000002</v>
      </c>
      <c r="BF10" s="33">
        <f>IF(E10=0,0,custoEPI_huol!$M$179)</f>
        <v>0</v>
      </c>
      <c r="BG10" s="29">
        <f>IF(OR(Radios!$B$9='calculo - hotelaria'!B10,Radios!$B$10='calculo - hotelaria'!B10,Radios!$B$11='calculo - hotelaria'!B10,Radios!$B$12='calculo - hotelaria'!B10,Radios!$B$13='calculo - hotelaria'!B10,Radios!$B$14='calculo - hotelaria'!B10,Radios!$B$15='calculo - hotelaria'!B10,Radios!$B$16='calculo - hotelaria'!B10),Radios!$I$18,0)</f>
        <v>0</v>
      </c>
      <c r="BH10" s="116">
        <v>0</v>
      </c>
      <c r="BI10" s="117">
        <v>0.06</v>
      </c>
      <c r="BJ10" s="29">
        <f t="shared" ref="BJ10:BJ16" si="25">BI10*(I10+K10+M10+N10+O10+P10+Q10+R10+S10+U10+V10+W10+X10+Y10+Z10+AA10+AB10+AC10+AD10+AE10+AF10+AH10+AJ10+AL10+AN10+AP10+AR10+AT10+AV10+AX10+AZ10+BB10+BD10+BE10+BF10+BG10+BH10)</f>
        <v>154.0515180216</v>
      </c>
      <c r="BK10" s="114">
        <v>6.7900000000000002E-2</v>
      </c>
      <c r="BL10" s="27">
        <f t="shared" ref="BL10:BL16" si="26">BK10*(I10+K10+M10+N10+O10+P10+Q10+R10+S10+U10+V10+W10+X10+Y10+Z10+AA10+AB10+AC10+AD10+AE10+AF10+AH10+AJ10+AL10+AN10+AP10+AR10+AT10+AV10+AX10+AZ10+BB10+BD10+BE10+BF10+BG10+BH10+BJ10)</f>
        <v>184.79506596811063</v>
      </c>
      <c r="BM10" s="115">
        <v>9.2499999999999999E-2</v>
      </c>
      <c r="BN10" s="29">
        <f t="shared" ref="BN10:BN16" si="27">BM10*(I10+K10+M10+N10+O10+P10+Q10+R10+S10+U10+V10+W10+X10+Y10+Z10+AA10+AB10+AC10+AD10+AE10+AF10+AH10+AJ10+AL10+AN10+AP10+AR10+AT10+AV10+AX10+AZ10+BB10+BD10+BE10+BF10+BG10+BH10+BJ10+BL10)/(1-(BM10+BO10+BQ10))</f>
        <v>313.51533446337987</v>
      </c>
      <c r="BO10" s="118">
        <v>0</v>
      </c>
      <c r="BP10" s="27">
        <f t="shared" ref="BP10:BP16" si="28">BO10*(I10+K10+M10+N10+O10+P10+Q10+R10+S10+U10+V10+W10+X10+Y10+Z10+AA10+AB10+AC10+AD10+AE10+AF10+AH10+AJ10+AL10+AN10+AP10+AR10+AT10+AV10+AX10+AZ10+BB10+BD10+BE10+BF10+BG10+BH10+BJ10+BL10)/(1-(BM10+BO10+BQ10))</f>
        <v>0</v>
      </c>
      <c r="BQ10" s="110">
        <v>0.05</v>
      </c>
      <c r="BR10" s="27">
        <f t="shared" ref="BR10:BR16" si="29">BQ10*(I10+K10+M10+N10+O10+P10+Q10+R10+S10+U10+V10+W10+X10+Y10+Z10+AA10+AB10+AC10+AD10+AE10+AF10+AH10+AJ10+AL10+AN10+AP10+AR10+AT10+AV10+AX10+AZ10+BB10+BD10+BE10+BF10+BG10+BH10+BJ10+BL10)/(1-(BM10+BO10+BQ10))</f>
        <v>169.46774835858372</v>
      </c>
      <c r="BS10" s="40">
        <f>I10+K10+M10+N10+O10+P10+Q10+R10+S10+U10+V10+W10+X10+Y10+Z10+AA10+AB10+AC10+AD10+AE10+AF10+AH10+AJ10+AL10+AN10+AP10+AR10+AT10+AV10+AX10+AZ10+BB10+BD10+BE10+BF10+BG10+BH10+BJ10+BL10+BN10+BP10+BR10</f>
        <v>3389.3549671716742</v>
      </c>
      <c r="BT10" s="121"/>
    </row>
    <row r="11" spans="1:72" s="8" customFormat="1" ht="15" customHeight="1" x14ac:dyDescent="0.25">
      <c r="A11" s="14" t="s">
        <v>110</v>
      </c>
      <c r="B11" s="14" t="str">
        <f>'planilha - proposta'!C34</f>
        <v>Copeiro Hospitalar</v>
      </c>
      <c r="C11" s="14" t="str">
        <f>'planilha - proposta'!D34</f>
        <v>Copeiro Hospitalar - 12x36n</v>
      </c>
      <c r="D11" s="19" t="str">
        <f>'planilha - proposta'!B34</f>
        <v>5134-30</v>
      </c>
      <c r="E11" s="30">
        <f>'planilha - proposta'!E34</f>
        <v>8</v>
      </c>
      <c r="F11" s="136">
        <v>1100</v>
      </c>
      <c r="G11" s="105" t="s">
        <v>109</v>
      </c>
      <c r="H11" s="132">
        <v>43599</v>
      </c>
      <c r="I11" s="107">
        <f>F11*1.25</f>
        <v>1375</v>
      </c>
      <c r="J11" s="108"/>
      <c r="K11" s="125">
        <f t="shared" ref="K11:K16" si="30">J11*I11</f>
        <v>0</v>
      </c>
      <c r="L11" s="108">
        <v>0.2</v>
      </c>
      <c r="M11" s="125">
        <f t="shared" si="1"/>
        <v>209</v>
      </c>
      <c r="N11" s="185">
        <v>10</v>
      </c>
      <c r="O11" s="37">
        <f t="shared" si="2"/>
        <v>132.78020000000001</v>
      </c>
      <c r="P11" s="35">
        <f t="shared" si="3"/>
        <v>177.06152</v>
      </c>
      <c r="Q11" s="31">
        <f t="shared" si="4"/>
        <v>104.72650136000001</v>
      </c>
      <c r="R11" s="23">
        <f t="shared" si="5"/>
        <v>318.8</v>
      </c>
      <c r="S11" s="35">
        <f t="shared" si="6"/>
        <v>39.85</v>
      </c>
      <c r="T11" s="110"/>
      <c r="U11" s="35">
        <f t="shared" si="7"/>
        <v>0</v>
      </c>
      <c r="V11" s="35">
        <f t="shared" si="8"/>
        <v>23.91</v>
      </c>
      <c r="W11" s="35">
        <f t="shared" si="9"/>
        <v>15.94</v>
      </c>
      <c r="X11" s="35">
        <f t="shared" si="10"/>
        <v>9.5640000000000001</v>
      </c>
      <c r="Y11" s="35">
        <f t="shared" si="11"/>
        <v>3.1880000000000002</v>
      </c>
      <c r="Z11" s="34">
        <f t="shared" si="12"/>
        <v>127.52</v>
      </c>
      <c r="AA11" s="111">
        <f>15*2*4.15-F11*0.06</f>
        <v>58.500000000000014</v>
      </c>
      <c r="AB11" s="112">
        <v>140</v>
      </c>
      <c r="AC11" s="112">
        <v>0</v>
      </c>
      <c r="AD11" s="112">
        <v>0</v>
      </c>
      <c r="AE11" s="112">
        <v>0</v>
      </c>
      <c r="AF11" s="113">
        <v>0</v>
      </c>
      <c r="AG11" s="114">
        <v>4.1999999999999997E-3</v>
      </c>
      <c r="AH11" s="29">
        <f t="shared" si="13"/>
        <v>6.6947999999999999</v>
      </c>
      <c r="AI11" s="110">
        <v>2.9999999999999997E-4</v>
      </c>
      <c r="AJ11" s="29">
        <f t="shared" si="14"/>
        <v>0.47819999999999996</v>
      </c>
      <c r="AK11" s="110">
        <v>3.2000000000000001E-2</v>
      </c>
      <c r="AL11" s="29">
        <f t="shared" si="15"/>
        <v>51.008000000000003</v>
      </c>
      <c r="AM11" s="110">
        <v>1.9400000000000001E-2</v>
      </c>
      <c r="AN11" s="29">
        <f t="shared" si="16"/>
        <v>30.9236</v>
      </c>
      <c r="AO11" s="110">
        <v>6.9999999999999999E-4</v>
      </c>
      <c r="AP11" s="29">
        <f t="shared" si="17"/>
        <v>1.1157999999999999</v>
      </c>
      <c r="AQ11" s="110">
        <v>1E-3</v>
      </c>
      <c r="AR11" s="36">
        <f t="shared" si="18"/>
        <v>1.5940000000000001</v>
      </c>
      <c r="AS11" s="115">
        <v>8.0000000000000004E-4</v>
      </c>
      <c r="AT11" s="29">
        <f t="shared" si="19"/>
        <v>1.2752000000000001</v>
      </c>
      <c r="AU11" s="110">
        <v>2.0000000000000001E-4</v>
      </c>
      <c r="AV11" s="35">
        <f t="shared" si="20"/>
        <v>0.31880000000000003</v>
      </c>
      <c r="AW11" s="110">
        <v>4.0000000000000002E-4</v>
      </c>
      <c r="AX11" s="35">
        <f t="shared" si="21"/>
        <v>0.63760000000000006</v>
      </c>
      <c r="AY11" s="110">
        <v>6.9999999999999999E-4</v>
      </c>
      <c r="AZ11" s="35">
        <f t="shared" si="22"/>
        <v>1.1157999999999999</v>
      </c>
      <c r="BA11" s="110">
        <v>9.4100000000000003E-2</v>
      </c>
      <c r="BB11" s="34">
        <f t="shared" si="23"/>
        <v>149.99540000000002</v>
      </c>
      <c r="BC11" s="114">
        <v>0</v>
      </c>
      <c r="BD11" s="31">
        <f t="shared" si="24"/>
        <v>0</v>
      </c>
      <c r="BE11" s="32">
        <f>IF(E11=0,0,'Uniformes '!$K$95)</f>
        <v>58.295000000000002</v>
      </c>
      <c r="BF11" s="33">
        <f>IF(E11=0,0,custoEPI_huol!$M$179)</f>
        <v>0</v>
      </c>
      <c r="BG11" s="29">
        <f>IF(OR(Radios!$B$9='calculo - hotelaria'!B11,Radios!$B$10='calculo - hotelaria'!B11,Radios!$B$11='calculo - hotelaria'!B11,Radios!$B$12='calculo - hotelaria'!B11,Radios!$B$13='calculo - hotelaria'!B11,Radios!$B$14='calculo - hotelaria'!B11,Radios!$B$15='calculo - hotelaria'!B11,Radios!$B$16='calculo - hotelaria'!B11),Radios!$I$18,0)</f>
        <v>0</v>
      </c>
      <c r="BH11" s="116">
        <v>0</v>
      </c>
      <c r="BI11" s="117">
        <v>0.06</v>
      </c>
      <c r="BJ11" s="29">
        <f t="shared" si="25"/>
        <v>182.95754528159998</v>
      </c>
      <c r="BK11" s="114">
        <v>6.7900000000000002E-2</v>
      </c>
      <c r="BL11" s="27">
        <f t="shared" si="26"/>
        <v>219.46977273496464</v>
      </c>
      <c r="BM11" s="115">
        <v>9.2499999999999999E-2</v>
      </c>
      <c r="BN11" s="29">
        <f t="shared" si="27"/>
        <v>372.3429456470347</v>
      </c>
      <c r="BO11" s="118">
        <v>0</v>
      </c>
      <c r="BP11" s="27">
        <f t="shared" si="28"/>
        <v>0</v>
      </c>
      <c r="BQ11" s="110">
        <v>0.05</v>
      </c>
      <c r="BR11" s="27">
        <f t="shared" si="29"/>
        <v>201.26645710650527</v>
      </c>
      <c r="BS11" s="40">
        <f t="shared" ref="BS11:BS16" si="31">I11+K11+M11+N11+O11+P11+Q11+R11+S11+U11+V11+W11+X11+Y11+Z11+AA11+AB11+AC11+AD11+AE11+AF11+AH11+AJ11+AL11+AN11+AP11+AR11+AT11+AV11+AX11+AZ11+BB11+BD11+BE11+BF11+BG11+BH11+BJ11+BL11+BN11+BP11+BR11</f>
        <v>4025.3291421301046</v>
      </c>
      <c r="BT11" s="121"/>
    </row>
    <row r="12" spans="1:72" s="8" customFormat="1" ht="15" hidden="1" customHeight="1" x14ac:dyDescent="0.25">
      <c r="A12" s="14"/>
      <c r="B12" s="14" t="str">
        <f>'planilha - proposta'!C35</f>
        <v>Copeiro Hospitalar</v>
      </c>
      <c r="C12" s="14" t="str">
        <f>'planilha - proposta'!D35</f>
        <v>Copeiro Hospitalar - 44h</v>
      </c>
      <c r="D12" s="19" t="str">
        <f>'planilha - proposta'!B35</f>
        <v>5134-30</v>
      </c>
      <c r="E12" s="30">
        <f>'planilha - proposta'!E35</f>
        <v>0</v>
      </c>
      <c r="F12" s="105"/>
      <c r="G12" s="105"/>
      <c r="H12" s="106"/>
      <c r="I12" s="107"/>
      <c r="J12" s="108"/>
      <c r="K12" s="125">
        <f t="shared" si="30"/>
        <v>0</v>
      </c>
      <c r="L12" s="108"/>
      <c r="M12" s="125">
        <f t="shared" si="1"/>
        <v>0</v>
      </c>
      <c r="N12" s="185"/>
      <c r="O12" s="37">
        <f t="shared" si="2"/>
        <v>0</v>
      </c>
      <c r="P12" s="35">
        <f t="shared" si="3"/>
        <v>0</v>
      </c>
      <c r="Q12" s="31">
        <f t="shared" si="4"/>
        <v>0</v>
      </c>
      <c r="R12" s="23">
        <f t="shared" si="5"/>
        <v>0</v>
      </c>
      <c r="S12" s="35">
        <f t="shared" si="6"/>
        <v>0</v>
      </c>
      <c r="T12" s="110"/>
      <c r="U12" s="35">
        <f t="shared" si="7"/>
        <v>0</v>
      </c>
      <c r="V12" s="35">
        <f t="shared" si="8"/>
        <v>0</v>
      </c>
      <c r="W12" s="35">
        <f t="shared" si="9"/>
        <v>0</v>
      </c>
      <c r="X12" s="35">
        <f t="shared" si="10"/>
        <v>0</v>
      </c>
      <c r="Y12" s="35">
        <f t="shared" si="11"/>
        <v>0</v>
      </c>
      <c r="Z12" s="34">
        <f t="shared" si="12"/>
        <v>0</v>
      </c>
      <c r="AA12" s="111"/>
      <c r="AB12" s="112"/>
      <c r="AC12" s="112"/>
      <c r="AD12" s="112"/>
      <c r="AE12" s="112"/>
      <c r="AF12" s="113"/>
      <c r="AG12" s="114"/>
      <c r="AH12" s="29">
        <f t="shared" si="13"/>
        <v>0</v>
      </c>
      <c r="AI12" s="110"/>
      <c r="AJ12" s="29">
        <f t="shared" si="14"/>
        <v>0</v>
      </c>
      <c r="AK12" s="110">
        <v>3.2000000000000001E-2</v>
      </c>
      <c r="AL12" s="29">
        <f t="shared" si="15"/>
        <v>0</v>
      </c>
      <c r="AM12" s="110"/>
      <c r="AN12" s="29">
        <f t="shared" si="16"/>
        <v>0</v>
      </c>
      <c r="AO12" s="110"/>
      <c r="AP12" s="29">
        <f t="shared" si="17"/>
        <v>0</v>
      </c>
      <c r="AQ12" s="110"/>
      <c r="AR12" s="36">
        <f t="shared" si="18"/>
        <v>0</v>
      </c>
      <c r="AS12" s="115"/>
      <c r="AT12" s="29">
        <f t="shared" si="19"/>
        <v>0</v>
      </c>
      <c r="AU12" s="110"/>
      <c r="AV12" s="35">
        <f t="shared" si="20"/>
        <v>0</v>
      </c>
      <c r="AW12" s="110"/>
      <c r="AX12" s="35">
        <f t="shared" si="21"/>
        <v>0</v>
      </c>
      <c r="AY12" s="110"/>
      <c r="AZ12" s="35">
        <f t="shared" si="22"/>
        <v>0</v>
      </c>
      <c r="BA12" s="110"/>
      <c r="BB12" s="34">
        <f t="shared" si="23"/>
        <v>0</v>
      </c>
      <c r="BC12" s="114"/>
      <c r="BD12" s="31">
        <f t="shared" si="24"/>
        <v>0</v>
      </c>
      <c r="BE12" s="32">
        <f>IF(E12=0,0,'Uniformes '!$K$95)</f>
        <v>0</v>
      </c>
      <c r="BF12" s="33">
        <f>IF(E12=0,0,custoEPI_huol!$M$179)</f>
        <v>0</v>
      </c>
      <c r="BG12" s="29">
        <f>IF(OR(Radios!$B$9='calculo - hotelaria'!B12,Radios!$B$10='calculo - hotelaria'!B12,Radios!$B$11='calculo - hotelaria'!B12,Radios!$B$12='calculo - hotelaria'!B12,Radios!$B$13='calculo - hotelaria'!B12,Radios!$B$14='calculo - hotelaria'!B12,Radios!$B$15='calculo - hotelaria'!B12,Radios!$B$16='calculo - hotelaria'!B12),Radios!$I$18,0)</f>
        <v>0</v>
      </c>
      <c r="BH12" s="116"/>
      <c r="BI12" s="117"/>
      <c r="BJ12" s="29">
        <f t="shared" si="25"/>
        <v>0</v>
      </c>
      <c r="BK12" s="114"/>
      <c r="BL12" s="27">
        <f t="shared" si="26"/>
        <v>0</v>
      </c>
      <c r="BM12" s="115"/>
      <c r="BN12" s="29">
        <f t="shared" si="27"/>
        <v>0</v>
      </c>
      <c r="BO12" s="118"/>
      <c r="BP12" s="27">
        <f t="shared" si="28"/>
        <v>0</v>
      </c>
      <c r="BQ12" s="110"/>
      <c r="BR12" s="27">
        <f t="shared" si="29"/>
        <v>0</v>
      </c>
      <c r="BS12" s="40">
        <f t="shared" si="31"/>
        <v>0</v>
      </c>
    </row>
    <row r="13" spans="1:72" s="8" customFormat="1" ht="15" customHeight="1" x14ac:dyDescent="0.25">
      <c r="A13" s="14" t="s">
        <v>111</v>
      </c>
      <c r="B13" s="14" t="str">
        <f>'planilha - proposta'!C44</f>
        <v>Governanta em Hotelaria</v>
      </c>
      <c r="C13" s="14" t="str">
        <f>'planilha - proposta'!D44</f>
        <v>Governanta em Hotelaria - 12x36d</v>
      </c>
      <c r="D13" s="19" t="str">
        <f>'planilha - proposta'!B44</f>
        <v>5131-15</v>
      </c>
      <c r="E13" s="30">
        <f>'planilha - proposta'!E44</f>
        <v>2</v>
      </c>
      <c r="F13" s="136">
        <f>1566.92*1.0448</f>
        <v>1637.1180159999999</v>
      </c>
      <c r="G13" s="105" t="s">
        <v>112</v>
      </c>
      <c r="H13" s="132">
        <v>43493</v>
      </c>
      <c r="I13" s="107">
        <f>F13</f>
        <v>1637.1180159999999</v>
      </c>
      <c r="J13" s="108"/>
      <c r="K13" s="125">
        <f t="shared" si="30"/>
        <v>0</v>
      </c>
      <c r="L13" s="108">
        <v>0.2</v>
      </c>
      <c r="M13" s="125">
        <f t="shared" si="1"/>
        <v>209</v>
      </c>
      <c r="N13" s="185">
        <v>10</v>
      </c>
      <c r="O13" s="37">
        <f t="shared" si="2"/>
        <v>154.61463073279998</v>
      </c>
      <c r="P13" s="35">
        <f t="shared" si="3"/>
        <v>206.17758921727997</v>
      </c>
      <c r="Q13" s="31">
        <f t="shared" si="4"/>
        <v>121.94777034312702</v>
      </c>
      <c r="R13" s="23">
        <f t="shared" si="5"/>
        <v>371.22360320000001</v>
      </c>
      <c r="S13" s="35">
        <f t="shared" si="6"/>
        <v>46.402950400000002</v>
      </c>
      <c r="T13" s="110"/>
      <c r="U13" s="35">
        <f t="shared" si="7"/>
        <v>0</v>
      </c>
      <c r="V13" s="35">
        <f t="shared" si="8"/>
        <v>27.841770239999999</v>
      </c>
      <c r="W13" s="35">
        <f t="shared" si="9"/>
        <v>18.561180159999999</v>
      </c>
      <c r="X13" s="35">
        <f t="shared" si="10"/>
        <v>11.136708096</v>
      </c>
      <c r="Y13" s="35">
        <f t="shared" si="11"/>
        <v>3.7122360319999999</v>
      </c>
      <c r="Z13" s="34">
        <f t="shared" si="12"/>
        <v>148.48944127999999</v>
      </c>
      <c r="AA13" s="111">
        <f>15*2*4.15-F13*0.06</f>
        <v>26.272919040000019</v>
      </c>
      <c r="AB13" s="112">
        <v>0</v>
      </c>
      <c r="AC13" s="112">
        <v>0</v>
      </c>
      <c r="AD13" s="112">
        <v>0</v>
      </c>
      <c r="AE13" s="112">
        <v>18.5</v>
      </c>
      <c r="AF13" s="113">
        <v>0</v>
      </c>
      <c r="AG13" s="114">
        <v>4.1999999999999997E-3</v>
      </c>
      <c r="AH13" s="29">
        <f t="shared" si="13"/>
        <v>7.7956956671999995</v>
      </c>
      <c r="AI13" s="110">
        <v>2.9999999999999997E-4</v>
      </c>
      <c r="AJ13" s="29">
        <f t="shared" si="14"/>
        <v>0.55683540479999993</v>
      </c>
      <c r="AK13" s="110">
        <v>3.2000000000000001E-2</v>
      </c>
      <c r="AL13" s="29">
        <f t="shared" si="15"/>
        <v>59.395776511999998</v>
      </c>
      <c r="AM13" s="110">
        <v>1.9400000000000001E-2</v>
      </c>
      <c r="AN13" s="29">
        <f t="shared" si="16"/>
        <v>36.008689510399996</v>
      </c>
      <c r="AO13" s="110">
        <v>6.9999999999999999E-4</v>
      </c>
      <c r="AP13" s="29">
        <f t="shared" si="17"/>
        <v>1.2992826112</v>
      </c>
      <c r="AQ13" s="110">
        <v>1E-3</v>
      </c>
      <c r="AR13" s="36">
        <f t="shared" si="18"/>
        <v>1.8561180159999999</v>
      </c>
      <c r="AS13" s="115">
        <v>8.0000000000000004E-4</v>
      </c>
      <c r="AT13" s="29">
        <f t="shared" si="19"/>
        <v>1.4848944127999999</v>
      </c>
      <c r="AU13" s="110">
        <v>2.0000000000000001E-4</v>
      </c>
      <c r="AV13" s="35">
        <f t="shared" si="20"/>
        <v>0.37122360319999997</v>
      </c>
      <c r="AW13" s="110">
        <v>4.0000000000000002E-4</v>
      </c>
      <c r="AX13" s="35">
        <f t="shared" si="21"/>
        <v>0.74244720639999995</v>
      </c>
      <c r="AY13" s="110">
        <v>6.9999999999999999E-4</v>
      </c>
      <c r="AZ13" s="35">
        <f t="shared" si="22"/>
        <v>1.2992826112</v>
      </c>
      <c r="BA13" s="110">
        <v>9.4100000000000003E-2</v>
      </c>
      <c r="BB13" s="34">
        <f t="shared" si="23"/>
        <v>174.6607053056</v>
      </c>
      <c r="BC13" s="114">
        <v>0</v>
      </c>
      <c r="BD13" s="31">
        <f t="shared" si="24"/>
        <v>0</v>
      </c>
      <c r="BE13" s="32">
        <f>IF(E13=0,0,'Uniformes '!$K$156)</f>
        <v>48.814999999999998</v>
      </c>
      <c r="BF13" s="33">
        <f>IF(E13=0,0,custoEPI_huol!$M$304)</f>
        <v>0</v>
      </c>
      <c r="BG13" s="29">
        <f>IF(OR(Radios!$B$9='calculo - hotelaria'!B13,Radios!$B$10='calculo - hotelaria'!B13,Radios!$B$11='calculo - hotelaria'!B13,Radios!$B$12='calculo - hotelaria'!B13,Radios!$B$13='calculo - hotelaria'!B13,Radios!$B$14='calculo - hotelaria'!B13,Radios!$B$15='calculo - hotelaria'!B13,Radios!$B$16='calculo - hotelaria'!B13),Radios!$I$18,0)</f>
        <v>14.631050228310501</v>
      </c>
      <c r="BH13" s="116">
        <v>0</v>
      </c>
      <c r="BI13" s="117">
        <v>0.06</v>
      </c>
      <c r="BJ13" s="29">
        <f t="shared" si="25"/>
        <v>201.59494894981901</v>
      </c>
      <c r="BK13" s="114">
        <v>6.7900000000000002E-2</v>
      </c>
      <c r="BL13" s="27">
        <f t="shared" si="26"/>
        <v>241.82658092857125</v>
      </c>
      <c r="BM13" s="115">
        <v>9.2499999999999999E-2</v>
      </c>
      <c r="BN13" s="29">
        <f t="shared" si="27"/>
        <v>410.2725416653708</v>
      </c>
      <c r="BO13" s="118">
        <v>0</v>
      </c>
      <c r="BP13" s="27">
        <f t="shared" si="28"/>
        <v>0</v>
      </c>
      <c r="BQ13" s="110">
        <v>0.05</v>
      </c>
      <c r="BR13" s="27">
        <f t="shared" si="29"/>
        <v>221.768941440741</v>
      </c>
      <c r="BS13" s="40">
        <f t="shared" si="31"/>
        <v>4435.3788288148198</v>
      </c>
    </row>
    <row r="14" spans="1:72" s="8" customFormat="1" ht="15" hidden="1" customHeight="1" x14ac:dyDescent="0.25">
      <c r="A14" s="14"/>
      <c r="B14" s="14" t="str">
        <f>'planilha - proposta'!C45</f>
        <v>Governanta em Hotelaria</v>
      </c>
      <c r="C14" s="14" t="str">
        <f>'planilha - proposta'!D45</f>
        <v>Governanta em Hotelaria - 12x36n</v>
      </c>
      <c r="D14" s="19" t="str">
        <f>'planilha - proposta'!B45</f>
        <v>5131-15</v>
      </c>
      <c r="E14" s="30">
        <f>'planilha - proposta'!E45</f>
        <v>0</v>
      </c>
      <c r="F14" s="136"/>
      <c r="G14" s="105"/>
      <c r="H14" s="106"/>
      <c r="I14" s="107"/>
      <c r="J14" s="108"/>
      <c r="K14" s="125">
        <f t="shared" si="30"/>
        <v>0</v>
      </c>
      <c r="L14" s="108"/>
      <c r="M14" s="125">
        <f t="shared" si="1"/>
        <v>0</v>
      </c>
      <c r="N14" s="185"/>
      <c r="O14" s="37">
        <f t="shared" si="2"/>
        <v>0</v>
      </c>
      <c r="P14" s="35">
        <f t="shared" si="3"/>
        <v>0</v>
      </c>
      <c r="Q14" s="31">
        <f t="shared" si="4"/>
        <v>0</v>
      </c>
      <c r="R14" s="23">
        <f t="shared" si="5"/>
        <v>0</v>
      </c>
      <c r="S14" s="35">
        <f t="shared" si="6"/>
        <v>0</v>
      </c>
      <c r="T14" s="110"/>
      <c r="U14" s="35">
        <f t="shared" si="7"/>
        <v>0</v>
      </c>
      <c r="V14" s="35">
        <f t="shared" si="8"/>
        <v>0</v>
      </c>
      <c r="W14" s="35">
        <f t="shared" si="9"/>
        <v>0</v>
      </c>
      <c r="X14" s="35">
        <f t="shared" si="10"/>
        <v>0</v>
      </c>
      <c r="Y14" s="35">
        <f t="shared" si="11"/>
        <v>0</v>
      </c>
      <c r="Z14" s="34">
        <f t="shared" si="12"/>
        <v>0</v>
      </c>
      <c r="AA14" s="111"/>
      <c r="AB14" s="112"/>
      <c r="AC14" s="112"/>
      <c r="AD14" s="112"/>
      <c r="AE14" s="112"/>
      <c r="AF14" s="113"/>
      <c r="AG14" s="114"/>
      <c r="AH14" s="29">
        <f t="shared" si="13"/>
        <v>0</v>
      </c>
      <c r="AI14" s="110"/>
      <c r="AJ14" s="29">
        <f t="shared" si="14"/>
        <v>0</v>
      </c>
      <c r="AK14" s="110">
        <v>3.2000000000000001E-2</v>
      </c>
      <c r="AL14" s="29">
        <f t="shared" si="15"/>
        <v>0</v>
      </c>
      <c r="AM14" s="110"/>
      <c r="AN14" s="29">
        <f t="shared" si="16"/>
        <v>0</v>
      </c>
      <c r="AO14" s="110"/>
      <c r="AP14" s="29">
        <f t="shared" si="17"/>
        <v>0</v>
      </c>
      <c r="AQ14" s="110"/>
      <c r="AR14" s="36">
        <f t="shared" si="18"/>
        <v>0</v>
      </c>
      <c r="AS14" s="115"/>
      <c r="AT14" s="29">
        <f t="shared" si="19"/>
        <v>0</v>
      </c>
      <c r="AU14" s="110"/>
      <c r="AV14" s="35">
        <f t="shared" si="20"/>
        <v>0</v>
      </c>
      <c r="AW14" s="110"/>
      <c r="AX14" s="35">
        <f t="shared" si="21"/>
        <v>0</v>
      </c>
      <c r="AY14" s="110"/>
      <c r="AZ14" s="35">
        <f t="shared" si="22"/>
        <v>0</v>
      </c>
      <c r="BA14" s="110"/>
      <c r="BB14" s="34">
        <f t="shared" si="23"/>
        <v>0</v>
      </c>
      <c r="BC14" s="114"/>
      <c r="BD14" s="31">
        <f t="shared" si="24"/>
        <v>0</v>
      </c>
      <c r="BE14" s="32">
        <f>IF(E14=0,0,'Uniformes '!$K$156)</f>
        <v>0</v>
      </c>
      <c r="BF14" s="33">
        <f>IF(E14=0,0,custoEPI_huol!$M$304)</f>
        <v>0</v>
      </c>
      <c r="BG14" s="29">
        <f>IF(OR(Radios!$B$9='calculo - hotelaria'!B14,Radios!$B$10='calculo - hotelaria'!B14,Radios!$B$11='calculo - hotelaria'!B14,Radios!$B$12='calculo - hotelaria'!B14,Radios!$B$13='calculo - hotelaria'!B14,Radios!$B$14='calculo - hotelaria'!B14,Radios!$B$15='calculo - hotelaria'!B14,Radios!$B$16='calculo - hotelaria'!B14),Radios!$I$18,0)</f>
        <v>14.631050228310501</v>
      </c>
      <c r="BH14" s="116"/>
      <c r="BI14" s="117"/>
      <c r="BJ14" s="29">
        <f t="shared" si="25"/>
        <v>0</v>
      </c>
      <c r="BK14" s="114"/>
      <c r="BL14" s="27">
        <f t="shared" si="26"/>
        <v>0</v>
      </c>
      <c r="BM14" s="115"/>
      <c r="BN14" s="29">
        <f t="shared" si="27"/>
        <v>0</v>
      </c>
      <c r="BO14" s="118"/>
      <c r="BP14" s="27">
        <f t="shared" si="28"/>
        <v>0</v>
      </c>
      <c r="BQ14" s="110"/>
      <c r="BR14" s="27">
        <f t="shared" si="29"/>
        <v>0</v>
      </c>
      <c r="BS14" s="40">
        <f t="shared" si="31"/>
        <v>14.631050228310501</v>
      </c>
    </row>
    <row r="15" spans="1:72" s="8" customFormat="1" ht="15" customHeight="1" x14ac:dyDescent="0.25">
      <c r="A15" s="14" t="s">
        <v>113</v>
      </c>
      <c r="B15" s="14" t="str">
        <f>'planilha - proposta'!C46</f>
        <v>Governanta em Hotelaria</v>
      </c>
      <c r="C15" s="14" t="str">
        <f>'planilha - proposta'!D46</f>
        <v>Governanta em Hotelaria - 44h</v>
      </c>
      <c r="D15" s="19" t="str">
        <f>'planilha - proposta'!B46</f>
        <v>5131-15</v>
      </c>
      <c r="E15" s="30">
        <f>'planilha - proposta'!E46</f>
        <v>2</v>
      </c>
      <c r="F15" s="136">
        <f>1566.92*1.0448</f>
        <v>1637.1180159999999</v>
      </c>
      <c r="G15" s="105" t="s">
        <v>112</v>
      </c>
      <c r="H15" s="132">
        <v>43493</v>
      </c>
      <c r="I15" s="107">
        <f>F15</f>
        <v>1637.1180159999999</v>
      </c>
      <c r="J15" s="108"/>
      <c r="K15" s="125">
        <f t="shared" si="30"/>
        <v>0</v>
      </c>
      <c r="L15" s="108">
        <v>0.2</v>
      </c>
      <c r="M15" s="125">
        <f t="shared" si="1"/>
        <v>209</v>
      </c>
      <c r="N15" s="185">
        <v>10</v>
      </c>
      <c r="O15" s="37">
        <f t="shared" si="2"/>
        <v>154.61463073279998</v>
      </c>
      <c r="P15" s="35">
        <f t="shared" si="3"/>
        <v>206.17758921727997</v>
      </c>
      <c r="Q15" s="31">
        <f t="shared" si="4"/>
        <v>121.94777034312702</v>
      </c>
      <c r="R15" s="23">
        <f t="shared" si="5"/>
        <v>371.22360320000001</v>
      </c>
      <c r="S15" s="35">
        <f t="shared" si="6"/>
        <v>46.402950400000002</v>
      </c>
      <c r="T15" s="110"/>
      <c r="U15" s="35">
        <f t="shared" si="7"/>
        <v>0</v>
      </c>
      <c r="V15" s="35">
        <f t="shared" si="8"/>
        <v>27.841770239999999</v>
      </c>
      <c r="W15" s="35">
        <f t="shared" si="9"/>
        <v>18.561180159999999</v>
      </c>
      <c r="X15" s="35">
        <f t="shared" si="10"/>
        <v>11.136708096</v>
      </c>
      <c r="Y15" s="35">
        <f t="shared" si="11"/>
        <v>3.7122360319999999</v>
      </c>
      <c r="Z15" s="34">
        <f t="shared" si="12"/>
        <v>148.48944127999999</v>
      </c>
      <c r="AA15" s="111">
        <f>26*2*4.15-F15*0.06</f>
        <v>117.57291904000002</v>
      </c>
      <c r="AB15" s="112">
        <v>0</v>
      </c>
      <c r="AC15" s="112">
        <v>0</v>
      </c>
      <c r="AD15" s="112">
        <v>0</v>
      </c>
      <c r="AE15" s="112">
        <v>18.5</v>
      </c>
      <c r="AF15" s="113">
        <v>0</v>
      </c>
      <c r="AG15" s="114">
        <v>4.1999999999999997E-3</v>
      </c>
      <c r="AH15" s="29">
        <f t="shared" si="13"/>
        <v>7.7956956671999995</v>
      </c>
      <c r="AI15" s="110">
        <v>2.9999999999999997E-4</v>
      </c>
      <c r="AJ15" s="29">
        <f t="shared" si="14"/>
        <v>0.55683540479999993</v>
      </c>
      <c r="AK15" s="110">
        <v>3.2000000000000001E-2</v>
      </c>
      <c r="AL15" s="29">
        <f t="shared" si="15"/>
        <v>59.395776511999998</v>
      </c>
      <c r="AM15" s="110">
        <v>1.9400000000000001E-2</v>
      </c>
      <c r="AN15" s="29">
        <f t="shared" si="16"/>
        <v>36.008689510399996</v>
      </c>
      <c r="AO15" s="110">
        <v>6.9999999999999999E-4</v>
      </c>
      <c r="AP15" s="29">
        <f t="shared" si="17"/>
        <v>1.2992826112</v>
      </c>
      <c r="AQ15" s="110">
        <v>1E-3</v>
      </c>
      <c r="AR15" s="36">
        <f t="shared" si="18"/>
        <v>1.8561180159999999</v>
      </c>
      <c r="AS15" s="115">
        <v>8.0000000000000004E-4</v>
      </c>
      <c r="AT15" s="29">
        <f t="shared" si="19"/>
        <v>1.4848944127999999</v>
      </c>
      <c r="AU15" s="110">
        <v>2.0000000000000001E-4</v>
      </c>
      <c r="AV15" s="35">
        <f t="shared" si="20"/>
        <v>0.37122360319999997</v>
      </c>
      <c r="AW15" s="110">
        <v>4.0000000000000002E-4</v>
      </c>
      <c r="AX15" s="35">
        <f t="shared" si="21"/>
        <v>0.74244720639999995</v>
      </c>
      <c r="AY15" s="110">
        <v>6.9999999999999999E-4</v>
      </c>
      <c r="AZ15" s="35">
        <f t="shared" si="22"/>
        <v>1.2992826112</v>
      </c>
      <c r="BA15" s="110">
        <v>9.4100000000000003E-2</v>
      </c>
      <c r="BB15" s="34">
        <f t="shared" si="23"/>
        <v>174.6607053056</v>
      </c>
      <c r="BC15" s="114">
        <v>0</v>
      </c>
      <c r="BD15" s="31">
        <f t="shared" si="24"/>
        <v>0</v>
      </c>
      <c r="BE15" s="32">
        <f>IF(E15=0,0,'Uniformes '!$K$156)</f>
        <v>48.814999999999998</v>
      </c>
      <c r="BF15" s="33">
        <f>IF(E15=0,0,custoEPI_huol!$M$304)</f>
        <v>0</v>
      </c>
      <c r="BG15" s="29">
        <f>IF(OR(Radios!$B$9='calculo - hotelaria'!B15,Radios!$B$10='calculo - hotelaria'!B15,Radios!$B$11='calculo - hotelaria'!B15,Radios!$B$12='calculo - hotelaria'!B15,Radios!$B$13='calculo - hotelaria'!B15,Radios!$B$14='calculo - hotelaria'!B15,Radios!$B$15='calculo - hotelaria'!B15,Radios!$B$16='calculo - hotelaria'!B15),Radios!$I$18,0)</f>
        <v>14.631050228310501</v>
      </c>
      <c r="BH15" s="116">
        <v>0</v>
      </c>
      <c r="BI15" s="117">
        <v>0.06</v>
      </c>
      <c r="BJ15" s="29">
        <f t="shared" si="25"/>
        <v>207.07294894981902</v>
      </c>
      <c r="BK15" s="114">
        <v>6.7900000000000002E-2</v>
      </c>
      <c r="BL15" s="27">
        <f t="shared" si="26"/>
        <v>248.39780712857126</v>
      </c>
      <c r="BM15" s="115">
        <v>9.2499999999999999E-2</v>
      </c>
      <c r="BN15" s="29">
        <f t="shared" si="27"/>
        <v>421.42100046828631</v>
      </c>
      <c r="BO15" s="118">
        <v>0</v>
      </c>
      <c r="BP15" s="27">
        <f t="shared" si="28"/>
        <v>0</v>
      </c>
      <c r="BQ15" s="110">
        <v>0.05</v>
      </c>
      <c r="BR15" s="27">
        <f t="shared" si="29"/>
        <v>227.79513538826288</v>
      </c>
      <c r="BS15" s="40">
        <f t="shared" si="31"/>
        <v>4555.9027077652563</v>
      </c>
    </row>
    <row r="16" spans="1:72" s="8" customFormat="1" ht="15" customHeight="1" x14ac:dyDescent="0.25">
      <c r="A16" s="14" t="s">
        <v>114</v>
      </c>
      <c r="B16" s="14" t="str">
        <f>'planilha - proposta'!C54</f>
        <v>Supervisor de Hotelaria</v>
      </c>
      <c r="C16" s="14" t="str">
        <f>'planilha - proposta'!D54</f>
        <v>Supervisor de Hotelaria - 44h</v>
      </c>
      <c r="D16" s="19" t="str">
        <f>'planilha - proposta'!B54</f>
        <v>5101-00</v>
      </c>
      <c r="E16" s="30">
        <f>'planilha - proposta'!E54</f>
        <v>1</v>
      </c>
      <c r="F16" s="136">
        <f>1566.92*1.0448</f>
        <v>1637.1180159999999</v>
      </c>
      <c r="G16" s="105" t="s">
        <v>112</v>
      </c>
      <c r="H16" s="132">
        <v>43493</v>
      </c>
      <c r="I16" s="107">
        <f>F16</f>
        <v>1637.1180159999999</v>
      </c>
      <c r="J16" s="108"/>
      <c r="K16" s="125">
        <f t="shared" si="30"/>
        <v>0</v>
      </c>
      <c r="L16" s="108">
        <v>0.2</v>
      </c>
      <c r="M16" s="125">
        <f t="shared" si="1"/>
        <v>209</v>
      </c>
      <c r="N16" s="185">
        <v>10</v>
      </c>
      <c r="O16" s="37">
        <f t="shared" si="2"/>
        <v>154.61463073279998</v>
      </c>
      <c r="P16" s="35">
        <f t="shared" si="3"/>
        <v>206.17758921727997</v>
      </c>
      <c r="Q16" s="31">
        <f t="shared" si="4"/>
        <v>121.94777034312702</v>
      </c>
      <c r="R16" s="23">
        <f t="shared" si="5"/>
        <v>371.22360320000001</v>
      </c>
      <c r="S16" s="35">
        <f t="shared" si="6"/>
        <v>46.402950400000002</v>
      </c>
      <c r="T16" s="110"/>
      <c r="U16" s="35">
        <f t="shared" si="7"/>
        <v>0</v>
      </c>
      <c r="V16" s="35">
        <f t="shared" si="8"/>
        <v>27.841770239999999</v>
      </c>
      <c r="W16" s="35">
        <f t="shared" si="9"/>
        <v>18.561180159999999</v>
      </c>
      <c r="X16" s="35">
        <f t="shared" si="10"/>
        <v>11.136708096</v>
      </c>
      <c r="Y16" s="35">
        <f t="shared" si="11"/>
        <v>3.7122360319999999</v>
      </c>
      <c r="Z16" s="34">
        <f t="shared" si="12"/>
        <v>148.48944127999999</v>
      </c>
      <c r="AA16" s="111">
        <f>52*4.15-F16*0.06</f>
        <v>117.57291904000002</v>
      </c>
      <c r="AB16" s="112">
        <v>0</v>
      </c>
      <c r="AC16" s="112">
        <v>0</v>
      </c>
      <c r="AD16" s="112">
        <v>0</v>
      </c>
      <c r="AE16" s="112">
        <v>18.5</v>
      </c>
      <c r="AF16" s="113">
        <v>0</v>
      </c>
      <c r="AG16" s="114">
        <f>'calculo - serv.geral'!AG14</f>
        <v>4.1999999999999997E-3</v>
      </c>
      <c r="AH16" s="29">
        <f t="shared" si="13"/>
        <v>7.7956956671999995</v>
      </c>
      <c r="AI16" s="110">
        <f>'calculo - serv.geral'!AI14</f>
        <v>2.9999999999999997E-4</v>
      </c>
      <c r="AJ16" s="29">
        <f t="shared" si="14"/>
        <v>0.55683540479999993</v>
      </c>
      <c r="AK16" s="110">
        <v>3.2000000000000001E-2</v>
      </c>
      <c r="AL16" s="29">
        <f t="shared" si="15"/>
        <v>59.395776511999998</v>
      </c>
      <c r="AM16" s="110">
        <v>1.9400000000000001E-2</v>
      </c>
      <c r="AN16" s="29">
        <f t="shared" si="16"/>
        <v>36.008689510399996</v>
      </c>
      <c r="AO16" s="110">
        <f>'calculo - serv.geral'!AO14</f>
        <v>7.2000000000000005E-4</v>
      </c>
      <c r="AP16" s="29">
        <f t="shared" si="17"/>
        <v>1.3364049715199999</v>
      </c>
      <c r="AQ16" s="110">
        <f>'calculo - serv.geral'!AQ14</f>
        <v>1E-3</v>
      </c>
      <c r="AR16" s="36">
        <f t="shared" si="18"/>
        <v>1.8561180159999999</v>
      </c>
      <c r="AS16" s="115">
        <f>'calculo - serv.geral'!AS14</f>
        <v>8.0000000000000004E-4</v>
      </c>
      <c r="AT16" s="29">
        <f t="shared" si="19"/>
        <v>1.4848944127999999</v>
      </c>
      <c r="AU16" s="110">
        <f>'calculo - serv.geral'!AU14</f>
        <v>2.0000000000000001E-4</v>
      </c>
      <c r="AV16" s="35">
        <f t="shared" si="20"/>
        <v>0.37122360319999997</v>
      </c>
      <c r="AW16" s="110">
        <f>'calculo - serv.geral'!AW14</f>
        <v>4.0000000000000002E-4</v>
      </c>
      <c r="AX16" s="35">
        <f t="shared" si="21"/>
        <v>0.74244720639999995</v>
      </c>
      <c r="AY16" s="110">
        <f>'calculo - serv.geral'!AY14</f>
        <v>6.9999999999999999E-4</v>
      </c>
      <c r="AZ16" s="35">
        <f t="shared" si="22"/>
        <v>1.2992826112</v>
      </c>
      <c r="BA16" s="110">
        <f>'calculo - serv.geral'!BA14</f>
        <v>9.4100000000000003E-2</v>
      </c>
      <c r="BB16" s="34">
        <f t="shared" si="23"/>
        <v>174.6607053056</v>
      </c>
      <c r="BC16" s="114">
        <f>'calculo - serv.geral'!BC14</f>
        <v>0</v>
      </c>
      <c r="BD16" s="31">
        <f t="shared" si="24"/>
        <v>0</v>
      </c>
      <c r="BE16" s="32">
        <f>IF(E16=0,0,'Uniformes '!K207)</f>
        <v>48.814999999999998</v>
      </c>
      <c r="BF16" s="33">
        <f>IF(E16=0,0,custoEPI_huol!M404)</f>
        <v>0</v>
      </c>
      <c r="BG16" s="29">
        <f>IF(OR(Radios!$B$9='calculo - hotelaria'!B16,Radios!$B$10='calculo - hotelaria'!B16,Radios!$B$11='calculo - hotelaria'!B16,Radios!$B$12='calculo - hotelaria'!B16,Radios!$B$13='calculo - hotelaria'!B16,Radios!$B$14='calculo - hotelaria'!B16,Radios!$B$15='calculo - hotelaria'!B16,Radios!$B$16='calculo - hotelaria'!B16),Radios!$I$18,0)</f>
        <v>14.631050228310501</v>
      </c>
      <c r="BH16" s="116">
        <v>0</v>
      </c>
      <c r="BI16" s="117">
        <v>0.06</v>
      </c>
      <c r="BJ16" s="29">
        <f t="shared" si="25"/>
        <v>207.07517629143823</v>
      </c>
      <c r="BK16" s="114">
        <v>6.7900000000000002E-2</v>
      </c>
      <c r="BL16" s="27">
        <f t="shared" si="26"/>
        <v>248.40047897333295</v>
      </c>
      <c r="BM16" s="115">
        <f>'calculo - serv.geral'!BM14</f>
        <v>9.2499999999999999E-2</v>
      </c>
      <c r="BN16" s="29">
        <f t="shared" si="27"/>
        <v>421.42553340481089</v>
      </c>
      <c r="BO16" s="118">
        <f>'calculo - serv.geral'!BO14</f>
        <v>0</v>
      </c>
      <c r="BP16" s="27">
        <f t="shared" si="28"/>
        <v>0</v>
      </c>
      <c r="BQ16" s="110">
        <f>'calculo - serv.geral'!BQ14</f>
        <v>0.05</v>
      </c>
      <c r="BR16" s="27">
        <f t="shared" si="29"/>
        <v>227.79758562422214</v>
      </c>
      <c r="BS16" s="40">
        <f t="shared" si="31"/>
        <v>4555.9517124844415</v>
      </c>
    </row>
    <row r="17" spans="8:8" s="8" customFormat="1" ht="15" customHeight="1" x14ac:dyDescent="0.25">
      <c r="H17" s="13"/>
    </row>
    <row r="18" spans="8:8" s="8" customFormat="1" ht="15" customHeight="1" x14ac:dyDescent="0.25">
      <c r="H18" s="13"/>
    </row>
    <row r="19" spans="8:8" s="8" customFormat="1" ht="15" customHeight="1" x14ac:dyDescent="0.25">
      <c r="H19" s="13"/>
    </row>
    <row r="20" spans="8:8" s="8" customFormat="1" ht="15" customHeight="1" x14ac:dyDescent="0.25">
      <c r="H20" s="13"/>
    </row>
    <row r="21" spans="8:8" s="8" customFormat="1" ht="15" customHeight="1" x14ac:dyDescent="0.25">
      <c r="H21" s="13"/>
    </row>
    <row r="22" spans="8:8" s="8" customFormat="1" ht="15" customHeight="1" x14ac:dyDescent="0.25">
      <c r="H22" s="13"/>
    </row>
    <row r="23" spans="8:8" s="8" customFormat="1" ht="15" customHeight="1" x14ac:dyDescent="0.25">
      <c r="H23" s="13"/>
    </row>
    <row r="24" spans="8:8" s="8" customFormat="1" ht="15" customHeight="1" x14ac:dyDescent="0.25">
      <c r="H24" s="13"/>
    </row>
    <row r="25" spans="8:8" s="8" customFormat="1" ht="15" customHeight="1" x14ac:dyDescent="0.25">
      <c r="H25" s="13"/>
    </row>
    <row r="26" spans="8:8" s="8" customFormat="1" ht="15" customHeight="1" x14ac:dyDescent="0.25">
      <c r="H26" s="13"/>
    </row>
    <row r="27" spans="8:8" s="8" customFormat="1" ht="15" customHeight="1" x14ac:dyDescent="0.25">
      <c r="H27" s="13"/>
    </row>
    <row r="28" spans="8:8" s="8" customFormat="1" ht="15" customHeight="1" x14ac:dyDescent="0.25">
      <c r="H28" s="13"/>
    </row>
    <row r="29" spans="8:8" s="8" customFormat="1" ht="15" customHeight="1" x14ac:dyDescent="0.25">
      <c r="H29" s="13"/>
    </row>
    <row r="30" spans="8:8" s="8" customFormat="1" ht="15" customHeight="1" x14ac:dyDescent="0.25">
      <c r="H30" s="13"/>
    </row>
    <row r="31" spans="8:8" s="8" customFormat="1" ht="15" customHeight="1" x14ac:dyDescent="0.25">
      <c r="H31" s="13"/>
    </row>
    <row r="32" spans="8:8" s="8" customFormat="1" ht="15" customHeight="1" x14ac:dyDescent="0.25">
      <c r="H32" s="13"/>
    </row>
    <row r="33" spans="8:8" s="8" customFormat="1" ht="15" customHeight="1" x14ac:dyDescent="0.25">
      <c r="H33" s="13"/>
    </row>
    <row r="34" spans="8:8" s="8" customFormat="1" ht="15" customHeight="1" x14ac:dyDescent="0.25">
      <c r="H34" s="13"/>
    </row>
    <row r="35" spans="8:8" s="8" customFormat="1" ht="15" customHeight="1" x14ac:dyDescent="0.25">
      <c r="H35" s="13"/>
    </row>
    <row r="36" spans="8:8" s="8" customFormat="1" ht="15" customHeight="1" x14ac:dyDescent="0.25">
      <c r="H36" s="13"/>
    </row>
    <row r="37" spans="8:8" s="8" customFormat="1" ht="15" customHeight="1" x14ac:dyDescent="0.25">
      <c r="H37" s="13"/>
    </row>
    <row r="38" spans="8:8" s="8" customFormat="1" ht="15" customHeight="1" x14ac:dyDescent="0.25">
      <c r="H38" s="13"/>
    </row>
    <row r="39" spans="8:8" s="8" customFormat="1" ht="15" customHeight="1" x14ac:dyDescent="0.25">
      <c r="H39" s="13"/>
    </row>
    <row r="40" spans="8:8" s="8" customFormat="1" ht="15" customHeight="1" x14ac:dyDescent="0.25">
      <c r="H40" s="13"/>
    </row>
    <row r="41" spans="8:8" s="8" customFormat="1" ht="15" customHeight="1" x14ac:dyDescent="0.25">
      <c r="H41" s="13"/>
    </row>
    <row r="42" spans="8:8" s="8" customFormat="1" ht="15" customHeight="1" x14ac:dyDescent="0.25">
      <c r="H42" s="13"/>
    </row>
    <row r="43" spans="8:8" s="8" customFormat="1" ht="15" customHeight="1" x14ac:dyDescent="0.25">
      <c r="H43" s="13"/>
    </row>
    <row r="44" spans="8:8" s="8" customFormat="1" ht="15" customHeight="1" x14ac:dyDescent="0.25">
      <c r="H44" s="13"/>
    </row>
    <row r="45" spans="8:8" s="8" customFormat="1" ht="15" customHeight="1" x14ac:dyDescent="0.25">
      <c r="H45" s="13"/>
    </row>
    <row r="46" spans="8:8" s="8" customFormat="1" ht="15" customHeight="1" x14ac:dyDescent="0.25">
      <c r="H46" s="13"/>
    </row>
    <row r="47" spans="8:8" s="8" customFormat="1" ht="15" customHeight="1" x14ac:dyDescent="0.25">
      <c r="H47" s="13"/>
    </row>
    <row r="48" spans="8:8" s="8" customFormat="1" ht="15" customHeight="1" x14ac:dyDescent="0.25">
      <c r="H48" s="13"/>
    </row>
    <row r="49" spans="8:8" s="8" customFormat="1" ht="15" customHeight="1" x14ac:dyDescent="0.25">
      <c r="H49" s="13"/>
    </row>
    <row r="50" spans="8:8" s="8" customFormat="1" ht="15" customHeight="1" x14ac:dyDescent="0.25">
      <c r="H50" s="13"/>
    </row>
    <row r="51" spans="8:8" s="8" customFormat="1" ht="15" customHeight="1" x14ac:dyDescent="0.25">
      <c r="H51" s="13"/>
    </row>
    <row r="52" spans="8:8" s="8" customFormat="1" ht="15" customHeight="1" x14ac:dyDescent="0.25">
      <c r="H52" s="13"/>
    </row>
    <row r="53" spans="8:8" s="8" customFormat="1" ht="15" customHeight="1" x14ac:dyDescent="0.25">
      <c r="H53" s="13"/>
    </row>
    <row r="54" spans="8:8" s="8" customFormat="1" ht="15" customHeight="1" x14ac:dyDescent="0.25">
      <c r="H54" s="13"/>
    </row>
    <row r="55" spans="8:8" s="8" customFormat="1" ht="15" customHeight="1" x14ac:dyDescent="0.25">
      <c r="H55" s="13"/>
    </row>
    <row r="56" spans="8:8" s="8" customFormat="1" ht="15" customHeight="1" x14ac:dyDescent="0.25">
      <c r="H56" s="13"/>
    </row>
    <row r="57" spans="8:8" s="8" customFormat="1" ht="15" customHeight="1" x14ac:dyDescent="0.25">
      <c r="H57" s="13"/>
    </row>
    <row r="58" spans="8:8" s="8" customFormat="1" ht="15" customHeight="1" x14ac:dyDescent="0.25">
      <c r="H58" s="13"/>
    </row>
    <row r="59" spans="8:8" s="8" customFormat="1" ht="15" customHeight="1" x14ac:dyDescent="0.25">
      <c r="H59" s="13"/>
    </row>
    <row r="60" spans="8:8" s="8" customFormat="1" ht="15" customHeight="1" x14ac:dyDescent="0.25">
      <c r="H60" s="13"/>
    </row>
    <row r="61" spans="8:8" s="8" customFormat="1" ht="15" customHeight="1" x14ac:dyDescent="0.25">
      <c r="H61" s="13"/>
    </row>
    <row r="62" spans="8:8" s="8" customFormat="1" ht="15" customHeight="1" x14ac:dyDescent="0.25">
      <c r="H62" s="13"/>
    </row>
    <row r="63" spans="8:8" s="8" customFormat="1" ht="15" customHeight="1" x14ac:dyDescent="0.25">
      <c r="H63" s="13"/>
    </row>
    <row r="64" spans="8:8" s="8" customFormat="1" ht="15" customHeight="1" x14ac:dyDescent="0.25">
      <c r="H64" s="13"/>
    </row>
    <row r="65" spans="8:8" s="8" customFormat="1" ht="15" customHeight="1" x14ac:dyDescent="0.25">
      <c r="H65" s="13"/>
    </row>
    <row r="66" spans="8:8" s="8" customFormat="1" ht="15" customHeight="1" x14ac:dyDescent="0.25">
      <c r="H66" s="13"/>
    </row>
    <row r="67" spans="8:8" s="8" customFormat="1" ht="15" customHeight="1" x14ac:dyDescent="0.25">
      <c r="H67" s="13"/>
    </row>
    <row r="68" spans="8:8" s="8" customFormat="1" ht="15" customHeight="1" x14ac:dyDescent="0.25">
      <c r="H68" s="13"/>
    </row>
    <row r="69" spans="8:8" s="8" customFormat="1" ht="15" customHeight="1" x14ac:dyDescent="0.25">
      <c r="H69" s="13"/>
    </row>
    <row r="70" spans="8:8" s="8" customFormat="1" ht="15" customHeight="1" x14ac:dyDescent="0.25">
      <c r="H70" s="13"/>
    </row>
    <row r="71" spans="8:8" s="8" customFormat="1" ht="15" customHeight="1" x14ac:dyDescent="0.25">
      <c r="H71" s="13"/>
    </row>
    <row r="72" spans="8:8" s="8" customFormat="1" ht="15" customHeight="1" x14ac:dyDescent="0.25">
      <c r="H72" s="13"/>
    </row>
    <row r="73" spans="8:8" s="8" customFormat="1" ht="15" customHeight="1" x14ac:dyDescent="0.25">
      <c r="H73" s="13"/>
    </row>
    <row r="74" spans="8:8" s="8" customFormat="1" ht="15" customHeight="1" x14ac:dyDescent="0.25">
      <c r="H74" s="13"/>
    </row>
    <row r="75" spans="8:8" s="8" customFormat="1" ht="15" customHeight="1" x14ac:dyDescent="0.25">
      <c r="H75" s="13"/>
    </row>
    <row r="76" spans="8:8" s="8" customFormat="1" ht="15" customHeight="1" x14ac:dyDescent="0.25">
      <c r="H76" s="13"/>
    </row>
    <row r="77" spans="8:8" s="8" customFormat="1" ht="15" customHeight="1" x14ac:dyDescent="0.25">
      <c r="H77" s="13"/>
    </row>
    <row r="78" spans="8:8" s="8" customFormat="1" ht="15" customHeight="1" x14ac:dyDescent="0.25">
      <c r="H78" s="13"/>
    </row>
    <row r="79" spans="8:8" s="8" customFormat="1" ht="15" customHeight="1" x14ac:dyDescent="0.25">
      <c r="H79" s="13"/>
    </row>
    <row r="80" spans="8:8" s="8" customFormat="1" ht="15" customHeight="1" x14ac:dyDescent="0.25">
      <c r="H80" s="13"/>
    </row>
    <row r="81" spans="8:8" s="8" customFormat="1" ht="15" customHeight="1" x14ac:dyDescent="0.25">
      <c r="H81" s="13"/>
    </row>
    <row r="82" spans="8:8" s="8" customFormat="1" ht="15" customHeight="1" x14ac:dyDescent="0.25">
      <c r="H82" s="13"/>
    </row>
    <row r="83" spans="8:8" s="8" customFormat="1" ht="15" customHeight="1" x14ac:dyDescent="0.25">
      <c r="H83" s="13"/>
    </row>
    <row r="84" spans="8:8" s="8" customFormat="1" ht="15" customHeight="1" x14ac:dyDescent="0.25">
      <c r="H84" s="13"/>
    </row>
    <row r="85" spans="8:8" s="8" customFormat="1" ht="15" customHeight="1" x14ac:dyDescent="0.25">
      <c r="H85" s="13"/>
    </row>
    <row r="86" spans="8:8" s="8" customFormat="1" ht="15" customHeight="1" x14ac:dyDescent="0.25">
      <c r="H86" s="13"/>
    </row>
    <row r="87" spans="8:8" s="8" customFormat="1" ht="15" customHeight="1" x14ac:dyDescent="0.25">
      <c r="H87" s="13"/>
    </row>
    <row r="88" spans="8:8" s="8" customFormat="1" ht="15" customHeight="1" x14ac:dyDescent="0.25">
      <c r="H88" s="13"/>
    </row>
    <row r="89" spans="8:8" s="8" customFormat="1" ht="15" customHeight="1" x14ac:dyDescent="0.25">
      <c r="H89" s="13"/>
    </row>
    <row r="90" spans="8:8" s="8" customFormat="1" ht="15" customHeight="1" x14ac:dyDescent="0.25">
      <c r="H90" s="13"/>
    </row>
    <row r="91" spans="8:8" s="8" customFormat="1" ht="15" customHeight="1" x14ac:dyDescent="0.25">
      <c r="H91" s="13"/>
    </row>
    <row r="92" spans="8:8" s="8" customFormat="1" ht="15" customHeight="1" x14ac:dyDescent="0.25">
      <c r="H92" s="13"/>
    </row>
    <row r="93" spans="8:8" s="8" customFormat="1" ht="15" customHeight="1" x14ac:dyDescent="0.25">
      <c r="H93" s="13"/>
    </row>
    <row r="94" spans="8:8" s="8" customFormat="1" ht="15" customHeight="1" x14ac:dyDescent="0.25">
      <c r="H94" s="13"/>
    </row>
    <row r="95" spans="8:8" s="8" customFormat="1" ht="15" customHeight="1" x14ac:dyDescent="0.25">
      <c r="H95" s="13"/>
    </row>
    <row r="96" spans="8:8" s="8" customFormat="1" ht="15" customHeight="1" x14ac:dyDescent="0.25">
      <c r="H96" s="13"/>
    </row>
    <row r="97" spans="8:8" s="8" customFormat="1" ht="15" customHeight="1" x14ac:dyDescent="0.25">
      <c r="H97" s="13"/>
    </row>
    <row r="98" spans="8:8" s="8" customFormat="1" ht="15" customHeight="1" x14ac:dyDescent="0.25">
      <c r="H98" s="13"/>
    </row>
    <row r="99" spans="8:8" s="8" customFormat="1" ht="15" customHeight="1" x14ac:dyDescent="0.25">
      <c r="H99" s="13"/>
    </row>
    <row r="100" spans="8:8" s="8" customFormat="1" ht="15" customHeight="1" x14ac:dyDescent="0.25">
      <c r="H100" s="13"/>
    </row>
    <row r="101" spans="8:8" s="8" customFormat="1" ht="15" customHeight="1" x14ac:dyDescent="0.25">
      <c r="H101" s="13"/>
    </row>
    <row r="102" spans="8:8" s="8" customFormat="1" ht="15" customHeight="1" x14ac:dyDescent="0.25">
      <c r="H102" s="13"/>
    </row>
    <row r="103" spans="8:8" s="8" customFormat="1" ht="15" customHeight="1" x14ac:dyDescent="0.25">
      <c r="H103" s="13"/>
    </row>
    <row r="104" spans="8:8" s="8" customFormat="1" ht="15" customHeight="1" x14ac:dyDescent="0.25">
      <c r="H104" s="13"/>
    </row>
    <row r="105" spans="8:8" s="8" customFormat="1" ht="15" customHeight="1" x14ac:dyDescent="0.25">
      <c r="H105" s="13"/>
    </row>
    <row r="106" spans="8:8" s="8" customFormat="1" ht="15" customHeight="1" x14ac:dyDescent="0.25">
      <c r="H106" s="13"/>
    </row>
    <row r="107" spans="8:8" s="8" customFormat="1" ht="15" customHeight="1" x14ac:dyDescent="0.25">
      <c r="H107" s="13"/>
    </row>
    <row r="108" spans="8:8" s="8" customFormat="1" ht="15" customHeight="1" x14ac:dyDescent="0.25">
      <c r="H108" s="13"/>
    </row>
    <row r="109" spans="8:8" s="8" customFormat="1" ht="15" customHeight="1" x14ac:dyDescent="0.25">
      <c r="H109" s="13"/>
    </row>
    <row r="110" spans="8:8" s="8" customFormat="1" ht="15" customHeight="1" x14ac:dyDescent="0.25">
      <c r="H110" s="13"/>
    </row>
    <row r="111" spans="8:8" s="8" customFormat="1" ht="15" customHeight="1" x14ac:dyDescent="0.25">
      <c r="H111" s="13"/>
    </row>
    <row r="112" spans="8:8" s="8" customFormat="1" ht="15" customHeight="1" x14ac:dyDescent="0.25">
      <c r="H112" s="13"/>
    </row>
    <row r="113" spans="8:8" s="8" customFormat="1" ht="15" customHeight="1" x14ac:dyDescent="0.25">
      <c r="H113" s="13"/>
    </row>
    <row r="114" spans="8:8" s="8" customFormat="1" ht="15" customHeight="1" x14ac:dyDescent="0.25">
      <c r="H114" s="13"/>
    </row>
    <row r="115" spans="8:8" s="8" customFormat="1" ht="15" customHeight="1" x14ac:dyDescent="0.25">
      <c r="H115" s="13"/>
    </row>
    <row r="116" spans="8:8" s="8" customFormat="1" ht="15" customHeight="1" x14ac:dyDescent="0.25">
      <c r="H116" s="13"/>
    </row>
    <row r="117" spans="8:8" s="8" customFormat="1" ht="15" customHeight="1" x14ac:dyDescent="0.25">
      <c r="H117" s="13"/>
    </row>
    <row r="118" spans="8:8" s="8" customFormat="1" ht="15" customHeight="1" x14ac:dyDescent="0.25">
      <c r="H118" s="13"/>
    </row>
    <row r="119" spans="8:8" s="8" customFormat="1" ht="15" customHeight="1" x14ac:dyDescent="0.25">
      <c r="H119" s="13"/>
    </row>
    <row r="120" spans="8:8" s="8" customFormat="1" ht="15" customHeight="1" x14ac:dyDescent="0.25">
      <c r="H120" s="13"/>
    </row>
    <row r="121" spans="8:8" s="8" customFormat="1" ht="15" customHeight="1" x14ac:dyDescent="0.25">
      <c r="H121" s="13"/>
    </row>
    <row r="122" spans="8:8" s="8" customFormat="1" ht="15" customHeight="1" x14ac:dyDescent="0.25">
      <c r="H122" s="13"/>
    </row>
    <row r="123" spans="8:8" s="8" customFormat="1" ht="15" customHeight="1" x14ac:dyDescent="0.25">
      <c r="H123" s="13"/>
    </row>
    <row r="124" spans="8:8" s="8" customFormat="1" ht="15" customHeight="1" x14ac:dyDescent="0.25">
      <c r="H124" s="13"/>
    </row>
    <row r="125" spans="8:8" s="8" customFormat="1" ht="15" customHeight="1" x14ac:dyDescent="0.25">
      <c r="H125" s="13"/>
    </row>
    <row r="126" spans="8:8" s="8" customFormat="1" ht="15" customHeight="1" x14ac:dyDescent="0.25">
      <c r="H126" s="13"/>
    </row>
    <row r="127" spans="8:8" s="8" customFormat="1" ht="15" customHeight="1" x14ac:dyDescent="0.25">
      <c r="H127" s="13"/>
    </row>
    <row r="128" spans="8:8" s="8" customFormat="1" ht="15" customHeight="1" x14ac:dyDescent="0.25">
      <c r="H128" s="13"/>
    </row>
    <row r="129" spans="8:8" s="8" customFormat="1" ht="15" customHeight="1" x14ac:dyDescent="0.25">
      <c r="H129" s="13"/>
    </row>
    <row r="130" spans="8:8" s="8" customFormat="1" ht="15" customHeight="1" x14ac:dyDescent="0.25">
      <c r="H130" s="13"/>
    </row>
    <row r="131" spans="8:8" s="8" customFormat="1" ht="15" customHeight="1" x14ac:dyDescent="0.25">
      <c r="H131" s="13"/>
    </row>
    <row r="132" spans="8:8" s="8" customFormat="1" ht="15" customHeight="1" x14ac:dyDescent="0.25">
      <c r="H132" s="13"/>
    </row>
    <row r="133" spans="8:8" s="8" customFormat="1" ht="15" customHeight="1" x14ac:dyDescent="0.25">
      <c r="H133" s="13"/>
    </row>
    <row r="134" spans="8:8" s="8" customFormat="1" ht="15" customHeight="1" x14ac:dyDescent="0.25">
      <c r="H134" s="13"/>
    </row>
    <row r="135" spans="8:8" s="8" customFormat="1" ht="15" customHeight="1" x14ac:dyDescent="0.25">
      <c r="H135" s="13"/>
    </row>
    <row r="136" spans="8:8" s="8" customFormat="1" ht="15" customHeight="1" x14ac:dyDescent="0.25">
      <c r="H136" s="13"/>
    </row>
    <row r="137" spans="8:8" s="8" customFormat="1" ht="15" customHeight="1" x14ac:dyDescent="0.25">
      <c r="H137" s="13"/>
    </row>
    <row r="138" spans="8:8" s="8" customFormat="1" ht="15" customHeight="1" x14ac:dyDescent="0.25">
      <c r="H138" s="13"/>
    </row>
    <row r="139" spans="8:8" s="8" customFormat="1" ht="15" customHeight="1" x14ac:dyDescent="0.25">
      <c r="H139" s="13"/>
    </row>
    <row r="140" spans="8:8" s="8" customFormat="1" ht="15" customHeight="1" x14ac:dyDescent="0.25">
      <c r="H140" s="13"/>
    </row>
    <row r="141" spans="8:8" s="8" customFormat="1" ht="15" customHeight="1" x14ac:dyDescent="0.25">
      <c r="H141" s="13"/>
    </row>
    <row r="142" spans="8:8" s="8" customFormat="1" ht="15" customHeight="1" x14ac:dyDescent="0.25">
      <c r="H142" s="13"/>
    </row>
    <row r="143" spans="8:8" s="8" customFormat="1" ht="15" customHeight="1" x14ac:dyDescent="0.25">
      <c r="H143" s="13"/>
    </row>
    <row r="144" spans="8:8" s="8" customFormat="1" ht="15" customHeight="1" x14ac:dyDescent="0.25">
      <c r="H144" s="13"/>
    </row>
    <row r="145" spans="8:8" s="8" customFormat="1" ht="15" customHeight="1" x14ac:dyDescent="0.25">
      <c r="H145" s="13"/>
    </row>
    <row r="146" spans="8:8" s="8" customFormat="1" ht="15" customHeight="1" x14ac:dyDescent="0.25">
      <c r="H146" s="13"/>
    </row>
    <row r="147" spans="8:8" s="8" customFormat="1" ht="15" customHeight="1" x14ac:dyDescent="0.25">
      <c r="H147" s="13"/>
    </row>
    <row r="148" spans="8:8" s="8" customFormat="1" ht="15" customHeight="1" x14ac:dyDescent="0.25">
      <c r="H148" s="13"/>
    </row>
    <row r="149" spans="8:8" s="8" customFormat="1" ht="15" customHeight="1" x14ac:dyDescent="0.25">
      <c r="H149" s="13"/>
    </row>
    <row r="150" spans="8:8" s="8" customFormat="1" ht="15" customHeight="1" x14ac:dyDescent="0.25">
      <c r="H150" s="13"/>
    </row>
    <row r="151" spans="8:8" s="8" customFormat="1" ht="15" customHeight="1" x14ac:dyDescent="0.25">
      <c r="H151" s="13"/>
    </row>
    <row r="152" spans="8:8" s="8" customFormat="1" ht="15" customHeight="1" x14ac:dyDescent="0.25">
      <c r="H152" s="13"/>
    </row>
    <row r="153" spans="8:8" s="8" customFormat="1" ht="15" customHeight="1" x14ac:dyDescent="0.25">
      <c r="H153" s="13"/>
    </row>
    <row r="154" spans="8:8" s="8" customFormat="1" ht="15" customHeight="1" x14ac:dyDescent="0.25">
      <c r="H154" s="13"/>
    </row>
    <row r="155" spans="8:8" s="8" customFormat="1" ht="15" customHeight="1" x14ac:dyDescent="0.25">
      <c r="H155" s="13"/>
    </row>
    <row r="156" spans="8:8" s="8" customFormat="1" ht="15" customHeight="1" x14ac:dyDescent="0.25">
      <c r="H156" s="13"/>
    </row>
    <row r="157" spans="8:8" s="8" customFormat="1" ht="15" customHeight="1" x14ac:dyDescent="0.25">
      <c r="H157" s="13"/>
    </row>
    <row r="158" spans="8:8" s="8" customFormat="1" ht="15" customHeight="1" x14ac:dyDescent="0.25">
      <c r="H158" s="13"/>
    </row>
    <row r="159" spans="8:8" s="8" customFormat="1" ht="15" customHeight="1" x14ac:dyDescent="0.25">
      <c r="H159" s="13"/>
    </row>
    <row r="160" spans="8:8" s="8" customFormat="1" ht="15" customHeight="1" x14ac:dyDescent="0.25">
      <c r="H160" s="13"/>
    </row>
    <row r="161" spans="8:8" s="8" customFormat="1" ht="15" customHeight="1" x14ac:dyDescent="0.25">
      <c r="H161" s="13"/>
    </row>
    <row r="162" spans="8:8" s="8" customFormat="1" ht="15" customHeight="1" x14ac:dyDescent="0.25">
      <c r="H162" s="13"/>
    </row>
    <row r="163" spans="8:8" s="8" customFormat="1" ht="15" customHeight="1" x14ac:dyDescent="0.25">
      <c r="H163" s="13"/>
    </row>
    <row r="164" spans="8:8" s="8" customFormat="1" ht="15" customHeight="1" x14ac:dyDescent="0.25">
      <c r="H164" s="13"/>
    </row>
    <row r="165" spans="8:8" s="8" customFormat="1" ht="15" customHeight="1" x14ac:dyDescent="0.25">
      <c r="H165" s="13"/>
    </row>
    <row r="166" spans="8:8" s="8" customFormat="1" ht="15" customHeight="1" x14ac:dyDescent="0.25">
      <c r="H166" s="13"/>
    </row>
    <row r="167" spans="8:8" s="8" customFormat="1" ht="15" customHeight="1" x14ac:dyDescent="0.25">
      <c r="H167" s="13"/>
    </row>
    <row r="168" spans="8:8" s="8" customFormat="1" ht="15" customHeight="1" x14ac:dyDescent="0.25">
      <c r="H168" s="13"/>
    </row>
    <row r="169" spans="8:8" s="8" customFormat="1" ht="15" customHeight="1" x14ac:dyDescent="0.25">
      <c r="H169" s="13"/>
    </row>
    <row r="170" spans="8:8" s="8" customFormat="1" ht="15" customHeight="1" x14ac:dyDescent="0.25">
      <c r="H170" s="13"/>
    </row>
    <row r="171" spans="8:8" s="8" customFormat="1" ht="15" customHeight="1" x14ac:dyDescent="0.25">
      <c r="H171" s="13"/>
    </row>
    <row r="172" spans="8:8" s="8" customFormat="1" ht="15" customHeight="1" x14ac:dyDescent="0.25">
      <c r="H172" s="13"/>
    </row>
    <row r="173" spans="8:8" s="8" customFormat="1" ht="15" customHeight="1" x14ac:dyDescent="0.25">
      <c r="H173" s="13"/>
    </row>
    <row r="174" spans="8:8" s="8" customFormat="1" ht="15" customHeight="1" x14ac:dyDescent="0.25">
      <c r="H174" s="13"/>
    </row>
    <row r="175" spans="8:8" s="8" customFormat="1" ht="15" customHeight="1" x14ac:dyDescent="0.25">
      <c r="H175" s="13"/>
    </row>
    <row r="176" spans="8:8" s="8" customFormat="1" ht="15" customHeight="1" x14ac:dyDescent="0.25">
      <c r="H176" s="13"/>
    </row>
    <row r="177" spans="8:8" s="8" customFormat="1" ht="15" customHeight="1" x14ac:dyDescent="0.25">
      <c r="H177" s="13"/>
    </row>
    <row r="178" spans="8:8" s="8" customFormat="1" ht="15" customHeight="1" x14ac:dyDescent="0.25">
      <c r="H178" s="13"/>
    </row>
    <row r="179" spans="8:8" s="8" customFormat="1" ht="15" customHeight="1" x14ac:dyDescent="0.25">
      <c r="H179" s="13"/>
    </row>
    <row r="180" spans="8:8" s="8" customFormat="1" ht="15" customHeight="1" x14ac:dyDescent="0.25">
      <c r="H180" s="13"/>
    </row>
    <row r="181" spans="8:8" s="8" customFormat="1" ht="15" customHeight="1" x14ac:dyDescent="0.25">
      <c r="H181" s="13"/>
    </row>
    <row r="182" spans="8:8" s="8" customFormat="1" ht="15" customHeight="1" x14ac:dyDescent="0.25">
      <c r="H182" s="13"/>
    </row>
    <row r="183" spans="8:8" s="8" customFormat="1" ht="15" customHeight="1" x14ac:dyDescent="0.25">
      <c r="H183" s="13"/>
    </row>
    <row r="184" spans="8:8" s="8" customFormat="1" ht="15" customHeight="1" x14ac:dyDescent="0.25">
      <c r="H184" s="13"/>
    </row>
    <row r="185" spans="8:8" s="8" customFormat="1" ht="15" customHeight="1" x14ac:dyDescent="0.25">
      <c r="H185" s="13"/>
    </row>
    <row r="186" spans="8:8" s="8" customFormat="1" ht="15" customHeight="1" x14ac:dyDescent="0.25">
      <c r="H186" s="13"/>
    </row>
    <row r="187" spans="8:8" s="8" customFormat="1" ht="15" customHeight="1" x14ac:dyDescent="0.25">
      <c r="H187" s="13"/>
    </row>
    <row r="188" spans="8:8" s="8" customFormat="1" ht="15" customHeight="1" x14ac:dyDescent="0.25">
      <c r="H188" s="13"/>
    </row>
    <row r="189" spans="8:8" s="8" customFormat="1" ht="15" customHeight="1" x14ac:dyDescent="0.25">
      <c r="H189" s="13"/>
    </row>
    <row r="190" spans="8:8" s="8" customFormat="1" ht="15" customHeight="1" x14ac:dyDescent="0.25">
      <c r="H190" s="13"/>
    </row>
    <row r="191" spans="8:8" s="8" customFormat="1" ht="15" customHeight="1" x14ac:dyDescent="0.25">
      <c r="H191" s="13"/>
    </row>
    <row r="192" spans="8:8" s="8" customFormat="1" ht="15" customHeight="1" x14ac:dyDescent="0.25">
      <c r="H192" s="13"/>
    </row>
    <row r="193" spans="8:8" s="8" customFormat="1" ht="15" customHeight="1" x14ac:dyDescent="0.25">
      <c r="H193" s="13"/>
    </row>
    <row r="194" spans="8:8" s="8" customFormat="1" ht="15" customHeight="1" x14ac:dyDescent="0.25">
      <c r="H194" s="13"/>
    </row>
    <row r="195" spans="8:8" s="8" customFormat="1" ht="15" customHeight="1" x14ac:dyDescent="0.25">
      <c r="H195" s="13"/>
    </row>
    <row r="196" spans="8:8" s="8" customFormat="1" ht="15" customHeight="1" x14ac:dyDescent="0.25">
      <c r="H196" s="13"/>
    </row>
    <row r="197" spans="8:8" s="8" customFormat="1" ht="15" customHeight="1" x14ac:dyDescent="0.25">
      <c r="H197" s="13"/>
    </row>
    <row r="198" spans="8:8" s="8" customFormat="1" ht="15" customHeight="1" x14ac:dyDescent="0.25">
      <c r="H198" s="13"/>
    </row>
    <row r="199" spans="8:8" s="8" customFormat="1" ht="15" customHeight="1" x14ac:dyDescent="0.25">
      <c r="H199" s="13"/>
    </row>
    <row r="200" spans="8:8" s="8" customFormat="1" ht="15" customHeight="1" x14ac:dyDescent="0.25">
      <c r="H200" s="13"/>
    </row>
    <row r="201" spans="8:8" s="8" customFormat="1" ht="15" customHeight="1" x14ac:dyDescent="0.25">
      <c r="H201" s="13"/>
    </row>
    <row r="202" spans="8:8" s="8" customFormat="1" ht="15" customHeight="1" x14ac:dyDescent="0.25">
      <c r="H202" s="13"/>
    </row>
    <row r="203" spans="8:8" s="8" customFormat="1" ht="15" customHeight="1" x14ac:dyDescent="0.25">
      <c r="H203" s="13"/>
    </row>
    <row r="204" spans="8:8" s="8" customFormat="1" ht="15" customHeight="1" x14ac:dyDescent="0.25">
      <c r="H204" s="13"/>
    </row>
    <row r="205" spans="8:8" s="8" customFormat="1" ht="15" customHeight="1" x14ac:dyDescent="0.25">
      <c r="H205" s="13"/>
    </row>
    <row r="206" spans="8:8" s="8" customFormat="1" ht="15" customHeight="1" x14ac:dyDescent="0.25">
      <c r="H206" s="13"/>
    </row>
    <row r="207" spans="8:8" s="8" customFormat="1" ht="15" customHeight="1" x14ac:dyDescent="0.25">
      <c r="H207" s="13"/>
    </row>
    <row r="208" spans="8:8" s="8" customFormat="1" ht="15" customHeight="1" x14ac:dyDescent="0.25">
      <c r="H208" s="13"/>
    </row>
    <row r="209" spans="8:8" s="8" customFormat="1" ht="15" customHeight="1" x14ac:dyDescent="0.25">
      <c r="H209" s="13"/>
    </row>
    <row r="210" spans="8:8" s="8" customFormat="1" ht="15" customHeight="1" x14ac:dyDescent="0.25">
      <c r="H210" s="13"/>
    </row>
    <row r="211" spans="8:8" s="8" customFormat="1" ht="15" customHeight="1" x14ac:dyDescent="0.25">
      <c r="H211" s="13"/>
    </row>
    <row r="212" spans="8:8" s="8" customFormat="1" ht="15" customHeight="1" x14ac:dyDescent="0.25">
      <c r="H212" s="13"/>
    </row>
    <row r="213" spans="8:8" s="8" customFormat="1" ht="15" customHeight="1" x14ac:dyDescent="0.25">
      <c r="H213" s="13"/>
    </row>
    <row r="214" spans="8:8" s="8" customFormat="1" ht="15" customHeight="1" x14ac:dyDescent="0.25">
      <c r="H214" s="13"/>
    </row>
    <row r="215" spans="8:8" s="8" customFormat="1" ht="15" customHeight="1" x14ac:dyDescent="0.25">
      <c r="H215" s="13"/>
    </row>
    <row r="216" spans="8:8" s="8" customFormat="1" ht="15" customHeight="1" x14ac:dyDescent="0.25">
      <c r="H216" s="13"/>
    </row>
    <row r="217" spans="8:8" s="8" customFormat="1" ht="15" customHeight="1" x14ac:dyDescent="0.25">
      <c r="H217" s="13"/>
    </row>
    <row r="218" spans="8:8" s="8" customFormat="1" ht="15" customHeight="1" x14ac:dyDescent="0.25">
      <c r="H218" s="13"/>
    </row>
    <row r="219" spans="8:8" s="8" customFormat="1" ht="15" customHeight="1" x14ac:dyDescent="0.25">
      <c r="H219" s="13"/>
    </row>
    <row r="220" spans="8:8" s="8" customFormat="1" ht="15" customHeight="1" x14ac:dyDescent="0.25">
      <c r="H220" s="13"/>
    </row>
    <row r="221" spans="8:8" s="8" customFormat="1" ht="15" customHeight="1" x14ac:dyDescent="0.25">
      <c r="H221" s="13"/>
    </row>
    <row r="222" spans="8:8" s="8" customFormat="1" ht="15" customHeight="1" x14ac:dyDescent="0.25">
      <c r="H222" s="13"/>
    </row>
    <row r="223" spans="8:8" s="8" customFormat="1" ht="15" customHeight="1" x14ac:dyDescent="0.25">
      <c r="H223" s="13"/>
    </row>
    <row r="224" spans="8:8" s="8" customFormat="1" ht="15" customHeight="1" x14ac:dyDescent="0.25">
      <c r="H224" s="13"/>
    </row>
    <row r="225" spans="8:8" s="8" customFormat="1" ht="15" customHeight="1" x14ac:dyDescent="0.25">
      <c r="H225" s="13"/>
    </row>
    <row r="226" spans="8:8" s="8" customFormat="1" ht="15" customHeight="1" x14ac:dyDescent="0.25">
      <c r="H226" s="13"/>
    </row>
    <row r="227" spans="8:8" s="8" customFormat="1" ht="15" customHeight="1" x14ac:dyDescent="0.25">
      <c r="H227" s="13"/>
    </row>
    <row r="228" spans="8:8" s="8" customFormat="1" ht="15" customHeight="1" x14ac:dyDescent="0.25">
      <c r="H228" s="13"/>
    </row>
    <row r="229" spans="8:8" s="8" customFormat="1" ht="15" customHeight="1" x14ac:dyDescent="0.25">
      <c r="H229" s="13"/>
    </row>
    <row r="230" spans="8:8" s="8" customFormat="1" ht="15" customHeight="1" x14ac:dyDescent="0.25">
      <c r="H230" s="13"/>
    </row>
    <row r="231" spans="8:8" s="8" customFormat="1" ht="15" customHeight="1" x14ac:dyDescent="0.25">
      <c r="H231" s="13"/>
    </row>
    <row r="232" spans="8:8" s="8" customFormat="1" ht="15" customHeight="1" x14ac:dyDescent="0.25">
      <c r="H232" s="13"/>
    </row>
    <row r="233" spans="8:8" s="8" customFormat="1" ht="15" customHeight="1" x14ac:dyDescent="0.25">
      <c r="H233" s="13"/>
    </row>
    <row r="234" spans="8:8" s="8" customFormat="1" ht="15" customHeight="1" x14ac:dyDescent="0.25">
      <c r="H234" s="13"/>
    </row>
    <row r="235" spans="8:8" s="8" customFormat="1" ht="15" customHeight="1" x14ac:dyDescent="0.25">
      <c r="H235" s="13"/>
    </row>
    <row r="236" spans="8:8" s="8" customFormat="1" ht="15" customHeight="1" x14ac:dyDescent="0.25">
      <c r="H236" s="13"/>
    </row>
    <row r="237" spans="8:8" s="8" customFormat="1" ht="15" customHeight="1" x14ac:dyDescent="0.25">
      <c r="H237" s="13"/>
    </row>
    <row r="238" spans="8:8" s="8" customFormat="1" ht="15" customHeight="1" x14ac:dyDescent="0.25">
      <c r="H238" s="13"/>
    </row>
    <row r="239" spans="8:8" s="8" customFormat="1" ht="15" customHeight="1" x14ac:dyDescent="0.25">
      <c r="H239" s="13"/>
    </row>
    <row r="240" spans="8:8" s="8" customFormat="1" ht="15" customHeight="1" x14ac:dyDescent="0.25">
      <c r="H240" s="13"/>
    </row>
    <row r="241" spans="8:8" s="8" customFormat="1" ht="15" customHeight="1" x14ac:dyDescent="0.25">
      <c r="H241" s="13"/>
    </row>
    <row r="242" spans="8:8" s="8" customFormat="1" ht="15" customHeight="1" x14ac:dyDescent="0.25">
      <c r="H242" s="13"/>
    </row>
    <row r="243" spans="8:8" s="8" customFormat="1" ht="15" customHeight="1" x14ac:dyDescent="0.25">
      <c r="H243" s="13"/>
    </row>
    <row r="244" spans="8:8" s="8" customFormat="1" ht="15" customHeight="1" x14ac:dyDescent="0.25">
      <c r="H244" s="13"/>
    </row>
    <row r="245" spans="8:8" s="8" customFormat="1" ht="15" customHeight="1" x14ac:dyDescent="0.25">
      <c r="H245" s="13"/>
    </row>
    <row r="246" spans="8:8" s="8" customFormat="1" ht="15" customHeight="1" x14ac:dyDescent="0.25">
      <c r="H246" s="13"/>
    </row>
    <row r="247" spans="8:8" s="8" customFormat="1" ht="15" customHeight="1" x14ac:dyDescent="0.25">
      <c r="H247" s="13"/>
    </row>
    <row r="248" spans="8:8" s="8" customFormat="1" ht="15" customHeight="1" x14ac:dyDescent="0.25">
      <c r="H248" s="13"/>
    </row>
    <row r="249" spans="8:8" s="8" customFormat="1" ht="15" customHeight="1" x14ac:dyDescent="0.25">
      <c r="H249" s="13"/>
    </row>
    <row r="250" spans="8:8" s="8" customFormat="1" ht="15" customHeight="1" x14ac:dyDescent="0.25">
      <c r="H250" s="13"/>
    </row>
    <row r="251" spans="8:8" s="8" customFormat="1" ht="15" customHeight="1" x14ac:dyDescent="0.25">
      <c r="H251" s="13"/>
    </row>
    <row r="252" spans="8:8" s="8" customFormat="1" ht="15" customHeight="1" x14ac:dyDescent="0.25">
      <c r="H252" s="13"/>
    </row>
    <row r="253" spans="8:8" s="8" customFormat="1" ht="15" customHeight="1" x14ac:dyDescent="0.25">
      <c r="H253" s="13"/>
    </row>
    <row r="254" spans="8:8" s="8" customFormat="1" ht="15" customHeight="1" x14ac:dyDescent="0.25">
      <c r="H254" s="13"/>
    </row>
    <row r="255" spans="8:8" s="8" customFormat="1" ht="15" customHeight="1" x14ac:dyDescent="0.25">
      <c r="H255" s="13"/>
    </row>
    <row r="256" spans="8:8" s="8" customFormat="1" ht="15" customHeight="1" x14ac:dyDescent="0.25">
      <c r="H256" s="13"/>
    </row>
    <row r="257" spans="8:8" s="8" customFormat="1" ht="15" customHeight="1" x14ac:dyDescent="0.25">
      <c r="H257" s="13"/>
    </row>
    <row r="258" spans="8:8" s="8" customFormat="1" ht="15" customHeight="1" x14ac:dyDescent="0.25">
      <c r="H258" s="13"/>
    </row>
    <row r="259" spans="8:8" s="8" customFormat="1" ht="15" customHeight="1" x14ac:dyDescent="0.25">
      <c r="H259" s="13"/>
    </row>
    <row r="260" spans="8:8" s="8" customFormat="1" ht="15" customHeight="1" x14ac:dyDescent="0.25">
      <c r="H260" s="13"/>
    </row>
    <row r="261" spans="8:8" s="8" customFormat="1" ht="15" customHeight="1" x14ac:dyDescent="0.25">
      <c r="H261" s="13"/>
    </row>
    <row r="262" spans="8:8" s="8" customFormat="1" ht="15" customHeight="1" x14ac:dyDescent="0.25">
      <c r="H262" s="13"/>
    </row>
    <row r="263" spans="8:8" s="8" customFormat="1" ht="15" customHeight="1" x14ac:dyDescent="0.25">
      <c r="H263" s="13"/>
    </row>
    <row r="264" spans="8:8" s="8" customFormat="1" ht="15" customHeight="1" x14ac:dyDescent="0.25">
      <c r="H264" s="13"/>
    </row>
    <row r="265" spans="8:8" s="8" customFormat="1" ht="15" customHeight="1" x14ac:dyDescent="0.25">
      <c r="H265" s="13"/>
    </row>
    <row r="266" spans="8:8" s="8" customFormat="1" ht="15" customHeight="1" x14ac:dyDescent="0.25">
      <c r="H266" s="13"/>
    </row>
    <row r="267" spans="8:8" s="8" customFormat="1" ht="15" customHeight="1" x14ac:dyDescent="0.25">
      <c r="H267" s="13"/>
    </row>
    <row r="268" spans="8:8" s="8" customFormat="1" ht="15" customHeight="1" x14ac:dyDescent="0.25">
      <c r="H268" s="13"/>
    </row>
    <row r="269" spans="8:8" s="8" customFormat="1" ht="15" customHeight="1" x14ac:dyDescent="0.25">
      <c r="H269" s="13"/>
    </row>
    <row r="270" spans="8:8" s="8" customFormat="1" ht="15" customHeight="1" x14ac:dyDescent="0.25">
      <c r="H270" s="13"/>
    </row>
    <row r="271" spans="8:8" s="8" customFormat="1" ht="15" customHeight="1" x14ac:dyDescent="0.25">
      <c r="H271" s="13"/>
    </row>
    <row r="272" spans="8:8" s="8" customFormat="1" ht="15" customHeight="1" x14ac:dyDescent="0.25">
      <c r="H272" s="13"/>
    </row>
    <row r="273" spans="8:8" s="8" customFormat="1" ht="15" customHeight="1" x14ac:dyDescent="0.25">
      <c r="H273" s="13"/>
    </row>
    <row r="274" spans="8:8" s="8" customFormat="1" ht="15" customHeight="1" x14ac:dyDescent="0.25">
      <c r="H274" s="13"/>
    </row>
    <row r="275" spans="8:8" s="8" customFormat="1" ht="15" customHeight="1" x14ac:dyDescent="0.25">
      <c r="H275" s="13"/>
    </row>
    <row r="276" spans="8:8" s="8" customFormat="1" ht="15" customHeight="1" x14ac:dyDescent="0.25">
      <c r="H276" s="13"/>
    </row>
    <row r="277" spans="8:8" s="8" customFormat="1" ht="15" customHeight="1" x14ac:dyDescent="0.25">
      <c r="H277" s="13"/>
    </row>
    <row r="278" spans="8:8" s="8" customFormat="1" ht="15" customHeight="1" x14ac:dyDescent="0.25">
      <c r="H278" s="13"/>
    </row>
    <row r="279" spans="8:8" s="8" customFormat="1" ht="15" customHeight="1" x14ac:dyDescent="0.25">
      <c r="H279" s="13"/>
    </row>
    <row r="280" spans="8:8" s="8" customFormat="1" ht="15" customHeight="1" x14ac:dyDescent="0.25">
      <c r="H280" s="13"/>
    </row>
    <row r="281" spans="8:8" s="8" customFormat="1" ht="15" customHeight="1" x14ac:dyDescent="0.25">
      <c r="H281" s="13"/>
    </row>
    <row r="282" spans="8:8" s="8" customFormat="1" ht="15" customHeight="1" x14ac:dyDescent="0.25">
      <c r="H282" s="13"/>
    </row>
    <row r="283" spans="8:8" s="8" customFormat="1" ht="15" customHeight="1" x14ac:dyDescent="0.25">
      <c r="H283" s="13"/>
    </row>
    <row r="284" spans="8:8" s="8" customFormat="1" ht="15" customHeight="1" x14ac:dyDescent="0.25">
      <c r="H284" s="13"/>
    </row>
    <row r="285" spans="8:8" s="8" customFormat="1" ht="15" customHeight="1" x14ac:dyDescent="0.25">
      <c r="H285" s="13"/>
    </row>
    <row r="286" spans="8:8" s="8" customFormat="1" ht="15" customHeight="1" x14ac:dyDescent="0.25">
      <c r="H286" s="13"/>
    </row>
    <row r="287" spans="8:8" s="8" customFormat="1" ht="15" customHeight="1" x14ac:dyDescent="0.25">
      <c r="H287" s="13"/>
    </row>
    <row r="288" spans="8:8" s="8" customFormat="1" ht="15" customHeight="1" x14ac:dyDescent="0.25">
      <c r="H288" s="13"/>
    </row>
    <row r="289" spans="8:8" s="8" customFormat="1" ht="15" customHeight="1" x14ac:dyDescent="0.25">
      <c r="H289" s="13"/>
    </row>
    <row r="290" spans="8:8" s="8" customFormat="1" ht="15" customHeight="1" x14ac:dyDescent="0.25">
      <c r="H290" s="13"/>
    </row>
    <row r="291" spans="8:8" s="8" customFormat="1" ht="15" customHeight="1" x14ac:dyDescent="0.25">
      <c r="H291" s="13"/>
    </row>
    <row r="292" spans="8:8" s="8" customFormat="1" ht="15" customHeight="1" x14ac:dyDescent="0.25">
      <c r="H292" s="13"/>
    </row>
    <row r="293" spans="8:8" s="8" customFormat="1" ht="15" customHeight="1" x14ac:dyDescent="0.25">
      <c r="H293" s="13"/>
    </row>
    <row r="294" spans="8:8" s="8" customFormat="1" ht="15" customHeight="1" x14ac:dyDescent="0.25">
      <c r="H294" s="13"/>
    </row>
    <row r="295" spans="8:8" s="8" customFormat="1" ht="15" customHeight="1" x14ac:dyDescent="0.25">
      <c r="H295" s="13"/>
    </row>
    <row r="296" spans="8:8" s="8" customFormat="1" ht="15" customHeight="1" x14ac:dyDescent="0.25">
      <c r="H296" s="13"/>
    </row>
    <row r="297" spans="8:8" s="8" customFormat="1" ht="15" customHeight="1" x14ac:dyDescent="0.25">
      <c r="H297" s="13"/>
    </row>
    <row r="298" spans="8:8" s="8" customFormat="1" ht="15" customHeight="1" x14ac:dyDescent="0.25">
      <c r="H298" s="13"/>
    </row>
    <row r="299" spans="8:8" s="8" customFormat="1" ht="15" customHeight="1" x14ac:dyDescent="0.25">
      <c r="H299" s="13"/>
    </row>
    <row r="300" spans="8:8" s="8" customFormat="1" ht="15" customHeight="1" x14ac:dyDescent="0.25">
      <c r="H300" s="13"/>
    </row>
    <row r="301" spans="8:8" s="8" customFormat="1" ht="15" customHeight="1" x14ac:dyDescent="0.25">
      <c r="H301" s="13"/>
    </row>
    <row r="302" spans="8:8" s="8" customFormat="1" ht="15" customHeight="1" x14ac:dyDescent="0.25">
      <c r="H302" s="13"/>
    </row>
    <row r="303" spans="8:8" s="8" customFormat="1" ht="15" customHeight="1" x14ac:dyDescent="0.25">
      <c r="H303" s="13"/>
    </row>
    <row r="304" spans="8:8" s="8" customFormat="1" ht="15" customHeight="1" x14ac:dyDescent="0.25">
      <c r="H304" s="13"/>
    </row>
    <row r="305" spans="8:8" s="8" customFormat="1" ht="15" customHeight="1" x14ac:dyDescent="0.25">
      <c r="H305" s="13"/>
    </row>
    <row r="306" spans="8:8" s="8" customFormat="1" ht="15" customHeight="1" x14ac:dyDescent="0.25">
      <c r="H306" s="13"/>
    </row>
    <row r="307" spans="8:8" s="8" customFormat="1" ht="15" customHeight="1" x14ac:dyDescent="0.25">
      <c r="H307" s="13"/>
    </row>
    <row r="308" spans="8:8" s="8" customFormat="1" ht="15" customHeight="1" x14ac:dyDescent="0.25">
      <c r="H308" s="13"/>
    </row>
    <row r="309" spans="8:8" s="8" customFormat="1" ht="15" customHeight="1" x14ac:dyDescent="0.25">
      <c r="H309" s="13"/>
    </row>
    <row r="310" spans="8:8" s="8" customFormat="1" ht="15" customHeight="1" x14ac:dyDescent="0.25">
      <c r="H310" s="13"/>
    </row>
    <row r="311" spans="8:8" s="8" customFormat="1" ht="15" customHeight="1" x14ac:dyDescent="0.25">
      <c r="H311" s="13"/>
    </row>
    <row r="312" spans="8:8" s="8" customFormat="1" ht="15" customHeight="1" x14ac:dyDescent="0.25">
      <c r="H312" s="13"/>
    </row>
    <row r="313" spans="8:8" s="8" customFormat="1" ht="15" customHeight="1" x14ac:dyDescent="0.25">
      <c r="H313" s="13"/>
    </row>
    <row r="314" spans="8:8" s="8" customFormat="1" ht="15" customHeight="1" x14ac:dyDescent="0.25">
      <c r="H314" s="13"/>
    </row>
    <row r="315" spans="8:8" s="8" customFormat="1" ht="15" customHeight="1" x14ac:dyDescent="0.25">
      <c r="H315" s="13"/>
    </row>
    <row r="316" spans="8:8" s="8" customFormat="1" ht="15" customHeight="1" x14ac:dyDescent="0.25">
      <c r="H316" s="13"/>
    </row>
    <row r="317" spans="8:8" s="8" customFormat="1" ht="15" customHeight="1" x14ac:dyDescent="0.25">
      <c r="H317" s="13"/>
    </row>
    <row r="318" spans="8:8" s="8" customFormat="1" ht="15" customHeight="1" x14ac:dyDescent="0.25">
      <c r="H318" s="13"/>
    </row>
    <row r="319" spans="8:8" s="8" customFormat="1" ht="15" customHeight="1" x14ac:dyDescent="0.25">
      <c r="H319" s="13"/>
    </row>
    <row r="320" spans="8:8" s="8" customFormat="1" ht="15" customHeight="1" x14ac:dyDescent="0.25">
      <c r="H320" s="13"/>
    </row>
    <row r="321" spans="8:8" s="8" customFormat="1" ht="15" customHeight="1" x14ac:dyDescent="0.25">
      <c r="H321" s="13"/>
    </row>
    <row r="322" spans="8:8" s="8" customFormat="1" ht="15" customHeight="1" x14ac:dyDescent="0.25">
      <c r="H322" s="13"/>
    </row>
    <row r="323" spans="8:8" s="8" customFormat="1" ht="15" customHeight="1" x14ac:dyDescent="0.25">
      <c r="H323" s="13"/>
    </row>
    <row r="324" spans="8:8" s="8" customFormat="1" ht="15" customHeight="1" x14ac:dyDescent="0.25">
      <c r="H324" s="13"/>
    </row>
    <row r="325" spans="8:8" s="8" customFormat="1" ht="15" customHeight="1" x14ac:dyDescent="0.25">
      <c r="H325" s="13"/>
    </row>
    <row r="326" spans="8:8" s="8" customFormat="1" ht="15" customHeight="1" x14ac:dyDescent="0.25">
      <c r="H326" s="13"/>
    </row>
    <row r="327" spans="8:8" s="8" customFormat="1" ht="15" customHeight="1" x14ac:dyDescent="0.25">
      <c r="H327" s="13"/>
    </row>
    <row r="328" spans="8:8" s="8" customFormat="1" ht="15" customHeight="1" x14ac:dyDescent="0.25">
      <c r="H328" s="13"/>
    </row>
    <row r="329" spans="8:8" s="8" customFormat="1" ht="15" customHeight="1" x14ac:dyDescent="0.25">
      <c r="H329" s="13"/>
    </row>
    <row r="330" spans="8:8" s="8" customFormat="1" ht="15" customHeight="1" x14ac:dyDescent="0.25">
      <c r="H330" s="13"/>
    </row>
    <row r="331" spans="8:8" s="8" customFormat="1" ht="15" customHeight="1" x14ac:dyDescent="0.25">
      <c r="H331" s="13"/>
    </row>
    <row r="332" spans="8:8" s="8" customFormat="1" ht="15" customHeight="1" x14ac:dyDescent="0.25">
      <c r="H332" s="13"/>
    </row>
    <row r="333" spans="8:8" s="8" customFormat="1" ht="15" customHeight="1" x14ac:dyDescent="0.25">
      <c r="H333" s="13"/>
    </row>
    <row r="334" spans="8:8" s="8" customFormat="1" ht="15" customHeight="1" x14ac:dyDescent="0.25">
      <c r="H334" s="13"/>
    </row>
    <row r="335" spans="8:8" s="8" customFormat="1" ht="15" customHeight="1" x14ac:dyDescent="0.25">
      <c r="H335" s="13"/>
    </row>
    <row r="336" spans="8:8" s="8" customFormat="1" ht="15" customHeight="1" x14ac:dyDescent="0.25">
      <c r="H336" s="13"/>
    </row>
    <row r="337" spans="8:8" s="8" customFormat="1" ht="15" customHeight="1" x14ac:dyDescent="0.25">
      <c r="H337" s="13"/>
    </row>
    <row r="338" spans="8:8" s="8" customFormat="1" ht="15" customHeight="1" x14ac:dyDescent="0.25">
      <c r="H338" s="13"/>
    </row>
    <row r="339" spans="8:8" s="8" customFormat="1" ht="15" customHeight="1" x14ac:dyDescent="0.25">
      <c r="H339" s="13"/>
    </row>
    <row r="340" spans="8:8" s="8" customFormat="1" ht="15" customHeight="1" x14ac:dyDescent="0.25">
      <c r="H340" s="13"/>
    </row>
    <row r="341" spans="8:8" s="8" customFormat="1" ht="15" customHeight="1" x14ac:dyDescent="0.25">
      <c r="H341" s="13"/>
    </row>
    <row r="342" spans="8:8" s="8" customFormat="1" ht="15" customHeight="1" x14ac:dyDescent="0.25">
      <c r="H342" s="13"/>
    </row>
    <row r="343" spans="8:8" s="8" customFormat="1" ht="15" customHeight="1" x14ac:dyDescent="0.25">
      <c r="H343" s="13"/>
    </row>
    <row r="344" spans="8:8" s="8" customFormat="1" ht="15" customHeight="1" x14ac:dyDescent="0.25">
      <c r="H344" s="13"/>
    </row>
    <row r="345" spans="8:8" s="8" customFormat="1" ht="15" customHeight="1" x14ac:dyDescent="0.25">
      <c r="H345" s="13"/>
    </row>
    <row r="346" spans="8:8" s="8" customFormat="1" ht="15" customHeight="1" x14ac:dyDescent="0.25">
      <c r="H346" s="13"/>
    </row>
    <row r="347" spans="8:8" s="8" customFormat="1" ht="15" customHeight="1" x14ac:dyDescent="0.25">
      <c r="H347" s="13"/>
    </row>
    <row r="348" spans="8:8" s="8" customFormat="1" ht="15" customHeight="1" x14ac:dyDescent="0.25">
      <c r="H348" s="13"/>
    </row>
    <row r="349" spans="8:8" s="8" customFormat="1" ht="15" customHeight="1" x14ac:dyDescent="0.25">
      <c r="H349" s="13"/>
    </row>
    <row r="350" spans="8:8" s="8" customFormat="1" ht="15" customHeight="1" x14ac:dyDescent="0.25">
      <c r="H350" s="13"/>
    </row>
    <row r="351" spans="8:8" s="8" customFormat="1" ht="15" customHeight="1" x14ac:dyDescent="0.25">
      <c r="H351" s="13"/>
    </row>
    <row r="352" spans="8:8" s="8" customFormat="1" ht="15" customHeight="1" x14ac:dyDescent="0.25">
      <c r="H352" s="13"/>
    </row>
    <row r="353" spans="8:8" s="8" customFormat="1" ht="15" customHeight="1" x14ac:dyDescent="0.25">
      <c r="H353" s="13"/>
    </row>
    <row r="354" spans="8:8" s="8" customFormat="1" ht="15" customHeight="1" x14ac:dyDescent="0.25">
      <c r="H354" s="13"/>
    </row>
    <row r="355" spans="8:8" s="8" customFormat="1" ht="15" customHeight="1" x14ac:dyDescent="0.25">
      <c r="H355" s="13"/>
    </row>
    <row r="356" spans="8:8" s="8" customFormat="1" ht="15" customHeight="1" x14ac:dyDescent="0.25">
      <c r="H356" s="13"/>
    </row>
    <row r="357" spans="8:8" s="8" customFormat="1" ht="15" customHeight="1" x14ac:dyDescent="0.25">
      <c r="H357" s="13"/>
    </row>
    <row r="358" spans="8:8" s="8" customFormat="1" ht="15" customHeight="1" x14ac:dyDescent="0.25">
      <c r="H358" s="13"/>
    </row>
    <row r="359" spans="8:8" s="8" customFormat="1" ht="15" customHeight="1" x14ac:dyDescent="0.25">
      <c r="H359" s="13"/>
    </row>
    <row r="360" spans="8:8" s="8" customFormat="1" ht="15" customHeight="1" x14ac:dyDescent="0.25">
      <c r="H360" s="13"/>
    </row>
    <row r="361" spans="8:8" s="8" customFormat="1" ht="15" customHeight="1" x14ac:dyDescent="0.25">
      <c r="H361" s="13"/>
    </row>
    <row r="362" spans="8:8" s="8" customFormat="1" ht="15" customHeight="1" x14ac:dyDescent="0.25">
      <c r="H362" s="13"/>
    </row>
    <row r="363" spans="8:8" s="8" customFormat="1" ht="15" customHeight="1" x14ac:dyDescent="0.25">
      <c r="H363" s="13"/>
    </row>
    <row r="364" spans="8:8" s="8" customFormat="1" ht="15" customHeight="1" x14ac:dyDescent="0.25">
      <c r="H364" s="13"/>
    </row>
    <row r="365" spans="8:8" s="8" customFormat="1" ht="15" customHeight="1" x14ac:dyDescent="0.25">
      <c r="H365" s="13"/>
    </row>
    <row r="366" spans="8:8" s="8" customFormat="1" ht="15" customHeight="1" x14ac:dyDescent="0.25">
      <c r="H366" s="13"/>
    </row>
    <row r="367" spans="8:8" s="8" customFormat="1" ht="15" customHeight="1" x14ac:dyDescent="0.25">
      <c r="H367" s="13"/>
    </row>
    <row r="368" spans="8:8" s="8" customFormat="1" ht="15" customHeight="1" x14ac:dyDescent="0.25">
      <c r="H368" s="13"/>
    </row>
    <row r="369" spans="8:8" s="8" customFormat="1" ht="15" customHeight="1" x14ac:dyDescent="0.25">
      <c r="H369" s="13"/>
    </row>
    <row r="370" spans="8:8" s="8" customFormat="1" ht="15" customHeight="1" x14ac:dyDescent="0.25">
      <c r="H370" s="13"/>
    </row>
    <row r="371" spans="8:8" s="8" customFormat="1" ht="15" customHeight="1" x14ac:dyDescent="0.25">
      <c r="H371" s="13"/>
    </row>
    <row r="372" spans="8:8" s="8" customFormat="1" ht="15" customHeight="1" x14ac:dyDescent="0.25">
      <c r="H372" s="13"/>
    </row>
    <row r="373" spans="8:8" s="8" customFormat="1" ht="15" customHeight="1" x14ac:dyDescent="0.25">
      <c r="H373" s="13"/>
    </row>
    <row r="374" spans="8:8" s="8" customFormat="1" ht="15" customHeight="1" x14ac:dyDescent="0.25">
      <c r="H374" s="13"/>
    </row>
    <row r="375" spans="8:8" s="8" customFormat="1" ht="15" customHeight="1" x14ac:dyDescent="0.25">
      <c r="H375" s="13"/>
    </row>
    <row r="376" spans="8:8" s="8" customFormat="1" ht="15" customHeight="1" x14ac:dyDescent="0.25">
      <c r="H376" s="13"/>
    </row>
    <row r="377" spans="8:8" s="8" customFormat="1" ht="15" customHeight="1" x14ac:dyDescent="0.25">
      <c r="H377" s="13"/>
    </row>
    <row r="378" spans="8:8" s="8" customFormat="1" ht="15" customHeight="1" x14ac:dyDescent="0.25">
      <c r="H378" s="13"/>
    </row>
    <row r="379" spans="8:8" s="8" customFormat="1" ht="15" customHeight="1" x14ac:dyDescent="0.25">
      <c r="H379" s="13"/>
    </row>
    <row r="380" spans="8:8" s="8" customFormat="1" ht="15" customHeight="1" x14ac:dyDescent="0.25">
      <c r="H380" s="13"/>
    </row>
    <row r="381" spans="8:8" s="8" customFormat="1" ht="15" customHeight="1" x14ac:dyDescent="0.25">
      <c r="H381" s="13"/>
    </row>
    <row r="382" spans="8:8" s="8" customFormat="1" ht="15" customHeight="1" x14ac:dyDescent="0.25">
      <c r="H382" s="13"/>
    </row>
    <row r="383" spans="8:8" s="8" customFormat="1" ht="15" customHeight="1" x14ac:dyDescent="0.25">
      <c r="H383" s="13"/>
    </row>
    <row r="384" spans="8:8" s="8" customFormat="1" ht="15" customHeight="1" x14ac:dyDescent="0.25">
      <c r="H384" s="13"/>
    </row>
    <row r="385" spans="8:8" s="8" customFormat="1" ht="15" customHeight="1" x14ac:dyDescent="0.25">
      <c r="H385" s="13"/>
    </row>
    <row r="386" spans="8:8" s="8" customFormat="1" ht="15" customHeight="1" x14ac:dyDescent="0.25">
      <c r="H386" s="13"/>
    </row>
    <row r="387" spans="8:8" s="8" customFormat="1" ht="15" customHeight="1" x14ac:dyDescent="0.25">
      <c r="H387" s="13"/>
    </row>
    <row r="388" spans="8:8" s="8" customFormat="1" ht="15" customHeight="1" x14ac:dyDescent="0.25">
      <c r="H388" s="13"/>
    </row>
    <row r="389" spans="8:8" s="8" customFormat="1" ht="15" customHeight="1" x14ac:dyDescent="0.25">
      <c r="H389" s="13"/>
    </row>
    <row r="390" spans="8:8" s="8" customFormat="1" ht="15" customHeight="1" x14ac:dyDescent="0.25">
      <c r="H390" s="13"/>
    </row>
    <row r="391" spans="8:8" s="8" customFormat="1" ht="15" customHeight="1" x14ac:dyDescent="0.25">
      <c r="H391" s="13"/>
    </row>
    <row r="392" spans="8:8" s="8" customFormat="1" ht="15" customHeight="1" x14ac:dyDescent="0.25">
      <c r="H392" s="13"/>
    </row>
    <row r="393" spans="8:8" s="8" customFormat="1" ht="15" customHeight="1" x14ac:dyDescent="0.25">
      <c r="H393" s="13"/>
    </row>
    <row r="394" spans="8:8" s="8" customFormat="1" ht="15" customHeight="1" x14ac:dyDescent="0.25">
      <c r="H394" s="13"/>
    </row>
    <row r="395" spans="8:8" s="8" customFormat="1" ht="15" customHeight="1" x14ac:dyDescent="0.25">
      <c r="H395" s="13"/>
    </row>
    <row r="396" spans="8:8" s="8" customFormat="1" ht="15" customHeight="1" x14ac:dyDescent="0.25">
      <c r="H396" s="13"/>
    </row>
    <row r="397" spans="8:8" s="8" customFormat="1" ht="15" customHeight="1" x14ac:dyDescent="0.25">
      <c r="H397" s="13"/>
    </row>
    <row r="398" spans="8:8" s="8" customFormat="1" ht="15" customHeight="1" x14ac:dyDescent="0.25">
      <c r="H398" s="13"/>
    </row>
    <row r="399" spans="8:8" s="8" customFormat="1" ht="15" customHeight="1" x14ac:dyDescent="0.25">
      <c r="H399" s="13"/>
    </row>
    <row r="400" spans="8:8" s="8" customFormat="1" ht="15" customHeight="1" x14ac:dyDescent="0.25">
      <c r="H400" s="13"/>
    </row>
    <row r="401" spans="8:8" s="8" customFormat="1" ht="15" customHeight="1" x14ac:dyDescent="0.25">
      <c r="H401" s="13"/>
    </row>
    <row r="402" spans="8:8" s="8" customFormat="1" ht="15" customHeight="1" x14ac:dyDescent="0.25">
      <c r="H402" s="13"/>
    </row>
    <row r="403" spans="8:8" s="8" customFormat="1" ht="15" customHeight="1" x14ac:dyDescent="0.25">
      <c r="H403" s="13"/>
    </row>
    <row r="404" spans="8:8" s="8" customFormat="1" ht="15" customHeight="1" x14ac:dyDescent="0.25">
      <c r="H404" s="13"/>
    </row>
    <row r="405" spans="8:8" s="8" customFormat="1" ht="15" customHeight="1" x14ac:dyDescent="0.25">
      <c r="H405" s="13"/>
    </row>
    <row r="406" spans="8:8" s="8" customFormat="1" ht="15" customHeight="1" x14ac:dyDescent="0.25">
      <c r="H406" s="13"/>
    </row>
    <row r="407" spans="8:8" s="8" customFormat="1" ht="15" customHeight="1" x14ac:dyDescent="0.25">
      <c r="H407" s="13"/>
    </row>
    <row r="408" spans="8:8" s="8" customFormat="1" ht="15" customHeight="1" x14ac:dyDescent="0.25">
      <c r="H408" s="13"/>
    </row>
    <row r="409" spans="8:8" s="8" customFormat="1" ht="15" customHeight="1" x14ac:dyDescent="0.25">
      <c r="H409" s="13"/>
    </row>
    <row r="410" spans="8:8" s="8" customFormat="1" ht="15" customHeight="1" x14ac:dyDescent="0.25">
      <c r="H410" s="13"/>
    </row>
    <row r="411" spans="8:8" s="8" customFormat="1" ht="15" customHeight="1" x14ac:dyDescent="0.25">
      <c r="H411" s="13"/>
    </row>
    <row r="412" spans="8:8" s="8" customFormat="1" ht="15" customHeight="1" x14ac:dyDescent="0.25">
      <c r="H412" s="13"/>
    </row>
    <row r="413" spans="8:8" s="8" customFormat="1" ht="15" customHeight="1" x14ac:dyDescent="0.25">
      <c r="H413" s="13"/>
    </row>
    <row r="414" spans="8:8" s="8" customFormat="1" ht="15" customHeight="1" x14ac:dyDescent="0.25">
      <c r="H414" s="13"/>
    </row>
    <row r="415" spans="8:8" s="8" customFormat="1" ht="15" customHeight="1" x14ac:dyDescent="0.25">
      <c r="H415" s="13"/>
    </row>
    <row r="416" spans="8:8" s="8" customFormat="1" ht="15" customHeight="1" x14ac:dyDescent="0.25">
      <c r="H416" s="13"/>
    </row>
    <row r="417" spans="8:8" s="8" customFormat="1" ht="15" customHeight="1" x14ac:dyDescent="0.25">
      <c r="H417" s="13"/>
    </row>
    <row r="418" spans="8:8" s="8" customFormat="1" ht="15" customHeight="1" x14ac:dyDescent="0.25">
      <c r="H418" s="13"/>
    </row>
    <row r="419" spans="8:8" s="8" customFormat="1" ht="15" customHeight="1" x14ac:dyDescent="0.25">
      <c r="H419" s="13"/>
    </row>
    <row r="420" spans="8:8" s="8" customFormat="1" ht="15" customHeight="1" x14ac:dyDescent="0.25">
      <c r="H420" s="13"/>
    </row>
    <row r="421" spans="8:8" s="8" customFormat="1" ht="15" customHeight="1" x14ac:dyDescent="0.25">
      <c r="H421" s="13"/>
    </row>
    <row r="422" spans="8:8" s="8" customFormat="1" ht="15" customHeight="1" x14ac:dyDescent="0.25">
      <c r="H422" s="13"/>
    </row>
    <row r="423" spans="8:8" s="8" customFormat="1" ht="15" customHeight="1" x14ac:dyDescent="0.25">
      <c r="H423" s="13"/>
    </row>
    <row r="424" spans="8:8" s="8" customFormat="1" ht="15" customHeight="1" x14ac:dyDescent="0.25">
      <c r="H424" s="13"/>
    </row>
    <row r="425" spans="8:8" s="8" customFormat="1" ht="15" customHeight="1" x14ac:dyDescent="0.25">
      <c r="H425" s="13"/>
    </row>
    <row r="426" spans="8:8" s="8" customFormat="1" ht="15" customHeight="1" x14ac:dyDescent="0.25">
      <c r="H426" s="13"/>
    </row>
    <row r="427" spans="8:8" s="8" customFormat="1" ht="15" customHeight="1" x14ac:dyDescent="0.25">
      <c r="H427" s="13"/>
    </row>
    <row r="428" spans="8:8" s="8" customFormat="1" ht="15" customHeight="1" x14ac:dyDescent="0.25">
      <c r="H428" s="13"/>
    </row>
    <row r="429" spans="8:8" s="8" customFormat="1" ht="15" customHeight="1" x14ac:dyDescent="0.25">
      <c r="H429" s="13"/>
    </row>
    <row r="430" spans="8:8" s="8" customFormat="1" ht="15" customHeight="1" x14ac:dyDescent="0.25">
      <c r="H430" s="13"/>
    </row>
    <row r="431" spans="8:8" s="8" customFormat="1" ht="15" customHeight="1" x14ac:dyDescent="0.25">
      <c r="H431" s="13"/>
    </row>
    <row r="432" spans="8:8" s="8" customFormat="1" ht="15" customHeight="1" x14ac:dyDescent="0.25">
      <c r="H432" s="13"/>
    </row>
    <row r="433" spans="8:8" s="8" customFormat="1" ht="15" customHeight="1" x14ac:dyDescent="0.25">
      <c r="H433" s="13"/>
    </row>
    <row r="434" spans="8:8" s="8" customFormat="1" ht="15" customHeight="1" x14ac:dyDescent="0.25">
      <c r="H434" s="13"/>
    </row>
    <row r="435" spans="8:8" s="8" customFormat="1" ht="15" customHeight="1" x14ac:dyDescent="0.25">
      <c r="H435" s="13"/>
    </row>
    <row r="436" spans="8:8" s="8" customFormat="1" ht="15" customHeight="1" x14ac:dyDescent="0.25">
      <c r="H436" s="13"/>
    </row>
    <row r="437" spans="8:8" s="8" customFormat="1" ht="15" customHeight="1" x14ac:dyDescent="0.25">
      <c r="H437" s="13"/>
    </row>
    <row r="438" spans="8:8" s="8" customFormat="1" ht="15" customHeight="1" x14ac:dyDescent="0.25">
      <c r="H438" s="13"/>
    </row>
    <row r="439" spans="8:8" s="8" customFormat="1" ht="15" customHeight="1" x14ac:dyDescent="0.25">
      <c r="H439" s="13"/>
    </row>
    <row r="440" spans="8:8" s="8" customFormat="1" ht="15" customHeight="1" x14ac:dyDescent="0.25">
      <c r="H440" s="13"/>
    </row>
    <row r="441" spans="8:8" s="8" customFormat="1" ht="15" customHeight="1" x14ac:dyDescent="0.25">
      <c r="H441" s="13"/>
    </row>
    <row r="442" spans="8:8" s="8" customFormat="1" ht="15" customHeight="1" x14ac:dyDescent="0.25">
      <c r="H442" s="13"/>
    </row>
    <row r="443" spans="8:8" s="8" customFormat="1" ht="15" customHeight="1" x14ac:dyDescent="0.25">
      <c r="H443" s="13"/>
    </row>
    <row r="444" spans="8:8" s="8" customFormat="1" ht="15" customHeight="1" x14ac:dyDescent="0.25">
      <c r="H444" s="13"/>
    </row>
    <row r="445" spans="8:8" s="8" customFormat="1" ht="15" customHeight="1" x14ac:dyDescent="0.25">
      <c r="H445" s="13"/>
    </row>
    <row r="446" spans="8:8" s="8" customFormat="1" ht="15" customHeight="1" x14ac:dyDescent="0.25">
      <c r="H446" s="13"/>
    </row>
    <row r="447" spans="8:8" s="8" customFormat="1" ht="15" customHeight="1" x14ac:dyDescent="0.25">
      <c r="H447" s="13"/>
    </row>
    <row r="448" spans="8:8" s="8" customFormat="1" ht="15" customHeight="1" x14ac:dyDescent="0.25">
      <c r="H448" s="13"/>
    </row>
    <row r="449" spans="8:8" s="8" customFormat="1" ht="15" customHeight="1" x14ac:dyDescent="0.25">
      <c r="H449" s="13"/>
    </row>
    <row r="450" spans="8:8" s="8" customFormat="1" ht="15" customHeight="1" x14ac:dyDescent="0.25">
      <c r="H450" s="13"/>
    </row>
    <row r="451" spans="8:8" s="8" customFormat="1" ht="15" customHeight="1" x14ac:dyDescent="0.25">
      <c r="H451" s="13"/>
    </row>
    <row r="452" spans="8:8" s="8" customFormat="1" ht="15" customHeight="1" x14ac:dyDescent="0.25">
      <c r="H452" s="13"/>
    </row>
    <row r="453" spans="8:8" s="8" customFormat="1" ht="15" customHeight="1" x14ac:dyDescent="0.25">
      <c r="H453" s="13"/>
    </row>
    <row r="454" spans="8:8" s="8" customFormat="1" ht="15" customHeight="1" x14ac:dyDescent="0.25">
      <c r="H454" s="13"/>
    </row>
    <row r="455" spans="8:8" s="8" customFormat="1" ht="15" customHeight="1" x14ac:dyDescent="0.25">
      <c r="H455" s="13"/>
    </row>
    <row r="456" spans="8:8" s="8" customFormat="1" ht="15" customHeight="1" x14ac:dyDescent="0.25">
      <c r="H456" s="13"/>
    </row>
    <row r="457" spans="8:8" s="8" customFormat="1" ht="15" customHeight="1" x14ac:dyDescent="0.25">
      <c r="H457" s="13"/>
    </row>
    <row r="458" spans="8:8" s="8" customFormat="1" ht="15" customHeight="1" x14ac:dyDescent="0.25">
      <c r="H458" s="13"/>
    </row>
    <row r="459" spans="8:8" s="8" customFormat="1" ht="15" customHeight="1" x14ac:dyDescent="0.25">
      <c r="H459" s="13"/>
    </row>
    <row r="460" spans="8:8" s="8" customFormat="1" ht="15" customHeight="1" x14ac:dyDescent="0.25">
      <c r="H460" s="13"/>
    </row>
    <row r="461" spans="8:8" s="8" customFormat="1" ht="15" customHeight="1" x14ac:dyDescent="0.25">
      <c r="H461" s="13"/>
    </row>
    <row r="462" spans="8:8" s="8" customFormat="1" ht="15" customHeight="1" x14ac:dyDescent="0.25">
      <c r="H462" s="13"/>
    </row>
    <row r="463" spans="8:8" s="8" customFormat="1" ht="15" customHeight="1" x14ac:dyDescent="0.25">
      <c r="H463" s="13"/>
    </row>
    <row r="464" spans="8:8" s="8" customFormat="1" ht="15" customHeight="1" x14ac:dyDescent="0.25">
      <c r="H464" s="13"/>
    </row>
    <row r="465" spans="8:8" s="8" customFormat="1" ht="15" customHeight="1" x14ac:dyDescent="0.25">
      <c r="H465" s="13"/>
    </row>
    <row r="466" spans="8:8" s="8" customFormat="1" ht="15" customHeight="1" x14ac:dyDescent="0.25">
      <c r="H466" s="13"/>
    </row>
    <row r="467" spans="8:8" s="8" customFormat="1" ht="15" customHeight="1" x14ac:dyDescent="0.25">
      <c r="H467" s="13"/>
    </row>
    <row r="468" spans="8:8" s="8" customFormat="1" ht="15" customHeight="1" x14ac:dyDescent="0.25">
      <c r="H468" s="13"/>
    </row>
    <row r="469" spans="8:8" s="8" customFormat="1" ht="15" customHeight="1" x14ac:dyDescent="0.25">
      <c r="H469" s="13"/>
    </row>
    <row r="470" spans="8:8" s="8" customFormat="1" ht="15" customHeight="1" x14ac:dyDescent="0.25">
      <c r="H470" s="13"/>
    </row>
    <row r="471" spans="8:8" s="8" customFormat="1" ht="15" customHeight="1" x14ac:dyDescent="0.25">
      <c r="H471" s="13"/>
    </row>
    <row r="472" spans="8:8" s="8" customFormat="1" ht="15" customHeight="1" x14ac:dyDescent="0.25">
      <c r="H472" s="13"/>
    </row>
    <row r="473" spans="8:8" s="8" customFormat="1" ht="15" customHeight="1" x14ac:dyDescent="0.25">
      <c r="H473" s="13"/>
    </row>
    <row r="474" spans="8:8" s="8" customFormat="1" ht="15" customHeight="1" x14ac:dyDescent="0.25">
      <c r="H474" s="13"/>
    </row>
    <row r="475" spans="8:8" s="8" customFormat="1" ht="15" customHeight="1" x14ac:dyDescent="0.25">
      <c r="H475" s="13"/>
    </row>
    <row r="476" spans="8:8" s="8" customFormat="1" ht="15" customHeight="1" x14ac:dyDescent="0.25">
      <c r="H476" s="13"/>
    </row>
    <row r="477" spans="8:8" s="8" customFormat="1" ht="15" customHeight="1" x14ac:dyDescent="0.25">
      <c r="H477" s="13"/>
    </row>
    <row r="478" spans="8:8" s="8" customFormat="1" ht="15" customHeight="1" x14ac:dyDescent="0.25">
      <c r="H478" s="13"/>
    </row>
    <row r="479" spans="8:8" s="8" customFormat="1" ht="15" customHeight="1" x14ac:dyDescent="0.25">
      <c r="H479" s="13"/>
    </row>
    <row r="480" spans="8:8" s="8" customFormat="1" ht="15" customHeight="1" x14ac:dyDescent="0.25">
      <c r="H480" s="13"/>
    </row>
    <row r="481" spans="8:8" s="8" customFormat="1" ht="15" customHeight="1" x14ac:dyDescent="0.25">
      <c r="H481" s="13"/>
    </row>
    <row r="482" spans="8:8" s="8" customFormat="1" ht="15" customHeight="1" x14ac:dyDescent="0.25">
      <c r="H482" s="13"/>
    </row>
    <row r="483" spans="8:8" s="8" customFormat="1" ht="15" customHeight="1" x14ac:dyDescent="0.25">
      <c r="H483" s="13"/>
    </row>
    <row r="484" spans="8:8" s="8" customFormat="1" ht="15" customHeight="1" x14ac:dyDescent="0.25">
      <c r="H484" s="13"/>
    </row>
    <row r="485" spans="8:8" s="8" customFormat="1" ht="15" customHeight="1" x14ac:dyDescent="0.25">
      <c r="H485" s="13"/>
    </row>
    <row r="486" spans="8:8" s="8" customFormat="1" ht="15" customHeight="1" x14ac:dyDescent="0.25">
      <c r="H486" s="13"/>
    </row>
    <row r="487" spans="8:8" s="8" customFormat="1" ht="15" customHeight="1" x14ac:dyDescent="0.25">
      <c r="H487" s="13"/>
    </row>
    <row r="488" spans="8:8" s="8" customFormat="1" ht="15" customHeight="1" x14ac:dyDescent="0.25">
      <c r="H488" s="13"/>
    </row>
    <row r="489" spans="8:8" s="8" customFormat="1" ht="15" customHeight="1" x14ac:dyDescent="0.25">
      <c r="H489" s="13"/>
    </row>
    <row r="490" spans="8:8" s="8" customFormat="1" ht="15" customHeight="1" x14ac:dyDescent="0.25">
      <c r="H490" s="13"/>
    </row>
    <row r="491" spans="8:8" s="8" customFormat="1" ht="15" customHeight="1" x14ac:dyDescent="0.25">
      <c r="H491" s="13"/>
    </row>
    <row r="492" spans="8:8" s="8" customFormat="1" ht="15" customHeight="1" x14ac:dyDescent="0.25">
      <c r="H492" s="13"/>
    </row>
    <row r="493" spans="8:8" s="8" customFormat="1" ht="15" customHeight="1" x14ac:dyDescent="0.25">
      <c r="H493" s="13"/>
    </row>
    <row r="494" spans="8:8" s="8" customFormat="1" ht="15" customHeight="1" x14ac:dyDescent="0.25">
      <c r="H494" s="13"/>
    </row>
    <row r="495" spans="8:8" s="8" customFormat="1" ht="15" customHeight="1" x14ac:dyDescent="0.25">
      <c r="H495" s="13"/>
    </row>
    <row r="496" spans="8:8" s="8" customFormat="1" ht="15" customHeight="1" x14ac:dyDescent="0.25">
      <c r="H496" s="13"/>
    </row>
    <row r="497" spans="8:8" s="8" customFormat="1" ht="15" customHeight="1" x14ac:dyDescent="0.25">
      <c r="H497" s="13"/>
    </row>
    <row r="498" spans="8:8" s="8" customFormat="1" ht="15" customHeight="1" x14ac:dyDescent="0.25">
      <c r="H498" s="13"/>
    </row>
    <row r="499" spans="8:8" s="8" customFormat="1" ht="15" customHeight="1" x14ac:dyDescent="0.25">
      <c r="H499" s="13"/>
    </row>
    <row r="500" spans="8:8" s="8" customFormat="1" ht="15" customHeight="1" x14ac:dyDescent="0.25">
      <c r="H500" s="13"/>
    </row>
    <row r="501" spans="8:8" s="8" customFormat="1" ht="15" customHeight="1" x14ac:dyDescent="0.25">
      <c r="H501" s="13"/>
    </row>
    <row r="502" spans="8:8" s="8" customFormat="1" ht="15" customHeight="1" x14ac:dyDescent="0.25">
      <c r="H502" s="13"/>
    </row>
    <row r="503" spans="8:8" s="8" customFormat="1" ht="15" customHeight="1" x14ac:dyDescent="0.25">
      <c r="H503" s="13"/>
    </row>
    <row r="504" spans="8:8" s="8" customFormat="1" ht="15" customHeight="1" x14ac:dyDescent="0.25">
      <c r="H504" s="13"/>
    </row>
    <row r="505" spans="8:8" s="8" customFormat="1" ht="15" customHeight="1" x14ac:dyDescent="0.25">
      <c r="H505" s="13"/>
    </row>
    <row r="506" spans="8:8" s="8" customFormat="1" ht="15" customHeight="1" x14ac:dyDescent="0.25">
      <c r="H506" s="13"/>
    </row>
    <row r="507" spans="8:8" s="8" customFormat="1" ht="15" customHeight="1" x14ac:dyDescent="0.25">
      <c r="H507" s="13"/>
    </row>
    <row r="508" spans="8:8" s="8" customFormat="1" ht="15" customHeight="1" x14ac:dyDescent="0.25">
      <c r="H508" s="13"/>
    </row>
    <row r="509" spans="8:8" s="8" customFormat="1" ht="15" customHeight="1" x14ac:dyDescent="0.25">
      <c r="H509" s="13"/>
    </row>
  </sheetData>
  <mergeCells count="20">
    <mergeCell ref="A5:B5"/>
    <mergeCell ref="I7:N7"/>
    <mergeCell ref="E8:H8"/>
    <mergeCell ref="A8:D8"/>
    <mergeCell ref="AG7:AR7"/>
    <mergeCell ref="AG8:AR8"/>
    <mergeCell ref="I8:N8"/>
    <mergeCell ref="O8:Q8"/>
    <mergeCell ref="R8:Z8"/>
    <mergeCell ref="AA8:AF8"/>
    <mergeCell ref="BE7:BH7"/>
    <mergeCell ref="A7:H7"/>
    <mergeCell ref="O7:AF7"/>
    <mergeCell ref="BI8:BL8"/>
    <mergeCell ref="BM8:BR8"/>
    <mergeCell ref="BE8:BH8"/>
    <mergeCell ref="AS8:BB8"/>
    <mergeCell ref="AS7:BD7"/>
    <mergeCell ref="BC8:BD8"/>
    <mergeCell ref="BI7:BR7"/>
  </mergeCells>
  <dataValidations count="2">
    <dataValidation type="list" allowBlank="1" showInputMessage="1" showErrorMessage="1" sqref="L10:L16">
      <formula1>"10%, 20%, 40%"</formula1>
    </dataValidation>
    <dataValidation type="list" allowBlank="1" showInputMessage="1" showErrorMessage="1" sqref="J10:J16">
      <formula1>"30%"</formula1>
    </dataValidation>
  </dataValidations>
  <pageMargins left="0.59055118110236227" right="0.59055118110236227" top="0.19685039370078741" bottom="0.19685039370078741" header="0" footer="0"/>
  <pageSetup paperSize="9" scale="82" fitToHeight="0" orientation="portrait" r:id="rId1"/>
  <ignoredErrors>
    <ignoredError sqref="BM16:BQ16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S535"/>
  <sheetViews>
    <sheetView showGridLines="0" zoomScaleNormal="100" workbookViewId="0">
      <pane xSplit="8" ySplit="8" topLeftCell="I9" activePane="bottomRight" state="frozen"/>
      <selection activeCell="M58" sqref="M58"/>
      <selection pane="topRight" activeCell="M58" sqref="M58"/>
      <selection pane="bottomLeft" activeCell="M58" sqref="M58"/>
      <selection pane="bottomRight" activeCell="M58" sqref="M58"/>
    </sheetView>
  </sheetViews>
  <sheetFormatPr defaultColWidth="9.140625" defaultRowHeight="15" x14ac:dyDescent="0.25"/>
  <cols>
    <col min="1" max="1" width="5.42578125" style="2" customWidth="1"/>
    <col min="2" max="3" width="20.7109375" style="2" customWidth="1"/>
    <col min="4" max="7" width="12.140625" style="2" customWidth="1"/>
    <col min="8" max="8" width="12.140625" style="12" customWidth="1"/>
    <col min="9" max="16" width="15.5703125" style="2" customWidth="1"/>
    <col min="17" max="17" width="23.28515625" style="2" customWidth="1"/>
    <col min="18" max="36" width="15.5703125" style="2" customWidth="1"/>
    <col min="37" max="38" width="21.140625" style="2" customWidth="1"/>
    <col min="39" max="40" width="15.5703125" style="2" customWidth="1"/>
    <col min="41" max="42" width="22.42578125" style="2" customWidth="1"/>
    <col min="43" max="44" width="20.5703125" style="2" customWidth="1"/>
    <col min="45" max="46" width="15.5703125" style="2" customWidth="1"/>
    <col min="47" max="48" width="18.28515625" style="2" customWidth="1"/>
    <col min="49" max="50" width="20.5703125" style="2" customWidth="1"/>
    <col min="51" max="52" width="21.140625" style="2" customWidth="1"/>
    <col min="53" max="54" width="18.28515625" style="2" customWidth="1"/>
    <col min="55" max="56" width="21.140625" style="2" customWidth="1"/>
    <col min="57" max="70" width="15.5703125" style="2" customWidth="1"/>
    <col min="71" max="71" width="16.5703125" style="2" customWidth="1"/>
    <col min="72" max="16384" width="9.140625" style="2"/>
  </cols>
  <sheetData>
    <row r="1" spans="1:71" s="1" customFormat="1" ht="18.75" x14ac:dyDescent="0.25">
      <c r="A1" s="130" t="s">
        <v>16</v>
      </c>
      <c r="B1" s="3"/>
      <c r="C1" s="3"/>
      <c r="D1" s="3"/>
      <c r="E1" s="3"/>
      <c r="H1" s="11"/>
    </row>
    <row r="2" spans="1:71" s="1" customFormat="1" ht="16.5" customHeight="1" x14ac:dyDescent="0.25">
      <c r="A2" s="4" t="s">
        <v>17</v>
      </c>
      <c r="B2" s="4"/>
      <c r="C2" s="4"/>
      <c r="D2" s="4"/>
      <c r="E2" s="4"/>
      <c r="H2" s="11"/>
    </row>
    <row r="3" spans="1:71" s="1" customFormat="1" ht="6.75" customHeight="1" x14ac:dyDescent="0.25">
      <c r="B3" s="6"/>
      <c r="C3" s="6"/>
      <c r="D3" s="6"/>
      <c r="E3" s="6"/>
      <c r="H3" s="11"/>
    </row>
    <row r="4" spans="1:71" s="1" customFormat="1" ht="16.5" customHeight="1" x14ac:dyDescent="0.25">
      <c r="A4" s="202" t="s">
        <v>18</v>
      </c>
      <c r="B4" s="202"/>
      <c r="C4" s="202"/>
      <c r="D4" s="5"/>
      <c r="E4" s="5"/>
      <c r="H4" s="11"/>
    </row>
    <row r="5" spans="1:71" ht="16.5" customHeight="1" x14ac:dyDescent="0.25">
      <c r="A5" s="247">
        <v>1045</v>
      </c>
      <c r="B5" s="247"/>
      <c r="C5" s="202"/>
      <c r="D5" s="5"/>
      <c r="E5" s="5"/>
    </row>
    <row r="6" spans="1:71" ht="9" customHeight="1" x14ac:dyDescent="0.25">
      <c r="A6" s="7"/>
      <c r="B6" s="7"/>
      <c r="C6" s="7"/>
      <c r="D6" s="7"/>
      <c r="E6" s="7"/>
    </row>
    <row r="7" spans="1:71" s="10" customFormat="1" ht="18.75" customHeight="1" x14ac:dyDescent="0.25">
      <c r="A7" s="239" t="s">
        <v>19</v>
      </c>
      <c r="B7" s="238"/>
      <c r="C7" s="238"/>
      <c r="D7" s="238"/>
      <c r="E7" s="238"/>
      <c r="F7" s="238"/>
      <c r="G7" s="238"/>
      <c r="H7" s="238"/>
      <c r="I7" s="246" t="s">
        <v>20</v>
      </c>
      <c r="J7" s="238"/>
      <c r="K7" s="238"/>
      <c r="L7" s="238"/>
      <c r="M7" s="238"/>
      <c r="N7" s="240"/>
      <c r="O7" s="238" t="s">
        <v>21</v>
      </c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40"/>
      <c r="AG7" s="246" t="s">
        <v>22</v>
      </c>
      <c r="AH7" s="238"/>
      <c r="AI7" s="238"/>
      <c r="AJ7" s="238"/>
      <c r="AK7" s="238"/>
      <c r="AL7" s="238"/>
      <c r="AM7" s="238"/>
      <c r="AN7" s="238"/>
      <c r="AO7" s="238"/>
      <c r="AP7" s="238"/>
      <c r="AQ7" s="238"/>
      <c r="AR7" s="240"/>
      <c r="AS7" s="246" t="s">
        <v>23</v>
      </c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40"/>
      <c r="BE7" s="238" t="s">
        <v>24</v>
      </c>
      <c r="BF7" s="238"/>
      <c r="BG7" s="238"/>
      <c r="BH7" s="238"/>
      <c r="BI7" s="246" t="s">
        <v>25</v>
      </c>
      <c r="BJ7" s="238"/>
      <c r="BK7" s="238"/>
      <c r="BL7" s="238"/>
      <c r="BM7" s="238"/>
      <c r="BN7" s="238"/>
      <c r="BO7" s="238"/>
      <c r="BP7" s="238"/>
      <c r="BQ7" s="238"/>
      <c r="BR7" s="238"/>
      <c r="BS7" s="38"/>
    </row>
    <row r="8" spans="1:71" s="9" customFormat="1" ht="30.75" customHeight="1" x14ac:dyDescent="0.25">
      <c r="A8" s="248" t="s">
        <v>19</v>
      </c>
      <c r="B8" s="244"/>
      <c r="C8" s="244"/>
      <c r="D8" s="244"/>
      <c r="E8" s="243" t="s">
        <v>26</v>
      </c>
      <c r="F8" s="244"/>
      <c r="G8" s="244"/>
      <c r="H8" s="244"/>
      <c r="I8" s="243" t="s">
        <v>27</v>
      </c>
      <c r="J8" s="244"/>
      <c r="K8" s="244"/>
      <c r="L8" s="244"/>
      <c r="M8" s="244"/>
      <c r="N8" s="245"/>
      <c r="O8" s="244" t="s">
        <v>28</v>
      </c>
      <c r="P8" s="244"/>
      <c r="Q8" s="244"/>
      <c r="R8" s="243" t="s">
        <v>29</v>
      </c>
      <c r="S8" s="244"/>
      <c r="T8" s="244"/>
      <c r="U8" s="244"/>
      <c r="V8" s="244"/>
      <c r="W8" s="244"/>
      <c r="X8" s="244"/>
      <c r="Y8" s="244"/>
      <c r="Z8" s="245"/>
      <c r="AA8" s="243" t="s">
        <v>30</v>
      </c>
      <c r="AB8" s="244"/>
      <c r="AC8" s="244"/>
      <c r="AD8" s="244"/>
      <c r="AE8" s="244"/>
      <c r="AF8" s="245"/>
      <c r="AG8" s="244" t="s">
        <v>31</v>
      </c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5"/>
      <c r="AS8" s="243" t="s">
        <v>32</v>
      </c>
      <c r="AT8" s="244"/>
      <c r="AU8" s="244"/>
      <c r="AV8" s="244"/>
      <c r="AW8" s="244"/>
      <c r="AX8" s="244"/>
      <c r="AY8" s="244"/>
      <c r="AZ8" s="244"/>
      <c r="BA8" s="244"/>
      <c r="BB8" s="245"/>
      <c r="BC8" s="244" t="s">
        <v>33</v>
      </c>
      <c r="BD8" s="244"/>
      <c r="BE8" s="243" t="s">
        <v>34</v>
      </c>
      <c r="BF8" s="244"/>
      <c r="BG8" s="244"/>
      <c r="BH8" s="244"/>
      <c r="BI8" s="241" t="s">
        <v>35</v>
      </c>
      <c r="BJ8" s="242"/>
      <c r="BK8" s="242"/>
      <c r="BL8" s="242"/>
      <c r="BM8" s="241" t="s">
        <v>36</v>
      </c>
      <c r="BN8" s="242"/>
      <c r="BO8" s="242"/>
      <c r="BP8" s="242"/>
      <c r="BQ8" s="242"/>
      <c r="BR8" s="242"/>
      <c r="BS8" s="42" t="s">
        <v>37</v>
      </c>
    </row>
    <row r="9" spans="1:71" s="22" customFormat="1" ht="45" customHeight="1" x14ac:dyDescent="0.25">
      <c r="A9" s="15" t="s">
        <v>38</v>
      </c>
      <c r="B9" s="15" t="s">
        <v>39</v>
      </c>
      <c r="C9" s="15" t="s">
        <v>40</v>
      </c>
      <c r="D9" s="18" t="s">
        <v>41</v>
      </c>
      <c r="E9" s="20" t="s">
        <v>42</v>
      </c>
      <c r="F9" s="15" t="s">
        <v>43</v>
      </c>
      <c r="G9" s="15" t="s">
        <v>44</v>
      </c>
      <c r="H9" s="18" t="s">
        <v>45</v>
      </c>
      <c r="I9" s="20" t="s">
        <v>43</v>
      </c>
      <c r="J9" s="16" t="s">
        <v>46</v>
      </c>
      <c r="K9" s="15" t="s">
        <v>47</v>
      </c>
      <c r="L9" s="16" t="s">
        <v>48</v>
      </c>
      <c r="M9" s="15" t="s">
        <v>49</v>
      </c>
      <c r="N9" s="17" t="s">
        <v>68</v>
      </c>
      <c r="O9" s="16" t="s">
        <v>51</v>
      </c>
      <c r="P9" s="17" t="s">
        <v>52</v>
      </c>
      <c r="Q9" s="18" t="s">
        <v>53</v>
      </c>
      <c r="R9" s="20" t="s">
        <v>54</v>
      </c>
      <c r="S9" s="15" t="s">
        <v>55</v>
      </c>
      <c r="T9" s="15" t="s">
        <v>56</v>
      </c>
      <c r="U9" s="18" t="s">
        <v>57</v>
      </c>
      <c r="V9" s="15" t="s">
        <v>58</v>
      </c>
      <c r="W9" s="15" t="s">
        <v>59</v>
      </c>
      <c r="X9" s="15" t="s">
        <v>60</v>
      </c>
      <c r="Y9" s="15" t="s">
        <v>61</v>
      </c>
      <c r="Z9" s="17" t="s">
        <v>62</v>
      </c>
      <c r="AA9" s="15" t="s">
        <v>63</v>
      </c>
      <c r="AB9" s="15" t="s">
        <v>64</v>
      </c>
      <c r="AC9" s="15" t="s">
        <v>65</v>
      </c>
      <c r="AD9" s="15" t="s">
        <v>66</v>
      </c>
      <c r="AE9" s="15" t="s">
        <v>67</v>
      </c>
      <c r="AF9" s="17" t="s">
        <v>68</v>
      </c>
      <c r="AG9" s="21" t="s">
        <v>69</v>
      </c>
      <c r="AH9" s="15" t="s">
        <v>70</v>
      </c>
      <c r="AI9" s="16" t="s">
        <v>71</v>
      </c>
      <c r="AJ9" s="15" t="s">
        <v>72</v>
      </c>
      <c r="AK9" s="15" t="s">
        <v>73</v>
      </c>
      <c r="AL9" s="15" t="s">
        <v>74</v>
      </c>
      <c r="AM9" s="15" t="s">
        <v>75</v>
      </c>
      <c r="AN9" s="15" t="s">
        <v>76</v>
      </c>
      <c r="AO9" s="15" t="s">
        <v>77</v>
      </c>
      <c r="AP9" s="15" t="s">
        <v>78</v>
      </c>
      <c r="AQ9" s="18" t="s">
        <v>79</v>
      </c>
      <c r="AR9" s="15" t="s">
        <v>80</v>
      </c>
      <c r="AS9" s="99" t="s">
        <v>81</v>
      </c>
      <c r="AT9" s="15" t="s">
        <v>82</v>
      </c>
      <c r="AU9" s="100" t="s">
        <v>83</v>
      </c>
      <c r="AV9" s="15" t="s">
        <v>84</v>
      </c>
      <c r="AW9" s="100" t="s">
        <v>85</v>
      </c>
      <c r="AX9" s="15" t="s">
        <v>86</v>
      </c>
      <c r="AY9" s="100" t="s">
        <v>87</v>
      </c>
      <c r="AZ9" s="15" t="s">
        <v>88</v>
      </c>
      <c r="BA9" s="100" t="s">
        <v>89</v>
      </c>
      <c r="BB9" s="17" t="s">
        <v>90</v>
      </c>
      <c r="BC9" s="101" t="s">
        <v>91</v>
      </c>
      <c r="BD9" s="18" t="s">
        <v>92</v>
      </c>
      <c r="BE9" s="99" t="s">
        <v>93</v>
      </c>
      <c r="BF9" s="15" t="s">
        <v>94</v>
      </c>
      <c r="BG9" s="100" t="s">
        <v>95</v>
      </c>
      <c r="BH9" s="102" t="s">
        <v>50</v>
      </c>
      <c r="BI9" s="101" t="s">
        <v>97</v>
      </c>
      <c r="BJ9" s="100" t="s">
        <v>98</v>
      </c>
      <c r="BK9" s="103" t="s">
        <v>99</v>
      </c>
      <c r="BL9" s="104" t="s">
        <v>100</v>
      </c>
      <c r="BM9" s="99" t="s">
        <v>101</v>
      </c>
      <c r="BN9" s="100" t="s">
        <v>102</v>
      </c>
      <c r="BO9" s="104" t="s">
        <v>103</v>
      </c>
      <c r="BP9" s="104" t="s">
        <v>104</v>
      </c>
      <c r="BQ9" s="100" t="s">
        <v>105</v>
      </c>
      <c r="BR9" s="104" t="s">
        <v>106</v>
      </c>
      <c r="BS9" s="39" t="s">
        <v>107</v>
      </c>
    </row>
    <row r="10" spans="1:71" s="8" customFormat="1" ht="15" customHeight="1" x14ac:dyDescent="0.25">
      <c r="A10" s="14" t="s">
        <v>108</v>
      </c>
      <c r="B10" s="14" t="str">
        <f>'planilha - proposta'!C22</f>
        <v>Auxiliar de Cozinha</v>
      </c>
      <c r="C10" s="14" t="str">
        <f>'planilha - proposta'!D22</f>
        <v>Auxiliar de Cozinha - 12x36d</v>
      </c>
      <c r="D10" s="19" t="str">
        <f>'planilha - proposta'!B22</f>
        <v>5135-05</v>
      </c>
      <c r="E10" s="30">
        <f>'planilha - proposta'!E22</f>
        <v>10</v>
      </c>
      <c r="F10" s="136">
        <v>1029</v>
      </c>
      <c r="G10" s="105" t="s">
        <v>109</v>
      </c>
      <c r="H10" s="132">
        <v>43599</v>
      </c>
      <c r="I10" s="107">
        <f>F10</f>
        <v>1029</v>
      </c>
      <c r="J10" s="108"/>
      <c r="K10" s="125">
        <f t="shared" ref="K10:K27" si="0">J10*I10</f>
        <v>0</v>
      </c>
      <c r="L10" s="108">
        <v>0.2</v>
      </c>
      <c r="M10" s="35">
        <f t="shared" ref="M10:M27" si="1">L10*$A$5</f>
        <v>209</v>
      </c>
      <c r="N10" s="109">
        <v>0</v>
      </c>
      <c r="O10" s="37">
        <f t="shared" ref="O10:O27" si="2">(I10+K10+M10+N10)*0.0833</f>
        <v>103.1254</v>
      </c>
      <c r="P10" s="35">
        <f>(I10+K10+M10+N10)*0.11108</f>
        <v>137.51704000000001</v>
      </c>
      <c r="Q10" s="31">
        <f t="shared" ref="Q10:Q27" si="3">(0.338+T10)*(O10+P10)</f>
        <v>81.337144720000012</v>
      </c>
      <c r="R10" s="23">
        <f t="shared" ref="R10:R27" si="4">0.2*(I10+K10+M10+N10)</f>
        <v>247.60000000000002</v>
      </c>
      <c r="S10" s="35">
        <f t="shared" ref="S10:S27" si="5">0.025*(I10+K10+M10+N10)</f>
        <v>30.950000000000003</v>
      </c>
      <c r="T10" s="110"/>
      <c r="U10" s="35">
        <f t="shared" ref="U10:U27" si="6">T10*($I10+$K10+$M10+$N10)</f>
        <v>0</v>
      </c>
      <c r="V10" s="35">
        <f t="shared" ref="V10:V27" si="7">0.015*(I10+K10+M10+N10)</f>
        <v>18.57</v>
      </c>
      <c r="W10" s="35">
        <f t="shared" ref="W10:W27" si="8">0.01*(I10+K10+M10+N10)</f>
        <v>12.38</v>
      </c>
      <c r="X10" s="35">
        <f t="shared" ref="X10:X27" si="9">0.006*(I10+K10+M10+N10)</f>
        <v>7.4279999999999999</v>
      </c>
      <c r="Y10" s="35">
        <f t="shared" ref="Y10:Y27" si="10">0.002*(I10+K10+M10+N10)</f>
        <v>2.476</v>
      </c>
      <c r="Z10" s="34">
        <f t="shared" ref="Z10:Z27" si="11">0.08*(I10+K10+M10+N10)</f>
        <v>99.04</v>
      </c>
      <c r="AA10" s="111">
        <f>15*2*4.15-F10*0.06</f>
        <v>62.760000000000019</v>
      </c>
      <c r="AB10" s="112">
        <v>140</v>
      </c>
      <c r="AC10" s="112">
        <v>0</v>
      </c>
      <c r="AD10" s="112">
        <v>0</v>
      </c>
      <c r="AE10" s="112">
        <v>0</v>
      </c>
      <c r="AF10" s="113">
        <v>0</v>
      </c>
      <c r="AG10" s="133">
        <f>'calculo - serv.geral'!AG10</f>
        <v>4.1999999999999997E-3</v>
      </c>
      <c r="AH10" s="29">
        <f t="shared" ref="AH10:AH27" si="12">AG10*($I10+$K10+$M10+$N10)</f>
        <v>5.1995999999999993</v>
      </c>
      <c r="AI10" s="110">
        <f>'calculo - serv.geral'!AI10</f>
        <v>2.9999999999999997E-4</v>
      </c>
      <c r="AJ10" s="29">
        <f t="shared" ref="AJ10:AJ27" si="13">AI10*($I10+$K10+$M10+$N10)</f>
        <v>0.37139999999999995</v>
      </c>
      <c r="AK10" s="110">
        <v>3.2000000000000001E-2</v>
      </c>
      <c r="AL10" s="29">
        <f t="shared" ref="AL10:AL27" si="14">AK10*($I10+$K10+$M10+$N10)</f>
        <v>39.616</v>
      </c>
      <c r="AM10" s="110">
        <v>1.9400000000000001E-2</v>
      </c>
      <c r="AN10" s="29">
        <f t="shared" ref="AN10:AN27" si="15">AM10*($I10+$K10+$M10+$N10)</f>
        <v>24.017199999999999</v>
      </c>
      <c r="AO10" s="134">
        <f>'calculo - serv.geral'!AO10</f>
        <v>7.2000000000000005E-4</v>
      </c>
      <c r="AP10" s="29">
        <f t="shared" ref="AP10:AP27" si="16">AO10*($I10+$K10+$M10+$N10)</f>
        <v>0.89136000000000004</v>
      </c>
      <c r="AQ10" s="110">
        <f>'calculo - serv.geral'!AQ10</f>
        <v>1E-3</v>
      </c>
      <c r="AR10" s="36">
        <f t="shared" ref="AR10:AR27" si="17">AQ10*($I10+$K10+$M10+$N10)</f>
        <v>1.238</v>
      </c>
      <c r="AS10" s="115">
        <f>'calculo - serv.geral'!AS10</f>
        <v>8.0000000000000004E-4</v>
      </c>
      <c r="AT10" s="29">
        <f t="shared" ref="AT10:AT27" si="18">AS10*(I10+K10+M10+N10)</f>
        <v>0.99040000000000006</v>
      </c>
      <c r="AU10" s="110">
        <f>'calculo - serv.geral'!AU10</f>
        <v>2.0000000000000001E-4</v>
      </c>
      <c r="AV10" s="35">
        <f t="shared" ref="AV10:AV27" si="19">AU10*(I10+K10+M10+N10)</f>
        <v>0.24760000000000001</v>
      </c>
      <c r="AW10" s="110">
        <f>'calculo - serv.geral'!AW10</f>
        <v>4.0000000000000002E-4</v>
      </c>
      <c r="AX10" s="35">
        <f t="shared" ref="AX10:AX27" si="20">AW10*(I10+K10+M10+N10)</f>
        <v>0.49520000000000003</v>
      </c>
      <c r="AY10" s="110">
        <f>'calculo - serv.geral'!AY10</f>
        <v>6.9999999999999999E-4</v>
      </c>
      <c r="AZ10" s="35">
        <f t="shared" ref="AZ10:AZ27" si="21">AY10*(I10+K10+M10+N10)</f>
        <v>0.86660000000000004</v>
      </c>
      <c r="BA10" s="110">
        <f>'calculo - serv.geral'!BA10</f>
        <v>9.4100000000000003E-2</v>
      </c>
      <c r="BB10" s="34">
        <f t="shared" ref="BB10:BB27" si="22">BA10*(I10+K10+M10+N10)</f>
        <v>116.4958</v>
      </c>
      <c r="BC10" s="114">
        <f>'calculo - serv.geral'!BC10</f>
        <v>0</v>
      </c>
      <c r="BD10" s="31">
        <f t="shared" ref="BD10:BD27" si="23">BC10*(I10+K10+M10+N10)</f>
        <v>0</v>
      </c>
      <c r="BE10" s="32">
        <f>IF(E10=0,0,'Uniformes '!$K$45)</f>
        <v>55.571666666666665</v>
      </c>
      <c r="BF10" s="33">
        <f>IF(E10=0,0,custoEPI_huol!$M$79)</f>
        <v>0</v>
      </c>
      <c r="BG10" s="29">
        <f>IF(OR(Radios!$B$9=B10,Radios!$B$10=B10,Radios!$B$11=B10,Radios!$B$12=B10,Radios!$B$13=B10,Radios!$B$14=B10,Radios!$B$15=B10,Radios!$B$16=B10),Radios!$I$18,0)</f>
        <v>0</v>
      </c>
      <c r="BH10" s="184">
        <v>0</v>
      </c>
      <c r="BI10" s="117">
        <v>0.06</v>
      </c>
      <c r="BJ10" s="29">
        <f t="shared" ref="BJ10:BJ27" si="24">BI10*(I10+K10+M10+N10+O10+P10+Q10+R10+S10+U10+V10+W10+X10+Y10+Z10+AA10+AB10+AC10+AD10+AE10+AF10+AH10+AJ10+AL10+AN10+AP10+AR10+AT10+AV10+AX10+AZ10+BB10+BD10+BE10+BF10+BG10+BH10)</f>
        <v>145.63106468319998</v>
      </c>
      <c r="BK10" s="114">
        <v>6.7900000000000002E-2</v>
      </c>
      <c r="BL10" s="27">
        <f t="shared" ref="BL10:BL27" si="25">BK10*(I10+K10+M10+N10+O10+P10+Q10+R10+S10+U10+V10+W10+X10+Y10+Z10+AA10+AB10+AC10+AD10+AE10+AF10+AH10+AJ10+AL10+AN10+AP10+AR10+AT10+AV10+AX10+AZ10+BB10+BD10+BE10+BF10+BG10+BH10+BJ10)</f>
        <v>174.69417082514391</v>
      </c>
      <c r="BM10" s="115">
        <f>'calculo - serv.geral'!BM10</f>
        <v>9.2499999999999999E-2</v>
      </c>
      <c r="BN10" s="29">
        <f t="shared" ref="BN10:BN27" si="26">BM10*(I10+K10+M10+N10+O10+P10+Q10+R10+S10+U10+V10+W10+X10+Y10+Z10+AA10+AB10+AC10+AD10+AE10+AF10+AH10+AJ10+AL10+AN10+AP10+AR10+AT10+AV10+AX10+AZ10+BB10+BD10+BE10+BF10+BG10+BH10+BJ10+BL10)/(1-(BM10+BO10+BQ10))</f>
        <v>296.37859164756674</v>
      </c>
      <c r="BO10" s="118">
        <f>'calculo - serv.geral'!BO10</f>
        <v>0</v>
      </c>
      <c r="BP10" s="27">
        <f t="shared" ref="BP10:BP27" si="27">BO10*(I10+K10+M10+N10+O10+P10+Q10+R10+S10+U10+V10+W10+X10+Y10+Z10+AA10+AB10+AC10+AD10+AE10+AF10+AH10+AJ10+AL10+AN10+AP10+AR10+AT10+AV10+AX10+AZ10+BB10+BD10+BE10+BF10+BG10+BH10+BJ10+BL10)/(1-(BM10+BO10+BQ10))</f>
        <v>0</v>
      </c>
      <c r="BQ10" s="110">
        <f>'calculo - serv.geral'!BQ10</f>
        <v>0.05</v>
      </c>
      <c r="BR10" s="27">
        <f t="shared" ref="BR10:BR27" si="28">BQ10*(I10+K10+M10+N10+O10+P10+Q10+R10+S10+U10+V10+W10+X10+Y10+Z10+AA10+AB10+AC10+AD10+AE10+AF10+AH10+AJ10+AL10+AN10+AP10+AR10+AT10+AV10+AX10+AZ10+BB10+BD10+BE10+BF10+BG10+BH10+BJ10+BL10)/(1-(BM10+BO10+BQ10))</f>
        <v>160.20464413381984</v>
      </c>
      <c r="BS10" s="40">
        <f>I10+K10+M10+N10+O10+P10+Q10+R10+S10+U10+V10+W10+X10+Y10+Z10+AA10+AB10+AC10+AD10+AE10+AF10+AH10+AJ10+AL10+AN10+AP10+AR10+AT10+AV10+AX10+AZ10+BB10+BD10+BE10+BF10+BG10+BH10+BJ10+BL10+BN10+BP10+BR10</f>
        <v>3204.0928826763966</v>
      </c>
    </row>
    <row r="11" spans="1:71" s="8" customFormat="1" ht="15" customHeight="1" x14ac:dyDescent="0.25">
      <c r="A11" s="14" t="s">
        <v>110</v>
      </c>
      <c r="B11" s="14" t="str">
        <f>'planilha - proposta'!C23</f>
        <v>Auxiliar de Cozinha</v>
      </c>
      <c r="C11" s="14" t="str">
        <f>'planilha - proposta'!D23</f>
        <v>Auxiliar de Cozinha - 12x36n</v>
      </c>
      <c r="D11" s="19" t="str">
        <f>'planilha - proposta'!B23</f>
        <v>5135-05</v>
      </c>
      <c r="E11" s="30">
        <f>'planilha - proposta'!E23</f>
        <v>2</v>
      </c>
      <c r="F11" s="136">
        <v>1029</v>
      </c>
      <c r="G11" s="105" t="s">
        <v>109</v>
      </c>
      <c r="H11" s="132">
        <v>43599</v>
      </c>
      <c r="I11" s="107">
        <f>F11*1.25</f>
        <v>1286.25</v>
      </c>
      <c r="J11" s="108"/>
      <c r="K11" s="125">
        <f t="shared" si="0"/>
        <v>0</v>
      </c>
      <c r="L11" s="108">
        <v>0.2</v>
      </c>
      <c r="M11" s="35">
        <f t="shared" si="1"/>
        <v>209</v>
      </c>
      <c r="N11" s="109">
        <v>0</v>
      </c>
      <c r="O11" s="37">
        <f t="shared" si="2"/>
        <v>124.55432499999999</v>
      </c>
      <c r="P11" s="35">
        <f t="shared" ref="P11:P27" si="29">(I11+K11+M11+N11)*0.11108</f>
        <v>166.09236999999999</v>
      </c>
      <c r="Q11" s="31">
        <f t="shared" si="3"/>
        <v>98.238582909999991</v>
      </c>
      <c r="R11" s="23">
        <f t="shared" si="4"/>
        <v>299.05</v>
      </c>
      <c r="S11" s="35">
        <f t="shared" si="5"/>
        <v>37.381250000000001</v>
      </c>
      <c r="T11" s="110"/>
      <c r="U11" s="35">
        <f t="shared" si="6"/>
        <v>0</v>
      </c>
      <c r="V11" s="35">
        <f t="shared" si="7"/>
        <v>22.428750000000001</v>
      </c>
      <c r="W11" s="35">
        <f t="shared" si="8"/>
        <v>14.952500000000001</v>
      </c>
      <c r="X11" s="35">
        <f t="shared" si="9"/>
        <v>8.9715000000000007</v>
      </c>
      <c r="Y11" s="35">
        <f t="shared" si="10"/>
        <v>2.9904999999999999</v>
      </c>
      <c r="Z11" s="34">
        <f t="shared" si="11"/>
        <v>119.62</v>
      </c>
      <c r="AA11" s="111">
        <f t="shared" ref="AA11:AA21" si="30">15*2*4.15-F11*0.06</f>
        <v>62.760000000000019</v>
      </c>
      <c r="AB11" s="112">
        <v>140</v>
      </c>
      <c r="AC11" s="112">
        <v>0</v>
      </c>
      <c r="AD11" s="112">
        <v>0</v>
      </c>
      <c r="AE11" s="112">
        <v>0</v>
      </c>
      <c r="AF11" s="113">
        <v>0</v>
      </c>
      <c r="AG11" s="133">
        <f>AG10</f>
        <v>4.1999999999999997E-3</v>
      </c>
      <c r="AH11" s="29">
        <f t="shared" si="12"/>
        <v>6.2800499999999992</v>
      </c>
      <c r="AI11" s="110">
        <f>AI10</f>
        <v>2.9999999999999997E-4</v>
      </c>
      <c r="AJ11" s="29">
        <f t="shared" si="13"/>
        <v>0.44857499999999995</v>
      </c>
      <c r="AK11" s="110">
        <v>3.2000000000000001E-2</v>
      </c>
      <c r="AL11" s="29">
        <f t="shared" si="14"/>
        <v>47.847999999999999</v>
      </c>
      <c r="AM11" s="110">
        <f>AM10</f>
        <v>1.9400000000000001E-2</v>
      </c>
      <c r="AN11" s="29">
        <f t="shared" si="15"/>
        <v>29.007850000000001</v>
      </c>
      <c r="AO11" s="134">
        <f>AO10</f>
        <v>7.2000000000000005E-4</v>
      </c>
      <c r="AP11" s="29">
        <f t="shared" si="16"/>
        <v>1.0765800000000001</v>
      </c>
      <c r="AQ11" s="110">
        <f>AQ10</f>
        <v>1E-3</v>
      </c>
      <c r="AR11" s="36">
        <f t="shared" si="17"/>
        <v>1.49525</v>
      </c>
      <c r="AS11" s="115">
        <f>AS10</f>
        <v>8.0000000000000004E-4</v>
      </c>
      <c r="AT11" s="29">
        <f t="shared" si="18"/>
        <v>1.1962000000000002</v>
      </c>
      <c r="AU11" s="110">
        <f>AU10</f>
        <v>2.0000000000000001E-4</v>
      </c>
      <c r="AV11" s="35">
        <f t="shared" si="19"/>
        <v>0.29905000000000004</v>
      </c>
      <c r="AW11" s="110">
        <f>AW10</f>
        <v>4.0000000000000002E-4</v>
      </c>
      <c r="AX11" s="35">
        <f t="shared" si="20"/>
        <v>0.59810000000000008</v>
      </c>
      <c r="AY11" s="110">
        <f>AY10</f>
        <v>6.9999999999999999E-4</v>
      </c>
      <c r="AZ11" s="35">
        <f t="shared" si="21"/>
        <v>1.046675</v>
      </c>
      <c r="BA11" s="110">
        <f>BA10</f>
        <v>9.4100000000000003E-2</v>
      </c>
      <c r="BB11" s="34">
        <f t="shared" si="22"/>
        <v>140.703025</v>
      </c>
      <c r="BC11" s="114">
        <f>BC10</f>
        <v>0</v>
      </c>
      <c r="BD11" s="31">
        <f t="shared" si="23"/>
        <v>0</v>
      </c>
      <c r="BE11" s="32">
        <f>IF(E11=0,0,'Uniformes '!$K$45)</f>
        <v>55.571666666666665</v>
      </c>
      <c r="BF11" s="33">
        <f>IF(E11=0,0,custoEPI_huol!$M$79)</f>
        <v>0</v>
      </c>
      <c r="BG11" s="29">
        <f>IF(OR(Radios!$B$9=B11,Radios!$B$10=B11,Radios!$B$11=B11,Radios!$B$12=B11,Radios!$B$13=B11,Radios!$B$14=B11,Radios!$B$15=B11,Radios!$B$16=B11),Radios!$I$18,0)</f>
        <v>0</v>
      </c>
      <c r="BH11" s="184">
        <v>0</v>
      </c>
      <c r="BI11" s="117">
        <v>0.06</v>
      </c>
      <c r="BJ11" s="29">
        <f t="shared" si="24"/>
        <v>172.67164797459998</v>
      </c>
      <c r="BK11" s="114">
        <v>6.7900000000000002E-2</v>
      </c>
      <c r="BL11" s="27">
        <f t="shared" si="25"/>
        <v>207.13115318873102</v>
      </c>
      <c r="BM11" s="115">
        <f>BM10</f>
        <v>9.2499999999999999E-2</v>
      </c>
      <c r="BN11" s="29">
        <f t="shared" si="26"/>
        <v>351.40977617311933</v>
      </c>
      <c r="BO11" s="118">
        <f>BO10</f>
        <v>0</v>
      </c>
      <c r="BP11" s="27">
        <f t="shared" si="27"/>
        <v>0</v>
      </c>
      <c r="BQ11" s="110">
        <f>BQ10</f>
        <v>0.05</v>
      </c>
      <c r="BR11" s="27">
        <f t="shared" si="28"/>
        <v>189.95123036384825</v>
      </c>
      <c r="BS11" s="40">
        <f t="shared" ref="BS11:BS27" si="31">I11+K11+M11+N11+O11+P11+Q11+R11+S11+U11+V11+W11+X11+Y11+Z11+AA11+AB11+AC11+AD11+AE11+AF11+AH11+AJ11+AL11+AN11+AP11+AR11+AT11+AV11+AX11+AZ11+BB11+BD11+BE11+BF11+BG11+BH11+BJ11+BL11+BN11+BP11+BR11</f>
        <v>3799.0246072769651</v>
      </c>
    </row>
    <row r="12" spans="1:71" s="8" customFormat="1" ht="15" customHeight="1" x14ac:dyDescent="0.25">
      <c r="A12" s="14" t="s">
        <v>111</v>
      </c>
      <c r="B12" s="14" t="str">
        <f>'planilha - proposta'!C24</f>
        <v>Auxiliar de Cozinha</v>
      </c>
      <c r="C12" s="14" t="str">
        <f>'planilha - proposta'!D24</f>
        <v>Auxiliar de Cozinha - 44h</v>
      </c>
      <c r="D12" s="19" t="str">
        <f>'planilha - proposta'!B24</f>
        <v>5135-05</v>
      </c>
      <c r="E12" s="30">
        <f>'planilha - proposta'!E24</f>
        <v>2</v>
      </c>
      <c r="F12" s="136">
        <v>1029</v>
      </c>
      <c r="G12" s="105" t="s">
        <v>109</v>
      </c>
      <c r="H12" s="132">
        <v>43599</v>
      </c>
      <c r="I12" s="107">
        <f t="shared" ref="I12:I17" si="32">F12</f>
        <v>1029</v>
      </c>
      <c r="J12" s="108"/>
      <c r="K12" s="125">
        <f t="shared" si="0"/>
        <v>0</v>
      </c>
      <c r="L12" s="108">
        <v>0.2</v>
      </c>
      <c r="M12" s="35">
        <f t="shared" si="1"/>
        <v>209</v>
      </c>
      <c r="N12" s="109">
        <v>0</v>
      </c>
      <c r="O12" s="37">
        <f t="shared" si="2"/>
        <v>103.1254</v>
      </c>
      <c r="P12" s="35">
        <f t="shared" si="29"/>
        <v>137.51704000000001</v>
      </c>
      <c r="Q12" s="31">
        <f t="shared" si="3"/>
        <v>81.337144720000012</v>
      </c>
      <c r="R12" s="23">
        <f t="shared" si="4"/>
        <v>247.60000000000002</v>
      </c>
      <c r="S12" s="35">
        <f t="shared" si="5"/>
        <v>30.950000000000003</v>
      </c>
      <c r="T12" s="110"/>
      <c r="U12" s="35">
        <f t="shared" si="6"/>
        <v>0</v>
      </c>
      <c r="V12" s="35">
        <f t="shared" si="7"/>
        <v>18.57</v>
      </c>
      <c r="W12" s="35">
        <f t="shared" si="8"/>
        <v>12.38</v>
      </c>
      <c r="X12" s="35">
        <f t="shared" si="9"/>
        <v>7.4279999999999999</v>
      </c>
      <c r="Y12" s="35">
        <f t="shared" si="10"/>
        <v>2.476</v>
      </c>
      <c r="Z12" s="34">
        <f t="shared" si="11"/>
        <v>99.04</v>
      </c>
      <c r="AA12" s="111">
        <f>26*2*4.15-F12*0.06</f>
        <v>154.06</v>
      </c>
      <c r="AB12" s="112">
        <v>140</v>
      </c>
      <c r="AC12" s="112">
        <v>0</v>
      </c>
      <c r="AD12" s="112">
        <v>0</v>
      </c>
      <c r="AE12" s="112">
        <v>0</v>
      </c>
      <c r="AF12" s="113">
        <v>0</v>
      </c>
      <c r="AG12" s="133">
        <f>AG11</f>
        <v>4.1999999999999997E-3</v>
      </c>
      <c r="AH12" s="29">
        <f t="shared" si="12"/>
        <v>5.1995999999999993</v>
      </c>
      <c r="AI12" s="110">
        <f>AI11</f>
        <v>2.9999999999999997E-4</v>
      </c>
      <c r="AJ12" s="29">
        <f t="shared" si="13"/>
        <v>0.37139999999999995</v>
      </c>
      <c r="AK12" s="110">
        <v>3.2000000000000001E-2</v>
      </c>
      <c r="AL12" s="29">
        <f t="shared" si="14"/>
        <v>39.616</v>
      </c>
      <c r="AM12" s="110">
        <f>AM11</f>
        <v>1.9400000000000001E-2</v>
      </c>
      <c r="AN12" s="29">
        <f t="shared" si="15"/>
        <v>24.017199999999999</v>
      </c>
      <c r="AO12" s="134">
        <f>AO11</f>
        <v>7.2000000000000005E-4</v>
      </c>
      <c r="AP12" s="29">
        <f t="shared" si="16"/>
        <v>0.89136000000000004</v>
      </c>
      <c r="AQ12" s="110">
        <f>AQ11</f>
        <v>1E-3</v>
      </c>
      <c r="AR12" s="36">
        <f t="shared" si="17"/>
        <v>1.238</v>
      </c>
      <c r="AS12" s="115">
        <f>AS11</f>
        <v>8.0000000000000004E-4</v>
      </c>
      <c r="AT12" s="29">
        <f t="shared" si="18"/>
        <v>0.99040000000000006</v>
      </c>
      <c r="AU12" s="110">
        <f>AU11</f>
        <v>2.0000000000000001E-4</v>
      </c>
      <c r="AV12" s="35">
        <f t="shared" si="19"/>
        <v>0.24760000000000001</v>
      </c>
      <c r="AW12" s="110">
        <f>AW11</f>
        <v>4.0000000000000002E-4</v>
      </c>
      <c r="AX12" s="35">
        <f t="shared" si="20"/>
        <v>0.49520000000000003</v>
      </c>
      <c r="AY12" s="110">
        <f>AY11</f>
        <v>6.9999999999999999E-4</v>
      </c>
      <c r="AZ12" s="35">
        <f t="shared" si="21"/>
        <v>0.86660000000000004</v>
      </c>
      <c r="BA12" s="110">
        <f>BA11</f>
        <v>9.4100000000000003E-2</v>
      </c>
      <c r="BB12" s="34">
        <f t="shared" si="22"/>
        <v>116.4958</v>
      </c>
      <c r="BC12" s="114">
        <f>BC11</f>
        <v>0</v>
      </c>
      <c r="BD12" s="31">
        <f t="shared" si="23"/>
        <v>0</v>
      </c>
      <c r="BE12" s="32">
        <f>IF(E12=0,0,'Uniformes '!$K$45)</f>
        <v>55.571666666666665</v>
      </c>
      <c r="BF12" s="33">
        <f>IF(E12=0,0,custoEPI_huol!$M$79)</f>
        <v>0</v>
      </c>
      <c r="BG12" s="29">
        <f>IF(OR(Radios!$B$9=B12,Radios!$B$10=B12,Radios!$B$11=B12,Radios!$B$12=B12,Radios!$B$13=B12,Radios!$B$14=B12,Radios!$B$15=B12,Radios!$B$16=B12),Radios!$I$18,0)</f>
        <v>0</v>
      </c>
      <c r="BH12" s="184">
        <v>0</v>
      </c>
      <c r="BI12" s="117">
        <v>0.06</v>
      </c>
      <c r="BJ12" s="29">
        <f t="shared" si="24"/>
        <v>151.10906468319999</v>
      </c>
      <c r="BK12" s="114">
        <v>6.7900000000000002E-2</v>
      </c>
      <c r="BL12" s="27">
        <f t="shared" si="25"/>
        <v>181.26539702514393</v>
      </c>
      <c r="BM12" s="115">
        <f>BM11</f>
        <v>9.2499999999999999E-2</v>
      </c>
      <c r="BN12" s="29">
        <f t="shared" si="26"/>
        <v>307.52705045048219</v>
      </c>
      <c r="BO12" s="118">
        <f>BO11</f>
        <v>0</v>
      </c>
      <c r="BP12" s="27">
        <f t="shared" si="27"/>
        <v>0</v>
      </c>
      <c r="BQ12" s="110">
        <f>BQ11</f>
        <v>0.05</v>
      </c>
      <c r="BR12" s="27">
        <f t="shared" si="28"/>
        <v>166.23083808134174</v>
      </c>
      <c r="BS12" s="40">
        <f t="shared" si="31"/>
        <v>3324.6167616268349</v>
      </c>
    </row>
    <row r="13" spans="1:71" s="8" customFormat="1" ht="15" customHeight="1" x14ac:dyDescent="0.25">
      <c r="A13" s="14" t="s">
        <v>113</v>
      </c>
      <c r="B13" s="14" t="str">
        <f>'planilha - proposta'!C25</f>
        <v>Auxiliar de Nutrição</v>
      </c>
      <c r="C13" s="14" t="str">
        <f>'planilha - proposta'!D25</f>
        <v>Auxiliar de Nutrição - 12x36d</v>
      </c>
      <c r="D13" s="19" t="str">
        <f>'planilha - proposta'!B25</f>
        <v>3252-10</v>
      </c>
      <c r="E13" s="30">
        <f>'planilha - proposta'!E25</f>
        <v>6</v>
      </c>
      <c r="F13" s="136">
        <v>1368</v>
      </c>
      <c r="G13" s="105" t="s">
        <v>109</v>
      </c>
      <c r="H13" s="132">
        <v>43599</v>
      </c>
      <c r="I13" s="107">
        <f t="shared" si="32"/>
        <v>1368</v>
      </c>
      <c r="J13" s="108"/>
      <c r="K13" s="125">
        <f t="shared" si="0"/>
        <v>0</v>
      </c>
      <c r="L13" s="108">
        <v>0.2</v>
      </c>
      <c r="M13" s="35">
        <f t="shared" si="1"/>
        <v>209</v>
      </c>
      <c r="N13" s="109">
        <v>0</v>
      </c>
      <c r="O13" s="37">
        <f t="shared" si="2"/>
        <v>131.36410000000001</v>
      </c>
      <c r="P13" s="35">
        <f t="shared" si="29"/>
        <v>175.17316</v>
      </c>
      <c r="Q13" s="31">
        <f t="shared" si="3"/>
        <v>103.60959388000001</v>
      </c>
      <c r="R13" s="23">
        <f t="shared" si="4"/>
        <v>315.40000000000003</v>
      </c>
      <c r="S13" s="35">
        <f t="shared" si="5"/>
        <v>39.425000000000004</v>
      </c>
      <c r="T13" s="110"/>
      <c r="U13" s="35">
        <f t="shared" si="6"/>
        <v>0</v>
      </c>
      <c r="V13" s="35">
        <f t="shared" si="7"/>
        <v>23.654999999999998</v>
      </c>
      <c r="W13" s="35">
        <f t="shared" si="8"/>
        <v>15.77</v>
      </c>
      <c r="X13" s="35">
        <f t="shared" si="9"/>
        <v>9.4619999999999997</v>
      </c>
      <c r="Y13" s="35">
        <f t="shared" si="10"/>
        <v>3.1539999999999999</v>
      </c>
      <c r="Z13" s="34">
        <f t="shared" si="11"/>
        <v>126.16</v>
      </c>
      <c r="AA13" s="111">
        <f t="shared" si="30"/>
        <v>42.420000000000016</v>
      </c>
      <c r="AB13" s="112">
        <v>140</v>
      </c>
      <c r="AC13" s="112">
        <v>0</v>
      </c>
      <c r="AD13" s="112">
        <v>0</v>
      </c>
      <c r="AE13" s="112">
        <v>0</v>
      </c>
      <c r="AF13" s="113">
        <v>0</v>
      </c>
      <c r="AG13" s="133">
        <f>AG12</f>
        <v>4.1999999999999997E-3</v>
      </c>
      <c r="AH13" s="29">
        <f t="shared" si="12"/>
        <v>6.6233999999999993</v>
      </c>
      <c r="AI13" s="110">
        <f>AI12</f>
        <v>2.9999999999999997E-4</v>
      </c>
      <c r="AJ13" s="29">
        <f t="shared" si="13"/>
        <v>0.47309999999999997</v>
      </c>
      <c r="AK13" s="110">
        <v>3.2000000000000001E-2</v>
      </c>
      <c r="AL13" s="29">
        <f t="shared" si="14"/>
        <v>50.463999999999999</v>
      </c>
      <c r="AM13" s="110">
        <f>AM12</f>
        <v>1.9400000000000001E-2</v>
      </c>
      <c r="AN13" s="29">
        <f t="shared" si="15"/>
        <v>30.593800000000002</v>
      </c>
      <c r="AO13" s="134">
        <f>AO12</f>
        <v>7.2000000000000005E-4</v>
      </c>
      <c r="AP13" s="29">
        <f t="shared" si="16"/>
        <v>1.13544</v>
      </c>
      <c r="AQ13" s="110">
        <f>AQ12</f>
        <v>1E-3</v>
      </c>
      <c r="AR13" s="36">
        <f t="shared" si="17"/>
        <v>1.577</v>
      </c>
      <c r="AS13" s="115">
        <f>AS12</f>
        <v>8.0000000000000004E-4</v>
      </c>
      <c r="AT13" s="29">
        <f t="shared" si="18"/>
        <v>1.2616000000000001</v>
      </c>
      <c r="AU13" s="110">
        <f>AU12</f>
        <v>2.0000000000000001E-4</v>
      </c>
      <c r="AV13" s="35">
        <f t="shared" si="19"/>
        <v>0.31540000000000001</v>
      </c>
      <c r="AW13" s="110">
        <f>AW12</f>
        <v>4.0000000000000002E-4</v>
      </c>
      <c r="AX13" s="35">
        <f t="shared" si="20"/>
        <v>0.63080000000000003</v>
      </c>
      <c r="AY13" s="110">
        <f>AY12</f>
        <v>6.9999999999999999E-4</v>
      </c>
      <c r="AZ13" s="35">
        <f t="shared" si="21"/>
        <v>1.1038999999999999</v>
      </c>
      <c r="BA13" s="110">
        <f>BA12</f>
        <v>9.4100000000000003E-2</v>
      </c>
      <c r="BB13" s="34">
        <f t="shared" si="22"/>
        <v>148.39570000000001</v>
      </c>
      <c r="BC13" s="114">
        <f>BC12</f>
        <v>0</v>
      </c>
      <c r="BD13" s="31">
        <f t="shared" si="23"/>
        <v>0</v>
      </c>
      <c r="BE13" s="32">
        <f>IF(E13=0,0,'Uniformes '!$K$57)</f>
        <v>62.078333333333333</v>
      </c>
      <c r="BF13" s="33">
        <f>IF(E13=0,0,custoEPI_huol!$M$104)</f>
        <v>0</v>
      </c>
      <c r="BG13" s="29">
        <f>IF(OR(Radios!$B$9=B13,Radios!$B$10=B13,Radios!$B$11=B13,Radios!$B$12=B13,Radios!$B$13=B13,Radios!$B$14=B13,Radios!$B$15=B13,Radios!$B$16=B13),Radios!$I$18,0)</f>
        <v>0</v>
      </c>
      <c r="BH13" s="184">
        <v>0</v>
      </c>
      <c r="BI13" s="117">
        <v>0.06</v>
      </c>
      <c r="BJ13" s="29">
        <f t="shared" si="24"/>
        <v>180.43471963280004</v>
      </c>
      <c r="BK13" s="114">
        <v>6.7900000000000002E-2</v>
      </c>
      <c r="BL13" s="27">
        <f t="shared" si="25"/>
        <v>216.44347518085249</v>
      </c>
      <c r="BM13" s="115">
        <f>BM12</f>
        <v>9.2499999999999999E-2</v>
      </c>
      <c r="BN13" s="29">
        <f t="shared" si="26"/>
        <v>367.20865981049127</v>
      </c>
      <c r="BO13" s="118">
        <f>BO12</f>
        <v>0</v>
      </c>
      <c r="BP13" s="27">
        <f t="shared" si="27"/>
        <v>0</v>
      </c>
      <c r="BQ13" s="110">
        <f>BQ12</f>
        <v>0.05</v>
      </c>
      <c r="BR13" s="27">
        <f t="shared" si="28"/>
        <v>198.49116746513045</v>
      </c>
      <c r="BS13" s="40">
        <f t="shared" si="31"/>
        <v>3969.8233493026078</v>
      </c>
    </row>
    <row r="14" spans="1:71" s="8" customFormat="1" ht="15" customHeight="1" x14ac:dyDescent="0.25">
      <c r="A14" s="14" t="s">
        <v>114</v>
      </c>
      <c r="B14" s="14" t="str">
        <f>'planilha - proposta'!C26</f>
        <v>Auxiliar de Nutrição</v>
      </c>
      <c r="C14" s="14" t="str">
        <f>'planilha - proposta'!D26</f>
        <v>Auxiliar de Nutrição - 12x36n</v>
      </c>
      <c r="D14" s="19" t="str">
        <f>'planilha - proposta'!B26</f>
        <v>3252-10</v>
      </c>
      <c r="E14" s="30">
        <f>'planilha - proposta'!E26</f>
        <v>2</v>
      </c>
      <c r="F14" s="136">
        <v>1368</v>
      </c>
      <c r="G14" s="105" t="s">
        <v>109</v>
      </c>
      <c r="H14" s="132">
        <v>43599</v>
      </c>
      <c r="I14" s="107">
        <f>F14*1.25</f>
        <v>1710</v>
      </c>
      <c r="J14" s="108"/>
      <c r="K14" s="125">
        <f t="shared" si="0"/>
        <v>0</v>
      </c>
      <c r="L14" s="108">
        <v>0.2</v>
      </c>
      <c r="M14" s="35">
        <f t="shared" si="1"/>
        <v>209</v>
      </c>
      <c r="N14" s="109">
        <v>0</v>
      </c>
      <c r="O14" s="37">
        <f t="shared" si="2"/>
        <v>159.8527</v>
      </c>
      <c r="P14" s="35">
        <f t="shared" si="29"/>
        <v>213.16252</v>
      </c>
      <c r="Q14" s="31">
        <f t="shared" si="3"/>
        <v>126.07914436000002</v>
      </c>
      <c r="R14" s="23">
        <f t="shared" si="4"/>
        <v>383.8</v>
      </c>
      <c r="S14" s="35">
        <f t="shared" si="5"/>
        <v>47.975000000000001</v>
      </c>
      <c r="T14" s="110"/>
      <c r="U14" s="35">
        <f t="shared" si="6"/>
        <v>0</v>
      </c>
      <c r="V14" s="35">
        <f t="shared" si="7"/>
        <v>28.785</v>
      </c>
      <c r="W14" s="35">
        <f t="shared" si="8"/>
        <v>19.190000000000001</v>
      </c>
      <c r="X14" s="35">
        <f t="shared" si="9"/>
        <v>11.514000000000001</v>
      </c>
      <c r="Y14" s="35">
        <f t="shared" si="10"/>
        <v>3.8380000000000001</v>
      </c>
      <c r="Z14" s="34">
        <f t="shared" si="11"/>
        <v>153.52000000000001</v>
      </c>
      <c r="AA14" s="111">
        <f t="shared" si="30"/>
        <v>42.420000000000016</v>
      </c>
      <c r="AB14" s="112">
        <v>140</v>
      </c>
      <c r="AC14" s="112">
        <v>0</v>
      </c>
      <c r="AD14" s="112">
        <v>0</v>
      </c>
      <c r="AE14" s="112">
        <v>0</v>
      </c>
      <c r="AF14" s="113">
        <v>0</v>
      </c>
      <c r="AG14" s="133">
        <f>AG13</f>
        <v>4.1999999999999997E-3</v>
      </c>
      <c r="AH14" s="29">
        <f t="shared" si="12"/>
        <v>8.0597999999999992</v>
      </c>
      <c r="AI14" s="110">
        <f>AI13</f>
        <v>2.9999999999999997E-4</v>
      </c>
      <c r="AJ14" s="29">
        <f t="shared" si="13"/>
        <v>0.57569999999999999</v>
      </c>
      <c r="AK14" s="110">
        <v>3.2000000000000001E-2</v>
      </c>
      <c r="AL14" s="29">
        <f t="shared" si="14"/>
        <v>61.408000000000001</v>
      </c>
      <c r="AM14" s="110">
        <f>AM13</f>
        <v>1.9400000000000001E-2</v>
      </c>
      <c r="AN14" s="29">
        <f t="shared" si="15"/>
        <v>37.2286</v>
      </c>
      <c r="AO14" s="134">
        <f>AO13</f>
        <v>7.2000000000000005E-4</v>
      </c>
      <c r="AP14" s="29">
        <f t="shared" si="16"/>
        <v>1.38168</v>
      </c>
      <c r="AQ14" s="110">
        <f>AQ13</f>
        <v>1E-3</v>
      </c>
      <c r="AR14" s="36">
        <f t="shared" si="17"/>
        <v>1.919</v>
      </c>
      <c r="AS14" s="115">
        <f>AS13</f>
        <v>8.0000000000000004E-4</v>
      </c>
      <c r="AT14" s="29">
        <f t="shared" si="18"/>
        <v>1.5352000000000001</v>
      </c>
      <c r="AU14" s="110">
        <f>AU13</f>
        <v>2.0000000000000001E-4</v>
      </c>
      <c r="AV14" s="35">
        <f t="shared" si="19"/>
        <v>0.38380000000000003</v>
      </c>
      <c r="AW14" s="110">
        <f>AW13</f>
        <v>4.0000000000000002E-4</v>
      </c>
      <c r="AX14" s="35">
        <f t="shared" si="20"/>
        <v>0.76760000000000006</v>
      </c>
      <c r="AY14" s="110">
        <f>AY13</f>
        <v>6.9999999999999999E-4</v>
      </c>
      <c r="AZ14" s="35">
        <f t="shared" si="21"/>
        <v>1.3432999999999999</v>
      </c>
      <c r="BA14" s="110">
        <f>BA13</f>
        <v>9.4100000000000003E-2</v>
      </c>
      <c r="BB14" s="34">
        <f t="shared" si="22"/>
        <v>180.5779</v>
      </c>
      <c r="BC14" s="114">
        <f>BC13</f>
        <v>0</v>
      </c>
      <c r="BD14" s="31">
        <f t="shared" si="23"/>
        <v>0</v>
      </c>
      <c r="BE14" s="32">
        <f>IF(E14=0,0,'Uniformes '!$K$57)</f>
        <v>62.078333333333333</v>
      </c>
      <c r="BF14" s="33">
        <f>IF(E14=0,0,custoEPI_huol!$M$104)</f>
        <v>0</v>
      </c>
      <c r="BG14" s="29">
        <f>IF(OR(Radios!$B$9=B14,Radios!$B$10=B14,Radios!$B$11=B14,Radios!$B$12=B14,Radios!$B$13=B14,Radios!$B$14=B14,Radios!$B$15=B14,Radios!$B$16=B14),Radios!$I$18,0)</f>
        <v>0</v>
      </c>
      <c r="BH14" s="184">
        <v>0</v>
      </c>
      <c r="BI14" s="117">
        <v>0.06</v>
      </c>
      <c r="BJ14" s="29">
        <f t="shared" si="24"/>
        <v>216.3837166616</v>
      </c>
      <c r="BK14" s="114">
        <v>6.7900000000000002E-2</v>
      </c>
      <c r="BL14" s="27">
        <f t="shared" si="25"/>
        <v>259.5666937167</v>
      </c>
      <c r="BM14" s="115">
        <f>BM13</f>
        <v>9.2499999999999999E-2</v>
      </c>
      <c r="BN14" s="29">
        <f t="shared" si="26"/>
        <v>440.36965148294587</v>
      </c>
      <c r="BO14" s="118">
        <f>BO13</f>
        <v>0</v>
      </c>
      <c r="BP14" s="27">
        <f t="shared" si="27"/>
        <v>0</v>
      </c>
      <c r="BQ14" s="110">
        <f>BQ13</f>
        <v>0.05</v>
      </c>
      <c r="BR14" s="27">
        <f t="shared" si="28"/>
        <v>238.03764945024102</v>
      </c>
      <c r="BS14" s="40">
        <f t="shared" si="31"/>
        <v>4760.7529890048199</v>
      </c>
    </row>
    <row r="15" spans="1:71" s="8" customFormat="1" ht="15" hidden="1" customHeight="1" x14ac:dyDescent="0.25">
      <c r="A15" s="14"/>
      <c r="B15" s="14" t="str">
        <f>'planilha - proposta'!C27</f>
        <v>Auxiliar de Nutrição</v>
      </c>
      <c r="C15" s="14" t="str">
        <f>'planilha - proposta'!D27</f>
        <v>Auxiliar de Nutrição - 44h</v>
      </c>
      <c r="D15" s="19" t="str">
        <f>'planilha - proposta'!B27</f>
        <v>3252-10</v>
      </c>
      <c r="E15" s="30">
        <f>'planilha - proposta'!E27</f>
        <v>0</v>
      </c>
      <c r="F15" s="136"/>
      <c r="G15" s="105" t="s">
        <v>109</v>
      </c>
      <c r="H15" s="132">
        <v>43599</v>
      </c>
      <c r="I15" s="107">
        <f t="shared" si="32"/>
        <v>0</v>
      </c>
      <c r="J15" s="108"/>
      <c r="K15" s="125">
        <f t="shared" si="0"/>
        <v>0</v>
      </c>
      <c r="L15" s="108"/>
      <c r="M15" s="35">
        <f t="shared" si="1"/>
        <v>0</v>
      </c>
      <c r="N15" s="109"/>
      <c r="O15" s="37">
        <f t="shared" si="2"/>
        <v>0</v>
      </c>
      <c r="P15" s="35">
        <f t="shared" si="29"/>
        <v>0</v>
      </c>
      <c r="Q15" s="31">
        <f t="shared" si="3"/>
        <v>0</v>
      </c>
      <c r="R15" s="23">
        <f t="shared" si="4"/>
        <v>0</v>
      </c>
      <c r="S15" s="35">
        <f t="shared" si="5"/>
        <v>0</v>
      </c>
      <c r="T15" s="110"/>
      <c r="U15" s="35">
        <f t="shared" si="6"/>
        <v>0</v>
      </c>
      <c r="V15" s="35">
        <f t="shared" si="7"/>
        <v>0</v>
      </c>
      <c r="W15" s="35">
        <f t="shared" si="8"/>
        <v>0</v>
      </c>
      <c r="X15" s="35">
        <f t="shared" si="9"/>
        <v>0</v>
      </c>
      <c r="Y15" s="35">
        <f t="shared" si="10"/>
        <v>0</v>
      </c>
      <c r="Z15" s="34">
        <f t="shared" si="11"/>
        <v>0</v>
      </c>
      <c r="AA15" s="111">
        <f t="shared" si="30"/>
        <v>124.50000000000001</v>
      </c>
      <c r="AB15" s="112"/>
      <c r="AC15" s="112"/>
      <c r="AD15" s="112"/>
      <c r="AE15" s="112"/>
      <c r="AF15" s="113"/>
      <c r="AG15" s="133"/>
      <c r="AH15" s="29">
        <f t="shared" si="12"/>
        <v>0</v>
      </c>
      <c r="AI15" s="110"/>
      <c r="AJ15" s="29">
        <f t="shared" si="13"/>
        <v>0</v>
      </c>
      <c r="AK15" s="110">
        <v>3.2000000000000001E-2</v>
      </c>
      <c r="AL15" s="29">
        <f t="shared" si="14"/>
        <v>0</v>
      </c>
      <c r="AM15" s="110"/>
      <c r="AN15" s="29">
        <f t="shared" si="15"/>
        <v>0</v>
      </c>
      <c r="AO15" s="134"/>
      <c r="AP15" s="29">
        <f t="shared" si="16"/>
        <v>0</v>
      </c>
      <c r="AQ15" s="110"/>
      <c r="AR15" s="36">
        <f t="shared" si="17"/>
        <v>0</v>
      </c>
      <c r="AS15" s="115"/>
      <c r="AT15" s="29">
        <f t="shared" si="18"/>
        <v>0</v>
      </c>
      <c r="AU15" s="110"/>
      <c r="AV15" s="35">
        <f t="shared" si="19"/>
        <v>0</v>
      </c>
      <c r="AW15" s="110"/>
      <c r="AX15" s="35">
        <f t="shared" si="20"/>
        <v>0</v>
      </c>
      <c r="AY15" s="110"/>
      <c r="AZ15" s="35">
        <f t="shared" si="21"/>
        <v>0</v>
      </c>
      <c r="BA15" s="110"/>
      <c r="BB15" s="34">
        <f t="shared" si="22"/>
        <v>0</v>
      </c>
      <c r="BC15" s="114"/>
      <c r="BD15" s="31">
        <f t="shared" si="23"/>
        <v>0</v>
      </c>
      <c r="BE15" s="32">
        <f>IF(E15=0,0,'Uniformes '!$K$57)</f>
        <v>0</v>
      </c>
      <c r="BF15" s="33">
        <f>IF(E15=0,0,custoEPI_huol!$M$104)</f>
        <v>0</v>
      </c>
      <c r="BG15" s="29">
        <f>IF(OR(Radios!$B$9=B15,Radios!$B$10=B15,Radios!$B$11=B15,Radios!$B$12=B15,Radios!$B$13=B15,Radios!$B$14=B15,Radios!$B$15=B15,Radios!$B$16=B15),Radios!$I$18,0)</f>
        <v>0</v>
      </c>
      <c r="BH15" s="184"/>
      <c r="BI15" s="117">
        <v>0.06</v>
      </c>
      <c r="BJ15" s="29">
        <f t="shared" si="24"/>
        <v>7.4700000000000006</v>
      </c>
      <c r="BK15" s="114">
        <v>6.7900000000000002E-2</v>
      </c>
      <c r="BL15" s="27">
        <f t="shared" si="25"/>
        <v>8.9607630000000018</v>
      </c>
      <c r="BM15" s="115"/>
      <c r="BN15" s="29">
        <f t="shared" si="26"/>
        <v>0</v>
      </c>
      <c r="BO15" s="118"/>
      <c r="BP15" s="27">
        <f t="shared" si="27"/>
        <v>0</v>
      </c>
      <c r="BQ15" s="110"/>
      <c r="BR15" s="27">
        <f t="shared" si="28"/>
        <v>0</v>
      </c>
      <c r="BS15" s="40">
        <f t="shared" si="31"/>
        <v>140.93076300000004</v>
      </c>
    </row>
    <row r="16" spans="1:71" s="8" customFormat="1" ht="15" hidden="1" customHeight="1" x14ac:dyDescent="0.25">
      <c r="A16" s="14"/>
      <c r="B16" s="14" t="str">
        <f>'planilha - proposta'!C28</f>
        <v>Açougueiro</v>
      </c>
      <c r="C16" s="14" t="str">
        <f>'planilha - proposta'!D28</f>
        <v>Açougueiro - 12x36d</v>
      </c>
      <c r="D16" s="19" t="str">
        <f>'planilha - proposta'!B28</f>
        <v>8485-05</v>
      </c>
      <c r="E16" s="30">
        <f>'planilha - proposta'!E28</f>
        <v>0</v>
      </c>
      <c r="F16" s="136"/>
      <c r="G16" s="105" t="s">
        <v>109</v>
      </c>
      <c r="H16" s="132">
        <v>43599</v>
      </c>
      <c r="I16" s="107">
        <f t="shared" si="32"/>
        <v>0</v>
      </c>
      <c r="J16" s="108"/>
      <c r="K16" s="125">
        <f t="shared" si="0"/>
        <v>0</v>
      </c>
      <c r="L16" s="108"/>
      <c r="M16" s="35">
        <f t="shared" si="1"/>
        <v>0</v>
      </c>
      <c r="N16" s="109"/>
      <c r="O16" s="37">
        <f t="shared" si="2"/>
        <v>0</v>
      </c>
      <c r="P16" s="35">
        <f t="shared" si="29"/>
        <v>0</v>
      </c>
      <c r="Q16" s="31">
        <f t="shared" si="3"/>
        <v>0</v>
      </c>
      <c r="R16" s="23">
        <f t="shared" si="4"/>
        <v>0</v>
      </c>
      <c r="S16" s="35">
        <f t="shared" si="5"/>
        <v>0</v>
      </c>
      <c r="T16" s="110"/>
      <c r="U16" s="35">
        <f t="shared" si="6"/>
        <v>0</v>
      </c>
      <c r="V16" s="35">
        <f t="shared" si="7"/>
        <v>0</v>
      </c>
      <c r="W16" s="35">
        <f t="shared" si="8"/>
        <v>0</v>
      </c>
      <c r="X16" s="35">
        <f t="shared" si="9"/>
        <v>0</v>
      </c>
      <c r="Y16" s="35">
        <f t="shared" si="10"/>
        <v>0</v>
      </c>
      <c r="Z16" s="34">
        <f t="shared" si="11"/>
        <v>0</v>
      </c>
      <c r="AA16" s="111">
        <f t="shared" si="30"/>
        <v>124.50000000000001</v>
      </c>
      <c r="AB16" s="112"/>
      <c r="AC16" s="112"/>
      <c r="AD16" s="112"/>
      <c r="AE16" s="112"/>
      <c r="AF16" s="113"/>
      <c r="AG16" s="133"/>
      <c r="AH16" s="29">
        <f t="shared" si="12"/>
        <v>0</v>
      </c>
      <c r="AI16" s="110"/>
      <c r="AJ16" s="29">
        <f t="shared" si="13"/>
        <v>0</v>
      </c>
      <c r="AK16" s="110">
        <v>3.2000000000000001E-2</v>
      </c>
      <c r="AL16" s="29">
        <f t="shared" si="14"/>
        <v>0</v>
      </c>
      <c r="AM16" s="110"/>
      <c r="AN16" s="29">
        <f t="shared" si="15"/>
        <v>0</v>
      </c>
      <c r="AO16" s="134"/>
      <c r="AP16" s="29">
        <f t="shared" si="16"/>
        <v>0</v>
      </c>
      <c r="AQ16" s="110"/>
      <c r="AR16" s="36">
        <f t="shared" si="17"/>
        <v>0</v>
      </c>
      <c r="AS16" s="115"/>
      <c r="AT16" s="29">
        <f t="shared" si="18"/>
        <v>0</v>
      </c>
      <c r="AU16" s="110"/>
      <c r="AV16" s="35">
        <f t="shared" si="19"/>
        <v>0</v>
      </c>
      <c r="AW16" s="110"/>
      <c r="AX16" s="35">
        <f t="shared" si="20"/>
        <v>0</v>
      </c>
      <c r="AY16" s="110"/>
      <c r="AZ16" s="35">
        <f t="shared" si="21"/>
        <v>0</v>
      </c>
      <c r="BA16" s="110"/>
      <c r="BB16" s="34">
        <f t="shared" si="22"/>
        <v>0</v>
      </c>
      <c r="BC16" s="114"/>
      <c r="BD16" s="31">
        <f t="shared" si="23"/>
        <v>0</v>
      </c>
      <c r="BE16" s="32">
        <f>IF(E16=0,0,'Uniformes '!$K$70)</f>
        <v>0</v>
      </c>
      <c r="BF16" s="33">
        <f>IF(E16=0,0,custoEPI_huol!$M$129)</f>
        <v>0</v>
      </c>
      <c r="BG16" s="29">
        <f>IF(OR(Radios!$B$9=B16,Radios!$B$10=B16,Radios!$B$11=B16,Radios!$B$12=B16,Radios!$B$13=B16,Radios!$B$14=B16,Radios!$B$15=B16,Radios!$B$16=B16),Radios!$I$18,0)</f>
        <v>0</v>
      </c>
      <c r="BH16" s="184"/>
      <c r="BI16" s="117">
        <v>0.06</v>
      </c>
      <c r="BJ16" s="29">
        <f t="shared" si="24"/>
        <v>7.4700000000000006</v>
      </c>
      <c r="BK16" s="114">
        <v>6.7900000000000002E-2</v>
      </c>
      <c r="BL16" s="27">
        <f t="shared" si="25"/>
        <v>8.9607630000000018</v>
      </c>
      <c r="BM16" s="115"/>
      <c r="BN16" s="29">
        <f t="shared" si="26"/>
        <v>0</v>
      </c>
      <c r="BO16" s="118"/>
      <c r="BP16" s="27">
        <f t="shared" si="27"/>
        <v>0</v>
      </c>
      <c r="BQ16" s="110"/>
      <c r="BR16" s="27">
        <f t="shared" si="28"/>
        <v>0</v>
      </c>
      <c r="BS16" s="40">
        <f t="shared" si="31"/>
        <v>140.93076300000004</v>
      </c>
    </row>
    <row r="17" spans="1:71" s="8" customFormat="1" ht="15" customHeight="1" x14ac:dyDescent="0.25">
      <c r="A17" s="14" t="s">
        <v>115</v>
      </c>
      <c r="B17" s="14" t="str">
        <f>'planilha - proposta'!C29</f>
        <v>Açougueiro</v>
      </c>
      <c r="C17" s="14" t="str">
        <f>'planilha - proposta'!D29</f>
        <v>Açougueiro - 44h</v>
      </c>
      <c r="D17" s="19" t="str">
        <f>'planilha - proposta'!B29</f>
        <v>8485-05</v>
      </c>
      <c r="E17" s="30">
        <f>'planilha - proposta'!E29</f>
        <v>1</v>
      </c>
      <c r="F17" s="136">
        <v>1197</v>
      </c>
      <c r="G17" s="105" t="s">
        <v>109</v>
      </c>
      <c r="H17" s="132">
        <v>43599</v>
      </c>
      <c r="I17" s="107">
        <f t="shared" si="32"/>
        <v>1197</v>
      </c>
      <c r="J17" s="108"/>
      <c r="K17" s="125">
        <f t="shared" si="0"/>
        <v>0</v>
      </c>
      <c r="L17" s="108">
        <v>0.2</v>
      </c>
      <c r="M17" s="35">
        <f t="shared" si="1"/>
        <v>209</v>
      </c>
      <c r="N17" s="109">
        <v>0</v>
      </c>
      <c r="O17" s="37">
        <f t="shared" si="2"/>
        <v>117.1198</v>
      </c>
      <c r="P17" s="35">
        <f t="shared" si="29"/>
        <v>156.17848000000001</v>
      </c>
      <c r="Q17" s="31">
        <f t="shared" si="3"/>
        <v>92.374818640000001</v>
      </c>
      <c r="R17" s="23">
        <f t="shared" si="4"/>
        <v>281.2</v>
      </c>
      <c r="S17" s="35">
        <f t="shared" si="5"/>
        <v>35.15</v>
      </c>
      <c r="T17" s="110"/>
      <c r="U17" s="35">
        <f t="shared" si="6"/>
        <v>0</v>
      </c>
      <c r="V17" s="35">
        <f t="shared" si="7"/>
        <v>21.09</v>
      </c>
      <c r="W17" s="35">
        <f t="shared" si="8"/>
        <v>14.06</v>
      </c>
      <c r="X17" s="35">
        <f t="shared" si="9"/>
        <v>8.4359999999999999</v>
      </c>
      <c r="Y17" s="35">
        <f t="shared" si="10"/>
        <v>2.8120000000000003</v>
      </c>
      <c r="Z17" s="34">
        <f t="shared" si="11"/>
        <v>112.48</v>
      </c>
      <c r="AA17" s="111">
        <f>26*2*4.15-F17*0.06</f>
        <v>143.98000000000002</v>
      </c>
      <c r="AB17" s="112">
        <v>140</v>
      </c>
      <c r="AC17" s="112">
        <v>0</v>
      </c>
      <c r="AD17" s="112">
        <v>0</v>
      </c>
      <c r="AE17" s="112">
        <v>0</v>
      </c>
      <c r="AF17" s="113">
        <v>0</v>
      </c>
      <c r="AG17" s="133">
        <f>AG14</f>
        <v>4.1999999999999997E-3</v>
      </c>
      <c r="AH17" s="29">
        <f t="shared" si="12"/>
        <v>5.9051999999999998</v>
      </c>
      <c r="AI17" s="110">
        <f>AI14</f>
        <v>2.9999999999999997E-4</v>
      </c>
      <c r="AJ17" s="29">
        <f t="shared" si="13"/>
        <v>0.42179999999999995</v>
      </c>
      <c r="AK17" s="110">
        <v>3.2000000000000001E-2</v>
      </c>
      <c r="AL17" s="29">
        <f t="shared" si="14"/>
        <v>44.992000000000004</v>
      </c>
      <c r="AM17" s="110">
        <f>AM14</f>
        <v>1.9400000000000001E-2</v>
      </c>
      <c r="AN17" s="29">
        <f t="shared" si="15"/>
        <v>27.276400000000002</v>
      </c>
      <c r="AO17" s="134">
        <f>AO14</f>
        <v>7.2000000000000005E-4</v>
      </c>
      <c r="AP17" s="29">
        <f t="shared" si="16"/>
        <v>1.0123200000000001</v>
      </c>
      <c r="AQ17" s="110">
        <f>AQ14</f>
        <v>1E-3</v>
      </c>
      <c r="AR17" s="36">
        <f t="shared" si="17"/>
        <v>1.4060000000000001</v>
      </c>
      <c r="AS17" s="115">
        <f>AS14</f>
        <v>8.0000000000000004E-4</v>
      </c>
      <c r="AT17" s="29">
        <f t="shared" si="18"/>
        <v>1.1248</v>
      </c>
      <c r="AU17" s="110">
        <f>AU14</f>
        <v>2.0000000000000001E-4</v>
      </c>
      <c r="AV17" s="35">
        <f t="shared" si="19"/>
        <v>0.28120000000000001</v>
      </c>
      <c r="AW17" s="110">
        <f>AW14</f>
        <v>4.0000000000000002E-4</v>
      </c>
      <c r="AX17" s="35">
        <f t="shared" si="20"/>
        <v>0.56240000000000001</v>
      </c>
      <c r="AY17" s="110">
        <f>AY14</f>
        <v>6.9999999999999999E-4</v>
      </c>
      <c r="AZ17" s="35">
        <f t="shared" si="21"/>
        <v>0.98419999999999996</v>
      </c>
      <c r="BA17" s="110">
        <f>BA14</f>
        <v>9.4100000000000003E-2</v>
      </c>
      <c r="BB17" s="34">
        <f t="shared" si="22"/>
        <v>132.30459999999999</v>
      </c>
      <c r="BC17" s="114">
        <f>BC14</f>
        <v>0</v>
      </c>
      <c r="BD17" s="31">
        <f t="shared" si="23"/>
        <v>0</v>
      </c>
      <c r="BE17" s="32">
        <f>IF(E17=0,0,'Uniformes '!$K$70)</f>
        <v>62.115000000000002</v>
      </c>
      <c r="BF17" s="33">
        <f>IF(E17=0,0,custoEPI_huol!$M$129)</f>
        <v>0</v>
      </c>
      <c r="BG17" s="29">
        <f>IF(OR(Radios!$B$9=B17,Radios!$B$10=B17,Radios!$B$11=B17,Radios!$B$12=B17,Radios!$B$13=B17,Radios!$B$14=B17,Radios!$B$15=B17,Radios!$B$16=B17),Radios!$I$18,0)</f>
        <v>0</v>
      </c>
      <c r="BH17" s="184">
        <v>0</v>
      </c>
      <c r="BI17" s="117">
        <v>0.06</v>
      </c>
      <c r="BJ17" s="29">
        <f t="shared" si="24"/>
        <v>168.5560211184</v>
      </c>
      <c r="BK17" s="114">
        <v>6.7900000000000002E-2</v>
      </c>
      <c r="BL17" s="27">
        <f t="shared" si="25"/>
        <v>202.19418439959537</v>
      </c>
      <c r="BM17" s="115">
        <f>BM14</f>
        <v>9.2499999999999999E-2</v>
      </c>
      <c r="BN17" s="29">
        <f t="shared" si="26"/>
        <v>343.03392797039606</v>
      </c>
      <c r="BO17" s="118">
        <f>BO14</f>
        <v>0</v>
      </c>
      <c r="BP17" s="27">
        <f t="shared" si="27"/>
        <v>0</v>
      </c>
      <c r="BQ17" s="110">
        <f>BQ14</f>
        <v>0.05</v>
      </c>
      <c r="BR17" s="27">
        <f t="shared" si="28"/>
        <v>185.42374484886275</v>
      </c>
      <c r="BS17" s="40">
        <f t="shared" si="31"/>
        <v>3708.474896977255</v>
      </c>
    </row>
    <row r="18" spans="1:71" s="8" customFormat="1" ht="15" customHeight="1" x14ac:dyDescent="0.25">
      <c r="A18" s="14" t="s">
        <v>116</v>
      </c>
      <c r="B18" s="14" t="str">
        <f>'planilha - proposta'!C37</f>
        <v>Cozinheiro Hospitalar</v>
      </c>
      <c r="C18" s="14" t="str">
        <f>'planilha - proposta'!D37</f>
        <v>Cozinheiro Hospitalar - 12x36d</v>
      </c>
      <c r="D18" s="19" t="str">
        <f>'planilha - proposta'!B37</f>
        <v>5132-20</v>
      </c>
      <c r="E18" s="30">
        <f>'planilha - proposta'!E37</f>
        <v>12</v>
      </c>
      <c r="F18" s="136">
        <v>1197</v>
      </c>
      <c r="G18" s="105" t="s">
        <v>117</v>
      </c>
      <c r="H18" s="132">
        <v>43599</v>
      </c>
      <c r="I18" s="107">
        <v>1197</v>
      </c>
      <c r="J18" s="108"/>
      <c r="K18" s="125">
        <f t="shared" si="0"/>
        <v>0</v>
      </c>
      <c r="L18" s="108">
        <v>0.2</v>
      </c>
      <c r="M18" s="35">
        <f t="shared" si="1"/>
        <v>209</v>
      </c>
      <c r="N18" s="109">
        <v>0</v>
      </c>
      <c r="O18" s="37">
        <f t="shared" si="2"/>
        <v>117.1198</v>
      </c>
      <c r="P18" s="35">
        <f t="shared" si="29"/>
        <v>156.17848000000001</v>
      </c>
      <c r="Q18" s="31">
        <f t="shared" si="3"/>
        <v>92.374818640000001</v>
      </c>
      <c r="R18" s="23">
        <f t="shared" si="4"/>
        <v>281.2</v>
      </c>
      <c r="S18" s="35">
        <f t="shared" si="5"/>
        <v>35.15</v>
      </c>
      <c r="T18" s="110"/>
      <c r="U18" s="35">
        <f t="shared" si="6"/>
        <v>0</v>
      </c>
      <c r="V18" s="35">
        <f t="shared" si="7"/>
        <v>21.09</v>
      </c>
      <c r="W18" s="35">
        <f t="shared" si="8"/>
        <v>14.06</v>
      </c>
      <c r="X18" s="35">
        <f t="shared" si="9"/>
        <v>8.4359999999999999</v>
      </c>
      <c r="Y18" s="35">
        <f t="shared" si="10"/>
        <v>2.8120000000000003</v>
      </c>
      <c r="Z18" s="34">
        <f t="shared" si="11"/>
        <v>112.48</v>
      </c>
      <c r="AA18" s="111">
        <f t="shared" si="30"/>
        <v>52.680000000000021</v>
      </c>
      <c r="AB18" s="112">
        <v>140</v>
      </c>
      <c r="AC18" s="112">
        <v>0</v>
      </c>
      <c r="AD18" s="112">
        <v>0</v>
      </c>
      <c r="AE18" s="112">
        <v>0</v>
      </c>
      <c r="AF18" s="113">
        <v>0</v>
      </c>
      <c r="AG18" s="133">
        <v>4.1999999999999997E-3</v>
      </c>
      <c r="AH18" s="29">
        <f t="shared" si="12"/>
        <v>5.9051999999999998</v>
      </c>
      <c r="AI18" s="110">
        <v>2.9999999999999997E-4</v>
      </c>
      <c r="AJ18" s="29">
        <f t="shared" si="13"/>
        <v>0.42179999999999995</v>
      </c>
      <c r="AK18" s="110">
        <v>3.2000000000000001E-2</v>
      </c>
      <c r="AL18" s="29">
        <f t="shared" si="14"/>
        <v>44.992000000000004</v>
      </c>
      <c r="AM18" s="110">
        <v>1.9400000000000001E-2</v>
      </c>
      <c r="AN18" s="29">
        <f t="shared" si="15"/>
        <v>27.276400000000002</v>
      </c>
      <c r="AO18" s="134">
        <v>7.2000000000000005E-4</v>
      </c>
      <c r="AP18" s="29">
        <f t="shared" si="16"/>
        <v>1.0123200000000001</v>
      </c>
      <c r="AQ18" s="110">
        <v>1E-3</v>
      </c>
      <c r="AR18" s="36">
        <f t="shared" si="17"/>
        <v>1.4060000000000001</v>
      </c>
      <c r="AS18" s="115">
        <v>8.0000000000000004E-4</v>
      </c>
      <c r="AT18" s="29">
        <f t="shared" si="18"/>
        <v>1.1248</v>
      </c>
      <c r="AU18" s="110">
        <v>2.0000000000000001E-4</v>
      </c>
      <c r="AV18" s="35">
        <f t="shared" si="19"/>
        <v>0.28120000000000001</v>
      </c>
      <c r="AW18" s="110">
        <v>4.0000000000000002E-4</v>
      </c>
      <c r="AX18" s="35">
        <f t="shared" si="20"/>
        <v>0.56240000000000001</v>
      </c>
      <c r="AY18" s="110">
        <v>6.9999999999999999E-4</v>
      </c>
      <c r="AZ18" s="35">
        <f t="shared" si="21"/>
        <v>0.98419999999999996</v>
      </c>
      <c r="BA18" s="110">
        <v>9.4100000000000003E-2</v>
      </c>
      <c r="BB18" s="34">
        <f t="shared" si="22"/>
        <v>132.30459999999999</v>
      </c>
      <c r="BC18" s="114">
        <v>0</v>
      </c>
      <c r="BD18" s="31">
        <f t="shared" si="23"/>
        <v>0</v>
      </c>
      <c r="BE18" s="32">
        <f>IF(E18=0,0,'Uniformes '!$K$120)</f>
        <v>55.571666666666665</v>
      </c>
      <c r="BF18" s="33">
        <f>IF(E18=0,0,custoEPI_huol!$M$229)</f>
        <v>0</v>
      </c>
      <c r="BG18" s="29">
        <f>IF(OR(Radios!$B$9=B18,Radios!$B$10=B18,Radios!$B$11=B18,Radios!$B$12=B18,Radios!$B$13=B18,Radios!$B$14=B18,Radios!$B$15=B18,Radios!$B$16=B18),Radios!$I$18,0)</f>
        <v>0</v>
      </c>
      <c r="BH18" s="184">
        <v>0</v>
      </c>
      <c r="BI18" s="117">
        <v>0.06</v>
      </c>
      <c r="BJ18" s="29">
        <f t="shared" si="24"/>
        <v>162.6854211184</v>
      </c>
      <c r="BK18" s="114">
        <v>6.7900000000000002E-2</v>
      </c>
      <c r="BL18" s="27">
        <f t="shared" si="25"/>
        <v>195.15200832626203</v>
      </c>
      <c r="BM18" s="115">
        <v>9.2499999999999999E-2</v>
      </c>
      <c r="BN18" s="29">
        <f t="shared" si="26"/>
        <v>331.08647593527462</v>
      </c>
      <c r="BO18" s="118">
        <v>0</v>
      </c>
      <c r="BP18" s="27">
        <f t="shared" si="27"/>
        <v>0</v>
      </c>
      <c r="BQ18" s="110">
        <v>0.05</v>
      </c>
      <c r="BR18" s="27">
        <f t="shared" si="28"/>
        <v>178.965662667716</v>
      </c>
      <c r="BS18" s="40">
        <f t="shared" si="31"/>
        <v>3579.3132533543194</v>
      </c>
    </row>
    <row r="19" spans="1:71" s="8" customFormat="1" ht="15" customHeight="1" x14ac:dyDescent="0.25">
      <c r="A19" s="14" t="s">
        <v>118</v>
      </c>
      <c r="B19" s="14" t="str">
        <f>'planilha - proposta'!C38</f>
        <v>Cozinheiro Hospitalar</v>
      </c>
      <c r="C19" s="14" t="str">
        <f>'planilha - proposta'!D38</f>
        <v>Cozinheiro Hospitalar - 12x36n</v>
      </c>
      <c r="D19" s="19" t="str">
        <f>'planilha - proposta'!B38</f>
        <v>5132-20</v>
      </c>
      <c r="E19" s="30">
        <f>'planilha - proposta'!E38</f>
        <v>2</v>
      </c>
      <c r="F19" s="136">
        <v>1197</v>
      </c>
      <c r="G19" s="105" t="s">
        <v>119</v>
      </c>
      <c r="H19" s="132">
        <v>43599</v>
      </c>
      <c r="I19" s="107">
        <f>F19*1.25</f>
        <v>1496.25</v>
      </c>
      <c r="J19" s="108"/>
      <c r="K19" s="125">
        <f t="shared" si="0"/>
        <v>0</v>
      </c>
      <c r="L19" s="108">
        <v>0.2</v>
      </c>
      <c r="M19" s="35">
        <f t="shared" si="1"/>
        <v>209</v>
      </c>
      <c r="N19" s="109">
        <v>0</v>
      </c>
      <c r="O19" s="37">
        <f t="shared" si="2"/>
        <v>142.047325</v>
      </c>
      <c r="P19" s="35">
        <f t="shared" si="29"/>
        <v>189.41917000000001</v>
      </c>
      <c r="Q19" s="31">
        <f t="shared" si="3"/>
        <v>112.03567531000002</v>
      </c>
      <c r="R19" s="23">
        <f t="shared" si="4"/>
        <v>341.05</v>
      </c>
      <c r="S19" s="35">
        <f t="shared" si="5"/>
        <v>42.631250000000001</v>
      </c>
      <c r="T19" s="110"/>
      <c r="U19" s="35">
        <f t="shared" si="6"/>
        <v>0</v>
      </c>
      <c r="V19" s="35">
        <f t="shared" si="7"/>
        <v>25.578749999999999</v>
      </c>
      <c r="W19" s="35">
        <f t="shared" si="8"/>
        <v>17.052500000000002</v>
      </c>
      <c r="X19" s="35">
        <f t="shared" si="9"/>
        <v>10.2315</v>
      </c>
      <c r="Y19" s="35">
        <f t="shared" si="10"/>
        <v>3.4104999999999999</v>
      </c>
      <c r="Z19" s="34">
        <f t="shared" si="11"/>
        <v>136.42000000000002</v>
      </c>
      <c r="AA19" s="111">
        <f t="shared" si="30"/>
        <v>52.680000000000021</v>
      </c>
      <c r="AB19" s="112">
        <v>140</v>
      </c>
      <c r="AC19" s="112">
        <v>0</v>
      </c>
      <c r="AD19" s="112">
        <v>0</v>
      </c>
      <c r="AE19" s="112">
        <v>0</v>
      </c>
      <c r="AF19" s="113">
        <v>0</v>
      </c>
      <c r="AG19" s="133">
        <v>4.1999999999999997E-3</v>
      </c>
      <c r="AH19" s="29">
        <f t="shared" si="12"/>
        <v>7.1620499999999998</v>
      </c>
      <c r="AI19" s="110">
        <v>2.9999999999999997E-4</v>
      </c>
      <c r="AJ19" s="29">
        <f t="shared" si="13"/>
        <v>0.511575</v>
      </c>
      <c r="AK19" s="110">
        <v>3.2000000000000001E-2</v>
      </c>
      <c r="AL19" s="29">
        <f t="shared" si="14"/>
        <v>54.567999999999998</v>
      </c>
      <c r="AM19" s="110">
        <v>1.9400000000000001E-2</v>
      </c>
      <c r="AN19" s="29">
        <f t="shared" si="15"/>
        <v>33.081850000000003</v>
      </c>
      <c r="AO19" s="134">
        <v>7.2000000000000005E-4</v>
      </c>
      <c r="AP19" s="29">
        <f t="shared" si="16"/>
        <v>1.2277800000000001</v>
      </c>
      <c r="AQ19" s="110">
        <v>1E-3</v>
      </c>
      <c r="AR19" s="36">
        <f t="shared" si="17"/>
        <v>1.7052499999999999</v>
      </c>
      <c r="AS19" s="115">
        <v>8.0000000000000004E-4</v>
      </c>
      <c r="AT19" s="29">
        <f t="shared" si="18"/>
        <v>1.3642000000000001</v>
      </c>
      <c r="AU19" s="110">
        <v>2.0000000000000001E-4</v>
      </c>
      <c r="AV19" s="35">
        <f t="shared" si="19"/>
        <v>0.34105000000000002</v>
      </c>
      <c r="AW19" s="110">
        <v>4.0000000000000002E-4</v>
      </c>
      <c r="AX19" s="35">
        <f t="shared" si="20"/>
        <v>0.68210000000000004</v>
      </c>
      <c r="AY19" s="110">
        <v>6.9999999999999999E-4</v>
      </c>
      <c r="AZ19" s="35">
        <f t="shared" si="21"/>
        <v>1.193675</v>
      </c>
      <c r="BA19" s="110">
        <v>9.4100000000000003E-2</v>
      </c>
      <c r="BB19" s="34">
        <f t="shared" si="22"/>
        <v>160.46402499999999</v>
      </c>
      <c r="BC19" s="114">
        <v>0</v>
      </c>
      <c r="BD19" s="31">
        <f t="shared" si="23"/>
        <v>0</v>
      </c>
      <c r="BE19" s="32">
        <f>IF(E19=0,0,'Uniformes '!$K$120)</f>
        <v>55.571666666666665</v>
      </c>
      <c r="BF19" s="33">
        <f>IF(E19=0,0,custoEPI_huol!$M$229)</f>
        <v>0</v>
      </c>
      <c r="BG19" s="29">
        <f>IF(OR(Radios!$B$9=B19,Radios!$B$10=B19,Radios!$B$11=B19,Radios!$B$12=B19,Radios!$B$13=B19,Radios!$B$14=B19,Radios!$B$15=B19,Radios!$B$16=B19),Radios!$I$18,0)</f>
        <v>0</v>
      </c>
      <c r="BH19" s="184">
        <v>0</v>
      </c>
      <c r="BI19" s="117">
        <v>0.06</v>
      </c>
      <c r="BJ19" s="29">
        <f t="shared" si="24"/>
        <v>194.14079351860002</v>
      </c>
      <c r="BK19" s="114">
        <v>6.7900000000000002E-2</v>
      </c>
      <c r="BL19" s="27">
        <f t="shared" si="25"/>
        <v>232.88482454512862</v>
      </c>
      <c r="BM19" s="115">
        <v>9.2499999999999999E-2</v>
      </c>
      <c r="BN19" s="29">
        <f t="shared" si="26"/>
        <v>395.10234364867239</v>
      </c>
      <c r="BO19" s="118">
        <v>0</v>
      </c>
      <c r="BP19" s="27">
        <f t="shared" si="27"/>
        <v>0</v>
      </c>
      <c r="BQ19" s="110">
        <v>0.05</v>
      </c>
      <c r="BR19" s="27">
        <f t="shared" si="28"/>
        <v>213.56883440468783</v>
      </c>
      <c r="BS19" s="40">
        <f t="shared" si="31"/>
        <v>4271.3766880937555</v>
      </c>
    </row>
    <row r="20" spans="1:71" s="8" customFormat="1" ht="15" hidden="1" customHeight="1" x14ac:dyDescent="0.25">
      <c r="A20" s="14"/>
      <c r="B20" s="14" t="str">
        <f>'planilha - proposta'!C39</f>
        <v>Cozinheiro Hospitalar</v>
      </c>
      <c r="C20" s="14" t="str">
        <f>'planilha - proposta'!D39</f>
        <v>Cozinheiro Hospitalar - 44h</v>
      </c>
      <c r="D20" s="19" t="str">
        <f>'planilha - proposta'!B39</f>
        <v>5132-20</v>
      </c>
      <c r="E20" s="30">
        <f>'planilha - proposta'!E39</f>
        <v>0</v>
      </c>
      <c r="F20" s="136"/>
      <c r="G20" s="105" t="s">
        <v>120</v>
      </c>
      <c r="H20" s="132">
        <v>43602</v>
      </c>
      <c r="I20" s="107"/>
      <c r="J20" s="108"/>
      <c r="K20" s="125">
        <f t="shared" si="0"/>
        <v>0</v>
      </c>
      <c r="L20" s="108"/>
      <c r="M20" s="35">
        <f t="shared" si="1"/>
        <v>0</v>
      </c>
      <c r="N20" s="109"/>
      <c r="O20" s="37">
        <f t="shared" si="2"/>
        <v>0</v>
      </c>
      <c r="P20" s="35">
        <f t="shared" si="29"/>
        <v>0</v>
      </c>
      <c r="Q20" s="31">
        <f t="shared" si="3"/>
        <v>0</v>
      </c>
      <c r="R20" s="23">
        <f t="shared" si="4"/>
        <v>0</v>
      </c>
      <c r="S20" s="35">
        <f t="shared" si="5"/>
        <v>0</v>
      </c>
      <c r="T20" s="110"/>
      <c r="U20" s="35">
        <f t="shared" si="6"/>
        <v>0</v>
      </c>
      <c r="V20" s="35">
        <f t="shared" si="7"/>
        <v>0</v>
      </c>
      <c r="W20" s="35">
        <f t="shared" si="8"/>
        <v>0</v>
      </c>
      <c r="X20" s="35">
        <f t="shared" si="9"/>
        <v>0</v>
      </c>
      <c r="Y20" s="35">
        <f t="shared" si="10"/>
        <v>0</v>
      </c>
      <c r="Z20" s="34">
        <f t="shared" si="11"/>
        <v>0</v>
      </c>
      <c r="AA20" s="111"/>
      <c r="AB20" s="112"/>
      <c r="AC20" s="112"/>
      <c r="AD20" s="112"/>
      <c r="AE20" s="112"/>
      <c r="AF20" s="113"/>
      <c r="AG20" s="133"/>
      <c r="AH20" s="29">
        <f t="shared" si="12"/>
        <v>0</v>
      </c>
      <c r="AI20" s="110"/>
      <c r="AJ20" s="29">
        <f t="shared" si="13"/>
        <v>0</v>
      </c>
      <c r="AK20" s="110">
        <v>3.2000000000000001E-2</v>
      </c>
      <c r="AL20" s="29">
        <f t="shared" si="14"/>
        <v>0</v>
      </c>
      <c r="AM20" s="110"/>
      <c r="AN20" s="29">
        <f t="shared" si="15"/>
        <v>0</v>
      </c>
      <c r="AO20" s="134"/>
      <c r="AP20" s="29">
        <f t="shared" si="16"/>
        <v>0</v>
      </c>
      <c r="AQ20" s="110"/>
      <c r="AR20" s="36">
        <f t="shared" si="17"/>
        <v>0</v>
      </c>
      <c r="AS20" s="115"/>
      <c r="AT20" s="29">
        <f t="shared" si="18"/>
        <v>0</v>
      </c>
      <c r="AU20" s="110"/>
      <c r="AV20" s="35">
        <f t="shared" si="19"/>
        <v>0</v>
      </c>
      <c r="AW20" s="110"/>
      <c r="AX20" s="35">
        <f t="shared" si="20"/>
        <v>0</v>
      </c>
      <c r="AY20" s="110"/>
      <c r="AZ20" s="35">
        <f t="shared" si="21"/>
        <v>0</v>
      </c>
      <c r="BA20" s="110"/>
      <c r="BB20" s="34">
        <f t="shared" si="22"/>
        <v>0</v>
      </c>
      <c r="BC20" s="114"/>
      <c r="BD20" s="31">
        <f t="shared" si="23"/>
        <v>0</v>
      </c>
      <c r="BE20" s="32">
        <f>IF(E20=0,0,'Uniformes '!$K$120)</f>
        <v>0</v>
      </c>
      <c r="BF20" s="33">
        <f>IF(E20=0,0,custoEPI_huol!$M$229)</f>
        <v>0</v>
      </c>
      <c r="BG20" s="29">
        <f>IF(OR(Radios!$B$9=B20,Radios!$B$10=B20,Radios!$B$11=B20,Radios!$B$12=B20,Radios!$B$13=B20,Radios!$B$14=B20,Radios!$B$15=B20,Radios!$B$16=B20),Radios!$I$18,0)</f>
        <v>0</v>
      </c>
      <c r="BH20" s="184"/>
      <c r="BI20" s="117">
        <v>0.06</v>
      </c>
      <c r="BJ20" s="29">
        <f t="shared" si="24"/>
        <v>0</v>
      </c>
      <c r="BK20" s="114">
        <v>6.7900000000000002E-2</v>
      </c>
      <c r="BL20" s="27">
        <f t="shared" si="25"/>
        <v>0</v>
      </c>
      <c r="BM20" s="115"/>
      <c r="BN20" s="29">
        <f t="shared" si="26"/>
        <v>0</v>
      </c>
      <c r="BO20" s="118"/>
      <c r="BP20" s="27">
        <f t="shared" si="27"/>
        <v>0</v>
      </c>
      <c r="BQ20" s="110"/>
      <c r="BR20" s="27">
        <f t="shared" si="28"/>
        <v>0</v>
      </c>
      <c r="BS20" s="40">
        <f t="shared" si="31"/>
        <v>0</v>
      </c>
    </row>
    <row r="21" spans="1:71" s="8" customFormat="1" ht="15" customHeight="1" x14ac:dyDescent="0.25">
      <c r="A21" s="14" t="s">
        <v>121</v>
      </c>
      <c r="B21" s="14" t="str">
        <f>'planilha - proposta'!C40</f>
        <v>Despenseiro/Armazenista</v>
      </c>
      <c r="C21" s="14" t="str">
        <f>'planilha - proposta'!D40</f>
        <v>Despenseiro/Armazenista - 12x36d</v>
      </c>
      <c r="D21" s="19" t="str">
        <f>'planilha - proposta'!B40</f>
        <v>4141-10</v>
      </c>
      <c r="E21" s="30">
        <f>'planilha - proposta'!E40</f>
        <v>2</v>
      </c>
      <c r="F21" s="136">
        <v>1202</v>
      </c>
      <c r="G21" s="105" t="s">
        <v>122</v>
      </c>
      <c r="H21" s="132">
        <v>43599</v>
      </c>
      <c r="I21" s="107">
        <v>1202</v>
      </c>
      <c r="J21" s="108"/>
      <c r="K21" s="125">
        <f t="shared" si="0"/>
        <v>0</v>
      </c>
      <c r="L21" s="108">
        <v>0.2</v>
      </c>
      <c r="M21" s="35">
        <f t="shared" si="1"/>
        <v>209</v>
      </c>
      <c r="N21" s="109">
        <v>0</v>
      </c>
      <c r="O21" s="37">
        <f t="shared" si="2"/>
        <v>117.5363</v>
      </c>
      <c r="P21" s="35">
        <f t="shared" si="29"/>
        <v>156.73388</v>
      </c>
      <c r="Q21" s="31">
        <f t="shared" si="3"/>
        <v>92.703320840000003</v>
      </c>
      <c r="R21" s="23">
        <f t="shared" si="4"/>
        <v>282.2</v>
      </c>
      <c r="S21" s="35">
        <f t="shared" si="5"/>
        <v>35.274999999999999</v>
      </c>
      <c r="T21" s="110"/>
      <c r="U21" s="35">
        <f t="shared" si="6"/>
        <v>0</v>
      </c>
      <c r="V21" s="35">
        <f t="shared" si="7"/>
        <v>21.164999999999999</v>
      </c>
      <c r="W21" s="35">
        <f t="shared" si="8"/>
        <v>14.11</v>
      </c>
      <c r="X21" s="35">
        <f t="shared" si="9"/>
        <v>8.4659999999999993</v>
      </c>
      <c r="Y21" s="35">
        <f t="shared" si="10"/>
        <v>2.8220000000000001</v>
      </c>
      <c r="Z21" s="34">
        <f t="shared" si="11"/>
        <v>112.88</v>
      </c>
      <c r="AA21" s="111">
        <f t="shared" si="30"/>
        <v>52.380000000000024</v>
      </c>
      <c r="AB21" s="112">
        <v>140</v>
      </c>
      <c r="AC21" s="112">
        <v>0</v>
      </c>
      <c r="AD21" s="112">
        <v>0</v>
      </c>
      <c r="AE21" s="112">
        <v>0</v>
      </c>
      <c r="AF21" s="113">
        <v>0</v>
      </c>
      <c r="AG21" s="133">
        <v>4.1999999999999997E-3</v>
      </c>
      <c r="AH21" s="29">
        <f t="shared" si="12"/>
        <v>5.9261999999999997</v>
      </c>
      <c r="AI21" s="110">
        <v>2.9999999999999997E-4</v>
      </c>
      <c r="AJ21" s="29">
        <f t="shared" si="13"/>
        <v>0.42329999999999995</v>
      </c>
      <c r="AK21" s="110">
        <v>3.2000000000000001E-2</v>
      </c>
      <c r="AL21" s="29">
        <f t="shared" si="14"/>
        <v>45.152000000000001</v>
      </c>
      <c r="AM21" s="110">
        <v>1.9400000000000001E-2</v>
      </c>
      <c r="AN21" s="29">
        <f t="shared" si="15"/>
        <v>27.3734</v>
      </c>
      <c r="AO21" s="134">
        <v>7.2000000000000005E-4</v>
      </c>
      <c r="AP21" s="29">
        <f t="shared" si="16"/>
        <v>1.0159200000000002</v>
      </c>
      <c r="AQ21" s="110">
        <v>1E-3</v>
      </c>
      <c r="AR21" s="36">
        <f t="shared" si="17"/>
        <v>1.411</v>
      </c>
      <c r="AS21" s="115">
        <v>8.0000000000000004E-4</v>
      </c>
      <c r="AT21" s="29">
        <f t="shared" si="18"/>
        <v>1.1288</v>
      </c>
      <c r="AU21" s="110">
        <v>2.0000000000000001E-4</v>
      </c>
      <c r="AV21" s="35">
        <f t="shared" si="19"/>
        <v>0.28220000000000001</v>
      </c>
      <c r="AW21" s="110">
        <v>4.0000000000000002E-4</v>
      </c>
      <c r="AX21" s="35">
        <f t="shared" si="20"/>
        <v>0.56440000000000001</v>
      </c>
      <c r="AY21" s="110">
        <v>6.9999999999999999E-4</v>
      </c>
      <c r="AZ21" s="35">
        <f t="shared" si="21"/>
        <v>0.98770000000000002</v>
      </c>
      <c r="BA21" s="110">
        <v>9.4100000000000003E-2</v>
      </c>
      <c r="BB21" s="34">
        <f t="shared" si="22"/>
        <v>132.77510000000001</v>
      </c>
      <c r="BC21" s="114">
        <v>0</v>
      </c>
      <c r="BD21" s="31">
        <f t="shared" si="23"/>
        <v>0</v>
      </c>
      <c r="BE21" s="32">
        <f>IF(E21=0,0,'Uniformes '!$K$132)</f>
        <v>46.331666666666671</v>
      </c>
      <c r="BF21" s="33">
        <f>IF(E21=0,0,custoEPI_huol!$M$254)</f>
        <v>0</v>
      </c>
      <c r="BG21" s="29">
        <f>IF(OR(Radios!$B$9=B21,Radios!$B$10=B21,Radios!$B$11=B21,Radios!$B$12=B21,Radios!$B$13=B21,Radios!$B$14=B21,Radios!$B$15=B21,Radios!$B$16=B21),Radios!$I$18,0)</f>
        <v>0</v>
      </c>
      <c r="BH21" s="184">
        <v>0</v>
      </c>
      <c r="BI21" s="117">
        <v>0.06</v>
      </c>
      <c r="BJ21" s="29">
        <f t="shared" si="24"/>
        <v>162.6385912504</v>
      </c>
      <c r="BK21" s="114">
        <v>6.7900000000000002E-2</v>
      </c>
      <c r="BL21" s="27">
        <f t="shared" si="25"/>
        <v>195.09583277760487</v>
      </c>
      <c r="BM21" s="115">
        <v>9.2499999999999999E-2</v>
      </c>
      <c r="BN21" s="29">
        <f t="shared" si="26"/>
        <v>330.99117092356516</v>
      </c>
      <c r="BO21" s="118">
        <v>0</v>
      </c>
      <c r="BP21" s="27">
        <f t="shared" si="27"/>
        <v>0</v>
      </c>
      <c r="BQ21" s="110">
        <v>0.05</v>
      </c>
      <c r="BR21" s="27">
        <f t="shared" si="28"/>
        <v>178.91414644517039</v>
      </c>
      <c r="BS21" s="40">
        <f t="shared" si="31"/>
        <v>3578.2829289034075</v>
      </c>
    </row>
    <row r="22" spans="1:71" s="8" customFormat="1" ht="15" hidden="1" customHeight="1" x14ac:dyDescent="0.25">
      <c r="A22" s="14"/>
      <c r="B22" s="14" t="str">
        <f>'planilha - proposta'!C41</f>
        <v>Despenseiro/Armazenista</v>
      </c>
      <c r="C22" s="14" t="str">
        <f>'planilha - proposta'!D41</f>
        <v>Despenseiro/Armazenista - 12x36n</v>
      </c>
      <c r="D22" s="19" t="str">
        <f>'planilha - proposta'!B41</f>
        <v>4141-10</v>
      </c>
      <c r="E22" s="30">
        <f>'planilha - proposta'!E41</f>
        <v>0</v>
      </c>
      <c r="F22" s="136"/>
      <c r="G22" s="105" t="s">
        <v>123</v>
      </c>
      <c r="H22" s="132">
        <v>43604</v>
      </c>
      <c r="I22" s="107"/>
      <c r="J22" s="108"/>
      <c r="K22" s="125">
        <f t="shared" si="0"/>
        <v>0</v>
      </c>
      <c r="L22" s="108"/>
      <c r="M22" s="35">
        <f t="shared" si="1"/>
        <v>0</v>
      </c>
      <c r="N22" s="109"/>
      <c r="O22" s="37">
        <f t="shared" si="2"/>
        <v>0</v>
      </c>
      <c r="P22" s="35">
        <f t="shared" si="29"/>
        <v>0</v>
      </c>
      <c r="Q22" s="31">
        <f t="shared" si="3"/>
        <v>0</v>
      </c>
      <c r="R22" s="23">
        <f t="shared" si="4"/>
        <v>0</v>
      </c>
      <c r="S22" s="35">
        <f t="shared" si="5"/>
        <v>0</v>
      </c>
      <c r="T22" s="110"/>
      <c r="U22" s="35">
        <f t="shared" si="6"/>
        <v>0</v>
      </c>
      <c r="V22" s="35">
        <f t="shared" si="7"/>
        <v>0</v>
      </c>
      <c r="W22" s="35">
        <f t="shared" si="8"/>
        <v>0</v>
      </c>
      <c r="X22" s="35">
        <f t="shared" si="9"/>
        <v>0</v>
      </c>
      <c r="Y22" s="35">
        <f t="shared" si="10"/>
        <v>0</v>
      </c>
      <c r="Z22" s="34">
        <f t="shared" si="11"/>
        <v>0</v>
      </c>
      <c r="AA22" s="111"/>
      <c r="AB22" s="112"/>
      <c r="AC22" s="112"/>
      <c r="AD22" s="112"/>
      <c r="AE22" s="112"/>
      <c r="AF22" s="113"/>
      <c r="AG22" s="133"/>
      <c r="AH22" s="29">
        <f t="shared" si="12"/>
        <v>0</v>
      </c>
      <c r="AI22" s="110"/>
      <c r="AJ22" s="29">
        <f t="shared" si="13"/>
        <v>0</v>
      </c>
      <c r="AK22" s="110">
        <v>3.2000000000000001E-2</v>
      </c>
      <c r="AL22" s="29">
        <f t="shared" si="14"/>
        <v>0</v>
      </c>
      <c r="AM22" s="110"/>
      <c r="AN22" s="29">
        <f t="shared" si="15"/>
        <v>0</v>
      </c>
      <c r="AO22" s="134"/>
      <c r="AP22" s="29">
        <f t="shared" si="16"/>
        <v>0</v>
      </c>
      <c r="AQ22" s="110"/>
      <c r="AR22" s="36">
        <f t="shared" si="17"/>
        <v>0</v>
      </c>
      <c r="AS22" s="115"/>
      <c r="AT22" s="29">
        <f t="shared" si="18"/>
        <v>0</v>
      </c>
      <c r="AU22" s="110"/>
      <c r="AV22" s="35">
        <f t="shared" si="19"/>
        <v>0</v>
      </c>
      <c r="AW22" s="110"/>
      <c r="AX22" s="35">
        <f t="shared" si="20"/>
        <v>0</v>
      </c>
      <c r="AY22" s="110"/>
      <c r="AZ22" s="35">
        <f t="shared" si="21"/>
        <v>0</v>
      </c>
      <c r="BA22" s="110"/>
      <c r="BB22" s="34">
        <f t="shared" si="22"/>
        <v>0</v>
      </c>
      <c r="BC22" s="114"/>
      <c r="BD22" s="31">
        <f t="shared" si="23"/>
        <v>0</v>
      </c>
      <c r="BE22" s="32">
        <f>IF(E22=0,0,'Uniformes '!$K$132)</f>
        <v>0</v>
      </c>
      <c r="BF22" s="33">
        <f>IF(E22=0,0,custoEPI_huol!$M$254)</f>
        <v>0</v>
      </c>
      <c r="BG22" s="29">
        <f>IF(OR(Radios!$B$9=B22,Radios!$B$10=B22,Radios!$B$11=B22,Radios!$B$12=B22,Radios!$B$13=B22,Radios!$B$14=B22,Radios!$B$15=B22,Radios!$B$16=B22),Radios!$I$18,0)</f>
        <v>0</v>
      </c>
      <c r="BH22" s="184"/>
      <c r="BI22" s="117">
        <v>0.06</v>
      </c>
      <c r="BJ22" s="29">
        <f t="shared" si="24"/>
        <v>0</v>
      </c>
      <c r="BK22" s="114">
        <v>6.7900000000000002E-2</v>
      </c>
      <c r="BL22" s="27">
        <f t="shared" si="25"/>
        <v>0</v>
      </c>
      <c r="BM22" s="115"/>
      <c r="BN22" s="29">
        <f t="shared" si="26"/>
        <v>0</v>
      </c>
      <c r="BO22" s="118"/>
      <c r="BP22" s="27">
        <f t="shared" si="27"/>
        <v>0</v>
      </c>
      <c r="BQ22" s="110"/>
      <c r="BR22" s="27">
        <f t="shared" si="28"/>
        <v>0</v>
      </c>
      <c r="BS22" s="40">
        <f t="shared" si="31"/>
        <v>0</v>
      </c>
    </row>
    <row r="23" spans="1:71" s="8" customFormat="1" ht="15" hidden="1" customHeight="1" x14ac:dyDescent="0.25">
      <c r="A23" s="14"/>
      <c r="B23" s="14" t="str">
        <f>'planilha - proposta'!C42</f>
        <v>Despenseiro/Armazenista</v>
      </c>
      <c r="C23" s="14" t="str">
        <f>'planilha - proposta'!D42</f>
        <v>Despenseiro/Armazenista - 44h</v>
      </c>
      <c r="D23" s="19" t="str">
        <f>'planilha - proposta'!B42</f>
        <v>4141-10</v>
      </c>
      <c r="E23" s="30">
        <f>'planilha - proposta'!E42</f>
        <v>0</v>
      </c>
      <c r="F23" s="136"/>
      <c r="G23" s="105" t="s">
        <v>124</v>
      </c>
      <c r="H23" s="132">
        <v>43605</v>
      </c>
      <c r="I23" s="107"/>
      <c r="J23" s="108"/>
      <c r="K23" s="125">
        <f t="shared" si="0"/>
        <v>0</v>
      </c>
      <c r="L23" s="108"/>
      <c r="M23" s="35">
        <f t="shared" si="1"/>
        <v>0</v>
      </c>
      <c r="N23" s="109"/>
      <c r="O23" s="37">
        <f t="shared" si="2"/>
        <v>0</v>
      </c>
      <c r="P23" s="35">
        <f t="shared" si="29"/>
        <v>0</v>
      </c>
      <c r="Q23" s="31">
        <f t="shared" si="3"/>
        <v>0</v>
      </c>
      <c r="R23" s="23">
        <f t="shared" si="4"/>
        <v>0</v>
      </c>
      <c r="S23" s="35">
        <f t="shared" si="5"/>
        <v>0</v>
      </c>
      <c r="T23" s="110"/>
      <c r="U23" s="35">
        <f t="shared" si="6"/>
        <v>0</v>
      </c>
      <c r="V23" s="35">
        <f t="shared" si="7"/>
        <v>0</v>
      </c>
      <c r="W23" s="35">
        <f t="shared" si="8"/>
        <v>0</v>
      </c>
      <c r="X23" s="35">
        <f t="shared" si="9"/>
        <v>0</v>
      </c>
      <c r="Y23" s="35">
        <f t="shared" si="10"/>
        <v>0</v>
      </c>
      <c r="Z23" s="34">
        <f t="shared" si="11"/>
        <v>0</v>
      </c>
      <c r="AA23" s="111"/>
      <c r="AB23" s="112"/>
      <c r="AC23" s="112"/>
      <c r="AD23" s="112"/>
      <c r="AE23" s="112"/>
      <c r="AF23" s="113"/>
      <c r="AG23" s="133"/>
      <c r="AH23" s="29">
        <f t="shared" si="12"/>
        <v>0</v>
      </c>
      <c r="AI23" s="110"/>
      <c r="AJ23" s="29">
        <f t="shared" si="13"/>
        <v>0</v>
      </c>
      <c r="AK23" s="110">
        <v>3.2000000000000001E-2</v>
      </c>
      <c r="AL23" s="29">
        <f t="shared" si="14"/>
        <v>0</v>
      </c>
      <c r="AM23" s="110"/>
      <c r="AN23" s="29">
        <f t="shared" si="15"/>
        <v>0</v>
      </c>
      <c r="AO23" s="134"/>
      <c r="AP23" s="29">
        <f t="shared" si="16"/>
        <v>0</v>
      </c>
      <c r="AQ23" s="110"/>
      <c r="AR23" s="36">
        <f t="shared" si="17"/>
        <v>0</v>
      </c>
      <c r="AS23" s="115"/>
      <c r="AT23" s="29">
        <f t="shared" si="18"/>
        <v>0</v>
      </c>
      <c r="AU23" s="110"/>
      <c r="AV23" s="35">
        <f t="shared" si="19"/>
        <v>0</v>
      </c>
      <c r="AW23" s="110"/>
      <c r="AX23" s="35">
        <f t="shared" si="20"/>
        <v>0</v>
      </c>
      <c r="AY23" s="110"/>
      <c r="AZ23" s="35">
        <f t="shared" si="21"/>
        <v>0</v>
      </c>
      <c r="BA23" s="110"/>
      <c r="BB23" s="34">
        <f t="shared" si="22"/>
        <v>0</v>
      </c>
      <c r="BC23" s="114"/>
      <c r="BD23" s="31">
        <f t="shared" si="23"/>
        <v>0</v>
      </c>
      <c r="BE23" s="32">
        <f>IF(E23=0,0,'Uniformes '!$K$132)</f>
        <v>0</v>
      </c>
      <c r="BF23" s="33">
        <f>IF(E23=0,0,custoEPI_huol!$M$254)</f>
        <v>0</v>
      </c>
      <c r="BG23" s="29">
        <f>IF(OR(Radios!$B$9=B23,Radios!$B$10=B23,Radios!$B$11=B23,Radios!$B$12=B23,Radios!$B$13=B23,Radios!$B$14=B23,Radios!$B$15=B23,Radios!$B$16=B23),Radios!$I$18,0)</f>
        <v>0</v>
      </c>
      <c r="BH23" s="184"/>
      <c r="BI23" s="117">
        <v>0.06</v>
      </c>
      <c r="BJ23" s="29">
        <f t="shared" si="24"/>
        <v>0</v>
      </c>
      <c r="BK23" s="114">
        <v>6.7900000000000002E-2</v>
      </c>
      <c r="BL23" s="27">
        <f t="shared" si="25"/>
        <v>0</v>
      </c>
      <c r="BM23" s="115"/>
      <c r="BN23" s="29">
        <f t="shared" si="26"/>
        <v>0</v>
      </c>
      <c r="BO23" s="118"/>
      <c r="BP23" s="27">
        <f t="shared" si="27"/>
        <v>0</v>
      </c>
      <c r="BQ23" s="110"/>
      <c r="BR23" s="27">
        <f t="shared" si="28"/>
        <v>0</v>
      </c>
      <c r="BS23" s="40">
        <f t="shared" si="31"/>
        <v>0</v>
      </c>
    </row>
    <row r="24" spans="1:71" s="8" customFormat="1" ht="15" customHeight="1" x14ac:dyDescent="0.25">
      <c r="A24" s="14" t="s">
        <v>125</v>
      </c>
      <c r="B24" s="14" t="str">
        <f>'planilha - proposta'!C43</f>
        <v>Operador de Câmara Fria</v>
      </c>
      <c r="C24" s="14" t="str">
        <f>'planilha - proposta'!D43</f>
        <v>Operador de Câmara Fria - 12X36d</v>
      </c>
      <c r="D24" s="19" t="str">
        <f>'planilha - proposta'!B43</f>
        <v>8414-56</v>
      </c>
      <c r="E24" s="30">
        <f>'planilha - proposta'!E43</f>
        <v>2</v>
      </c>
      <c r="F24" s="136">
        <v>1202</v>
      </c>
      <c r="G24" s="105" t="s">
        <v>126</v>
      </c>
      <c r="H24" s="132">
        <v>43599</v>
      </c>
      <c r="I24" s="107">
        <v>1202</v>
      </c>
      <c r="J24" s="108"/>
      <c r="K24" s="125">
        <f t="shared" si="0"/>
        <v>0</v>
      </c>
      <c r="L24" s="108">
        <v>0.2</v>
      </c>
      <c r="M24" s="35">
        <f t="shared" si="1"/>
        <v>209</v>
      </c>
      <c r="N24" s="109">
        <v>0</v>
      </c>
      <c r="O24" s="37">
        <f t="shared" si="2"/>
        <v>117.5363</v>
      </c>
      <c r="P24" s="35">
        <f t="shared" si="29"/>
        <v>156.73388</v>
      </c>
      <c r="Q24" s="31">
        <f t="shared" si="3"/>
        <v>92.703320840000003</v>
      </c>
      <c r="R24" s="23">
        <f t="shared" si="4"/>
        <v>282.2</v>
      </c>
      <c r="S24" s="35">
        <f t="shared" si="5"/>
        <v>35.274999999999999</v>
      </c>
      <c r="T24" s="110"/>
      <c r="U24" s="35">
        <f t="shared" si="6"/>
        <v>0</v>
      </c>
      <c r="V24" s="35">
        <f t="shared" si="7"/>
        <v>21.164999999999999</v>
      </c>
      <c r="W24" s="35">
        <f t="shared" si="8"/>
        <v>14.11</v>
      </c>
      <c r="X24" s="35">
        <f t="shared" si="9"/>
        <v>8.4659999999999993</v>
      </c>
      <c r="Y24" s="35">
        <f t="shared" si="10"/>
        <v>2.8220000000000001</v>
      </c>
      <c r="Z24" s="34">
        <f t="shared" si="11"/>
        <v>112.88</v>
      </c>
      <c r="AA24" s="111">
        <f t="shared" ref="AA24:AA25" si="33">15*2*4.15-F24*0.06</f>
        <v>52.380000000000024</v>
      </c>
      <c r="AB24" s="112">
        <v>140</v>
      </c>
      <c r="AC24" s="112">
        <v>0</v>
      </c>
      <c r="AD24" s="112">
        <v>0</v>
      </c>
      <c r="AE24" s="112">
        <v>0</v>
      </c>
      <c r="AF24" s="113">
        <v>0</v>
      </c>
      <c r="AG24" s="133">
        <v>4.1999999999999997E-3</v>
      </c>
      <c r="AH24" s="29">
        <f t="shared" si="12"/>
        <v>5.9261999999999997</v>
      </c>
      <c r="AI24" s="110">
        <v>2.9999999999999997E-4</v>
      </c>
      <c r="AJ24" s="29">
        <f t="shared" si="13"/>
        <v>0.42329999999999995</v>
      </c>
      <c r="AK24" s="110">
        <v>3.2000000000000001E-2</v>
      </c>
      <c r="AL24" s="29">
        <f t="shared" si="14"/>
        <v>45.152000000000001</v>
      </c>
      <c r="AM24" s="110">
        <v>1.9400000000000001E-2</v>
      </c>
      <c r="AN24" s="29">
        <f t="shared" si="15"/>
        <v>27.3734</v>
      </c>
      <c r="AO24" s="134">
        <v>7.2000000000000005E-4</v>
      </c>
      <c r="AP24" s="29">
        <f t="shared" si="16"/>
        <v>1.0159200000000002</v>
      </c>
      <c r="AQ24" s="110">
        <v>1E-3</v>
      </c>
      <c r="AR24" s="36">
        <f t="shared" si="17"/>
        <v>1.411</v>
      </c>
      <c r="AS24" s="115">
        <v>8.0000000000000004E-4</v>
      </c>
      <c r="AT24" s="29">
        <f t="shared" si="18"/>
        <v>1.1288</v>
      </c>
      <c r="AU24" s="110">
        <v>2.0000000000000001E-4</v>
      </c>
      <c r="AV24" s="35">
        <f t="shared" si="19"/>
        <v>0.28220000000000001</v>
      </c>
      <c r="AW24" s="110">
        <v>4.0000000000000002E-4</v>
      </c>
      <c r="AX24" s="35">
        <f t="shared" si="20"/>
        <v>0.56440000000000001</v>
      </c>
      <c r="AY24" s="110">
        <v>6.9999999999999999E-4</v>
      </c>
      <c r="AZ24" s="35">
        <f t="shared" si="21"/>
        <v>0.98770000000000002</v>
      </c>
      <c r="BA24" s="110">
        <v>9.4100000000000003E-2</v>
      </c>
      <c r="BB24" s="34">
        <f t="shared" si="22"/>
        <v>132.77510000000001</v>
      </c>
      <c r="BC24" s="114">
        <v>0</v>
      </c>
      <c r="BD24" s="31">
        <f t="shared" si="23"/>
        <v>0</v>
      </c>
      <c r="BE24" s="32">
        <f>IF(E24=0,0,'Uniformes '!K144)</f>
        <v>40.265000000000001</v>
      </c>
      <c r="BF24" s="33">
        <f>IF(E24=0,0,custoEPI_huol!M279)</f>
        <v>0</v>
      </c>
      <c r="BG24" s="29">
        <f>IF(OR(Radios!$B$9=B24,Radios!$B$10=B24,Radios!$B$11=B24,Radios!$B$12=B24,Radios!$B$13=B24,Radios!$B$14=B24,Radios!$B$15=B24,Radios!$B$16=B24),Radios!$I$18,0)</f>
        <v>0</v>
      </c>
      <c r="BH24" s="184">
        <v>0</v>
      </c>
      <c r="BI24" s="117">
        <v>0.06</v>
      </c>
      <c r="BJ24" s="29">
        <f t="shared" si="24"/>
        <v>162.27459125040002</v>
      </c>
      <c r="BK24" s="114">
        <v>6.7900000000000002E-2</v>
      </c>
      <c r="BL24" s="27">
        <f t="shared" si="25"/>
        <v>194.6591905109382</v>
      </c>
      <c r="BM24" s="115">
        <v>9.2499999999999999E-2</v>
      </c>
      <c r="BN24" s="29">
        <f t="shared" si="26"/>
        <v>330.25038249635429</v>
      </c>
      <c r="BO24" s="118">
        <v>0</v>
      </c>
      <c r="BP24" s="27">
        <f t="shared" si="27"/>
        <v>0</v>
      </c>
      <c r="BQ24" s="110">
        <v>0.05</v>
      </c>
      <c r="BR24" s="27">
        <f t="shared" si="28"/>
        <v>178.51372026829964</v>
      </c>
      <c r="BS24" s="40">
        <f t="shared" si="31"/>
        <v>3570.2744053659922</v>
      </c>
    </row>
    <row r="25" spans="1:71" s="8" customFormat="1" ht="15" customHeight="1" x14ac:dyDescent="0.25">
      <c r="A25" s="14" t="s">
        <v>127</v>
      </c>
      <c r="B25" s="14" t="str">
        <f>'planilha - proposta'!C50</f>
        <v>Técnico em Nutrição</v>
      </c>
      <c r="C25" s="14" t="str">
        <f>'planilha - proposta'!D50</f>
        <v>Técnico em Nutrição - 12x36d</v>
      </c>
      <c r="D25" s="19" t="str">
        <f>'planilha - proposta'!B50</f>
        <v>2237-05</v>
      </c>
      <c r="E25" s="30">
        <f>'planilha - proposta'!E50</f>
        <v>12</v>
      </c>
      <c r="F25" s="105">
        <v>1742.76</v>
      </c>
      <c r="G25" s="105" t="s">
        <v>128</v>
      </c>
      <c r="H25" s="132">
        <v>43686</v>
      </c>
      <c r="I25" s="107">
        <v>1742.76</v>
      </c>
      <c r="J25" s="108"/>
      <c r="K25" s="125">
        <f t="shared" si="0"/>
        <v>0</v>
      </c>
      <c r="L25" s="108">
        <v>0.2</v>
      </c>
      <c r="M25" s="35">
        <f t="shared" si="1"/>
        <v>209</v>
      </c>
      <c r="N25" s="109">
        <v>0</v>
      </c>
      <c r="O25" s="37">
        <f t="shared" si="2"/>
        <v>162.58160799999999</v>
      </c>
      <c r="P25" s="35">
        <f t="shared" si="29"/>
        <v>216.80150079999999</v>
      </c>
      <c r="Q25" s="31">
        <f t="shared" si="3"/>
        <v>128.23149077439999</v>
      </c>
      <c r="R25" s="23">
        <f t="shared" si="4"/>
        <v>390.35200000000003</v>
      </c>
      <c r="S25" s="35">
        <f t="shared" si="5"/>
        <v>48.794000000000004</v>
      </c>
      <c r="T25" s="110"/>
      <c r="U25" s="35">
        <f t="shared" si="6"/>
        <v>0</v>
      </c>
      <c r="V25" s="35">
        <f t="shared" si="7"/>
        <v>29.276399999999999</v>
      </c>
      <c r="W25" s="35">
        <f t="shared" si="8"/>
        <v>19.517600000000002</v>
      </c>
      <c r="X25" s="35">
        <f t="shared" si="9"/>
        <v>11.710560000000001</v>
      </c>
      <c r="Y25" s="35">
        <f t="shared" si="10"/>
        <v>3.9035199999999999</v>
      </c>
      <c r="Z25" s="34">
        <f t="shared" si="11"/>
        <v>156.14080000000001</v>
      </c>
      <c r="AA25" s="111">
        <f t="shared" si="33"/>
        <v>19.934400000000025</v>
      </c>
      <c r="AB25" s="112">
        <v>0</v>
      </c>
      <c r="AC25" s="112">
        <v>0</v>
      </c>
      <c r="AD25" s="112">
        <v>0</v>
      </c>
      <c r="AE25" s="112">
        <v>0</v>
      </c>
      <c r="AF25" s="113">
        <v>0</v>
      </c>
      <c r="AG25" s="133">
        <v>4.1999999999999997E-3</v>
      </c>
      <c r="AH25" s="29">
        <f t="shared" si="12"/>
        <v>8.1973919999999989</v>
      </c>
      <c r="AI25" s="110">
        <v>2.9999999999999997E-4</v>
      </c>
      <c r="AJ25" s="29">
        <f t="shared" si="13"/>
        <v>0.58552799999999994</v>
      </c>
      <c r="AK25" s="110">
        <v>3.2000000000000001E-2</v>
      </c>
      <c r="AL25" s="29">
        <f t="shared" si="14"/>
        <v>62.456319999999998</v>
      </c>
      <c r="AM25" s="110">
        <v>1.9400000000000001E-2</v>
      </c>
      <c r="AN25" s="29">
        <f t="shared" si="15"/>
        <v>37.864144000000003</v>
      </c>
      <c r="AO25" s="134">
        <v>7.2000000000000005E-4</v>
      </c>
      <c r="AP25" s="29">
        <f t="shared" si="16"/>
        <v>1.4052672000000002</v>
      </c>
      <c r="AQ25" s="110">
        <v>1E-3</v>
      </c>
      <c r="AR25" s="36">
        <f t="shared" si="17"/>
        <v>1.9517599999999999</v>
      </c>
      <c r="AS25" s="115">
        <v>8.0000000000000004E-4</v>
      </c>
      <c r="AT25" s="29">
        <f t="shared" si="18"/>
        <v>1.5614080000000001</v>
      </c>
      <c r="AU25" s="110">
        <v>2.0000000000000001E-4</v>
      </c>
      <c r="AV25" s="35">
        <f t="shared" si="19"/>
        <v>0.39035200000000003</v>
      </c>
      <c r="AW25" s="110">
        <v>4.0000000000000002E-4</v>
      </c>
      <c r="AX25" s="35">
        <f t="shared" si="20"/>
        <v>0.78070400000000006</v>
      </c>
      <c r="AY25" s="110">
        <v>6.9999999999999999E-4</v>
      </c>
      <c r="AZ25" s="35">
        <f t="shared" si="21"/>
        <v>1.3662319999999999</v>
      </c>
      <c r="BA25" s="110">
        <v>9.4100000000000003E-2</v>
      </c>
      <c r="BB25" s="34">
        <f t="shared" si="22"/>
        <v>183.660616</v>
      </c>
      <c r="BC25" s="114">
        <v>0</v>
      </c>
      <c r="BD25" s="31">
        <f t="shared" si="23"/>
        <v>0</v>
      </c>
      <c r="BE25" s="32">
        <f>IF(E25=0,0,'Uniformes '!$K$183)</f>
        <v>59.247500000000002</v>
      </c>
      <c r="BF25" s="33">
        <f>IF(E25=0,0,custoEPI_huol!$M$354)</f>
        <v>0</v>
      </c>
      <c r="BG25" s="29">
        <f>IF(OR(Radios!$B$9=B25,Radios!$B$10=B25,Radios!$B$11=B25,Radios!$B$12=B25,Radios!$B$13=B25,Radios!$B$14=B25,Radios!$B$15=B25,Radios!$B$16=B25),Radios!$I$18,0)</f>
        <v>14.631050228310501</v>
      </c>
      <c r="BH25" s="184">
        <v>0</v>
      </c>
      <c r="BI25" s="117">
        <v>0.06</v>
      </c>
      <c r="BJ25" s="29">
        <f t="shared" si="24"/>
        <v>210.78612918016256</v>
      </c>
      <c r="BK25" s="114">
        <v>6.7900000000000002E-2</v>
      </c>
      <c r="BL25" s="27">
        <f t="shared" si="25"/>
        <v>252.85201436021703</v>
      </c>
      <c r="BM25" s="115">
        <v>9.2499999999999999E-2</v>
      </c>
      <c r="BN25" s="29">
        <f t="shared" si="26"/>
        <v>428.9778162451729</v>
      </c>
      <c r="BO25" s="118">
        <v>0</v>
      </c>
      <c r="BP25" s="27">
        <f t="shared" si="27"/>
        <v>0</v>
      </c>
      <c r="BQ25" s="110">
        <v>0.05</v>
      </c>
      <c r="BR25" s="27">
        <f t="shared" si="28"/>
        <v>231.87990067306646</v>
      </c>
      <c r="BS25" s="40">
        <f t="shared" si="31"/>
        <v>4637.5980134613292</v>
      </c>
    </row>
    <row r="26" spans="1:71" s="8" customFormat="1" ht="15" customHeight="1" x14ac:dyDescent="0.25">
      <c r="A26" s="14" t="s">
        <v>129</v>
      </c>
      <c r="B26" s="14" t="str">
        <f>'planilha - proposta'!C51</f>
        <v>Técnico em Nutrição</v>
      </c>
      <c r="C26" s="14" t="str">
        <f>'planilha - proposta'!D51</f>
        <v>Técnico em Nutrição - 12x36n</v>
      </c>
      <c r="D26" s="19" t="str">
        <f>'planilha - proposta'!B51</f>
        <v>2237-05</v>
      </c>
      <c r="E26" s="30">
        <f>'planilha - proposta'!E51</f>
        <v>4</v>
      </c>
      <c r="F26" s="105">
        <v>1742.76</v>
      </c>
      <c r="G26" s="105" t="s">
        <v>130</v>
      </c>
      <c r="H26" s="132">
        <v>43686</v>
      </c>
      <c r="I26" s="107">
        <f>F26*1.25</f>
        <v>2178.4499999999998</v>
      </c>
      <c r="J26" s="108"/>
      <c r="K26" s="125">
        <f t="shared" si="0"/>
        <v>0</v>
      </c>
      <c r="L26" s="108">
        <v>0.2</v>
      </c>
      <c r="M26" s="35">
        <f t="shared" si="1"/>
        <v>209</v>
      </c>
      <c r="N26" s="109">
        <v>0</v>
      </c>
      <c r="O26" s="37">
        <f t="shared" si="2"/>
        <v>198.874585</v>
      </c>
      <c r="P26" s="35">
        <f t="shared" si="29"/>
        <v>265.197946</v>
      </c>
      <c r="Q26" s="31">
        <f t="shared" si="3"/>
        <v>156.85651547800001</v>
      </c>
      <c r="R26" s="23">
        <f t="shared" si="4"/>
        <v>477.49</v>
      </c>
      <c r="S26" s="35">
        <f t="shared" si="5"/>
        <v>59.686250000000001</v>
      </c>
      <c r="T26" s="110"/>
      <c r="U26" s="35">
        <f t="shared" si="6"/>
        <v>0</v>
      </c>
      <c r="V26" s="35">
        <f t="shared" si="7"/>
        <v>35.811749999999996</v>
      </c>
      <c r="W26" s="35">
        <f t="shared" si="8"/>
        <v>23.874499999999998</v>
      </c>
      <c r="X26" s="35">
        <f t="shared" si="9"/>
        <v>14.3247</v>
      </c>
      <c r="Y26" s="35">
        <f t="shared" si="10"/>
        <v>4.7748999999999997</v>
      </c>
      <c r="Z26" s="34">
        <f t="shared" si="11"/>
        <v>190.99599999999998</v>
      </c>
      <c r="AA26" s="111">
        <f>15*2*4.15-F26*0.06</f>
        <v>19.934400000000025</v>
      </c>
      <c r="AB26" s="112">
        <v>0</v>
      </c>
      <c r="AC26" s="112">
        <v>0</v>
      </c>
      <c r="AD26" s="112">
        <v>0</v>
      </c>
      <c r="AE26" s="112">
        <v>0</v>
      </c>
      <c r="AF26" s="113">
        <v>0</v>
      </c>
      <c r="AG26" s="133">
        <v>4.1999999999999997E-3</v>
      </c>
      <c r="AH26" s="29">
        <f t="shared" si="12"/>
        <v>10.027289999999999</v>
      </c>
      <c r="AI26" s="110">
        <v>2.9999999999999997E-4</v>
      </c>
      <c r="AJ26" s="29">
        <f t="shared" si="13"/>
        <v>0.71623499999999984</v>
      </c>
      <c r="AK26" s="110">
        <v>3.2000000000000001E-2</v>
      </c>
      <c r="AL26" s="29">
        <f t="shared" si="14"/>
        <v>76.398399999999995</v>
      </c>
      <c r="AM26" s="110">
        <v>1.9400000000000001E-2</v>
      </c>
      <c r="AN26" s="29">
        <f t="shared" si="15"/>
        <v>46.31653</v>
      </c>
      <c r="AO26" s="134">
        <v>7.2000000000000005E-4</v>
      </c>
      <c r="AP26" s="29">
        <f t="shared" si="16"/>
        <v>1.7189639999999999</v>
      </c>
      <c r="AQ26" s="110">
        <v>1E-3</v>
      </c>
      <c r="AR26" s="36">
        <f t="shared" si="17"/>
        <v>2.3874499999999999</v>
      </c>
      <c r="AS26" s="115">
        <v>8.0000000000000004E-4</v>
      </c>
      <c r="AT26" s="29">
        <f t="shared" si="18"/>
        <v>1.9099599999999999</v>
      </c>
      <c r="AU26" s="110">
        <v>2.0000000000000001E-4</v>
      </c>
      <c r="AV26" s="35">
        <f t="shared" si="19"/>
        <v>0.47748999999999997</v>
      </c>
      <c r="AW26" s="110">
        <v>4.0000000000000002E-4</v>
      </c>
      <c r="AX26" s="35">
        <f t="shared" si="20"/>
        <v>0.95497999999999994</v>
      </c>
      <c r="AY26" s="110">
        <v>6.9999999999999999E-4</v>
      </c>
      <c r="AZ26" s="35">
        <f t="shared" si="21"/>
        <v>1.6712149999999999</v>
      </c>
      <c r="BA26" s="110">
        <v>9.4100000000000003E-2</v>
      </c>
      <c r="BB26" s="34">
        <f t="shared" si="22"/>
        <v>224.65904499999999</v>
      </c>
      <c r="BC26" s="114">
        <v>0</v>
      </c>
      <c r="BD26" s="31">
        <f t="shared" si="23"/>
        <v>0</v>
      </c>
      <c r="BE26" s="32">
        <f>IF(E26=0,0,'Uniformes '!$K$183)</f>
        <v>59.247500000000002</v>
      </c>
      <c r="BF26" s="33">
        <f>IF(E26=0,0,custoEPI_huol!$M$354)</f>
        <v>0</v>
      </c>
      <c r="BG26" s="29">
        <f>IF(OR(Radios!$B$9=B26,Radios!$B$10=B26,Radios!$B$11=B26,Radios!$B$12=B26,Radios!$B$13=B26,Radios!$B$14=B26,Radios!$B$15=B26,Radios!$B$16=B26),Radios!$I$18,0)</f>
        <v>14.631050228310501</v>
      </c>
      <c r="BH26" s="184">
        <v>0</v>
      </c>
      <c r="BI26" s="117">
        <v>0.06</v>
      </c>
      <c r="BJ26" s="29">
        <f t="shared" si="24"/>
        <v>256.5832593423786</v>
      </c>
      <c r="BK26" s="114">
        <v>6.7900000000000002E-2</v>
      </c>
      <c r="BL26" s="27">
        <f t="shared" si="25"/>
        <v>307.78872513180596</v>
      </c>
      <c r="BM26" s="115">
        <v>9.2499999999999999E-2</v>
      </c>
      <c r="BN26" s="29">
        <f t="shared" si="26"/>
        <v>522.18106905737125</v>
      </c>
      <c r="BO26" s="118">
        <v>0</v>
      </c>
      <c r="BP26" s="27">
        <f t="shared" si="27"/>
        <v>0</v>
      </c>
      <c r="BQ26" s="110">
        <v>0.05</v>
      </c>
      <c r="BR26" s="27">
        <f t="shared" si="28"/>
        <v>282.26003732830878</v>
      </c>
      <c r="BS26" s="40">
        <f t="shared" si="31"/>
        <v>5645.2007465661745</v>
      </c>
    </row>
    <row r="27" spans="1:71" s="8" customFormat="1" ht="15" customHeight="1" x14ac:dyDescent="0.25">
      <c r="A27" s="14" t="s">
        <v>131</v>
      </c>
      <c r="B27" s="14" t="str">
        <f>'planilha - proposta'!C52</f>
        <v>Técnico em Nutrição</v>
      </c>
      <c r="C27" s="14" t="str">
        <f>'planilha - proposta'!D52</f>
        <v>Técnico em Nutrição - 44h</v>
      </c>
      <c r="D27" s="19" t="str">
        <f>'planilha - proposta'!B52</f>
        <v>2237-05</v>
      </c>
      <c r="E27" s="30">
        <f>'planilha - proposta'!E52</f>
        <v>1</v>
      </c>
      <c r="F27" s="105">
        <v>1742.76</v>
      </c>
      <c r="G27" s="105" t="s">
        <v>132</v>
      </c>
      <c r="H27" s="132">
        <v>43686</v>
      </c>
      <c r="I27" s="107">
        <v>1742.76</v>
      </c>
      <c r="J27" s="108"/>
      <c r="K27" s="125">
        <f t="shared" si="0"/>
        <v>0</v>
      </c>
      <c r="L27" s="108">
        <v>0.2</v>
      </c>
      <c r="M27" s="35">
        <f t="shared" si="1"/>
        <v>209</v>
      </c>
      <c r="N27" s="109">
        <v>0</v>
      </c>
      <c r="O27" s="37">
        <f t="shared" si="2"/>
        <v>162.58160799999999</v>
      </c>
      <c r="P27" s="35">
        <f t="shared" si="29"/>
        <v>216.80150079999999</v>
      </c>
      <c r="Q27" s="31">
        <f t="shared" si="3"/>
        <v>128.23149077439999</v>
      </c>
      <c r="R27" s="23">
        <f t="shared" si="4"/>
        <v>390.35200000000003</v>
      </c>
      <c r="S27" s="35">
        <f t="shared" si="5"/>
        <v>48.794000000000004</v>
      </c>
      <c r="T27" s="110"/>
      <c r="U27" s="35">
        <f t="shared" si="6"/>
        <v>0</v>
      </c>
      <c r="V27" s="35">
        <f t="shared" si="7"/>
        <v>29.276399999999999</v>
      </c>
      <c r="W27" s="35">
        <f t="shared" si="8"/>
        <v>19.517600000000002</v>
      </c>
      <c r="X27" s="35">
        <f t="shared" si="9"/>
        <v>11.710560000000001</v>
      </c>
      <c r="Y27" s="35">
        <f t="shared" si="10"/>
        <v>3.9035199999999999</v>
      </c>
      <c r="Z27" s="34">
        <f t="shared" si="11"/>
        <v>156.14080000000001</v>
      </c>
      <c r="AA27" s="111">
        <f>26*2*4.15-F27*0.06</f>
        <v>111.23440000000002</v>
      </c>
      <c r="AB27" s="112">
        <v>0</v>
      </c>
      <c r="AC27" s="112">
        <v>0</v>
      </c>
      <c r="AD27" s="112">
        <v>0</v>
      </c>
      <c r="AE27" s="112">
        <v>0</v>
      </c>
      <c r="AF27" s="113">
        <v>0</v>
      </c>
      <c r="AG27" s="133">
        <v>4.1999999999999997E-3</v>
      </c>
      <c r="AH27" s="29">
        <f t="shared" si="12"/>
        <v>8.1973919999999989</v>
      </c>
      <c r="AI27" s="110">
        <v>2.9999999999999997E-4</v>
      </c>
      <c r="AJ27" s="29">
        <f t="shared" si="13"/>
        <v>0.58552799999999994</v>
      </c>
      <c r="AK27" s="110">
        <v>3.2000000000000001E-2</v>
      </c>
      <c r="AL27" s="29">
        <f t="shared" si="14"/>
        <v>62.456319999999998</v>
      </c>
      <c r="AM27" s="110">
        <v>1.9400000000000001E-2</v>
      </c>
      <c r="AN27" s="29">
        <f t="shared" si="15"/>
        <v>37.864144000000003</v>
      </c>
      <c r="AO27" s="134">
        <v>7.2000000000000005E-4</v>
      </c>
      <c r="AP27" s="29">
        <f t="shared" si="16"/>
        <v>1.4052672000000002</v>
      </c>
      <c r="AQ27" s="110">
        <v>1E-3</v>
      </c>
      <c r="AR27" s="36">
        <f t="shared" si="17"/>
        <v>1.9517599999999999</v>
      </c>
      <c r="AS27" s="115">
        <v>8.0000000000000004E-4</v>
      </c>
      <c r="AT27" s="29">
        <f t="shared" si="18"/>
        <v>1.5614080000000001</v>
      </c>
      <c r="AU27" s="110">
        <v>2.0000000000000001E-4</v>
      </c>
      <c r="AV27" s="35">
        <f t="shared" si="19"/>
        <v>0.39035200000000003</v>
      </c>
      <c r="AW27" s="110">
        <v>4.0000000000000002E-4</v>
      </c>
      <c r="AX27" s="35">
        <f t="shared" si="20"/>
        <v>0.78070400000000006</v>
      </c>
      <c r="AY27" s="110">
        <v>6.9999999999999999E-4</v>
      </c>
      <c r="AZ27" s="35">
        <f t="shared" si="21"/>
        <v>1.3662319999999999</v>
      </c>
      <c r="BA27" s="110">
        <v>9.4100000000000003E-2</v>
      </c>
      <c r="BB27" s="34">
        <f t="shared" si="22"/>
        <v>183.660616</v>
      </c>
      <c r="BC27" s="114">
        <v>0</v>
      </c>
      <c r="BD27" s="31">
        <f t="shared" si="23"/>
        <v>0</v>
      </c>
      <c r="BE27" s="32">
        <f>IF(E27=0,0,'Uniformes '!$K$183)</f>
        <v>59.247500000000002</v>
      </c>
      <c r="BF27" s="33">
        <f>IF(E27=0,0,custoEPI_huol!$M$354)</f>
        <v>0</v>
      </c>
      <c r="BG27" s="29">
        <f>IF(OR(Radios!$B$9=B27,Radios!$B$10=B27,Radios!$B$11=B27,Radios!$B$12=B27,Radios!$B$13=B27,Radios!$B$14=B27,Radios!$B$15=B27,Radios!$B$16=B27),Radios!$I$18,0)</f>
        <v>14.631050228310501</v>
      </c>
      <c r="BH27" s="184">
        <v>0</v>
      </c>
      <c r="BI27" s="117">
        <v>0.06</v>
      </c>
      <c r="BJ27" s="29">
        <f t="shared" si="24"/>
        <v>216.26412918016254</v>
      </c>
      <c r="BK27" s="114">
        <v>6.7900000000000002E-2</v>
      </c>
      <c r="BL27" s="27">
        <f t="shared" si="25"/>
        <v>259.42324056021698</v>
      </c>
      <c r="BM27" s="115">
        <v>9.2499999999999999E-2</v>
      </c>
      <c r="BN27" s="29">
        <f t="shared" si="26"/>
        <v>440.12627504808836</v>
      </c>
      <c r="BO27" s="118">
        <v>0</v>
      </c>
      <c r="BP27" s="27">
        <f t="shared" si="27"/>
        <v>0</v>
      </c>
      <c r="BQ27" s="110">
        <v>0.05</v>
      </c>
      <c r="BR27" s="27">
        <f t="shared" si="28"/>
        <v>237.90609462058831</v>
      </c>
      <c r="BS27" s="40">
        <f t="shared" si="31"/>
        <v>4758.1218924117657</v>
      </c>
    </row>
    <row r="28" spans="1:71" s="8" customFormat="1" ht="15" customHeight="1" x14ac:dyDescent="0.25">
      <c r="H28" s="13"/>
      <c r="K28" s="28"/>
      <c r="AW28" s="135"/>
      <c r="BO28" s="135"/>
    </row>
    <row r="29" spans="1:71" s="8" customFormat="1" ht="15" customHeight="1" x14ac:dyDescent="0.25">
      <c r="H29" s="13"/>
      <c r="K29" s="28"/>
    </row>
    <row r="30" spans="1:71" s="8" customFormat="1" ht="15" customHeight="1" x14ac:dyDescent="0.25">
      <c r="H30" s="13"/>
      <c r="K30" s="28"/>
    </row>
    <row r="31" spans="1:71" s="8" customFormat="1" ht="15" customHeight="1" x14ac:dyDescent="0.25">
      <c r="H31" s="13"/>
      <c r="K31" s="28"/>
    </row>
    <row r="32" spans="1:71" s="8" customFormat="1" ht="15" customHeight="1" x14ac:dyDescent="0.25">
      <c r="H32" s="13"/>
      <c r="K32" s="28"/>
    </row>
    <row r="33" spans="8:8" s="8" customFormat="1" ht="15" customHeight="1" x14ac:dyDescent="0.25">
      <c r="H33" s="13"/>
    </row>
    <row r="34" spans="8:8" s="8" customFormat="1" ht="15" customHeight="1" x14ac:dyDescent="0.25">
      <c r="H34" s="13"/>
    </row>
    <row r="35" spans="8:8" s="8" customFormat="1" ht="15" customHeight="1" x14ac:dyDescent="0.25">
      <c r="H35" s="13"/>
    </row>
    <row r="36" spans="8:8" s="8" customFormat="1" ht="15" customHeight="1" x14ac:dyDescent="0.25">
      <c r="H36" s="13"/>
    </row>
    <row r="37" spans="8:8" s="8" customFormat="1" ht="15" customHeight="1" x14ac:dyDescent="0.25">
      <c r="H37" s="13"/>
    </row>
    <row r="38" spans="8:8" s="8" customFormat="1" ht="15" customHeight="1" x14ac:dyDescent="0.25">
      <c r="H38" s="13"/>
    </row>
    <row r="39" spans="8:8" s="8" customFormat="1" ht="15" customHeight="1" x14ac:dyDescent="0.25">
      <c r="H39" s="13"/>
    </row>
    <row r="40" spans="8:8" s="8" customFormat="1" ht="15" customHeight="1" x14ac:dyDescent="0.25">
      <c r="H40" s="13"/>
    </row>
    <row r="41" spans="8:8" s="8" customFormat="1" ht="15" customHeight="1" x14ac:dyDescent="0.25">
      <c r="H41" s="13"/>
    </row>
    <row r="42" spans="8:8" s="8" customFormat="1" ht="15" customHeight="1" x14ac:dyDescent="0.25">
      <c r="H42" s="13"/>
    </row>
    <row r="43" spans="8:8" s="8" customFormat="1" ht="15" customHeight="1" x14ac:dyDescent="0.25">
      <c r="H43" s="13"/>
    </row>
    <row r="44" spans="8:8" s="8" customFormat="1" ht="15" customHeight="1" x14ac:dyDescent="0.25">
      <c r="H44" s="13"/>
    </row>
    <row r="45" spans="8:8" s="8" customFormat="1" ht="15" customHeight="1" x14ac:dyDescent="0.25">
      <c r="H45" s="13"/>
    </row>
    <row r="46" spans="8:8" s="8" customFormat="1" ht="15" customHeight="1" x14ac:dyDescent="0.25">
      <c r="H46" s="13"/>
    </row>
    <row r="47" spans="8:8" s="8" customFormat="1" ht="15" customHeight="1" x14ac:dyDescent="0.25">
      <c r="H47" s="13"/>
    </row>
    <row r="48" spans="8:8" s="8" customFormat="1" ht="15" customHeight="1" x14ac:dyDescent="0.25">
      <c r="H48" s="13"/>
    </row>
    <row r="49" spans="8:8" s="8" customFormat="1" ht="15" customHeight="1" x14ac:dyDescent="0.25">
      <c r="H49" s="13"/>
    </row>
    <row r="50" spans="8:8" s="8" customFormat="1" ht="15" customHeight="1" x14ac:dyDescent="0.25">
      <c r="H50" s="13"/>
    </row>
    <row r="51" spans="8:8" s="8" customFormat="1" ht="15" customHeight="1" x14ac:dyDescent="0.25">
      <c r="H51" s="13"/>
    </row>
    <row r="52" spans="8:8" s="8" customFormat="1" ht="15" customHeight="1" x14ac:dyDescent="0.25">
      <c r="H52" s="13"/>
    </row>
    <row r="53" spans="8:8" s="8" customFormat="1" ht="15" customHeight="1" x14ac:dyDescent="0.25">
      <c r="H53" s="13"/>
    </row>
    <row r="54" spans="8:8" s="8" customFormat="1" ht="15" customHeight="1" x14ac:dyDescent="0.25">
      <c r="H54" s="13"/>
    </row>
    <row r="55" spans="8:8" s="8" customFormat="1" ht="15" customHeight="1" x14ac:dyDescent="0.25">
      <c r="H55" s="13"/>
    </row>
    <row r="56" spans="8:8" s="8" customFormat="1" ht="15" customHeight="1" x14ac:dyDescent="0.25">
      <c r="H56" s="13"/>
    </row>
    <row r="57" spans="8:8" s="8" customFormat="1" ht="15" customHeight="1" x14ac:dyDescent="0.25">
      <c r="H57" s="13"/>
    </row>
    <row r="58" spans="8:8" s="8" customFormat="1" ht="15" customHeight="1" x14ac:dyDescent="0.25">
      <c r="H58" s="13"/>
    </row>
    <row r="59" spans="8:8" s="8" customFormat="1" ht="15" customHeight="1" x14ac:dyDescent="0.25">
      <c r="H59" s="13"/>
    </row>
    <row r="60" spans="8:8" s="8" customFormat="1" ht="15" customHeight="1" x14ac:dyDescent="0.25">
      <c r="H60" s="13"/>
    </row>
    <row r="61" spans="8:8" s="8" customFormat="1" ht="15" customHeight="1" x14ac:dyDescent="0.25">
      <c r="H61" s="13"/>
    </row>
    <row r="62" spans="8:8" s="8" customFormat="1" ht="15" customHeight="1" x14ac:dyDescent="0.25">
      <c r="H62" s="13"/>
    </row>
    <row r="63" spans="8:8" s="8" customFormat="1" ht="15" customHeight="1" x14ac:dyDescent="0.25">
      <c r="H63" s="13"/>
    </row>
    <row r="64" spans="8:8" s="8" customFormat="1" ht="15" customHeight="1" x14ac:dyDescent="0.25">
      <c r="H64" s="13"/>
    </row>
    <row r="65" spans="8:8" s="8" customFormat="1" ht="15" customHeight="1" x14ac:dyDescent="0.25">
      <c r="H65" s="13"/>
    </row>
    <row r="66" spans="8:8" s="8" customFormat="1" ht="15" customHeight="1" x14ac:dyDescent="0.25">
      <c r="H66" s="13"/>
    </row>
    <row r="67" spans="8:8" s="8" customFormat="1" ht="15" customHeight="1" x14ac:dyDescent="0.25">
      <c r="H67" s="13"/>
    </row>
    <row r="68" spans="8:8" s="8" customFormat="1" ht="15" customHeight="1" x14ac:dyDescent="0.25">
      <c r="H68" s="13"/>
    </row>
    <row r="69" spans="8:8" s="8" customFormat="1" ht="15" customHeight="1" x14ac:dyDescent="0.25">
      <c r="H69" s="13"/>
    </row>
    <row r="70" spans="8:8" s="8" customFormat="1" ht="15" customHeight="1" x14ac:dyDescent="0.25">
      <c r="H70" s="13"/>
    </row>
    <row r="71" spans="8:8" s="8" customFormat="1" ht="15" customHeight="1" x14ac:dyDescent="0.25">
      <c r="H71" s="13"/>
    </row>
    <row r="72" spans="8:8" s="8" customFormat="1" ht="15" customHeight="1" x14ac:dyDescent="0.25">
      <c r="H72" s="13"/>
    </row>
    <row r="73" spans="8:8" s="8" customFormat="1" ht="15" customHeight="1" x14ac:dyDescent="0.25">
      <c r="H73" s="13"/>
    </row>
    <row r="74" spans="8:8" s="8" customFormat="1" ht="15" customHeight="1" x14ac:dyDescent="0.25">
      <c r="H74" s="13"/>
    </row>
    <row r="75" spans="8:8" s="8" customFormat="1" ht="15" customHeight="1" x14ac:dyDescent="0.25">
      <c r="H75" s="13"/>
    </row>
    <row r="76" spans="8:8" s="8" customFormat="1" ht="15" customHeight="1" x14ac:dyDescent="0.25">
      <c r="H76" s="13"/>
    </row>
    <row r="77" spans="8:8" s="8" customFormat="1" ht="15" customHeight="1" x14ac:dyDescent="0.25">
      <c r="H77" s="13"/>
    </row>
    <row r="78" spans="8:8" s="8" customFormat="1" ht="15" customHeight="1" x14ac:dyDescent="0.25">
      <c r="H78" s="13"/>
    </row>
    <row r="79" spans="8:8" s="8" customFormat="1" ht="15" customHeight="1" x14ac:dyDescent="0.25">
      <c r="H79" s="13"/>
    </row>
    <row r="80" spans="8:8" s="8" customFormat="1" ht="15" customHeight="1" x14ac:dyDescent="0.25">
      <c r="H80" s="13"/>
    </row>
    <row r="81" spans="8:8" s="8" customFormat="1" ht="15" customHeight="1" x14ac:dyDescent="0.25">
      <c r="H81" s="13"/>
    </row>
    <row r="82" spans="8:8" s="8" customFormat="1" ht="15" customHeight="1" x14ac:dyDescent="0.25">
      <c r="H82" s="13"/>
    </row>
    <row r="83" spans="8:8" s="8" customFormat="1" ht="15" customHeight="1" x14ac:dyDescent="0.25">
      <c r="H83" s="13"/>
    </row>
    <row r="84" spans="8:8" s="8" customFormat="1" ht="15" customHeight="1" x14ac:dyDescent="0.25">
      <c r="H84" s="13"/>
    </row>
    <row r="85" spans="8:8" s="8" customFormat="1" ht="15" customHeight="1" x14ac:dyDescent="0.25">
      <c r="H85" s="13"/>
    </row>
    <row r="86" spans="8:8" s="8" customFormat="1" ht="15" customHeight="1" x14ac:dyDescent="0.25">
      <c r="H86" s="13"/>
    </row>
    <row r="87" spans="8:8" s="8" customFormat="1" ht="15" customHeight="1" x14ac:dyDescent="0.25">
      <c r="H87" s="13"/>
    </row>
    <row r="88" spans="8:8" s="8" customFormat="1" ht="15" customHeight="1" x14ac:dyDescent="0.25">
      <c r="H88" s="13"/>
    </row>
    <row r="89" spans="8:8" s="8" customFormat="1" ht="15" customHeight="1" x14ac:dyDescent="0.25">
      <c r="H89" s="13"/>
    </row>
    <row r="90" spans="8:8" s="8" customFormat="1" ht="15" customHeight="1" x14ac:dyDescent="0.25">
      <c r="H90" s="13"/>
    </row>
    <row r="91" spans="8:8" s="8" customFormat="1" ht="15" customHeight="1" x14ac:dyDescent="0.25">
      <c r="H91" s="13"/>
    </row>
    <row r="92" spans="8:8" s="8" customFormat="1" ht="15" customHeight="1" x14ac:dyDescent="0.25">
      <c r="H92" s="13"/>
    </row>
    <row r="93" spans="8:8" s="8" customFormat="1" ht="15" customHeight="1" x14ac:dyDescent="0.25">
      <c r="H93" s="13"/>
    </row>
    <row r="94" spans="8:8" s="8" customFormat="1" ht="15" customHeight="1" x14ac:dyDescent="0.25">
      <c r="H94" s="13"/>
    </row>
    <row r="95" spans="8:8" s="8" customFormat="1" ht="15" customHeight="1" x14ac:dyDescent="0.25">
      <c r="H95" s="13"/>
    </row>
    <row r="96" spans="8:8" s="8" customFormat="1" ht="15" customHeight="1" x14ac:dyDescent="0.25">
      <c r="H96" s="13"/>
    </row>
    <row r="97" spans="8:8" s="8" customFormat="1" ht="15" customHeight="1" x14ac:dyDescent="0.25">
      <c r="H97" s="13"/>
    </row>
    <row r="98" spans="8:8" s="8" customFormat="1" ht="15" customHeight="1" x14ac:dyDescent="0.25">
      <c r="H98" s="13"/>
    </row>
    <row r="99" spans="8:8" s="8" customFormat="1" ht="15" customHeight="1" x14ac:dyDescent="0.25">
      <c r="H99" s="13"/>
    </row>
    <row r="100" spans="8:8" s="8" customFormat="1" ht="15" customHeight="1" x14ac:dyDescent="0.25">
      <c r="H100" s="13"/>
    </row>
    <row r="101" spans="8:8" s="8" customFormat="1" ht="15" customHeight="1" x14ac:dyDescent="0.25">
      <c r="H101" s="13"/>
    </row>
    <row r="102" spans="8:8" s="8" customFormat="1" ht="15" customHeight="1" x14ac:dyDescent="0.25">
      <c r="H102" s="13"/>
    </row>
    <row r="103" spans="8:8" s="8" customFormat="1" ht="15" customHeight="1" x14ac:dyDescent="0.25">
      <c r="H103" s="13"/>
    </row>
    <row r="104" spans="8:8" s="8" customFormat="1" ht="15" customHeight="1" x14ac:dyDescent="0.25">
      <c r="H104" s="13"/>
    </row>
    <row r="105" spans="8:8" s="8" customFormat="1" ht="15" customHeight="1" x14ac:dyDescent="0.25">
      <c r="H105" s="13"/>
    </row>
    <row r="106" spans="8:8" s="8" customFormat="1" ht="15" customHeight="1" x14ac:dyDescent="0.25">
      <c r="H106" s="13"/>
    </row>
    <row r="107" spans="8:8" s="8" customFormat="1" ht="15" customHeight="1" x14ac:dyDescent="0.25">
      <c r="H107" s="13"/>
    </row>
    <row r="108" spans="8:8" s="8" customFormat="1" ht="15" customHeight="1" x14ac:dyDescent="0.25">
      <c r="H108" s="13"/>
    </row>
    <row r="109" spans="8:8" s="8" customFormat="1" ht="15" customHeight="1" x14ac:dyDescent="0.25">
      <c r="H109" s="13"/>
    </row>
    <row r="110" spans="8:8" s="8" customFormat="1" ht="15" customHeight="1" x14ac:dyDescent="0.25">
      <c r="H110" s="13"/>
    </row>
    <row r="111" spans="8:8" s="8" customFormat="1" ht="15" customHeight="1" x14ac:dyDescent="0.25">
      <c r="H111" s="13"/>
    </row>
    <row r="112" spans="8:8" s="8" customFormat="1" ht="15" customHeight="1" x14ac:dyDescent="0.25">
      <c r="H112" s="13"/>
    </row>
    <row r="113" spans="8:8" s="8" customFormat="1" ht="15" customHeight="1" x14ac:dyDescent="0.25">
      <c r="H113" s="13"/>
    </row>
    <row r="114" spans="8:8" s="8" customFormat="1" ht="15" customHeight="1" x14ac:dyDescent="0.25">
      <c r="H114" s="13"/>
    </row>
    <row r="115" spans="8:8" s="8" customFormat="1" ht="15" customHeight="1" x14ac:dyDescent="0.25">
      <c r="H115" s="13"/>
    </row>
    <row r="116" spans="8:8" s="8" customFormat="1" ht="15" customHeight="1" x14ac:dyDescent="0.25">
      <c r="H116" s="13"/>
    </row>
    <row r="117" spans="8:8" s="8" customFormat="1" ht="15" customHeight="1" x14ac:dyDescent="0.25">
      <c r="H117" s="13"/>
    </row>
    <row r="118" spans="8:8" s="8" customFormat="1" ht="15" customHeight="1" x14ac:dyDescent="0.25">
      <c r="H118" s="13"/>
    </row>
    <row r="119" spans="8:8" s="8" customFormat="1" ht="15" customHeight="1" x14ac:dyDescent="0.25">
      <c r="H119" s="13"/>
    </row>
    <row r="120" spans="8:8" s="8" customFormat="1" ht="15" customHeight="1" x14ac:dyDescent="0.25">
      <c r="H120" s="13"/>
    </row>
    <row r="121" spans="8:8" s="8" customFormat="1" ht="15" customHeight="1" x14ac:dyDescent="0.25">
      <c r="H121" s="13"/>
    </row>
    <row r="122" spans="8:8" s="8" customFormat="1" ht="15" customHeight="1" x14ac:dyDescent="0.25">
      <c r="H122" s="13"/>
    </row>
    <row r="123" spans="8:8" s="8" customFormat="1" ht="15" customHeight="1" x14ac:dyDescent="0.25">
      <c r="H123" s="13"/>
    </row>
    <row r="124" spans="8:8" s="8" customFormat="1" ht="15" customHeight="1" x14ac:dyDescent="0.25">
      <c r="H124" s="13"/>
    </row>
    <row r="125" spans="8:8" s="8" customFormat="1" ht="15" customHeight="1" x14ac:dyDescent="0.25">
      <c r="H125" s="13"/>
    </row>
    <row r="126" spans="8:8" s="8" customFormat="1" ht="15" customHeight="1" x14ac:dyDescent="0.25">
      <c r="H126" s="13"/>
    </row>
    <row r="127" spans="8:8" s="8" customFormat="1" ht="15" customHeight="1" x14ac:dyDescent="0.25">
      <c r="H127" s="13"/>
    </row>
    <row r="128" spans="8:8" s="8" customFormat="1" ht="15" customHeight="1" x14ac:dyDescent="0.25">
      <c r="H128" s="13"/>
    </row>
    <row r="129" spans="8:8" s="8" customFormat="1" ht="15" customHeight="1" x14ac:dyDescent="0.25">
      <c r="H129" s="13"/>
    </row>
    <row r="130" spans="8:8" s="8" customFormat="1" ht="15" customHeight="1" x14ac:dyDescent="0.25">
      <c r="H130" s="13"/>
    </row>
    <row r="131" spans="8:8" s="8" customFormat="1" ht="15" customHeight="1" x14ac:dyDescent="0.25">
      <c r="H131" s="13"/>
    </row>
    <row r="132" spans="8:8" s="8" customFormat="1" ht="15" customHeight="1" x14ac:dyDescent="0.25">
      <c r="H132" s="13"/>
    </row>
    <row r="133" spans="8:8" s="8" customFormat="1" ht="15" customHeight="1" x14ac:dyDescent="0.25">
      <c r="H133" s="13"/>
    </row>
    <row r="134" spans="8:8" s="8" customFormat="1" ht="15" customHeight="1" x14ac:dyDescent="0.25">
      <c r="H134" s="13"/>
    </row>
    <row r="135" spans="8:8" s="8" customFormat="1" ht="15" customHeight="1" x14ac:dyDescent="0.25">
      <c r="H135" s="13"/>
    </row>
    <row r="136" spans="8:8" s="8" customFormat="1" ht="15" customHeight="1" x14ac:dyDescent="0.25">
      <c r="H136" s="13"/>
    </row>
    <row r="137" spans="8:8" s="8" customFormat="1" ht="15" customHeight="1" x14ac:dyDescent="0.25">
      <c r="H137" s="13"/>
    </row>
    <row r="138" spans="8:8" s="8" customFormat="1" ht="15" customHeight="1" x14ac:dyDescent="0.25">
      <c r="H138" s="13"/>
    </row>
    <row r="139" spans="8:8" s="8" customFormat="1" ht="15" customHeight="1" x14ac:dyDescent="0.25">
      <c r="H139" s="13"/>
    </row>
    <row r="140" spans="8:8" s="8" customFormat="1" ht="15" customHeight="1" x14ac:dyDescent="0.25">
      <c r="H140" s="13"/>
    </row>
    <row r="141" spans="8:8" s="8" customFormat="1" ht="15" customHeight="1" x14ac:dyDescent="0.25">
      <c r="H141" s="13"/>
    </row>
    <row r="142" spans="8:8" s="8" customFormat="1" ht="15" customHeight="1" x14ac:dyDescent="0.25">
      <c r="H142" s="13"/>
    </row>
    <row r="143" spans="8:8" s="8" customFormat="1" ht="15" customHeight="1" x14ac:dyDescent="0.25">
      <c r="H143" s="13"/>
    </row>
    <row r="144" spans="8:8" s="8" customFormat="1" ht="15" customHeight="1" x14ac:dyDescent="0.25">
      <c r="H144" s="13"/>
    </row>
    <row r="145" spans="8:8" s="8" customFormat="1" ht="15" customHeight="1" x14ac:dyDescent="0.25">
      <c r="H145" s="13"/>
    </row>
    <row r="146" spans="8:8" s="8" customFormat="1" ht="15" customHeight="1" x14ac:dyDescent="0.25">
      <c r="H146" s="13"/>
    </row>
    <row r="147" spans="8:8" s="8" customFormat="1" ht="15" customHeight="1" x14ac:dyDescent="0.25">
      <c r="H147" s="13"/>
    </row>
    <row r="148" spans="8:8" s="8" customFormat="1" ht="15" customHeight="1" x14ac:dyDescent="0.25">
      <c r="H148" s="13"/>
    </row>
    <row r="149" spans="8:8" s="8" customFormat="1" ht="15" customHeight="1" x14ac:dyDescent="0.25">
      <c r="H149" s="13"/>
    </row>
    <row r="150" spans="8:8" s="8" customFormat="1" ht="15" customHeight="1" x14ac:dyDescent="0.25">
      <c r="H150" s="13"/>
    </row>
    <row r="151" spans="8:8" s="8" customFormat="1" ht="15" customHeight="1" x14ac:dyDescent="0.25">
      <c r="H151" s="13"/>
    </row>
    <row r="152" spans="8:8" s="8" customFormat="1" ht="15" customHeight="1" x14ac:dyDescent="0.25">
      <c r="H152" s="13"/>
    </row>
    <row r="153" spans="8:8" s="8" customFormat="1" ht="15" customHeight="1" x14ac:dyDescent="0.25">
      <c r="H153" s="13"/>
    </row>
    <row r="154" spans="8:8" s="8" customFormat="1" ht="15" customHeight="1" x14ac:dyDescent="0.25">
      <c r="H154" s="13"/>
    </row>
    <row r="155" spans="8:8" s="8" customFormat="1" ht="15" customHeight="1" x14ac:dyDescent="0.25">
      <c r="H155" s="13"/>
    </row>
    <row r="156" spans="8:8" s="8" customFormat="1" ht="15" customHeight="1" x14ac:dyDescent="0.25">
      <c r="H156" s="13"/>
    </row>
    <row r="157" spans="8:8" s="8" customFormat="1" ht="15" customHeight="1" x14ac:dyDescent="0.25">
      <c r="H157" s="13"/>
    </row>
    <row r="158" spans="8:8" s="8" customFormat="1" ht="15" customHeight="1" x14ac:dyDescent="0.25">
      <c r="H158" s="13"/>
    </row>
    <row r="159" spans="8:8" s="8" customFormat="1" ht="15" customHeight="1" x14ac:dyDescent="0.25">
      <c r="H159" s="13"/>
    </row>
    <row r="160" spans="8:8" s="8" customFormat="1" ht="15" customHeight="1" x14ac:dyDescent="0.25">
      <c r="H160" s="13"/>
    </row>
    <row r="161" spans="8:8" s="8" customFormat="1" ht="15" customHeight="1" x14ac:dyDescent="0.25">
      <c r="H161" s="13"/>
    </row>
    <row r="162" spans="8:8" s="8" customFormat="1" ht="15" customHeight="1" x14ac:dyDescent="0.25">
      <c r="H162" s="13"/>
    </row>
    <row r="163" spans="8:8" s="8" customFormat="1" ht="15" customHeight="1" x14ac:dyDescent="0.25">
      <c r="H163" s="13"/>
    </row>
    <row r="164" spans="8:8" s="8" customFormat="1" ht="15" customHeight="1" x14ac:dyDescent="0.25">
      <c r="H164" s="13"/>
    </row>
    <row r="165" spans="8:8" s="8" customFormat="1" ht="15" customHeight="1" x14ac:dyDescent="0.25">
      <c r="H165" s="13"/>
    </row>
    <row r="166" spans="8:8" s="8" customFormat="1" ht="15" customHeight="1" x14ac:dyDescent="0.25">
      <c r="H166" s="13"/>
    </row>
    <row r="167" spans="8:8" s="8" customFormat="1" ht="15" customHeight="1" x14ac:dyDescent="0.25">
      <c r="H167" s="13"/>
    </row>
    <row r="168" spans="8:8" s="8" customFormat="1" ht="15" customHeight="1" x14ac:dyDescent="0.25">
      <c r="H168" s="13"/>
    </row>
    <row r="169" spans="8:8" s="8" customFormat="1" ht="15" customHeight="1" x14ac:dyDescent="0.25">
      <c r="H169" s="13"/>
    </row>
    <row r="170" spans="8:8" s="8" customFormat="1" ht="15" customHeight="1" x14ac:dyDescent="0.25">
      <c r="H170" s="13"/>
    </row>
    <row r="171" spans="8:8" s="8" customFormat="1" ht="15" customHeight="1" x14ac:dyDescent="0.25">
      <c r="H171" s="13"/>
    </row>
    <row r="172" spans="8:8" s="8" customFormat="1" ht="15" customHeight="1" x14ac:dyDescent="0.25">
      <c r="H172" s="13"/>
    </row>
    <row r="173" spans="8:8" s="8" customFormat="1" ht="15" customHeight="1" x14ac:dyDescent="0.25">
      <c r="H173" s="13"/>
    </row>
    <row r="174" spans="8:8" s="8" customFormat="1" ht="15" customHeight="1" x14ac:dyDescent="0.25">
      <c r="H174" s="13"/>
    </row>
    <row r="175" spans="8:8" s="8" customFormat="1" ht="15" customHeight="1" x14ac:dyDescent="0.25">
      <c r="H175" s="13"/>
    </row>
    <row r="176" spans="8:8" s="8" customFormat="1" ht="15" customHeight="1" x14ac:dyDescent="0.25">
      <c r="H176" s="13"/>
    </row>
    <row r="177" spans="8:8" s="8" customFormat="1" ht="15" customHeight="1" x14ac:dyDescent="0.25">
      <c r="H177" s="13"/>
    </row>
    <row r="178" spans="8:8" s="8" customFormat="1" ht="15" customHeight="1" x14ac:dyDescent="0.25">
      <c r="H178" s="13"/>
    </row>
    <row r="179" spans="8:8" s="8" customFormat="1" ht="15" customHeight="1" x14ac:dyDescent="0.25">
      <c r="H179" s="13"/>
    </row>
    <row r="180" spans="8:8" s="8" customFormat="1" ht="15" customHeight="1" x14ac:dyDescent="0.25">
      <c r="H180" s="13"/>
    </row>
    <row r="181" spans="8:8" s="8" customFormat="1" ht="15" customHeight="1" x14ac:dyDescent="0.25">
      <c r="H181" s="13"/>
    </row>
    <row r="182" spans="8:8" s="8" customFormat="1" ht="15" customHeight="1" x14ac:dyDescent="0.25">
      <c r="H182" s="13"/>
    </row>
    <row r="183" spans="8:8" s="8" customFormat="1" ht="15" customHeight="1" x14ac:dyDescent="0.25">
      <c r="H183" s="13"/>
    </row>
    <row r="184" spans="8:8" s="8" customFormat="1" ht="15" customHeight="1" x14ac:dyDescent="0.25">
      <c r="H184" s="13"/>
    </row>
    <row r="185" spans="8:8" s="8" customFormat="1" ht="15" customHeight="1" x14ac:dyDescent="0.25">
      <c r="H185" s="13"/>
    </row>
    <row r="186" spans="8:8" s="8" customFormat="1" ht="15" customHeight="1" x14ac:dyDescent="0.25">
      <c r="H186" s="13"/>
    </row>
    <row r="187" spans="8:8" s="8" customFormat="1" ht="15" customHeight="1" x14ac:dyDescent="0.25">
      <c r="H187" s="13"/>
    </row>
    <row r="188" spans="8:8" s="8" customFormat="1" ht="15" customHeight="1" x14ac:dyDescent="0.25">
      <c r="H188" s="13"/>
    </row>
    <row r="189" spans="8:8" s="8" customFormat="1" ht="15" customHeight="1" x14ac:dyDescent="0.25">
      <c r="H189" s="13"/>
    </row>
    <row r="190" spans="8:8" s="8" customFormat="1" ht="15" customHeight="1" x14ac:dyDescent="0.25">
      <c r="H190" s="13"/>
    </row>
    <row r="191" spans="8:8" s="8" customFormat="1" ht="15" customHeight="1" x14ac:dyDescent="0.25">
      <c r="H191" s="13"/>
    </row>
    <row r="192" spans="8:8" s="8" customFormat="1" ht="15" customHeight="1" x14ac:dyDescent="0.25">
      <c r="H192" s="13"/>
    </row>
    <row r="193" spans="8:8" s="8" customFormat="1" ht="15" customHeight="1" x14ac:dyDescent="0.25">
      <c r="H193" s="13"/>
    </row>
    <row r="194" spans="8:8" s="8" customFormat="1" ht="15" customHeight="1" x14ac:dyDescent="0.25">
      <c r="H194" s="13"/>
    </row>
    <row r="195" spans="8:8" s="8" customFormat="1" ht="15" customHeight="1" x14ac:dyDescent="0.25">
      <c r="H195" s="13"/>
    </row>
    <row r="196" spans="8:8" s="8" customFormat="1" ht="15" customHeight="1" x14ac:dyDescent="0.25">
      <c r="H196" s="13"/>
    </row>
    <row r="197" spans="8:8" s="8" customFormat="1" ht="15" customHeight="1" x14ac:dyDescent="0.25">
      <c r="H197" s="13"/>
    </row>
    <row r="198" spans="8:8" s="8" customFormat="1" ht="15" customHeight="1" x14ac:dyDescent="0.25">
      <c r="H198" s="13"/>
    </row>
    <row r="199" spans="8:8" s="8" customFormat="1" ht="15" customHeight="1" x14ac:dyDescent="0.25">
      <c r="H199" s="13"/>
    </row>
    <row r="200" spans="8:8" s="8" customFormat="1" ht="15" customHeight="1" x14ac:dyDescent="0.25">
      <c r="H200" s="13"/>
    </row>
    <row r="201" spans="8:8" s="8" customFormat="1" ht="15" customHeight="1" x14ac:dyDescent="0.25">
      <c r="H201" s="13"/>
    </row>
    <row r="202" spans="8:8" s="8" customFormat="1" ht="15" customHeight="1" x14ac:dyDescent="0.25">
      <c r="H202" s="13"/>
    </row>
    <row r="203" spans="8:8" s="8" customFormat="1" ht="15" customHeight="1" x14ac:dyDescent="0.25">
      <c r="H203" s="13"/>
    </row>
    <row r="204" spans="8:8" s="8" customFormat="1" ht="15" customHeight="1" x14ac:dyDescent="0.25">
      <c r="H204" s="13"/>
    </row>
    <row r="205" spans="8:8" s="8" customFormat="1" ht="15" customHeight="1" x14ac:dyDescent="0.25">
      <c r="H205" s="13"/>
    </row>
    <row r="206" spans="8:8" s="8" customFormat="1" ht="15" customHeight="1" x14ac:dyDescent="0.25">
      <c r="H206" s="13"/>
    </row>
    <row r="207" spans="8:8" s="8" customFormat="1" ht="15" customHeight="1" x14ac:dyDescent="0.25">
      <c r="H207" s="13"/>
    </row>
    <row r="208" spans="8:8" s="8" customFormat="1" ht="15" customHeight="1" x14ac:dyDescent="0.25">
      <c r="H208" s="13"/>
    </row>
    <row r="209" spans="8:8" s="8" customFormat="1" ht="15" customHeight="1" x14ac:dyDescent="0.25">
      <c r="H209" s="13"/>
    </row>
    <row r="210" spans="8:8" s="8" customFormat="1" ht="15" customHeight="1" x14ac:dyDescent="0.25">
      <c r="H210" s="13"/>
    </row>
    <row r="211" spans="8:8" s="8" customFormat="1" ht="15" customHeight="1" x14ac:dyDescent="0.25">
      <c r="H211" s="13"/>
    </row>
    <row r="212" spans="8:8" s="8" customFormat="1" ht="15" customHeight="1" x14ac:dyDescent="0.25">
      <c r="H212" s="13"/>
    </row>
    <row r="213" spans="8:8" s="8" customFormat="1" ht="15" customHeight="1" x14ac:dyDescent="0.25">
      <c r="H213" s="13"/>
    </row>
    <row r="214" spans="8:8" s="8" customFormat="1" ht="15" customHeight="1" x14ac:dyDescent="0.25">
      <c r="H214" s="13"/>
    </row>
    <row r="215" spans="8:8" s="8" customFormat="1" ht="15" customHeight="1" x14ac:dyDescent="0.25">
      <c r="H215" s="13"/>
    </row>
    <row r="216" spans="8:8" s="8" customFormat="1" ht="15" customHeight="1" x14ac:dyDescent="0.25">
      <c r="H216" s="13"/>
    </row>
    <row r="217" spans="8:8" s="8" customFormat="1" ht="15" customHeight="1" x14ac:dyDescent="0.25">
      <c r="H217" s="13"/>
    </row>
    <row r="218" spans="8:8" s="8" customFormat="1" ht="15" customHeight="1" x14ac:dyDescent="0.25">
      <c r="H218" s="13"/>
    </row>
    <row r="219" spans="8:8" s="8" customFormat="1" ht="15" customHeight="1" x14ac:dyDescent="0.25">
      <c r="H219" s="13"/>
    </row>
    <row r="220" spans="8:8" s="8" customFormat="1" ht="15" customHeight="1" x14ac:dyDescent="0.25">
      <c r="H220" s="13"/>
    </row>
    <row r="221" spans="8:8" s="8" customFormat="1" ht="15" customHeight="1" x14ac:dyDescent="0.25">
      <c r="H221" s="13"/>
    </row>
    <row r="222" spans="8:8" s="8" customFormat="1" ht="15" customHeight="1" x14ac:dyDescent="0.25">
      <c r="H222" s="13"/>
    </row>
    <row r="223" spans="8:8" s="8" customFormat="1" ht="15" customHeight="1" x14ac:dyDescent="0.25">
      <c r="H223" s="13"/>
    </row>
    <row r="224" spans="8:8" s="8" customFormat="1" ht="15" customHeight="1" x14ac:dyDescent="0.25">
      <c r="H224" s="13"/>
    </row>
    <row r="225" spans="8:8" s="8" customFormat="1" ht="15" customHeight="1" x14ac:dyDescent="0.25">
      <c r="H225" s="13"/>
    </row>
    <row r="226" spans="8:8" s="8" customFormat="1" ht="15" customHeight="1" x14ac:dyDescent="0.25">
      <c r="H226" s="13"/>
    </row>
    <row r="227" spans="8:8" s="8" customFormat="1" ht="15" customHeight="1" x14ac:dyDescent="0.25">
      <c r="H227" s="13"/>
    </row>
    <row r="228" spans="8:8" s="8" customFormat="1" ht="15" customHeight="1" x14ac:dyDescent="0.25">
      <c r="H228" s="13"/>
    </row>
    <row r="229" spans="8:8" s="8" customFormat="1" ht="15" customHeight="1" x14ac:dyDescent="0.25">
      <c r="H229" s="13"/>
    </row>
    <row r="230" spans="8:8" s="8" customFormat="1" ht="15" customHeight="1" x14ac:dyDescent="0.25">
      <c r="H230" s="13"/>
    </row>
    <row r="231" spans="8:8" s="8" customFormat="1" ht="15" customHeight="1" x14ac:dyDescent="0.25">
      <c r="H231" s="13"/>
    </row>
    <row r="232" spans="8:8" s="8" customFormat="1" ht="15" customHeight="1" x14ac:dyDescent="0.25">
      <c r="H232" s="13"/>
    </row>
    <row r="233" spans="8:8" s="8" customFormat="1" ht="15" customHeight="1" x14ac:dyDescent="0.25">
      <c r="H233" s="13"/>
    </row>
    <row r="234" spans="8:8" s="8" customFormat="1" ht="15" customHeight="1" x14ac:dyDescent="0.25">
      <c r="H234" s="13"/>
    </row>
    <row r="235" spans="8:8" s="8" customFormat="1" ht="15" customHeight="1" x14ac:dyDescent="0.25">
      <c r="H235" s="13"/>
    </row>
    <row r="236" spans="8:8" s="8" customFormat="1" ht="15" customHeight="1" x14ac:dyDescent="0.25">
      <c r="H236" s="13"/>
    </row>
    <row r="237" spans="8:8" s="8" customFormat="1" ht="15" customHeight="1" x14ac:dyDescent="0.25">
      <c r="H237" s="13"/>
    </row>
    <row r="238" spans="8:8" s="8" customFormat="1" ht="15" customHeight="1" x14ac:dyDescent="0.25">
      <c r="H238" s="13"/>
    </row>
    <row r="239" spans="8:8" s="8" customFormat="1" ht="15" customHeight="1" x14ac:dyDescent="0.25">
      <c r="H239" s="13"/>
    </row>
    <row r="240" spans="8:8" s="8" customFormat="1" ht="15" customHeight="1" x14ac:dyDescent="0.25">
      <c r="H240" s="13"/>
    </row>
    <row r="241" spans="8:8" s="8" customFormat="1" ht="15" customHeight="1" x14ac:dyDescent="0.25">
      <c r="H241" s="13"/>
    </row>
    <row r="242" spans="8:8" s="8" customFormat="1" ht="15" customHeight="1" x14ac:dyDescent="0.25">
      <c r="H242" s="13"/>
    </row>
    <row r="243" spans="8:8" s="8" customFormat="1" ht="15" customHeight="1" x14ac:dyDescent="0.25">
      <c r="H243" s="13"/>
    </row>
    <row r="244" spans="8:8" s="8" customFormat="1" ht="15" customHeight="1" x14ac:dyDescent="0.25">
      <c r="H244" s="13"/>
    </row>
    <row r="245" spans="8:8" s="8" customFormat="1" ht="15" customHeight="1" x14ac:dyDescent="0.25">
      <c r="H245" s="13"/>
    </row>
    <row r="246" spans="8:8" s="8" customFormat="1" ht="15" customHeight="1" x14ac:dyDescent="0.25">
      <c r="H246" s="13"/>
    </row>
    <row r="247" spans="8:8" s="8" customFormat="1" ht="15" customHeight="1" x14ac:dyDescent="0.25">
      <c r="H247" s="13"/>
    </row>
    <row r="248" spans="8:8" s="8" customFormat="1" ht="15" customHeight="1" x14ac:dyDescent="0.25">
      <c r="H248" s="13"/>
    </row>
    <row r="249" spans="8:8" s="8" customFormat="1" ht="15" customHeight="1" x14ac:dyDescent="0.25">
      <c r="H249" s="13"/>
    </row>
    <row r="250" spans="8:8" s="8" customFormat="1" ht="15" customHeight="1" x14ac:dyDescent="0.25">
      <c r="H250" s="13"/>
    </row>
    <row r="251" spans="8:8" s="8" customFormat="1" ht="15" customHeight="1" x14ac:dyDescent="0.25">
      <c r="H251" s="13"/>
    </row>
    <row r="252" spans="8:8" s="8" customFormat="1" ht="15" customHeight="1" x14ac:dyDescent="0.25">
      <c r="H252" s="13"/>
    </row>
    <row r="253" spans="8:8" s="8" customFormat="1" ht="15" customHeight="1" x14ac:dyDescent="0.25">
      <c r="H253" s="13"/>
    </row>
    <row r="254" spans="8:8" s="8" customFormat="1" ht="15" customHeight="1" x14ac:dyDescent="0.25">
      <c r="H254" s="13"/>
    </row>
    <row r="255" spans="8:8" s="8" customFormat="1" ht="15" customHeight="1" x14ac:dyDescent="0.25">
      <c r="H255" s="13"/>
    </row>
    <row r="256" spans="8:8" s="8" customFormat="1" ht="15" customHeight="1" x14ac:dyDescent="0.25">
      <c r="H256" s="13"/>
    </row>
    <row r="257" spans="8:8" s="8" customFormat="1" ht="15" customHeight="1" x14ac:dyDescent="0.25">
      <c r="H257" s="13"/>
    </row>
    <row r="258" spans="8:8" s="8" customFormat="1" ht="15" customHeight="1" x14ac:dyDescent="0.25">
      <c r="H258" s="13"/>
    </row>
    <row r="259" spans="8:8" s="8" customFormat="1" ht="15" customHeight="1" x14ac:dyDescent="0.25">
      <c r="H259" s="13"/>
    </row>
    <row r="260" spans="8:8" s="8" customFormat="1" ht="15" customHeight="1" x14ac:dyDescent="0.25">
      <c r="H260" s="13"/>
    </row>
    <row r="261" spans="8:8" s="8" customFormat="1" ht="15" customHeight="1" x14ac:dyDescent="0.25">
      <c r="H261" s="13"/>
    </row>
    <row r="262" spans="8:8" s="8" customFormat="1" ht="15" customHeight="1" x14ac:dyDescent="0.25">
      <c r="H262" s="13"/>
    </row>
    <row r="263" spans="8:8" s="8" customFormat="1" ht="15" customHeight="1" x14ac:dyDescent="0.25">
      <c r="H263" s="13"/>
    </row>
    <row r="264" spans="8:8" s="8" customFormat="1" ht="15" customHeight="1" x14ac:dyDescent="0.25">
      <c r="H264" s="13"/>
    </row>
    <row r="265" spans="8:8" s="8" customFormat="1" ht="15" customHeight="1" x14ac:dyDescent="0.25">
      <c r="H265" s="13"/>
    </row>
    <row r="266" spans="8:8" s="8" customFormat="1" ht="15" customHeight="1" x14ac:dyDescent="0.25">
      <c r="H266" s="13"/>
    </row>
    <row r="267" spans="8:8" s="8" customFormat="1" ht="15" customHeight="1" x14ac:dyDescent="0.25">
      <c r="H267" s="13"/>
    </row>
    <row r="268" spans="8:8" s="8" customFormat="1" ht="15" customHeight="1" x14ac:dyDescent="0.25">
      <c r="H268" s="13"/>
    </row>
    <row r="269" spans="8:8" s="8" customFormat="1" ht="15" customHeight="1" x14ac:dyDescent="0.25">
      <c r="H269" s="13"/>
    </row>
    <row r="270" spans="8:8" s="8" customFormat="1" ht="15" customHeight="1" x14ac:dyDescent="0.25">
      <c r="H270" s="13"/>
    </row>
    <row r="271" spans="8:8" s="8" customFormat="1" ht="15" customHeight="1" x14ac:dyDescent="0.25">
      <c r="H271" s="13"/>
    </row>
    <row r="272" spans="8:8" s="8" customFormat="1" ht="15" customHeight="1" x14ac:dyDescent="0.25">
      <c r="H272" s="13"/>
    </row>
    <row r="273" spans="8:8" s="8" customFormat="1" ht="15" customHeight="1" x14ac:dyDescent="0.25">
      <c r="H273" s="13"/>
    </row>
    <row r="274" spans="8:8" s="8" customFormat="1" ht="15" customHeight="1" x14ac:dyDescent="0.25">
      <c r="H274" s="13"/>
    </row>
    <row r="275" spans="8:8" s="8" customFormat="1" ht="15" customHeight="1" x14ac:dyDescent="0.25">
      <c r="H275" s="13"/>
    </row>
    <row r="276" spans="8:8" s="8" customFormat="1" ht="15" customHeight="1" x14ac:dyDescent="0.25">
      <c r="H276" s="13"/>
    </row>
    <row r="277" spans="8:8" s="8" customFormat="1" ht="15" customHeight="1" x14ac:dyDescent="0.25">
      <c r="H277" s="13"/>
    </row>
    <row r="278" spans="8:8" s="8" customFormat="1" ht="15" customHeight="1" x14ac:dyDescent="0.25">
      <c r="H278" s="13"/>
    </row>
    <row r="279" spans="8:8" s="8" customFormat="1" ht="15" customHeight="1" x14ac:dyDescent="0.25">
      <c r="H279" s="13"/>
    </row>
    <row r="280" spans="8:8" s="8" customFormat="1" ht="15" customHeight="1" x14ac:dyDescent="0.25">
      <c r="H280" s="13"/>
    </row>
    <row r="281" spans="8:8" s="8" customFormat="1" ht="15" customHeight="1" x14ac:dyDescent="0.25">
      <c r="H281" s="13"/>
    </row>
    <row r="282" spans="8:8" s="8" customFormat="1" ht="15" customHeight="1" x14ac:dyDescent="0.25">
      <c r="H282" s="13"/>
    </row>
    <row r="283" spans="8:8" s="8" customFormat="1" ht="15" customHeight="1" x14ac:dyDescent="0.25">
      <c r="H283" s="13"/>
    </row>
    <row r="284" spans="8:8" s="8" customFormat="1" ht="15" customHeight="1" x14ac:dyDescent="0.25">
      <c r="H284" s="13"/>
    </row>
    <row r="285" spans="8:8" s="8" customFormat="1" ht="15" customHeight="1" x14ac:dyDescent="0.25">
      <c r="H285" s="13"/>
    </row>
    <row r="286" spans="8:8" s="8" customFormat="1" ht="15" customHeight="1" x14ac:dyDescent="0.25">
      <c r="H286" s="13"/>
    </row>
    <row r="287" spans="8:8" s="8" customFormat="1" ht="15" customHeight="1" x14ac:dyDescent="0.25">
      <c r="H287" s="13"/>
    </row>
    <row r="288" spans="8:8" s="8" customFormat="1" ht="15" customHeight="1" x14ac:dyDescent="0.25">
      <c r="H288" s="13"/>
    </row>
    <row r="289" spans="8:8" s="8" customFormat="1" ht="15" customHeight="1" x14ac:dyDescent="0.25">
      <c r="H289" s="13"/>
    </row>
    <row r="290" spans="8:8" s="8" customFormat="1" ht="15" customHeight="1" x14ac:dyDescent="0.25">
      <c r="H290" s="13"/>
    </row>
    <row r="291" spans="8:8" s="8" customFormat="1" ht="15" customHeight="1" x14ac:dyDescent="0.25">
      <c r="H291" s="13"/>
    </row>
    <row r="292" spans="8:8" s="8" customFormat="1" ht="15" customHeight="1" x14ac:dyDescent="0.25">
      <c r="H292" s="13"/>
    </row>
    <row r="293" spans="8:8" s="8" customFormat="1" ht="15" customHeight="1" x14ac:dyDescent="0.25">
      <c r="H293" s="13"/>
    </row>
    <row r="294" spans="8:8" s="8" customFormat="1" ht="15" customHeight="1" x14ac:dyDescent="0.25">
      <c r="H294" s="13"/>
    </row>
    <row r="295" spans="8:8" s="8" customFormat="1" ht="15" customHeight="1" x14ac:dyDescent="0.25">
      <c r="H295" s="13"/>
    </row>
    <row r="296" spans="8:8" s="8" customFormat="1" ht="15" customHeight="1" x14ac:dyDescent="0.25">
      <c r="H296" s="13"/>
    </row>
    <row r="297" spans="8:8" s="8" customFormat="1" ht="15" customHeight="1" x14ac:dyDescent="0.25">
      <c r="H297" s="13"/>
    </row>
    <row r="298" spans="8:8" s="8" customFormat="1" ht="15" customHeight="1" x14ac:dyDescent="0.25">
      <c r="H298" s="13"/>
    </row>
    <row r="299" spans="8:8" s="8" customFormat="1" ht="15" customHeight="1" x14ac:dyDescent="0.25">
      <c r="H299" s="13"/>
    </row>
    <row r="300" spans="8:8" s="8" customFormat="1" ht="15" customHeight="1" x14ac:dyDescent="0.25">
      <c r="H300" s="13"/>
    </row>
    <row r="301" spans="8:8" s="8" customFormat="1" ht="15" customHeight="1" x14ac:dyDescent="0.25">
      <c r="H301" s="13"/>
    </row>
    <row r="302" spans="8:8" s="8" customFormat="1" ht="15" customHeight="1" x14ac:dyDescent="0.25">
      <c r="H302" s="13"/>
    </row>
    <row r="303" spans="8:8" s="8" customFormat="1" ht="15" customHeight="1" x14ac:dyDescent="0.25">
      <c r="H303" s="13"/>
    </row>
    <row r="304" spans="8:8" s="8" customFormat="1" ht="15" customHeight="1" x14ac:dyDescent="0.25">
      <c r="H304" s="13"/>
    </row>
    <row r="305" spans="8:8" s="8" customFormat="1" ht="15" customHeight="1" x14ac:dyDescent="0.25">
      <c r="H305" s="13"/>
    </row>
    <row r="306" spans="8:8" s="8" customFormat="1" ht="15" customHeight="1" x14ac:dyDescent="0.25">
      <c r="H306" s="13"/>
    </row>
    <row r="307" spans="8:8" s="8" customFormat="1" ht="15" customHeight="1" x14ac:dyDescent="0.25">
      <c r="H307" s="13"/>
    </row>
    <row r="308" spans="8:8" s="8" customFormat="1" ht="15" customHeight="1" x14ac:dyDescent="0.25">
      <c r="H308" s="13"/>
    </row>
    <row r="309" spans="8:8" s="8" customFormat="1" ht="15" customHeight="1" x14ac:dyDescent="0.25">
      <c r="H309" s="13"/>
    </row>
    <row r="310" spans="8:8" s="8" customFormat="1" ht="15" customHeight="1" x14ac:dyDescent="0.25">
      <c r="H310" s="13"/>
    </row>
    <row r="311" spans="8:8" s="8" customFormat="1" ht="15" customHeight="1" x14ac:dyDescent="0.25">
      <c r="H311" s="13"/>
    </row>
    <row r="312" spans="8:8" s="8" customFormat="1" ht="15" customHeight="1" x14ac:dyDescent="0.25">
      <c r="H312" s="13"/>
    </row>
    <row r="313" spans="8:8" s="8" customFormat="1" ht="15" customHeight="1" x14ac:dyDescent="0.25">
      <c r="H313" s="13"/>
    </row>
    <row r="314" spans="8:8" s="8" customFormat="1" ht="15" customHeight="1" x14ac:dyDescent="0.25">
      <c r="H314" s="13"/>
    </row>
    <row r="315" spans="8:8" s="8" customFormat="1" ht="15" customHeight="1" x14ac:dyDescent="0.25">
      <c r="H315" s="13"/>
    </row>
    <row r="316" spans="8:8" s="8" customFormat="1" ht="15" customHeight="1" x14ac:dyDescent="0.25">
      <c r="H316" s="13"/>
    </row>
    <row r="317" spans="8:8" s="8" customFormat="1" ht="15" customHeight="1" x14ac:dyDescent="0.25">
      <c r="H317" s="13"/>
    </row>
    <row r="318" spans="8:8" s="8" customFormat="1" ht="15" customHeight="1" x14ac:dyDescent="0.25">
      <c r="H318" s="13"/>
    </row>
    <row r="319" spans="8:8" s="8" customFormat="1" ht="15" customHeight="1" x14ac:dyDescent="0.25">
      <c r="H319" s="13"/>
    </row>
    <row r="320" spans="8:8" s="8" customFormat="1" ht="15" customHeight="1" x14ac:dyDescent="0.25">
      <c r="H320" s="13"/>
    </row>
    <row r="321" spans="8:8" s="8" customFormat="1" ht="15" customHeight="1" x14ac:dyDescent="0.25">
      <c r="H321" s="13"/>
    </row>
    <row r="322" spans="8:8" s="8" customFormat="1" ht="15" customHeight="1" x14ac:dyDescent="0.25">
      <c r="H322" s="13"/>
    </row>
    <row r="323" spans="8:8" s="8" customFormat="1" ht="15" customHeight="1" x14ac:dyDescent="0.25">
      <c r="H323" s="13"/>
    </row>
    <row r="324" spans="8:8" s="8" customFormat="1" ht="15" customHeight="1" x14ac:dyDescent="0.25">
      <c r="H324" s="13"/>
    </row>
    <row r="325" spans="8:8" s="8" customFormat="1" ht="15" customHeight="1" x14ac:dyDescent="0.25">
      <c r="H325" s="13"/>
    </row>
    <row r="326" spans="8:8" s="8" customFormat="1" ht="15" customHeight="1" x14ac:dyDescent="0.25">
      <c r="H326" s="13"/>
    </row>
    <row r="327" spans="8:8" s="8" customFormat="1" ht="15" customHeight="1" x14ac:dyDescent="0.25">
      <c r="H327" s="13"/>
    </row>
    <row r="328" spans="8:8" s="8" customFormat="1" ht="15" customHeight="1" x14ac:dyDescent="0.25">
      <c r="H328" s="13"/>
    </row>
    <row r="329" spans="8:8" s="8" customFormat="1" ht="15" customHeight="1" x14ac:dyDescent="0.25">
      <c r="H329" s="13"/>
    </row>
    <row r="330" spans="8:8" s="8" customFormat="1" ht="15" customHeight="1" x14ac:dyDescent="0.25">
      <c r="H330" s="13"/>
    </row>
    <row r="331" spans="8:8" s="8" customFormat="1" ht="15" customHeight="1" x14ac:dyDescent="0.25">
      <c r="H331" s="13"/>
    </row>
    <row r="332" spans="8:8" s="8" customFormat="1" ht="15" customHeight="1" x14ac:dyDescent="0.25">
      <c r="H332" s="13"/>
    </row>
    <row r="333" spans="8:8" s="8" customFormat="1" ht="15" customHeight="1" x14ac:dyDescent="0.25">
      <c r="H333" s="13"/>
    </row>
    <row r="334" spans="8:8" s="8" customFormat="1" ht="15" customHeight="1" x14ac:dyDescent="0.25">
      <c r="H334" s="13"/>
    </row>
    <row r="335" spans="8:8" s="8" customFormat="1" ht="15" customHeight="1" x14ac:dyDescent="0.25">
      <c r="H335" s="13"/>
    </row>
    <row r="336" spans="8:8" s="8" customFormat="1" ht="15" customHeight="1" x14ac:dyDescent="0.25">
      <c r="H336" s="13"/>
    </row>
    <row r="337" spans="8:8" s="8" customFormat="1" ht="15" customHeight="1" x14ac:dyDescent="0.25">
      <c r="H337" s="13"/>
    </row>
    <row r="338" spans="8:8" s="8" customFormat="1" ht="15" customHeight="1" x14ac:dyDescent="0.25">
      <c r="H338" s="13"/>
    </row>
    <row r="339" spans="8:8" s="8" customFormat="1" ht="15" customHeight="1" x14ac:dyDescent="0.25">
      <c r="H339" s="13"/>
    </row>
    <row r="340" spans="8:8" s="8" customFormat="1" ht="15" customHeight="1" x14ac:dyDescent="0.25">
      <c r="H340" s="13"/>
    </row>
    <row r="341" spans="8:8" s="8" customFormat="1" ht="15" customHeight="1" x14ac:dyDescent="0.25">
      <c r="H341" s="13"/>
    </row>
    <row r="342" spans="8:8" s="8" customFormat="1" ht="15" customHeight="1" x14ac:dyDescent="0.25">
      <c r="H342" s="13"/>
    </row>
    <row r="343" spans="8:8" s="8" customFormat="1" ht="15" customHeight="1" x14ac:dyDescent="0.25">
      <c r="H343" s="13"/>
    </row>
    <row r="344" spans="8:8" s="8" customFormat="1" ht="15" customHeight="1" x14ac:dyDescent="0.25">
      <c r="H344" s="13"/>
    </row>
    <row r="345" spans="8:8" s="8" customFormat="1" ht="15" customHeight="1" x14ac:dyDescent="0.25">
      <c r="H345" s="13"/>
    </row>
    <row r="346" spans="8:8" s="8" customFormat="1" ht="15" customHeight="1" x14ac:dyDescent="0.25">
      <c r="H346" s="13"/>
    </row>
    <row r="347" spans="8:8" s="8" customFormat="1" ht="15" customHeight="1" x14ac:dyDescent="0.25">
      <c r="H347" s="13"/>
    </row>
    <row r="348" spans="8:8" s="8" customFormat="1" ht="15" customHeight="1" x14ac:dyDescent="0.25">
      <c r="H348" s="13"/>
    </row>
    <row r="349" spans="8:8" s="8" customFormat="1" ht="15" customHeight="1" x14ac:dyDescent="0.25">
      <c r="H349" s="13"/>
    </row>
    <row r="350" spans="8:8" s="8" customFormat="1" ht="15" customHeight="1" x14ac:dyDescent="0.25">
      <c r="H350" s="13"/>
    </row>
    <row r="351" spans="8:8" s="8" customFormat="1" ht="15" customHeight="1" x14ac:dyDescent="0.25">
      <c r="H351" s="13"/>
    </row>
    <row r="352" spans="8:8" s="8" customFormat="1" ht="15" customHeight="1" x14ac:dyDescent="0.25">
      <c r="H352" s="13"/>
    </row>
    <row r="353" spans="8:8" s="8" customFormat="1" ht="15" customHeight="1" x14ac:dyDescent="0.25">
      <c r="H353" s="13"/>
    </row>
    <row r="354" spans="8:8" s="8" customFormat="1" ht="15" customHeight="1" x14ac:dyDescent="0.25">
      <c r="H354" s="13"/>
    </row>
    <row r="355" spans="8:8" s="8" customFormat="1" ht="15" customHeight="1" x14ac:dyDescent="0.25">
      <c r="H355" s="13"/>
    </row>
    <row r="356" spans="8:8" s="8" customFormat="1" ht="15" customHeight="1" x14ac:dyDescent="0.25">
      <c r="H356" s="13"/>
    </row>
    <row r="357" spans="8:8" s="8" customFormat="1" ht="15" customHeight="1" x14ac:dyDescent="0.25">
      <c r="H357" s="13"/>
    </row>
    <row r="358" spans="8:8" s="8" customFormat="1" ht="15" customHeight="1" x14ac:dyDescent="0.25">
      <c r="H358" s="13"/>
    </row>
    <row r="359" spans="8:8" s="8" customFormat="1" ht="15" customHeight="1" x14ac:dyDescent="0.25">
      <c r="H359" s="13"/>
    </row>
    <row r="360" spans="8:8" s="8" customFormat="1" ht="15" customHeight="1" x14ac:dyDescent="0.25">
      <c r="H360" s="13"/>
    </row>
    <row r="361" spans="8:8" s="8" customFormat="1" ht="15" customHeight="1" x14ac:dyDescent="0.25">
      <c r="H361" s="13"/>
    </row>
    <row r="362" spans="8:8" s="8" customFormat="1" ht="15" customHeight="1" x14ac:dyDescent="0.25">
      <c r="H362" s="13"/>
    </row>
    <row r="363" spans="8:8" s="8" customFormat="1" ht="15" customHeight="1" x14ac:dyDescent="0.25">
      <c r="H363" s="13"/>
    </row>
    <row r="364" spans="8:8" s="8" customFormat="1" ht="15" customHeight="1" x14ac:dyDescent="0.25">
      <c r="H364" s="13"/>
    </row>
    <row r="365" spans="8:8" s="8" customFormat="1" ht="15" customHeight="1" x14ac:dyDescent="0.25">
      <c r="H365" s="13"/>
    </row>
    <row r="366" spans="8:8" s="8" customFormat="1" ht="15" customHeight="1" x14ac:dyDescent="0.25">
      <c r="H366" s="13"/>
    </row>
    <row r="367" spans="8:8" s="8" customFormat="1" ht="15" customHeight="1" x14ac:dyDescent="0.25">
      <c r="H367" s="13"/>
    </row>
    <row r="368" spans="8:8" s="8" customFormat="1" ht="15" customHeight="1" x14ac:dyDescent="0.25">
      <c r="H368" s="13"/>
    </row>
    <row r="369" spans="8:8" s="8" customFormat="1" ht="15" customHeight="1" x14ac:dyDescent="0.25">
      <c r="H369" s="13"/>
    </row>
    <row r="370" spans="8:8" s="8" customFormat="1" ht="15" customHeight="1" x14ac:dyDescent="0.25">
      <c r="H370" s="13"/>
    </row>
    <row r="371" spans="8:8" s="8" customFormat="1" ht="15" customHeight="1" x14ac:dyDescent="0.25">
      <c r="H371" s="13"/>
    </row>
    <row r="372" spans="8:8" s="8" customFormat="1" ht="15" customHeight="1" x14ac:dyDescent="0.25">
      <c r="H372" s="13"/>
    </row>
    <row r="373" spans="8:8" s="8" customFormat="1" ht="15" customHeight="1" x14ac:dyDescent="0.25">
      <c r="H373" s="13"/>
    </row>
    <row r="374" spans="8:8" s="8" customFormat="1" ht="15" customHeight="1" x14ac:dyDescent="0.25">
      <c r="H374" s="13"/>
    </row>
    <row r="375" spans="8:8" s="8" customFormat="1" ht="15" customHeight="1" x14ac:dyDescent="0.25">
      <c r="H375" s="13"/>
    </row>
    <row r="376" spans="8:8" s="8" customFormat="1" ht="15" customHeight="1" x14ac:dyDescent="0.25">
      <c r="H376" s="13"/>
    </row>
    <row r="377" spans="8:8" s="8" customFormat="1" ht="15" customHeight="1" x14ac:dyDescent="0.25">
      <c r="H377" s="13"/>
    </row>
    <row r="378" spans="8:8" s="8" customFormat="1" ht="15" customHeight="1" x14ac:dyDescent="0.25">
      <c r="H378" s="13"/>
    </row>
    <row r="379" spans="8:8" s="8" customFormat="1" ht="15" customHeight="1" x14ac:dyDescent="0.25">
      <c r="H379" s="13"/>
    </row>
    <row r="380" spans="8:8" s="8" customFormat="1" ht="15" customHeight="1" x14ac:dyDescent="0.25">
      <c r="H380" s="13"/>
    </row>
    <row r="381" spans="8:8" s="8" customFormat="1" ht="15" customHeight="1" x14ac:dyDescent="0.25">
      <c r="H381" s="13"/>
    </row>
    <row r="382" spans="8:8" s="8" customFormat="1" ht="15" customHeight="1" x14ac:dyDescent="0.25">
      <c r="H382" s="13"/>
    </row>
    <row r="383" spans="8:8" s="8" customFormat="1" ht="15" customHeight="1" x14ac:dyDescent="0.25">
      <c r="H383" s="13"/>
    </row>
    <row r="384" spans="8:8" s="8" customFormat="1" ht="15" customHeight="1" x14ac:dyDescent="0.25">
      <c r="H384" s="13"/>
    </row>
    <row r="385" spans="8:8" s="8" customFormat="1" ht="15" customHeight="1" x14ac:dyDescent="0.25">
      <c r="H385" s="13"/>
    </row>
    <row r="386" spans="8:8" s="8" customFormat="1" ht="15" customHeight="1" x14ac:dyDescent="0.25">
      <c r="H386" s="13"/>
    </row>
    <row r="387" spans="8:8" s="8" customFormat="1" ht="15" customHeight="1" x14ac:dyDescent="0.25">
      <c r="H387" s="13"/>
    </row>
    <row r="388" spans="8:8" s="8" customFormat="1" ht="15" customHeight="1" x14ac:dyDescent="0.25">
      <c r="H388" s="13"/>
    </row>
    <row r="389" spans="8:8" s="8" customFormat="1" ht="15" customHeight="1" x14ac:dyDescent="0.25">
      <c r="H389" s="13"/>
    </row>
    <row r="390" spans="8:8" s="8" customFormat="1" ht="15" customHeight="1" x14ac:dyDescent="0.25">
      <c r="H390" s="13"/>
    </row>
    <row r="391" spans="8:8" s="8" customFormat="1" ht="15" customHeight="1" x14ac:dyDescent="0.25">
      <c r="H391" s="13"/>
    </row>
    <row r="392" spans="8:8" s="8" customFormat="1" ht="15" customHeight="1" x14ac:dyDescent="0.25">
      <c r="H392" s="13"/>
    </row>
    <row r="393" spans="8:8" s="8" customFormat="1" ht="15" customHeight="1" x14ac:dyDescent="0.25">
      <c r="H393" s="13"/>
    </row>
    <row r="394" spans="8:8" s="8" customFormat="1" ht="15" customHeight="1" x14ac:dyDescent="0.25">
      <c r="H394" s="13"/>
    </row>
    <row r="395" spans="8:8" s="8" customFormat="1" ht="15" customHeight="1" x14ac:dyDescent="0.25">
      <c r="H395" s="13"/>
    </row>
    <row r="396" spans="8:8" s="8" customFormat="1" ht="15" customHeight="1" x14ac:dyDescent="0.25">
      <c r="H396" s="13"/>
    </row>
    <row r="397" spans="8:8" s="8" customFormat="1" ht="15" customHeight="1" x14ac:dyDescent="0.25">
      <c r="H397" s="13"/>
    </row>
    <row r="398" spans="8:8" s="8" customFormat="1" ht="15" customHeight="1" x14ac:dyDescent="0.25">
      <c r="H398" s="13"/>
    </row>
    <row r="399" spans="8:8" s="8" customFormat="1" ht="15" customHeight="1" x14ac:dyDescent="0.25">
      <c r="H399" s="13"/>
    </row>
    <row r="400" spans="8:8" s="8" customFormat="1" ht="15" customHeight="1" x14ac:dyDescent="0.25">
      <c r="H400" s="13"/>
    </row>
    <row r="401" spans="8:8" s="8" customFormat="1" ht="15" customHeight="1" x14ac:dyDescent="0.25">
      <c r="H401" s="13"/>
    </row>
    <row r="402" spans="8:8" s="8" customFormat="1" ht="15" customHeight="1" x14ac:dyDescent="0.25">
      <c r="H402" s="13"/>
    </row>
    <row r="403" spans="8:8" s="8" customFormat="1" ht="15" customHeight="1" x14ac:dyDescent="0.25">
      <c r="H403" s="13"/>
    </row>
    <row r="404" spans="8:8" s="8" customFormat="1" ht="15" customHeight="1" x14ac:dyDescent="0.25">
      <c r="H404" s="13"/>
    </row>
    <row r="405" spans="8:8" s="8" customFormat="1" ht="15" customHeight="1" x14ac:dyDescent="0.25">
      <c r="H405" s="13"/>
    </row>
    <row r="406" spans="8:8" s="8" customFormat="1" ht="15" customHeight="1" x14ac:dyDescent="0.25">
      <c r="H406" s="13"/>
    </row>
    <row r="407" spans="8:8" s="8" customFormat="1" ht="15" customHeight="1" x14ac:dyDescent="0.25">
      <c r="H407" s="13"/>
    </row>
    <row r="408" spans="8:8" s="8" customFormat="1" ht="15" customHeight="1" x14ac:dyDescent="0.25">
      <c r="H408" s="13"/>
    </row>
    <row r="409" spans="8:8" s="8" customFormat="1" ht="15" customHeight="1" x14ac:dyDescent="0.25">
      <c r="H409" s="13"/>
    </row>
    <row r="410" spans="8:8" s="8" customFormat="1" ht="15" customHeight="1" x14ac:dyDescent="0.25">
      <c r="H410" s="13"/>
    </row>
    <row r="411" spans="8:8" s="8" customFormat="1" ht="15" customHeight="1" x14ac:dyDescent="0.25">
      <c r="H411" s="13"/>
    </row>
    <row r="412" spans="8:8" s="8" customFormat="1" ht="15" customHeight="1" x14ac:dyDescent="0.25">
      <c r="H412" s="13"/>
    </row>
    <row r="413" spans="8:8" s="8" customFormat="1" ht="15" customHeight="1" x14ac:dyDescent="0.25">
      <c r="H413" s="13"/>
    </row>
    <row r="414" spans="8:8" s="8" customFormat="1" ht="15" customHeight="1" x14ac:dyDescent="0.25">
      <c r="H414" s="13"/>
    </row>
    <row r="415" spans="8:8" s="8" customFormat="1" ht="15" customHeight="1" x14ac:dyDescent="0.25">
      <c r="H415" s="13"/>
    </row>
    <row r="416" spans="8:8" s="8" customFormat="1" ht="15" customHeight="1" x14ac:dyDescent="0.25">
      <c r="H416" s="13"/>
    </row>
    <row r="417" spans="8:8" s="8" customFormat="1" ht="15" customHeight="1" x14ac:dyDescent="0.25">
      <c r="H417" s="13"/>
    </row>
    <row r="418" spans="8:8" s="8" customFormat="1" ht="15" customHeight="1" x14ac:dyDescent="0.25">
      <c r="H418" s="13"/>
    </row>
    <row r="419" spans="8:8" s="8" customFormat="1" ht="15" customHeight="1" x14ac:dyDescent="0.25">
      <c r="H419" s="13"/>
    </row>
    <row r="420" spans="8:8" s="8" customFormat="1" ht="15" customHeight="1" x14ac:dyDescent="0.25">
      <c r="H420" s="13"/>
    </row>
    <row r="421" spans="8:8" s="8" customFormat="1" ht="15" customHeight="1" x14ac:dyDescent="0.25">
      <c r="H421" s="13"/>
    </row>
    <row r="422" spans="8:8" s="8" customFormat="1" ht="15" customHeight="1" x14ac:dyDescent="0.25">
      <c r="H422" s="13"/>
    </row>
    <row r="423" spans="8:8" s="8" customFormat="1" ht="15" customHeight="1" x14ac:dyDescent="0.25">
      <c r="H423" s="13"/>
    </row>
    <row r="424" spans="8:8" s="8" customFormat="1" ht="15" customHeight="1" x14ac:dyDescent="0.25">
      <c r="H424" s="13"/>
    </row>
    <row r="425" spans="8:8" s="8" customFormat="1" ht="15" customHeight="1" x14ac:dyDescent="0.25">
      <c r="H425" s="13"/>
    </row>
    <row r="426" spans="8:8" s="8" customFormat="1" ht="15" customHeight="1" x14ac:dyDescent="0.25">
      <c r="H426" s="13"/>
    </row>
    <row r="427" spans="8:8" s="8" customFormat="1" ht="15" customHeight="1" x14ac:dyDescent="0.25">
      <c r="H427" s="13"/>
    </row>
    <row r="428" spans="8:8" s="8" customFormat="1" ht="15" customHeight="1" x14ac:dyDescent="0.25">
      <c r="H428" s="13"/>
    </row>
    <row r="429" spans="8:8" s="8" customFormat="1" ht="15" customHeight="1" x14ac:dyDescent="0.25">
      <c r="H429" s="13"/>
    </row>
    <row r="430" spans="8:8" s="8" customFormat="1" ht="15" customHeight="1" x14ac:dyDescent="0.25">
      <c r="H430" s="13"/>
    </row>
    <row r="431" spans="8:8" s="8" customFormat="1" ht="15" customHeight="1" x14ac:dyDescent="0.25">
      <c r="H431" s="13"/>
    </row>
    <row r="432" spans="8:8" s="8" customFormat="1" ht="15" customHeight="1" x14ac:dyDescent="0.25">
      <c r="H432" s="13"/>
    </row>
    <row r="433" spans="8:8" s="8" customFormat="1" ht="15" customHeight="1" x14ac:dyDescent="0.25">
      <c r="H433" s="13"/>
    </row>
    <row r="434" spans="8:8" s="8" customFormat="1" ht="15" customHeight="1" x14ac:dyDescent="0.25">
      <c r="H434" s="13"/>
    </row>
    <row r="435" spans="8:8" s="8" customFormat="1" ht="15" customHeight="1" x14ac:dyDescent="0.25">
      <c r="H435" s="13"/>
    </row>
    <row r="436" spans="8:8" s="8" customFormat="1" ht="15" customHeight="1" x14ac:dyDescent="0.25">
      <c r="H436" s="13"/>
    </row>
    <row r="437" spans="8:8" s="8" customFormat="1" ht="15" customHeight="1" x14ac:dyDescent="0.25">
      <c r="H437" s="13"/>
    </row>
    <row r="438" spans="8:8" s="8" customFormat="1" ht="15" customHeight="1" x14ac:dyDescent="0.25">
      <c r="H438" s="13"/>
    </row>
    <row r="439" spans="8:8" s="8" customFormat="1" ht="15" customHeight="1" x14ac:dyDescent="0.25">
      <c r="H439" s="13"/>
    </row>
    <row r="440" spans="8:8" s="8" customFormat="1" ht="15" customHeight="1" x14ac:dyDescent="0.25">
      <c r="H440" s="13"/>
    </row>
    <row r="441" spans="8:8" s="8" customFormat="1" ht="15" customHeight="1" x14ac:dyDescent="0.25">
      <c r="H441" s="13"/>
    </row>
    <row r="442" spans="8:8" s="8" customFormat="1" ht="15" customHeight="1" x14ac:dyDescent="0.25">
      <c r="H442" s="13"/>
    </row>
    <row r="443" spans="8:8" s="8" customFormat="1" ht="15" customHeight="1" x14ac:dyDescent="0.25">
      <c r="H443" s="13"/>
    </row>
    <row r="444" spans="8:8" s="8" customFormat="1" ht="15" customHeight="1" x14ac:dyDescent="0.25">
      <c r="H444" s="13"/>
    </row>
    <row r="445" spans="8:8" s="8" customFormat="1" ht="15" customHeight="1" x14ac:dyDescent="0.25">
      <c r="H445" s="13"/>
    </row>
    <row r="446" spans="8:8" s="8" customFormat="1" ht="15" customHeight="1" x14ac:dyDescent="0.25">
      <c r="H446" s="13"/>
    </row>
    <row r="447" spans="8:8" s="8" customFormat="1" ht="15" customHeight="1" x14ac:dyDescent="0.25">
      <c r="H447" s="13"/>
    </row>
    <row r="448" spans="8:8" s="8" customFormat="1" ht="15" customHeight="1" x14ac:dyDescent="0.25">
      <c r="H448" s="13"/>
    </row>
    <row r="449" spans="8:8" s="8" customFormat="1" ht="15" customHeight="1" x14ac:dyDescent="0.25">
      <c r="H449" s="13"/>
    </row>
    <row r="450" spans="8:8" s="8" customFormat="1" ht="15" customHeight="1" x14ac:dyDescent="0.25">
      <c r="H450" s="13"/>
    </row>
    <row r="451" spans="8:8" s="8" customFormat="1" ht="15" customHeight="1" x14ac:dyDescent="0.25">
      <c r="H451" s="13"/>
    </row>
    <row r="452" spans="8:8" s="8" customFormat="1" ht="15" customHeight="1" x14ac:dyDescent="0.25">
      <c r="H452" s="13"/>
    </row>
    <row r="453" spans="8:8" s="8" customFormat="1" ht="15" customHeight="1" x14ac:dyDescent="0.25">
      <c r="H453" s="13"/>
    </row>
    <row r="454" spans="8:8" s="8" customFormat="1" ht="15" customHeight="1" x14ac:dyDescent="0.25">
      <c r="H454" s="13"/>
    </row>
    <row r="455" spans="8:8" s="8" customFormat="1" ht="15" customHeight="1" x14ac:dyDescent="0.25">
      <c r="H455" s="13"/>
    </row>
    <row r="456" spans="8:8" s="8" customFormat="1" ht="15" customHeight="1" x14ac:dyDescent="0.25">
      <c r="H456" s="13"/>
    </row>
    <row r="457" spans="8:8" s="8" customFormat="1" ht="15" customHeight="1" x14ac:dyDescent="0.25">
      <c r="H457" s="13"/>
    </row>
    <row r="458" spans="8:8" s="8" customFormat="1" ht="15" customHeight="1" x14ac:dyDescent="0.25">
      <c r="H458" s="13"/>
    </row>
    <row r="459" spans="8:8" s="8" customFormat="1" ht="15" customHeight="1" x14ac:dyDescent="0.25">
      <c r="H459" s="13"/>
    </row>
    <row r="460" spans="8:8" s="8" customFormat="1" ht="15" customHeight="1" x14ac:dyDescent="0.25">
      <c r="H460" s="13"/>
    </row>
    <row r="461" spans="8:8" s="8" customFormat="1" ht="15" customHeight="1" x14ac:dyDescent="0.25">
      <c r="H461" s="13"/>
    </row>
    <row r="462" spans="8:8" s="8" customFormat="1" ht="15" customHeight="1" x14ac:dyDescent="0.25">
      <c r="H462" s="13"/>
    </row>
    <row r="463" spans="8:8" s="8" customFormat="1" ht="15" customHeight="1" x14ac:dyDescent="0.25">
      <c r="H463" s="13"/>
    </row>
    <row r="464" spans="8:8" s="8" customFormat="1" ht="15" customHeight="1" x14ac:dyDescent="0.25">
      <c r="H464" s="13"/>
    </row>
    <row r="465" spans="8:8" s="8" customFormat="1" ht="15" customHeight="1" x14ac:dyDescent="0.25">
      <c r="H465" s="13"/>
    </row>
    <row r="466" spans="8:8" s="8" customFormat="1" ht="15" customHeight="1" x14ac:dyDescent="0.25">
      <c r="H466" s="13"/>
    </row>
    <row r="467" spans="8:8" s="8" customFormat="1" ht="15" customHeight="1" x14ac:dyDescent="0.25">
      <c r="H467" s="13"/>
    </row>
    <row r="468" spans="8:8" s="8" customFormat="1" ht="15" customHeight="1" x14ac:dyDescent="0.25">
      <c r="H468" s="13"/>
    </row>
    <row r="469" spans="8:8" s="8" customFormat="1" ht="15" customHeight="1" x14ac:dyDescent="0.25">
      <c r="H469" s="13"/>
    </row>
    <row r="470" spans="8:8" s="8" customFormat="1" ht="15" customHeight="1" x14ac:dyDescent="0.25">
      <c r="H470" s="13"/>
    </row>
    <row r="471" spans="8:8" s="8" customFormat="1" ht="15" customHeight="1" x14ac:dyDescent="0.25">
      <c r="H471" s="13"/>
    </row>
    <row r="472" spans="8:8" s="8" customFormat="1" ht="15" customHeight="1" x14ac:dyDescent="0.25">
      <c r="H472" s="13"/>
    </row>
    <row r="473" spans="8:8" s="8" customFormat="1" ht="15" customHeight="1" x14ac:dyDescent="0.25">
      <c r="H473" s="13"/>
    </row>
    <row r="474" spans="8:8" s="8" customFormat="1" ht="15" customHeight="1" x14ac:dyDescent="0.25">
      <c r="H474" s="13"/>
    </row>
    <row r="475" spans="8:8" s="8" customFormat="1" ht="15" customHeight="1" x14ac:dyDescent="0.25">
      <c r="H475" s="13"/>
    </row>
    <row r="476" spans="8:8" s="8" customFormat="1" ht="15" customHeight="1" x14ac:dyDescent="0.25">
      <c r="H476" s="13"/>
    </row>
    <row r="477" spans="8:8" s="8" customFormat="1" ht="15" customHeight="1" x14ac:dyDescent="0.25">
      <c r="H477" s="13"/>
    </row>
    <row r="478" spans="8:8" s="8" customFormat="1" ht="15" customHeight="1" x14ac:dyDescent="0.25">
      <c r="H478" s="13"/>
    </row>
    <row r="479" spans="8:8" s="8" customFormat="1" ht="15" customHeight="1" x14ac:dyDescent="0.25">
      <c r="H479" s="13"/>
    </row>
    <row r="480" spans="8:8" s="8" customFormat="1" ht="15" customHeight="1" x14ac:dyDescent="0.25">
      <c r="H480" s="13"/>
    </row>
    <row r="481" spans="8:8" s="8" customFormat="1" ht="15" customHeight="1" x14ac:dyDescent="0.25">
      <c r="H481" s="13"/>
    </row>
    <row r="482" spans="8:8" s="8" customFormat="1" ht="15" customHeight="1" x14ac:dyDescent="0.25">
      <c r="H482" s="13"/>
    </row>
    <row r="483" spans="8:8" s="8" customFormat="1" ht="15" customHeight="1" x14ac:dyDescent="0.25">
      <c r="H483" s="13"/>
    </row>
    <row r="484" spans="8:8" s="8" customFormat="1" ht="15" customHeight="1" x14ac:dyDescent="0.25">
      <c r="H484" s="13"/>
    </row>
    <row r="485" spans="8:8" s="8" customFormat="1" ht="15" customHeight="1" x14ac:dyDescent="0.25">
      <c r="H485" s="13"/>
    </row>
    <row r="486" spans="8:8" s="8" customFormat="1" ht="15" customHeight="1" x14ac:dyDescent="0.25">
      <c r="H486" s="13"/>
    </row>
    <row r="487" spans="8:8" s="8" customFormat="1" ht="15" customHeight="1" x14ac:dyDescent="0.25">
      <c r="H487" s="13"/>
    </row>
    <row r="488" spans="8:8" s="8" customFormat="1" ht="15" customHeight="1" x14ac:dyDescent="0.25">
      <c r="H488" s="13"/>
    </row>
    <row r="489" spans="8:8" s="8" customFormat="1" ht="15" customHeight="1" x14ac:dyDescent="0.25">
      <c r="H489" s="13"/>
    </row>
    <row r="490" spans="8:8" s="8" customFormat="1" ht="15" customHeight="1" x14ac:dyDescent="0.25">
      <c r="H490" s="13"/>
    </row>
    <row r="491" spans="8:8" s="8" customFormat="1" ht="15" customHeight="1" x14ac:dyDescent="0.25">
      <c r="H491" s="13"/>
    </row>
    <row r="492" spans="8:8" s="8" customFormat="1" ht="15" customHeight="1" x14ac:dyDescent="0.25">
      <c r="H492" s="13"/>
    </row>
    <row r="493" spans="8:8" s="8" customFormat="1" ht="15" customHeight="1" x14ac:dyDescent="0.25">
      <c r="H493" s="13"/>
    </row>
    <row r="494" spans="8:8" s="8" customFormat="1" ht="15" customHeight="1" x14ac:dyDescent="0.25">
      <c r="H494" s="13"/>
    </row>
    <row r="495" spans="8:8" s="8" customFormat="1" ht="15" customHeight="1" x14ac:dyDescent="0.25">
      <c r="H495" s="13"/>
    </row>
    <row r="496" spans="8:8" s="8" customFormat="1" ht="15" customHeight="1" x14ac:dyDescent="0.25">
      <c r="H496" s="13"/>
    </row>
    <row r="497" spans="8:8" s="8" customFormat="1" ht="15" customHeight="1" x14ac:dyDescent="0.25">
      <c r="H497" s="13"/>
    </row>
    <row r="498" spans="8:8" s="8" customFormat="1" ht="15" customHeight="1" x14ac:dyDescent="0.25">
      <c r="H498" s="13"/>
    </row>
    <row r="499" spans="8:8" s="8" customFormat="1" ht="15" customHeight="1" x14ac:dyDescent="0.25">
      <c r="H499" s="13"/>
    </row>
    <row r="500" spans="8:8" s="8" customFormat="1" ht="15" customHeight="1" x14ac:dyDescent="0.25">
      <c r="H500" s="13"/>
    </row>
    <row r="501" spans="8:8" s="8" customFormat="1" ht="15" customHeight="1" x14ac:dyDescent="0.25">
      <c r="H501" s="13"/>
    </row>
    <row r="502" spans="8:8" s="8" customFormat="1" ht="15" customHeight="1" x14ac:dyDescent="0.25">
      <c r="H502" s="13"/>
    </row>
    <row r="503" spans="8:8" s="8" customFormat="1" ht="15" customHeight="1" x14ac:dyDescent="0.25">
      <c r="H503" s="13"/>
    </row>
    <row r="504" spans="8:8" s="8" customFormat="1" ht="15" customHeight="1" x14ac:dyDescent="0.25">
      <c r="H504" s="13"/>
    </row>
    <row r="505" spans="8:8" s="8" customFormat="1" ht="15" customHeight="1" x14ac:dyDescent="0.25">
      <c r="H505" s="13"/>
    </row>
    <row r="506" spans="8:8" s="8" customFormat="1" ht="15" customHeight="1" x14ac:dyDescent="0.25">
      <c r="H506" s="13"/>
    </row>
    <row r="507" spans="8:8" s="8" customFormat="1" ht="15" customHeight="1" x14ac:dyDescent="0.25">
      <c r="H507" s="13"/>
    </row>
    <row r="508" spans="8:8" s="8" customFormat="1" ht="15" customHeight="1" x14ac:dyDescent="0.25">
      <c r="H508" s="13"/>
    </row>
    <row r="509" spans="8:8" s="8" customFormat="1" ht="15" customHeight="1" x14ac:dyDescent="0.25">
      <c r="H509" s="13"/>
    </row>
    <row r="510" spans="8:8" s="8" customFormat="1" ht="15" customHeight="1" x14ac:dyDescent="0.25">
      <c r="H510" s="13"/>
    </row>
    <row r="511" spans="8:8" s="8" customFormat="1" ht="15" customHeight="1" x14ac:dyDescent="0.25">
      <c r="H511" s="13"/>
    </row>
    <row r="512" spans="8:8" s="8" customFormat="1" ht="15" customHeight="1" x14ac:dyDescent="0.25">
      <c r="H512" s="13"/>
    </row>
    <row r="513" spans="8:8" s="8" customFormat="1" ht="15" customHeight="1" x14ac:dyDescent="0.25">
      <c r="H513" s="13"/>
    </row>
    <row r="514" spans="8:8" s="8" customFormat="1" ht="15" customHeight="1" x14ac:dyDescent="0.25">
      <c r="H514" s="13"/>
    </row>
    <row r="515" spans="8:8" s="8" customFormat="1" ht="15" customHeight="1" x14ac:dyDescent="0.25">
      <c r="H515" s="13"/>
    </row>
    <row r="516" spans="8:8" s="8" customFormat="1" ht="15" customHeight="1" x14ac:dyDescent="0.25">
      <c r="H516" s="13"/>
    </row>
    <row r="517" spans="8:8" s="8" customFormat="1" ht="15" customHeight="1" x14ac:dyDescent="0.25">
      <c r="H517" s="13"/>
    </row>
    <row r="518" spans="8:8" s="8" customFormat="1" ht="15" customHeight="1" x14ac:dyDescent="0.25">
      <c r="H518" s="13"/>
    </row>
    <row r="519" spans="8:8" s="8" customFormat="1" ht="15" customHeight="1" x14ac:dyDescent="0.25">
      <c r="H519" s="13"/>
    </row>
    <row r="520" spans="8:8" s="8" customFormat="1" ht="15" customHeight="1" x14ac:dyDescent="0.25">
      <c r="H520" s="13"/>
    </row>
    <row r="521" spans="8:8" s="8" customFormat="1" ht="15" customHeight="1" x14ac:dyDescent="0.25">
      <c r="H521" s="13"/>
    </row>
    <row r="522" spans="8:8" s="8" customFormat="1" ht="15" customHeight="1" x14ac:dyDescent="0.25">
      <c r="H522" s="13"/>
    </row>
    <row r="523" spans="8:8" s="8" customFormat="1" ht="15" customHeight="1" x14ac:dyDescent="0.25">
      <c r="H523" s="13"/>
    </row>
    <row r="524" spans="8:8" s="8" customFormat="1" ht="15" customHeight="1" x14ac:dyDescent="0.25">
      <c r="H524" s="13"/>
    </row>
    <row r="525" spans="8:8" s="8" customFormat="1" ht="15" customHeight="1" x14ac:dyDescent="0.25">
      <c r="H525" s="13"/>
    </row>
    <row r="526" spans="8:8" s="8" customFormat="1" ht="15" customHeight="1" x14ac:dyDescent="0.25">
      <c r="H526" s="13"/>
    </row>
    <row r="527" spans="8:8" s="8" customFormat="1" ht="15" customHeight="1" x14ac:dyDescent="0.25">
      <c r="H527" s="13"/>
    </row>
    <row r="528" spans="8:8" s="8" customFormat="1" ht="15" customHeight="1" x14ac:dyDescent="0.25">
      <c r="H528" s="13"/>
    </row>
    <row r="529" spans="8:8" s="8" customFormat="1" ht="15" customHeight="1" x14ac:dyDescent="0.25">
      <c r="H529" s="13"/>
    </row>
    <row r="530" spans="8:8" s="8" customFormat="1" ht="15" customHeight="1" x14ac:dyDescent="0.25">
      <c r="H530" s="13"/>
    </row>
    <row r="531" spans="8:8" s="8" customFormat="1" ht="15" customHeight="1" x14ac:dyDescent="0.25">
      <c r="H531" s="13"/>
    </row>
    <row r="532" spans="8:8" s="8" customFormat="1" ht="15" customHeight="1" x14ac:dyDescent="0.25">
      <c r="H532" s="13"/>
    </row>
    <row r="533" spans="8:8" s="8" customFormat="1" ht="15" customHeight="1" x14ac:dyDescent="0.25">
      <c r="H533" s="13"/>
    </row>
    <row r="534" spans="8:8" s="8" customFormat="1" ht="15" customHeight="1" x14ac:dyDescent="0.25">
      <c r="H534" s="13"/>
    </row>
    <row r="535" spans="8:8" s="8" customFormat="1" ht="15" customHeight="1" x14ac:dyDescent="0.25">
      <c r="H535" s="13"/>
    </row>
  </sheetData>
  <mergeCells count="20">
    <mergeCell ref="BE8:BH8"/>
    <mergeCell ref="BI8:BL8"/>
    <mergeCell ref="BM8:BR8"/>
    <mergeCell ref="BE7:BH7"/>
    <mergeCell ref="BI7:BR7"/>
    <mergeCell ref="AA8:AF8"/>
    <mergeCell ref="AG8:AR8"/>
    <mergeCell ref="AS8:BB8"/>
    <mergeCell ref="A5:B5"/>
    <mergeCell ref="A7:H7"/>
    <mergeCell ref="I7:N7"/>
    <mergeCell ref="O7:AF7"/>
    <mergeCell ref="AG7:AR7"/>
    <mergeCell ref="AS7:BD7"/>
    <mergeCell ref="A8:D8"/>
    <mergeCell ref="E8:H8"/>
    <mergeCell ref="I8:N8"/>
    <mergeCell ref="O8:Q8"/>
    <mergeCell ref="R8:Z8"/>
    <mergeCell ref="BC8:BD8"/>
  </mergeCells>
  <dataValidations count="2">
    <dataValidation type="list" allowBlank="1" showInputMessage="1" showErrorMessage="1" sqref="J10:J27">
      <formula1>"30%"</formula1>
    </dataValidation>
    <dataValidation type="list" allowBlank="1" showInputMessage="1" showErrorMessage="1" sqref="L10:L27">
      <formula1>"10%, 20%, 40%"</formula1>
    </dataValidation>
  </dataValidations>
  <pageMargins left="0.59055118110236227" right="0.59055118110236227" top="0.19685039370078741" bottom="0.19685039370078741" header="0" footer="0"/>
  <pageSetup paperSize="9" scale="82" fitToHeight="0" orientation="portrait" r:id="rId1"/>
  <ignoredErrors>
    <ignoredError sqref="I10 AA11 AG10:AH10 AG11:AG17 AA13:AA16 AS10:AS17 AU10:AU17 AW10:AW17 AY10:AY17 BA10:BA17 BC10:BC17 BH15:BH16 BM10:BM17 BO10:BO17 BQ10:BQ17 I15:I17 I12:I13 I19:I26" unlockedFormula="1"/>
    <ignoredError sqref="AJ11:AJ17 AL11:AL17 AN11:AN17 AP11:AP17 AR11:AR17 AT11:AT17 AV11:AV17 AX11:AX17 AZ11:AZ17 BB11:BB17 BJ11:BJ17 BL11:BL17 BN11:BN17 BP11:BP17" formula="1"/>
    <ignoredError sqref="AH11:AH17 AI10:AI17 AM11:AM17 AO10:AO17 AQ10:AQ17 I14 I11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S509"/>
  <sheetViews>
    <sheetView showGridLines="0" zoomScaleNormal="100" workbookViewId="0">
      <pane xSplit="8" ySplit="8" topLeftCell="BD9" activePane="bottomRight" state="frozen"/>
      <selection activeCell="M58" sqref="M58"/>
      <selection pane="topRight" activeCell="M58" sqref="M58"/>
      <selection pane="bottomLeft" activeCell="M58" sqref="M58"/>
      <selection pane="bottomRight" activeCell="M58" sqref="M58"/>
    </sheetView>
  </sheetViews>
  <sheetFormatPr defaultColWidth="9.140625" defaultRowHeight="15" x14ac:dyDescent="0.25"/>
  <cols>
    <col min="1" max="1" width="5.42578125" style="2" customWidth="1"/>
    <col min="2" max="2" width="20.7109375" style="2" customWidth="1"/>
    <col min="3" max="3" width="22.28515625" style="2" customWidth="1"/>
    <col min="4" max="7" width="12.140625" style="2" customWidth="1"/>
    <col min="8" max="8" width="12.140625" style="12" customWidth="1"/>
    <col min="9" max="16" width="15.5703125" style="2" customWidth="1"/>
    <col min="17" max="17" width="23.28515625" style="2" customWidth="1"/>
    <col min="18" max="36" width="15.5703125" style="2" customWidth="1"/>
    <col min="37" max="38" width="21.140625" style="2" customWidth="1"/>
    <col min="39" max="40" width="15.5703125" style="2" customWidth="1"/>
    <col min="41" max="42" width="22.42578125" style="2" customWidth="1"/>
    <col min="43" max="44" width="20.5703125" style="2" customWidth="1"/>
    <col min="45" max="46" width="15.5703125" style="2" customWidth="1"/>
    <col min="47" max="48" width="18.28515625" style="2" customWidth="1"/>
    <col min="49" max="50" width="20.5703125" style="2" customWidth="1"/>
    <col min="51" max="52" width="21.140625" style="2" customWidth="1"/>
    <col min="53" max="54" width="18.28515625" style="2" customWidth="1"/>
    <col min="55" max="56" width="21.140625" style="2" customWidth="1"/>
    <col min="57" max="70" width="15.5703125" style="2" customWidth="1"/>
    <col min="71" max="71" width="16.5703125" style="2" customWidth="1"/>
    <col min="72" max="16384" width="9.140625" style="2"/>
  </cols>
  <sheetData>
    <row r="1" spans="1:71" s="1" customFormat="1" ht="18.75" x14ac:dyDescent="0.25">
      <c r="A1" s="130" t="s">
        <v>16</v>
      </c>
      <c r="B1" s="3"/>
      <c r="C1" s="3"/>
      <c r="D1" s="3"/>
      <c r="E1" s="3"/>
      <c r="H1" s="11"/>
    </row>
    <row r="2" spans="1:71" s="1" customFormat="1" ht="16.5" customHeight="1" x14ac:dyDescent="0.25">
      <c r="A2" s="4" t="s">
        <v>17</v>
      </c>
      <c r="B2" s="4"/>
      <c r="C2" s="4"/>
      <c r="D2" s="4"/>
      <c r="E2" s="4"/>
      <c r="H2" s="11"/>
    </row>
    <row r="3" spans="1:71" s="1" customFormat="1" ht="6.75" customHeight="1" x14ac:dyDescent="0.25">
      <c r="B3" s="6"/>
      <c r="C3" s="6"/>
      <c r="D3" s="6"/>
      <c r="E3" s="6"/>
      <c r="H3" s="11"/>
    </row>
    <row r="4" spans="1:71" s="1" customFormat="1" ht="16.5" customHeight="1" x14ac:dyDescent="0.25">
      <c r="A4" s="202" t="s">
        <v>18</v>
      </c>
      <c r="B4" s="202"/>
      <c r="C4" s="202"/>
      <c r="D4" s="5"/>
      <c r="E4" s="5"/>
      <c r="H4" s="11"/>
    </row>
    <row r="5" spans="1:71" ht="16.5" customHeight="1" x14ac:dyDescent="0.25">
      <c r="A5" s="247">
        <v>1045</v>
      </c>
      <c r="B5" s="247"/>
      <c r="C5" s="202"/>
      <c r="D5" s="5"/>
      <c r="E5" s="5"/>
    </row>
    <row r="6" spans="1:71" ht="9" customHeight="1" x14ac:dyDescent="0.25">
      <c r="A6" s="7"/>
      <c r="B6" s="7"/>
      <c r="C6" s="7"/>
      <c r="D6" s="7"/>
      <c r="E6" s="7"/>
    </row>
    <row r="7" spans="1:71" s="10" customFormat="1" ht="18.75" customHeight="1" x14ac:dyDescent="0.25">
      <c r="A7" s="239" t="s">
        <v>19</v>
      </c>
      <c r="B7" s="238"/>
      <c r="C7" s="238"/>
      <c r="D7" s="238"/>
      <c r="E7" s="238"/>
      <c r="F7" s="238"/>
      <c r="G7" s="238"/>
      <c r="H7" s="238"/>
      <c r="I7" s="246" t="s">
        <v>20</v>
      </c>
      <c r="J7" s="238"/>
      <c r="K7" s="238"/>
      <c r="L7" s="238"/>
      <c r="M7" s="238"/>
      <c r="N7" s="240"/>
      <c r="O7" s="238" t="s">
        <v>21</v>
      </c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40"/>
      <c r="AG7" s="246" t="s">
        <v>22</v>
      </c>
      <c r="AH7" s="238"/>
      <c r="AI7" s="238"/>
      <c r="AJ7" s="238"/>
      <c r="AK7" s="238"/>
      <c r="AL7" s="238"/>
      <c r="AM7" s="238"/>
      <c r="AN7" s="238"/>
      <c r="AO7" s="238"/>
      <c r="AP7" s="238"/>
      <c r="AQ7" s="238"/>
      <c r="AR7" s="240"/>
      <c r="AS7" s="246" t="s">
        <v>23</v>
      </c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40"/>
      <c r="BE7" s="238" t="s">
        <v>24</v>
      </c>
      <c r="BF7" s="238"/>
      <c r="BG7" s="238"/>
      <c r="BH7" s="238"/>
      <c r="BI7" s="246" t="s">
        <v>25</v>
      </c>
      <c r="BJ7" s="238"/>
      <c r="BK7" s="238"/>
      <c r="BL7" s="238"/>
      <c r="BM7" s="238"/>
      <c r="BN7" s="238"/>
      <c r="BO7" s="238"/>
      <c r="BP7" s="238"/>
      <c r="BQ7" s="238"/>
      <c r="BR7" s="238"/>
      <c r="BS7" s="38"/>
    </row>
    <row r="8" spans="1:71" s="9" customFormat="1" ht="30.75" customHeight="1" x14ac:dyDescent="0.25">
      <c r="A8" s="248" t="s">
        <v>19</v>
      </c>
      <c r="B8" s="244"/>
      <c r="C8" s="244"/>
      <c r="D8" s="244"/>
      <c r="E8" s="243" t="s">
        <v>26</v>
      </c>
      <c r="F8" s="244"/>
      <c r="G8" s="244"/>
      <c r="H8" s="244"/>
      <c r="I8" s="243" t="s">
        <v>27</v>
      </c>
      <c r="J8" s="244"/>
      <c r="K8" s="244"/>
      <c r="L8" s="244"/>
      <c r="M8" s="244"/>
      <c r="N8" s="245"/>
      <c r="O8" s="244" t="s">
        <v>28</v>
      </c>
      <c r="P8" s="244"/>
      <c r="Q8" s="244"/>
      <c r="R8" s="243" t="s">
        <v>29</v>
      </c>
      <c r="S8" s="244"/>
      <c r="T8" s="244"/>
      <c r="U8" s="244"/>
      <c r="V8" s="244"/>
      <c r="W8" s="244"/>
      <c r="X8" s="244"/>
      <c r="Y8" s="244"/>
      <c r="Z8" s="245"/>
      <c r="AA8" s="243" t="s">
        <v>30</v>
      </c>
      <c r="AB8" s="244"/>
      <c r="AC8" s="244"/>
      <c r="AD8" s="244"/>
      <c r="AE8" s="244"/>
      <c r="AF8" s="245"/>
      <c r="AG8" s="244" t="s">
        <v>31</v>
      </c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5"/>
      <c r="AS8" s="243" t="s">
        <v>32</v>
      </c>
      <c r="AT8" s="244"/>
      <c r="AU8" s="244"/>
      <c r="AV8" s="244"/>
      <c r="AW8" s="244"/>
      <c r="AX8" s="244"/>
      <c r="AY8" s="244"/>
      <c r="AZ8" s="244"/>
      <c r="BA8" s="244"/>
      <c r="BB8" s="245"/>
      <c r="BC8" s="244" t="s">
        <v>33</v>
      </c>
      <c r="BD8" s="244"/>
      <c r="BE8" s="243" t="s">
        <v>34</v>
      </c>
      <c r="BF8" s="244"/>
      <c r="BG8" s="244"/>
      <c r="BH8" s="244"/>
      <c r="BI8" s="241" t="s">
        <v>35</v>
      </c>
      <c r="BJ8" s="242"/>
      <c r="BK8" s="242"/>
      <c r="BL8" s="242"/>
      <c r="BM8" s="241" t="s">
        <v>36</v>
      </c>
      <c r="BN8" s="242"/>
      <c r="BO8" s="242"/>
      <c r="BP8" s="242"/>
      <c r="BQ8" s="242"/>
      <c r="BR8" s="242"/>
      <c r="BS8" s="43" t="s">
        <v>37</v>
      </c>
    </row>
    <row r="9" spans="1:71" s="22" customFormat="1" ht="45" customHeight="1" x14ac:dyDescent="0.25">
      <c r="A9" s="15" t="s">
        <v>38</v>
      </c>
      <c r="B9" s="15" t="s">
        <v>39</v>
      </c>
      <c r="C9" s="15" t="s">
        <v>40</v>
      </c>
      <c r="D9" s="18" t="s">
        <v>41</v>
      </c>
      <c r="E9" s="20" t="s">
        <v>42</v>
      </c>
      <c r="F9" s="15" t="s">
        <v>43</v>
      </c>
      <c r="G9" s="15" t="s">
        <v>44</v>
      </c>
      <c r="H9" s="18" t="s">
        <v>45</v>
      </c>
      <c r="I9" s="20" t="s">
        <v>43</v>
      </c>
      <c r="J9" s="16" t="s">
        <v>46</v>
      </c>
      <c r="K9" s="15" t="s">
        <v>47</v>
      </c>
      <c r="L9" s="16" t="s">
        <v>48</v>
      </c>
      <c r="M9" s="15" t="s">
        <v>49</v>
      </c>
      <c r="N9" s="17" t="s">
        <v>68</v>
      </c>
      <c r="O9" s="16" t="s">
        <v>51</v>
      </c>
      <c r="P9" s="17" t="s">
        <v>52</v>
      </c>
      <c r="Q9" s="18" t="s">
        <v>53</v>
      </c>
      <c r="R9" s="20" t="s">
        <v>54</v>
      </c>
      <c r="S9" s="15" t="s">
        <v>55</v>
      </c>
      <c r="T9" s="15" t="s">
        <v>56</v>
      </c>
      <c r="U9" s="18" t="s">
        <v>57</v>
      </c>
      <c r="V9" s="15" t="s">
        <v>58</v>
      </c>
      <c r="W9" s="15" t="s">
        <v>59</v>
      </c>
      <c r="X9" s="15" t="s">
        <v>60</v>
      </c>
      <c r="Y9" s="15" t="s">
        <v>61</v>
      </c>
      <c r="Z9" s="17" t="s">
        <v>62</v>
      </c>
      <c r="AA9" s="15" t="s">
        <v>63</v>
      </c>
      <c r="AB9" s="15" t="s">
        <v>64</v>
      </c>
      <c r="AC9" s="15" t="s">
        <v>65</v>
      </c>
      <c r="AD9" s="15" t="s">
        <v>66</v>
      </c>
      <c r="AE9" s="15" t="s">
        <v>67</v>
      </c>
      <c r="AF9" s="17" t="s">
        <v>68</v>
      </c>
      <c r="AG9" s="21" t="s">
        <v>69</v>
      </c>
      <c r="AH9" s="15" t="s">
        <v>70</v>
      </c>
      <c r="AI9" s="16" t="s">
        <v>71</v>
      </c>
      <c r="AJ9" s="15" t="s">
        <v>72</v>
      </c>
      <c r="AK9" s="15" t="s">
        <v>73</v>
      </c>
      <c r="AL9" s="15" t="s">
        <v>74</v>
      </c>
      <c r="AM9" s="15" t="s">
        <v>75</v>
      </c>
      <c r="AN9" s="15" t="s">
        <v>76</v>
      </c>
      <c r="AO9" s="15" t="s">
        <v>77</v>
      </c>
      <c r="AP9" s="15" t="s">
        <v>78</v>
      </c>
      <c r="AQ9" s="18" t="s">
        <v>79</v>
      </c>
      <c r="AR9" s="15" t="s">
        <v>80</v>
      </c>
      <c r="AS9" s="99" t="s">
        <v>81</v>
      </c>
      <c r="AT9" s="15" t="s">
        <v>82</v>
      </c>
      <c r="AU9" s="100" t="s">
        <v>83</v>
      </c>
      <c r="AV9" s="15" t="s">
        <v>84</v>
      </c>
      <c r="AW9" s="100" t="s">
        <v>85</v>
      </c>
      <c r="AX9" s="15" t="s">
        <v>86</v>
      </c>
      <c r="AY9" s="100" t="s">
        <v>87</v>
      </c>
      <c r="AZ9" s="15" t="s">
        <v>88</v>
      </c>
      <c r="BA9" s="100" t="s">
        <v>89</v>
      </c>
      <c r="BB9" s="17" t="s">
        <v>90</v>
      </c>
      <c r="BC9" s="101" t="s">
        <v>91</v>
      </c>
      <c r="BD9" s="18" t="s">
        <v>92</v>
      </c>
      <c r="BE9" s="99" t="s">
        <v>93</v>
      </c>
      <c r="BF9" s="15" t="s">
        <v>94</v>
      </c>
      <c r="BG9" s="100" t="s">
        <v>95</v>
      </c>
      <c r="BH9" s="102" t="s">
        <v>50</v>
      </c>
      <c r="BI9" s="101" t="s">
        <v>97</v>
      </c>
      <c r="BJ9" s="100" t="s">
        <v>98</v>
      </c>
      <c r="BK9" s="103" t="s">
        <v>99</v>
      </c>
      <c r="BL9" s="104" t="s">
        <v>100</v>
      </c>
      <c r="BM9" s="99" t="s">
        <v>101</v>
      </c>
      <c r="BN9" s="100" t="s">
        <v>102</v>
      </c>
      <c r="BO9" s="104" t="s">
        <v>103</v>
      </c>
      <c r="BP9" s="104" t="s">
        <v>104</v>
      </c>
      <c r="BQ9" s="100" t="s">
        <v>105</v>
      </c>
      <c r="BR9" s="104" t="s">
        <v>106</v>
      </c>
      <c r="BS9" s="39" t="s">
        <v>107</v>
      </c>
    </row>
    <row r="10" spans="1:71" s="8" customFormat="1" ht="15" customHeight="1" x14ac:dyDescent="0.25">
      <c r="A10" s="14" t="s">
        <v>108</v>
      </c>
      <c r="B10" s="14" t="str">
        <f>'planilha - proposta'!C30</f>
        <v>Camareira</v>
      </c>
      <c r="C10" s="14" t="str">
        <f>'planilha - proposta'!D30</f>
        <v>Camareira - 12x36d</v>
      </c>
      <c r="D10" s="19" t="str">
        <f>'planilha - proposta'!B30</f>
        <v>5133-00</v>
      </c>
      <c r="E10" s="30">
        <f>'planilha - proposta'!E30</f>
        <v>10</v>
      </c>
      <c r="F10" s="137">
        <v>1202</v>
      </c>
      <c r="G10" s="105" t="s">
        <v>109</v>
      </c>
      <c r="H10" s="132">
        <v>43599</v>
      </c>
      <c r="I10" s="107">
        <v>1202</v>
      </c>
      <c r="J10" s="108"/>
      <c r="K10" s="125">
        <f t="shared" ref="K10:K17" si="0">J10*I10</f>
        <v>0</v>
      </c>
      <c r="L10" s="108">
        <v>0.2</v>
      </c>
      <c r="M10" s="35">
        <f t="shared" ref="M10:M17" si="1">L10*$A$5</f>
        <v>209</v>
      </c>
      <c r="N10" s="109">
        <v>0</v>
      </c>
      <c r="O10" s="37">
        <f t="shared" ref="O10:O17" si="2">(I10+K10+M10+N10)*0.0833</f>
        <v>117.5363</v>
      </c>
      <c r="P10" s="35">
        <f>(I10+K10+M10+N10)*0.11108</f>
        <v>156.73388</v>
      </c>
      <c r="Q10" s="31">
        <f t="shared" ref="Q10:Q17" si="3">(0.338+T10)*(O10+P10)</f>
        <v>92.703320840000003</v>
      </c>
      <c r="R10" s="23">
        <f t="shared" ref="R10:R17" si="4">0.2*(I10+K10+M10+N10)</f>
        <v>282.2</v>
      </c>
      <c r="S10" s="35">
        <f t="shared" ref="S10:S17" si="5">0.025*(I10+K10+M10+N10)</f>
        <v>35.274999999999999</v>
      </c>
      <c r="T10" s="110"/>
      <c r="U10" s="35">
        <f t="shared" ref="U10:U17" si="6">T10*($I10+$K10+$M10+$N10)</f>
        <v>0</v>
      </c>
      <c r="V10" s="35">
        <f t="shared" ref="V10:V17" si="7">0.015*(I10+K10+M10+N10)</f>
        <v>21.164999999999999</v>
      </c>
      <c r="W10" s="35">
        <f t="shared" ref="W10:W17" si="8">0.01*(I10+K10+M10+N10)</f>
        <v>14.11</v>
      </c>
      <c r="X10" s="35">
        <f t="shared" ref="X10:X17" si="9">0.006*(I10+K10+M10+N10)</f>
        <v>8.4659999999999993</v>
      </c>
      <c r="Y10" s="35">
        <f t="shared" ref="Y10:Y17" si="10">0.002*(I10+K10+M10+N10)</f>
        <v>2.8220000000000001</v>
      </c>
      <c r="Z10" s="34">
        <f t="shared" ref="Z10:Z17" si="11">0.08*(I10+K10+M10+N10)</f>
        <v>112.88</v>
      </c>
      <c r="AA10" s="111">
        <f>15*2*4.15-F10*0.06</f>
        <v>52.380000000000024</v>
      </c>
      <c r="AB10" s="112">
        <v>140</v>
      </c>
      <c r="AC10" s="112">
        <v>0</v>
      </c>
      <c r="AD10" s="112">
        <v>0</v>
      </c>
      <c r="AE10" s="112">
        <v>0</v>
      </c>
      <c r="AF10" s="113">
        <v>0</v>
      </c>
      <c r="AG10" s="114">
        <v>4.1999999999999997E-3</v>
      </c>
      <c r="AH10" s="29">
        <f t="shared" ref="AH10:AH17" si="12">AG10*($I10+$K10+$M10+$N10)</f>
        <v>5.9261999999999997</v>
      </c>
      <c r="AI10" s="110">
        <v>2.9999999999999997E-4</v>
      </c>
      <c r="AJ10" s="29">
        <f t="shared" ref="AJ10:AJ17" si="13">AI10*($I10+$K10+$M10+$N10)</f>
        <v>0.42329999999999995</v>
      </c>
      <c r="AK10" s="110">
        <v>3.2000000000000001E-2</v>
      </c>
      <c r="AL10" s="29">
        <f t="shared" ref="AL10:AL17" si="14">AK10*($I10+$K10+$M10+$N10)</f>
        <v>45.152000000000001</v>
      </c>
      <c r="AM10" s="110">
        <v>1.9400000000000001E-2</v>
      </c>
      <c r="AN10" s="29">
        <f t="shared" ref="AN10:AN17" si="15">AM10*($I10+$K10+$M10+$N10)</f>
        <v>27.3734</v>
      </c>
      <c r="AO10" s="110">
        <v>6.9999999999999999E-4</v>
      </c>
      <c r="AP10" s="29">
        <f t="shared" ref="AP10:AP17" si="16">AO10*($I10+$K10+$M10+$N10)</f>
        <v>0.98770000000000002</v>
      </c>
      <c r="AQ10" s="110">
        <v>1E-3</v>
      </c>
      <c r="AR10" s="36">
        <f t="shared" ref="AR10:AR17" si="17">AQ10*($I10+$K10+$M10+$N10)</f>
        <v>1.411</v>
      </c>
      <c r="AS10" s="115">
        <v>8.0000000000000004E-4</v>
      </c>
      <c r="AT10" s="29">
        <f t="shared" ref="AT10:AT17" si="18">AS10*(I10+K10+M10+N10)</f>
        <v>1.1288</v>
      </c>
      <c r="AU10" s="110">
        <v>2.0000000000000001E-4</v>
      </c>
      <c r="AV10" s="35">
        <f t="shared" ref="AV10:AV17" si="19">AU10*(I10+K10+M10+N10)</f>
        <v>0.28220000000000001</v>
      </c>
      <c r="AW10" s="110">
        <v>4.0000000000000002E-4</v>
      </c>
      <c r="AX10" s="35">
        <f t="shared" ref="AX10:AX17" si="20">AW10*(I10+K10+M10+N10)</f>
        <v>0.56440000000000001</v>
      </c>
      <c r="AY10" s="110">
        <v>6.9999999999999999E-4</v>
      </c>
      <c r="AZ10" s="35">
        <f t="shared" ref="AZ10:AZ17" si="21">AY10*(I10+K10+M10+N10)</f>
        <v>0.98770000000000002</v>
      </c>
      <c r="BA10" s="110">
        <v>9.4100000000000003E-2</v>
      </c>
      <c r="BB10" s="34">
        <f t="shared" ref="BB10:BB17" si="22">BA10*(I10+K10+M10+N10)</f>
        <v>132.77510000000001</v>
      </c>
      <c r="BC10" s="114">
        <v>0</v>
      </c>
      <c r="BD10" s="31">
        <f t="shared" ref="BD10:BD17" si="23">BC10*(I10+K10+M10+N10)</f>
        <v>0</v>
      </c>
      <c r="BE10" s="32">
        <f>IF(E10=0,0,'Uniformes '!$K$83)</f>
        <v>68.481666666666655</v>
      </c>
      <c r="BF10" s="33">
        <f>IF(E10=0,0,custoEPI_huol!$M$154)</f>
        <v>0</v>
      </c>
      <c r="BG10" s="187">
        <f>IF(OR(Radios!$B$9=B10,Radios!$B$10=B10,Radios!$B$11=B10,Radios!$B$12=B10,Radios!$B$13=B10,Radios!$B$14=B10,Radios!$B$15=B10,Radios!$B$16=B10),Radios!$I$18,0)</f>
        <v>14.631050228310501</v>
      </c>
      <c r="BH10" s="184">
        <v>0</v>
      </c>
      <c r="BI10" s="117">
        <v>0.06</v>
      </c>
      <c r="BJ10" s="29">
        <f t="shared" ref="BJ10:BJ17" si="24">BI10*(I10+K10+M10+N10+O10+P10+Q10+R10+S10+U10+V10+W10+X10+Y10+Z10+AA10+AB10+AC10+AD10+AE10+AF10+AH10+AJ10+AL10+AN10+AP10+AR10+AT10+AV10+AX10+AZ10+BB10+BD10+BE10+BF10+BG10+BH10)</f>
        <v>164.84376106409866</v>
      </c>
      <c r="BK10" s="114">
        <v>6.7900000000000002E-2</v>
      </c>
      <c r="BL10" s="27">
        <f t="shared" ref="BL10:BL17" si="25">BK10*(I10+K10+M10+N10+O10+P10+Q10+R10+S10+U10+V10+W10+X10+Y10+Z10+AA10+AB10+AC10+AD10+AE10+AF10+AH10+AJ10+AL10+AN10+AP10+AR10+AT10+AV10+AX10+AZ10+BB10+BD10+BE10+BF10+BG10+BH10+BJ10)</f>
        <v>197.74108098045727</v>
      </c>
      <c r="BM10" s="115">
        <v>9.2499999999999999E-2</v>
      </c>
      <c r="BN10" s="29">
        <f t="shared" ref="BN10:BN17" si="26">BM10*(I10+K10+M10+N10+O10+P10+Q10+R10+S10+U10+V10+W10+X10+Y10+Z10+AA10+AB10+AC10+AD10+AE10+AF10+AH10+AJ10+AL10+AN10+AP10+AR10+AT10+AV10+AX10+AZ10+BB10+BD10+BE10+BF10+BG10+BH10+BJ10+BL10)/(1-(BM10+BO10+BQ10))</f>
        <v>335.47898487417712</v>
      </c>
      <c r="BO10" s="118">
        <v>0</v>
      </c>
      <c r="BP10" s="27">
        <f t="shared" ref="BP10:BP17" si="27">BO10*(I10+K10+M10+N10+O10+P10+Q10+R10+S10+U10+V10+W10+X10+Y10+Z10+AA10+AB10+AC10+AD10+AE10+AF10+AH10+AJ10+AL10+AN10+AP10+AR10+AT10+AV10+AX10+AZ10+BB10+BD10+BE10+BF10+BG10+BH10+BJ10+BL10)/(1-(BM10+BO10+BQ10))</f>
        <v>0</v>
      </c>
      <c r="BQ10" s="110">
        <v>0.05</v>
      </c>
      <c r="BR10" s="27">
        <f t="shared" ref="BR10:BR17" si="28">BQ10*(I10+K10+M10+N10+O10+P10+Q10+R10+S10+U10+V10+W10+X10+Y10+Z10+AA10+AB10+AC10+AD10+AE10+AF10+AH10+AJ10+AL10+AN10+AP10+AR10+AT10+AV10+AX10+AZ10+BB10+BD10+BE10+BF10+BG10+BH10+BJ10+BL10)/(1-(BM10+BO10+BQ10))</f>
        <v>181.33999182387956</v>
      </c>
      <c r="BS10" s="40">
        <f>I10+K10+M10+N10+O10+P10+Q10+R10+S10+U10+V10+W10+X10+Y10+Z10+AA10+AB10+AC10+AD10+AE10+AF10+AH10+AJ10+AL10+AN10+AP10+AR10+AT10+AV10+AX10+AZ10+BB10+BD10+BE10+BF10+BG10+BH10+BJ10+BL10+BN10+BP10+BR10</f>
        <v>3626.7998364775904</v>
      </c>
    </row>
    <row r="11" spans="1:71" s="8" customFormat="1" ht="15" customHeight="1" x14ac:dyDescent="0.25">
      <c r="A11" s="14" t="s">
        <v>110</v>
      </c>
      <c r="B11" s="14" t="str">
        <f>'planilha - proposta'!C31</f>
        <v>Camareira</v>
      </c>
      <c r="C11" s="14" t="str">
        <f>'planilha - proposta'!D31</f>
        <v>Camareira - 12x36n</v>
      </c>
      <c r="D11" s="19" t="str">
        <f>'planilha - proposta'!B31</f>
        <v>5133-00</v>
      </c>
      <c r="E11" s="30">
        <f>'planilha - proposta'!E31</f>
        <v>4</v>
      </c>
      <c r="F11" s="137">
        <v>1202</v>
      </c>
      <c r="G11" s="105" t="s">
        <v>117</v>
      </c>
      <c r="H11" s="132">
        <v>43599</v>
      </c>
      <c r="I11" s="107">
        <f>F11*1.25</f>
        <v>1502.5</v>
      </c>
      <c r="J11" s="108"/>
      <c r="K11" s="125">
        <f t="shared" si="0"/>
        <v>0</v>
      </c>
      <c r="L11" s="108">
        <v>0.2</v>
      </c>
      <c r="M11" s="35">
        <f t="shared" si="1"/>
        <v>209</v>
      </c>
      <c r="N11" s="109">
        <v>0</v>
      </c>
      <c r="O11" s="37">
        <f t="shared" si="2"/>
        <v>142.56795</v>
      </c>
      <c r="P11" s="35">
        <f t="shared" ref="P11:P17" si="29">(I11+K11+M11+N11)*0.11108</f>
        <v>190.11341999999999</v>
      </c>
      <c r="Q11" s="31">
        <f t="shared" si="3"/>
        <v>112.44630306000002</v>
      </c>
      <c r="R11" s="23">
        <f t="shared" si="4"/>
        <v>342.3</v>
      </c>
      <c r="S11" s="35">
        <f t="shared" si="5"/>
        <v>42.787500000000001</v>
      </c>
      <c r="T11" s="110"/>
      <c r="U11" s="35">
        <f t="shared" si="6"/>
        <v>0</v>
      </c>
      <c r="V11" s="35">
        <f t="shared" si="7"/>
        <v>25.672499999999999</v>
      </c>
      <c r="W11" s="35">
        <f t="shared" si="8"/>
        <v>17.115000000000002</v>
      </c>
      <c r="X11" s="35">
        <f t="shared" si="9"/>
        <v>10.269</v>
      </c>
      <c r="Y11" s="35">
        <f t="shared" si="10"/>
        <v>3.423</v>
      </c>
      <c r="Z11" s="34">
        <f t="shared" si="11"/>
        <v>136.92000000000002</v>
      </c>
      <c r="AA11" s="111">
        <f>15*2*4.15-F11*0.06</f>
        <v>52.380000000000024</v>
      </c>
      <c r="AB11" s="112">
        <v>140</v>
      </c>
      <c r="AC11" s="112">
        <v>0</v>
      </c>
      <c r="AD11" s="112">
        <v>0</v>
      </c>
      <c r="AE11" s="112">
        <v>0</v>
      </c>
      <c r="AF11" s="113">
        <v>0</v>
      </c>
      <c r="AG11" s="114">
        <v>4.1999999999999997E-3</v>
      </c>
      <c r="AH11" s="29">
        <f t="shared" si="12"/>
        <v>7.1882999999999999</v>
      </c>
      <c r="AI11" s="110">
        <v>2.9999999999999997E-4</v>
      </c>
      <c r="AJ11" s="29">
        <f t="shared" si="13"/>
        <v>0.51344999999999996</v>
      </c>
      <c r="AK11" s="110">
        <v>3.2000000000000001E-2</v>
      </c>
      <c r="AL11" s="29">
        <f t="shared" si="14"/>
        <v>54.768000000000001</v>
      </c>
      <c r="AM11" s="110">
        <v>1.9400000000000001E-2</v>
      </c>
      <c r="AN11" s="29">
        <f t="shared" si="15"/>
        <v>33.203099999999999</v>
      </c>
      <c r="AO11" s="110">
        <v>6.9999999999999999E-4</v>
      </c>
      <c r="AP11" s="29">
        <f t="shared" si="16"/>
        <v>1.1980500000000001</v>
      </c>
      <c r="AQ11" s="110">
        <v>1E-3</v>
      </c>
      <c r="AR11" s="36">
        <f t="shared" si="17"/>
        <v>1.7115</v>
      </c>
      <c r="AS11" s="115">
        <v>8.0000000000000004E-4</v>
      </c>
      <c r="AT11" s="29">
        <f t="shared" si="18"/>
        <v>1.3692</v>
      </c>
      <c r="AU11" s="110">
        <v>2.0000000000000001E-4</v>
      </c>
      <c r="AV11" s="35">
        <f t="shared" si="19"/>
        <v>0.34229999999999999</v>
      </c>
      <c r="AW11" s="110">
        <v>4.0000000000000002E-4</v>
      </c>
      <c r="AX11" s="35">
        <f t="shared" si="20"/>
        <v>0.68459999999999999</v>
      </c>
      <c r="AY11" s="110">
        <v>6.9999999999999999E-4</v>
      </c>
      <c r="AZ11" s="35">
        <f t="shared" si="21"/>
        <v>1.1980500000000001</v>
      </c>
      <c r="BA11" s="110">
        <v>9.4100000000000003E-2</v>
      </c>
      <c r="BB11" s="34">
        <f t="shared" si="22"/>
        <v>161.05215000000001</v>
      </c>
      <c r="BC11" s="114">
        <v>0</v>
      </c>
      <c r="BD11" s="31">
        <f t="shared" si="23"/>
        <v>0</v>
      </c>
      <c r="BE11" s="32">
        <f>IF(E11=0,0,'Uniformes '!$K$83)</f>
        <v>68.481666666666655</v>
      </c>
      <c r="BF11" s="33">
        <f>IF(E11=0,0,custoEPI_huol!$M$154)</f>
        <v>0</v>
      </c>
      <c r="BG11" s="187">
        <f>IF(OR(Radios!$B$9=B11,Radios!$B$10=B11,Radios!$B$11=B11,Radios!$B$12=B11,Radios!$B$13=B11,Radios!$B$14=B11,Radios!$B$15=B11,Radios!$B$16=B11),Radios!$I$18,0)</f>
        <v>14.631050228310501</v>
      </c>
      <c r="BH11" s="184">
        <v>0</v>
      </c>
      <c r="BI11" s="117">
        <v>0.06</v>
      </c>
      <c r="BJ11" s="29">
        <f t="shared" si="24"/>
        <v>196.43016539729859</v>
      </c>
      <c r="BK11" s="114">
        <v>6.7900000000000002E-2</v>
      </c>
      <c r="BL11" s="27">
        <f t="shared" si="25"/>
        <v>235.63107873841949</v>
      </c>
      <c r="BM11" s="115">
        <v>9.2499999999999999E-2</v>
      </c>
      <c r="BN11" s="29">
        <f t="shared" si="26"/>
        <v>399.76152000395251</v>
      </c>
      <c r="BO11" s="118">
        <v>0</v>
      </c>
      <c r="BP11" s="27">
        <f t="shared" si="27"/>
        <v>0</v>
      </c>
      <c r="BQ11" s="110">
        <v>0.05</v>
      </c>
      <c r="BR11" s="27">
        <f t="shared" si="28"/>
        <v>216.08730811024461</v>
      </c>
      <c r="BS11" s="40">
        <f t="shared" ref="BS11:BS17" si="30">I11+K11+M11+N11+O11+P11+Q11+R11+S11+U11+V11+W11+X11+Y11+Z11+AA11+AB11+AC11+AD11+AE11+AF11+AH11+AJ11+AL11+AN11+AP11+AR11+AT11+AV11+AX11+AZ11+BB11+BD11+BE11+BF11+BG11+BH11+BJ11+BL11+BN11+BP11+BR11</f>
        <v>4321.7461622048913</v>
      </c>
    </row>
    <row r="12" spans="1:71" s="8" customFormat="1" ht="15" customHeight="1" x14ac:dyDescent="0.25">
      <c r="A12" s="14" t="s">
        <v>111</v>
      </c>
      <c r="B12" s="14" t="str">
        <f>'planilha - proposta'!C32</f>
        <v>Camareira</v>
      </c>
      <c r="C12" s="14" t="str">
        <f>'planilha - proposta'!D32</f>
        <v>Camareira - 44h</v>
      </c>
      <c r="D12" s="19" t="str">
        <f>'planilha - proposta'!B32</f>
        <v>5133-00</v>
      </c>
      <c r="E12" s="30">
        <f>'planilha - proposta'!E32</f>
        <v>1</v>
      </c>
      <c r="F12" s="137">
        <v>1156</v>
      </c>
      <c r="G12" s="105" t="s">
        <v>119</v>
      </c>
      <c r="H12" s="132">
        <v>43599</v>
      </c>
      <c r="I12" s="107">
        <v>1202</v>
      </c>
      <c r="J12" s="108"/>
      <c r="K12" s="125">
        <f t="shared" si="0"/>
        <v>0</v>
      </c>
      <c r="L12" s="108">
        <v>0.2</v>
      </c>
      <c r="M12" s="35">
        <f t="shared" si="1"/>
        <v>209</v>
      </c>
      <c r="N12" s="109">
        <v>0</v>
      </c>
      <c r="O12" s="37">
        <f t="shared" si="2"/>
        <v>117.5363</v>
      </c>
      <c r="P12" s="35">
        <f t="shared" si="29"/>
        <v>156.73388</v>
      </c>
      <c r="Q12" s="31">
        <f t="shared" si="3"/>
        <v>92.703320840000003</v>
      </c>
      <c r="R12" s="23">
        <f t="shared" si="4"/>
        <v>282.2</v>
      </c>
      <c r="S12" s="35">
        <f t="shared" si="5"/>
        <v>35.274999999999999</v>
      </c>
      <c r="T12" s="110"/>
      <c r="U12" s="35">
        <f t="shared" si="6"/>
        <v>0</v>
      </c>
      <c r="V12" s="35">
        <f t="shared" si="7"/>
        <v>21.164999999999999</v>
      </c>
      <c r="W12" s="35">
        <f t="shared" si="8"/>
        <v>14.11</v>
      </c>
      <c r="X12" s="35">
        <f t="shared" si="9"/>
        <v>8.4659999999999993</v>
      </c>
      <c r="Y12" s="35">
        <f t="shared" si="10"/>
        <v>2.8220000000000001</v>
      </c>
      <c r="Z12" s="34">
        <f t="shared" si="11"/>
        <v>112.88</v>
      </c>
      <c r="AA12" s="111">
        <f>26*2*4.15-F12*0.06</f>
        <v>146.44</v>
      </c>
      <c r="AB12" s="112">
        <v>140</v>
      </c>
      <c r="AC12" s="112">
        <v>0</v>
      </c>
      <c r="AD12" s="112">
        <v>0</v>
      </c>
      <c r="AE12" s="112">
        <v>0</v>
      </c>
      <c r="AF12" s="113">
        <v>0</v>
      </c>
      <c r="AG12" s="114">
        <v>4.1999999999999997E-3</v>
      </c>
      <c r="AH12" s="29">
        <f t="shared" si="12"/>
        <v>5.9261999999999997</v>
      </c>
      <c r="AI12" s="110">
        <v>2.9999999999999997E-4</v>
      </c>
      <c r="AJ12" s="29">
        <f t="shared" si="13"/>
        <v>0.42329999999999995</v>
      </c>
      <c r="AK12" s="110">
        <v>3.2000000000000001E-2</v>
      </c>
      <c r="AL12" s="29">
        <f t="shared" si="14"/>
        <v>45.152000000000001</v>
      </c>
      <c r="AM12" s="110">
        <v>1.9400000000000001E-2</v>
      </c>
      <c r="AN12" s="29">
        <f t="shared" si="15"/>
        <v>27.3734</v>
      </c>
      <c r="AO12" s="110">
        <v>6.9999999999999999E-4</v>
      </c>
      <c r="AP12" s="29">
        <f t="shared" si="16"/>
        <v>0.98770000000000002</v>
      </c>
      <c r="AQ12" s="110">
        <v>1E-3</v>
      </c>
      <c r="AR12" s="36">
        <f t="shared" si="17"/>
        <v>1.411</v>
      </c>
      <c r="AS12" s="115">
        <v>8.0000000000000004E-4</v>
      </c>
      <c r="AT12" s="29">
        <f t="shared" si="18"/>
        <v>1.1288</v>
      </c>
      <c r="AU12" s="110">
        <v>2.0000000000000001E-4</v>
      </c>
      <c r="AV12" s="35">
        <f t="shared" si="19"/>
        <v>0.28220000000000001</v>
      </c>
      <c r="AW12" s="110">
        <v>4.0000000000000002E-4</v>
      </c>
      <c r="AX12" s="35">
        <f t="shared" si="20"/>
        <v>0.56440000000000001</v>
      </c>
      <c r="AY12" s="110">
        <v>6.9999999999999999E-4</v>
      </c>
      <c r="AZ12" s="35">
        <f t="shared" si="21"/>
        <v>0.98770000000000002</v>
      </c>
      <c r="BA12" s="110">
        <v>9.4100000000000003E-2</v>
      </c>
      <c r="BB12" s="34">
        <f t="shared" si="22"/>
        <v>132.77510000000001</v>
      </c>
      <c r="BC12" s="114">
        <v>0</v>
      </c>
      <c r="BD12" s="31">
        <f t="shared" si="23"/>
        <v>0</v>
      </c>
      <c r="BE12" s="32">
        <f>IF(E12=0,0,'Uniformes '!$K$83)</f>
        <v>68.481666666666655</v>
      </c>
      <c r="BF12" s="33">
        <f>IF(E12=0,0,custoEPI_huol!$M$154)</f>
        <v>0</v>
      </c>
      <c r="BG12" s="187">
        <f>IF(OR(Radios!$B$9=B12,Radios!$B$10=B12,Radios!$B$11=B12,Radios!$B$12=B12,Radios!$B$13=B12,Radios!$B$14=B12,Radios!$B$15=B12,Radios!$B$16=B12),Radios!$I$18,0)</f>
        <v>14.631050228310501</v>
      </c>
      <c r="BH12" s="184">
        <v>0</v>
      </c>
      <c r="BI12" s="117">
        <v>0.06</v>
      </c>
      <c r="BJ12" s="29">
        <f t="shared" si="24"/>
        <v>170.48736106409865</v>
      </c>
      <c r="BK12" s="114">
        <v>6.7900000000000002E-2</v>
      </c>
      <c r="BL12" s="27">
        <f t="shared" si="25"/>
        <v>204.51095542045729</v>
      </c>
      <c r="BM12" s="115">
        <v>9.2499999999999999E-2</v>
      </c>
      <c r="BN12" s="29">
        <f t="shared" si="26"/>
        <v>832.2294431197397</v>
      </c>
      <c r="BO12" s="118">
        <v>0</v>
      </c>
      <c r="BP12" s="27">
        <f t="shared" si="27"/>
        <v>0</v>
      </c>
      <c r="BQ12" s="110">
        <v>0.55000000000000004</v>
      </c>
      <c r="BR12" s="27">
        <f t="shared" si="28"/>
        <v>4948.3912834146695</v>
      </c>
      <c r="BS12" s="40">
        <f t="shared" si="30"/>
        <v>8997.075060753943</v>
      </c>
    </row>
    <row r="13" spans="1:71" s="8" customFormat="1" ht="15" customHeight="1" x14ac:dyDescent="0.25">
      <c r="A13" s="14" t="s">
        <v>113</v>
      </c>
      <c r="B13" s="14" t="str">
        <f>'planilha - proposta'!C36</f>
        <v>Costureiro</v>
      </c>
      <c r="C13" s="14" t="str">
        <f>'planilha - proposta'!D36</f>
        <v>Costureiro - 44h</v>
      </c>
      <c r="D13" s="19" t="str">
        <f>'planilha - proposta'!B36</f>
        <v>7632-15</v>
      </c>
      <c r="E13" s="30">
        <f>'planilha - proposta'!E36</f>
        <v>2</v>
      </c>
      <c r="F13" s="137">
        <v>1585.85</v>
      </c>
      <c r="G13" s="105" t="s">
        <v>120</v>
      </c>
      <c r="H13" s="132">
        <v>43599</v>
      </c>
      <c r="I13" s="107">
        <v>1585.85</v>
      </c>
      <c r="J13" s="108"/>
      <c r="K13" s="125">
        <f t="shared" si="0"/>
        <v>0</v>
      </c>
      <c r="L13" s="108">
        <v>0.2</v>
      </c>
      <c r="M13" s="35">
        <f t="shared" si="1"/>
        <v>209</v>
      </c>
      <c r="N13" s="109">
        <v>0</v>
      </c>
      <c r="O13" s="37">
        <f t="shared" si="2"/>
        <v>149.51100499999998</v>
      </c>
      <c r="P13" s="35">
        <f t="shared" si="29"/>
        <v>199.371938</v>
      </c>
      <c r="Q13" s="31">
        <f t="shared" si="3"/>
        <v>117.92243473399999</v>
      </c>
      <c r="R13" s="23">
        <f t="shared" si="4"/>
        <v>358.97</v>
      </c>
      <c r="S13" s="35">
        <f t="shared" si="5"/>
        <v>44.871250000000003</v>
      </c>
      <c r="T13" s="110"/>
      <c r="U13" s="35">
        <f t="shared" si="6"/>
        <v>0</v>
      </c>
      <c r="V13" s="35">
        <f t="shared" si="7"/>
        <v>26.922749999999997</v>
      </c>
      <c r="W13" s="35">
        <f t="shared" si="8"/>
        <v>17.948499999999999</v>
      </c>
      <c r="X13" s="35">
        <f t="shared" si="9"/>
        <v>10.7691</v>
      </c>
      <c r="Y13" s="35">
        <f t="shared" si="10"/>
        <v>3.5897000000000001</v>
      </c>
      <c r="Z13" s="34">
        <f t="shared" si="11"/>
        <v>143.58799999999999</v>
      </c>
      <c r="AA13" s="111">
        <f>26*2*4.15-F13*0.06</f>
        <v>120.64900000000002</v>
      </c>
      <c r="AB13" s="112">
        <v>140</v>
      </c>
      <c r="AC13" s="112">
        <v>0</v>
      </c>
      <c r="AD13" s="112">
        <v>0</v>
      </c>
      <c r="AE13" s="112">
        <v>0</v>
      </c>
      <c r="AF13" s="113">
        <v>0</v>
      </c>
      <c r="AG13" s="114">
        <v>4.1999999999999997E-3</v>
      </c>
      <c r="AH13" s="29">
        <f t="shared" si="12"/>
        <v>7.5383699999999996</v>
      </c>
      <c r="AI13" s="110">
        <v>2.9999999999999997E-4</v>
      </c>
      <c r="AJ13" s="29">
        <f t="shared" si="13"/>
        <v>0.53845499999999991</v>
      </c>
      <c r="AK13" s="110">
        <v>3.2000000000000001E-2</v>
      </c>
      <c r="AL13" s="29">
        <f t="shared" si="14"/>
        <v>57.435200000000002</v>
      </c>
      <c r="AM13" s="110">
        <v>1.9400000000000001E-2</v>
      </c>
      <c r="AN13" s="29">
        <f t="shared" si="15"/>
        <v>34.82009</v>
      </c>
      <c r="AO13" s="110">
        <v>6.9999999999999999E-4</v>
      </c>
      <c r="AP13" s="29">
        <f t="shared" si="16"/>
        <v>1.2563949999999999</v>
      </c>
      <c r="AQ13" s="110">
        <v>1E-3</v>
      </c>
      <c r="AR13" s="36">
        <f t="shared" si="17"/>
        <v>1.7948500000000001</v>
      </c>
      <c r="AS13" s="115">
        <v>8.0000000000000004E-4</v>
      </c>
      <c r="AT13" s="29">
        <f t="shared" si="18"/>
        <v>1.43588</v>
      </c>
      <c r="AU13" s="110">
        <v>2.0000000000000001E-4</v>
      </c>
      <c r="AV13" s="35">
        <f t="shared" si="19"/>
        <v>0.35897000000000001</v>
      </c>
      <c r="AW13" s="110">
        <v>4.0000000000000002E-4</v>
      </c>
      <c r="AX13" s="35">
        <f t="shared" si="20"/>
        <v>0.71794000000000002</v>
      </c>
      <c r="AY13" s="110">
        <v>6.9999999999999999E-4</v>
      </c>
      <c r="AZ13" s="35">
        <f t="shared" si="21"/>
        <v>1.2563949999999999</v>
      </c>
      <c r="BA13" s="110">
        <v>9.4100000000000003E-2</v>
      </c>
      <c r="BB13" s="34">
        <f t="shared" si="22"/>
        <v>168.895385</v>
      </c>
      <c r="BC13" s="114">
        <v>0</v>
      </c>
      <c r="BD13" s="31">
        <f t="shared" si="23"/>
        <v>0</v>
      </c>
      <c r="BE13" s="32">
        <f>IF(E13=0,0,'Uniformes '!K107)</f>
        <v>68.348333333333343</v>
      </c>
      <c r="BF13" s="33">
        <f>IF(E13=0,0,custoEPI_huol!$M$204)</f>
        <v>0</v>
      </c>
      <c r="BG13" s="187">
        <f>IF(OR(Radios!$B$9=B13,Radios!$B$10=B13,Radios!$B$11=B13,Radios!$B$12=B13,Radios!$B$13=B13,Radios!$B$14=B13,Radios!$B$15=B13,Radios!$B$16=B13),Radios!$I$18,0)</f>
        <v>0</v>
      </c>
      <c r="BH13" s="184">
        <v>0</v>
      </c>
      <c r="BI13" s="117">
        <v>0.06</v>
      </c>
      <c r="BJ13" s="29">
        <f t="shared" si="24"/>
        <v>208.40159646404001</v>
      </c>
      <c r="BK13" s="114">
        <v>6.7900000000000002E-2</v>
      </c>
      <c r="BL13" s="27">
        <f t="shared" si="25"/>
        <v>249.99160839838027</v>
      </c>
      <c r="BM13" s="115">
        <v>9.2499999999999999E-2</v>
      </c>
      <c r="BN13" s="29">
        <f t="shared" si="26"/>
        <v>424.12497492536704</v>
      </c>
      <c r="BO13" s="118">
        <v>0</v>
      </c>
      <c r="BP13" s="27">
        <f t="shared" si="27"/>
        <v>0</v>
      </c>
      <c r="BQ13" s="110">
        <v>0.05</v>
      </c>
      <c r="BR13" s="27">
        <f t="shared" si="28"/>
        <v>229.25674320290111</v>
      </c>
      <c r="BS13" s="40">
        <f t="shared" si="30"/>
        <v>4585.1348640580218</v>
      </c>
    </row>
    <row r="14" spans="1:71" s="8" customFormat="1" ht="15" customHeight="1" x14ac:dyDescent="0.25">
      <c r="A14" s="14" t="s">
        <v>114</v>
      </c>
      <c r="B14" s="14" t="str">
        <f>'planilha - proposta'!C47</f>
        <v>Auxiliar de Lavanderia</v>
      </c>
      <c r="C14" s="14" t="str">
        <f>'planilha - proposta'!D47</f>
        <v>Auxiliar de Lavanderia - 12x36d</v>
      </c>
      <c r="D14" s="19" t="str">
        <f>'planilha - proposta'!B47</f>
        <v>5163-45</v>
      </c>
      <c r="E14" s="30">
        <f>'planilha - proposta'!E47</f>
        <v>14</v>
      </c>
      <c r="F14" s="137">
        <v>1100</v>
      </c>
      <c r="G14" s="105" t="s">
        <v>122</v>
      </c>
      <c r="H14" s="132">
        <v>43599</v>
      </c>
      <c r="I14" s="107">
        <v>1100</v>
      </c>
      <c r="J14" s="108"/>
      <c r="K14" s="125">
        <f t="shared" si="0"/>
        <v>0</v>
      </c>
      <c r="L14" s="108">
        <v>0.2</v>
      </c>
      <c r="M14" s="35">
        <f t="shared" si="1"/>
        <v>209</v>
      </c>
      <c r="N14" s="109">
        <v>0</v>
      </c>
      <c r="O14" s="37">
        <f t="shared" si="2"/>
        <v>109.0397</v>
      </c>
      <c r="P14" s="35">
        <f t="shared" si="29"/>
        <v>145.40371999999999</v>
      </c>
      <c r="Q14" s="31">
        <f t="shared" si="3"/>
        <v>86.001875960000007</v>
      </c>
      <c r="R14" s="23">
        <f t="shared" si="4"/>
        <v>261.8</v>
      </c>
      <c r="S14" s="35">
        <f t="shared" si="5"/>
        <v>32.725000000000001</v>
      </c>
      <c r="T14" s="110"/>
      <c r="U14" s="35">
        <f t="shared" si="6"/>
        <v>0</v>
      </c>
      <c r="V14" s="35">
        <f t="shared" si="7"/>
        <v>19.634999999999998</v>
      </c>
      <c r="W14" s="35">
        <f t="shared" si="8"/>
        <v>13.09</v>
      </c>
      <c r="X14" s="35">
        <f t="shared" si="9"/>
        <v>7.8540000000000001</v>
      </c>
      <c r="Y14" s="35">
        <f t="shared" si="10"/>
        <v>2.6179999999999999</v>
      </c>
      <c r="Z14" s="34">
        <f t="shared" si="11"/>
        <v>104.72</v>
      </c>
      <c r="AA14" s="111">
        <f>15*2*4.15-F14*0.06</f>
        <v>58.500000000000014</v>
      </c>
      <c r="AB14" s="112">
        <v>140</v>
      </c>
      <c r="AC14" s="112">
        <v>0</v>
      </c>
      <c r="AD14" s="112">
        <v>0</v>
      </c>
      <c r="AE14" s="112">
        <v>0</v>
      </c>
      <c r="AF14" s="113">
        <v>0</v>
      </c>
      <c r="AG14" s="114">
        <v>4.1999999999999997E-3</v>
      </c>
      <c r="AH14" s="29">
        <f t="shared" si="12"/>
        <v>5.4977999999999998</v>
      </c>
      <c r="AI14" s="110">
        <v>2.9999999999999997E-4</v>
      </c>
      <c r="AJ14" s="29">
        <f t="shared" si="13"/>
        <v>0.39269999999999994</v>
      </c>
      <c r="AK14" s="110">
        <v>3.2000000000000001E-2</v>
      </c>
      <c r="AL14" s="29">
        <f t="shared" si="14"/>
        <v>41.887999999999998</v>
      </c>
      <c r="AM14" s="110">
        <v>1.9400000000000001E-2</v>
      </c>
      <c r="AN14" s="29">
        <f t="shared" si="15"/>
        <v>25.394600000000001</v>
      </c>
      <c r="AO14" s="110">
        <v>6.9999999999999999E-4</v>
      </c>
      <c r="AP14" s="29">
        <f t="shared" si="16"/>
        <v>0.9163</v>
      </c>
      <c r="AQ14" s="110">
        <v>1E-3</v>
      </c>
      <c r="AR14" s="36">
        <f t="shared" si="17"/>
        <v>1.3089999999999999</v>
      </c>
      <c r="AS14" s="115">
        <v>8.0000000000000004E-4</v>
      </c>
      <c r="AT14" s="29">
        <f t="shared" si="18"/>
        <v>1.0472000000000001</v>
      </c>
      <c r="AU14" s="110">
        <v>2.0000000000000001E-4</v>
      </c>
      <c r="AV14" s="35">
        <f t="shared" si="19"/>
        <v>0.26180000000000003</v>
      </c>
      <c r="AW14" s="110">
        <v>4.0000000000000002E-4</v>
      </c>
      <c r="AX14" s="35">
        <f t="shared" si="20"/>
        <v>0.52360000000000007</v>
      </c>
      <c r="AY14" s="110">
        <v>6.9999999999999999E-4</v>
      </c>
      <c r="AZ14" s="35">
        <f t="shared" si="21"/>
        <v>0.9163</v>
      </c>
      <c r="BA14" s="110">
        <v>9.4100000000000003E-2</v>
      </c>
      <c r="BB14" s="34">
        <f t="shared" si="22"/>
        <v>123.1769</v>
      </c>
      <c r="BC14" s="114">
        <v>0</v>
      </c>
      <c r="BD14" s="31">
        <f t="shared" si="23"/>
        <v>0</v>
      </c>
      <c r="BE14" s="32">
        <f>IF(E14=0,0,'Uniformes '!$K$171)</f>
        <v>77.308333333333337</v>
      </c>
      <c r="BF14" s="33">
        <f>IF(E14=0,0,custoEPI_huol!$M$329)</f>
        <v>0</v>
      </c>
      <c r="BG14" s="187">
        <f>IF(OR(Radios!$B$9=B14,Radios!$B$10=B14,Radios!$B$11=B14,Radios!$B$12=B14,Radios!$B$13=B14,Radios!$B$14=B14,Radios!$B$15=B14,Radios!$B$16=B14),Radios!$I$18,0)</f>
        <v>0</v>
      </c>
      <c r="BH14" s="184">
        <v>0</v>
      </c>
      <c r="BI14" s="117">
        <v>0.06</v>
      </c>
      <c r="BJ14" s="29">
        <f t="shared" si="24"/>
        <v>154.14118975759999</v>
      </c>
      <c r="BK14" s="114">
        <v>6.7900000000000002E-2</v>
      </c>
      <c r="BL14" s="27">
        <f t="shared" si="25"/>
        <v>184.90263319355836</v>
      </c>
      <c r="BM14" s="115">
        <v>9.2499999999999999E-2</v>
      </c>
      <c r="BN14" s="29">
        <f t="shared" si="26"/>
        <v>313.69782837622796</v>
      </c>
      <c r="BO14" s="118">
        <v>0</v>
      </c>
      <c r="BP14" s="27">
        <f t="shared" si="27"/>
        <v>0</v>
      </c>
      <c r="BQ14" s="110">
        <v>0.05</v>
      </c>
      <c r="BR14" s="27">
        <f t="shared" si="28"/>
        <v>169.56639371687999</v>
      </c>
      <c r="BS14" s="40">
        <f t="shared" si="30"/>
        <v>3391.3278743375995</v>
      </c>
    </row>
    <row r="15" spans="1:71" s="8" customFormat="1" ht="15" customHeight="1" x14ac:dyDescent="0.25">
      <c r="A15" s="14" t="s">
        <v>115</v>
      </c>
      <c r="B15" s="14" t="str">
        <f>'planilha - proposta'!C48</f>
        <v>Auxiliar de Lavanderia</v>
      </c>
      <c r="C15" s="14" t="str">
        <f>'planilha - proposta'!D48</f>
        <v>Auxiliar de Lavanderia - 12x36n</v>
      </c>
      <c r="D15" s="19" t="str">
        <f>'planilha - proposta'!B48</f>
        <v>5163-45</v>
      </c>
      <c r="E15" s="30">
        <f>'planilha - proposta'!E48</f>
        <v>6</v>
      </c>
      <c r="F15" s="137">
        <v>1100</v>
      </c>
      <c r="G15" s="105" t="s">
        <v>123</v>
      </c>
      <c r="H15" s="132">
        <v>43599</v>
      </c>
      <c r="I15" s="107">
        <f>F15*1.25</f>
        <v>1375</v>
      </c>
      <c r="J15" s="108"/>
      <c r="K15" s="125">
        <f t="shared" si="0"/>
        <v>0</v>
      </c>
      <c r="L15" s="108">
        <v>0.2</v>
      </c>
      <c r="M15" s="35">
        <f t="shared" si="1"/>
        <v>209</v>
      </c>
      <c r="N15" s="109">
        <v>0</v>
      </c>
      <c r="O15" s="37">
        <f t="shared" si="2"/>
        <v>131.94720000000001</v>
      </c>
      <c r="P15" s="35">
        <f t="shared" si="29"/>
        <v>175.95071999999999</v>
      </c>
      <c r="Q15" s="31">
        <f t="shared" si="3"/>
        <v>104.06949696000001</v>
      </c>
      <c r="R15" s="23">
        <f t="shared" si="4"/>
        <v>316.8</v>
      </c>
      <c r="S15" s="35">
        <f t="shared" si="5"/>
        <v>39.6</v>
      </c>
      <c r="T15" s="110"/>
      <c r="U15" s="35">
        <f t="shared" si="6"/>
        <v>0</v>
      </c>
      <c r="V15" s="35">
        <f t="shared" si="7"/>
        <v>23.759999999999998</v>
      </c>
      <c r="W15" s="35">
        <f t="shared" si="8"/>
        <v>15.84</v>
      </c>
      <c r="X15" s="35">
        <f t="shared" si="9"/>
        <v>9.5039999999999996</v>
      </c>
      <c r="Y15" s="35">
        <f t="shared" si="10"/>
        <v>3.1680000000000001</v>
      </c>
      <c r="Z15" s="34">
        <f t="shared" si="11"/>
        <v>126.72</v>
      </c>
      <c r="AA15" s="111">
        <f>15*2*4.15-F15*0.06</f>
        <v>58.500000000000014</v>
      </c>
      <c r="AB15" s="112">
        <v>140</v>
      </c>
      <c r="AC15" s="112">
        <v>0</v>
      </c>
      <c r="AD15" s="112">
        <v>0</v>
      </c>
      <c r="AE15" s="112">
        <v>0</v>
      </c>
      <c r="AF15" s="113">
        <v>0</v>
      </c>
      <c r="AG15" s="114">
        <v>4.1999999999999997E-3</v>
      </c>
      <c r="AH15" s="29">
        <f t="shared" si="12"/>
        <v>6.6527999999999992</v>
      </c>
      <c r="AI15" s="110">
        <v>2.9999999999999997E-4</v>
      </c>
      <c r="AJ15" s="29">
        <f t="shared" si="13"/>
        <v>0.47519999999999996</v>
      </c>
      <c r="AK15" s="110">
        <v>3.2000000000000001E-2</v>
      </c>
      <c r="AL15" s="29">
        <f t="shared" si="14"/>
        <v>50.688000000000002</v>
      </c>
      <c r="AM15" s="110">
        <v>1.9400000000000001E-2</v>
      </c>
      <c r="AN15" s="29">
        <f t="shared" si="15"/>
        <v>30.729600000000001</v>
      </c>
      <c r="AO15" s="110">
        <v>6.9999999999999999E-4</v>
      </c>
      <c r="AP15" s="29">
        <f t="shared" si="16"/>
        <v>1.1088</v>
      </c>
      <c r="AQ15" s="110">
        <v>1E-3</v>
      </c>
      <c r="AR15" s="36">
        <f t="shared" si="17"/>
        <v>1.5840000000000001</v>
      </c>
      <c r="AS15" s="115">
        <v>8.0000000000000004E-4</v>
      </c>
      <c r="AT15" s="29">
        <f t="shared" si="18"/>
        <v>1.2672000000000001</v>
      </c>
      <c r="AU15" s="110">
        <v>2.0000000000000001E-4</v>
      </c>
      <c r="AV15" s="35">
        <f t="shared" si="19"/>
        <v>0.31680000000000003</v>
      </c>
      <c r="AW15" s="110">
        <v>4.0000000000000002E-4</v>
      </c>
      <c r="AX15" s="35">
        <f t="shared" si="20"/>
        <v>0.63360000000000005</v>
      </c>
      <c r="AY15" s="110">
        <v>6.9999999999999999E-4</v>
      </c>
      <c r="AZ15" s="35">
        <f t="shared" si="21"/>
        <v>1.1088</v>
      </c>
      <c r="BA15" s="110">
        <v>9.4100000000000003E-2</v>
      </c>
      <c r="BB15" s="34">
        <f t="shared" si="22"/>
        <v>149.05440000000002</v>
      </c>
      <c r="BC15" s="114">
        <v>0</v>
      </c>
      <c r="BD15" s="31">
        <f t="shared" si="23"/>
        <v>0</v>
      </c>
      <c r="BE15" s="32">
        <f>IF(E15=0,0,'Uniformes '!$K$171)</f>
        <v>77.308333333333337</v>
      </c>
      <c r="BF15" s="33">
        <f>IF(E15=0,0,custoEPI_huol!$M$329)</f>
        <v>0</v>
      </c>
      <c r="BG15" s="187">
        <f>IF(OR(Radios!$B$9=B15,Radios!$B$10=B15,Radios!$B$11=B15,Radios!$B$12=B15,Radios!$B$13=B15,Radios!$B$14=B15,Radios!$B$15=B15,Radios!$B$16=B15),Radios!$I$18,0)</f>
        <v>0</v>
      </c>
      <c r="BH15" s="184">
        <v>0</v>
      </c>
      <c r="BI15" s="117">
        <v>0.06</v>
      </c>
      <c r="BJ15" s="29">
        <f t="shared" si="24"/>
        <v>183.04721701759999</v>
      </c>
      <c r="BK15" s="114">
        <v>6.7900000000000002E-2</v>
      </c>
      <c r="BL15" s="27">
        <f t="shared" si="25"/>
        <v>219.57733996041236</v>
      </c>
      <c r="BM15" s="115">
        <v>9.2499999999999999E-2</v>
      </c>
      <c r="BN15" s="29">
        <f t="shared" si="26"/>
        <v>372.52543955988273</v>
      </c>
      <c r="BO15" s="118">
        <v>0</v>
      </c>
      <c r="BP15" s="27">
        <f t="shared" si="27"/>
        <v>0</v>
      </c>
      <c r="BQ15" s="110">
        <v>0.05</v>
      </c>
      <c r="BR15" s="27">
        <f t="shared" si="28"/>
        <v>201.36510246480151</v>
      </c>
      <c r="BS15" s="40">
        <f t="shared" si="30"/>
        <v>4027.3020492960295</v>
      </c>
    </row>
    <row r="16" spans="1:71" s="8" customFormat="1" ht="15" customHeight="1" x14ac:dyDescent="0.25">
      <c r="A16" s="14" t="s">
        <v>125</v>
      </c>
      <c r="B16" s="14" t="str">
        <f>'planilha - proposta'!C49</f>
        <v>Auxiliar de Lavanderia</v>
      </c>
      <c r="C16" s="14" t="str">
        <f>'planilha - proposta'!D49</f>
        <v>Auxiliar de Lavanderia - 44h</v>
      </c>
      <c r="D16" s="19" t="str">
        <f>'planilha - proposta'!B49</f>
        <v>5163-45</v>
      </c>
      <c r="E16" s="30">
        <f>'planilha - proposta'!E49</f>
        <v>3</v>
      </c>
      <c r="F16" s="137">
        <v>1100</v>
      </c>
      <c r="G16" s="105" t="s">
        <v>124</v>
      </c>
      <c r="H16" s="132">
        <v>43599</v>
      </c>
      <c r="I16" s="107">
        <v>1100</v>
      </c>
      <c r="J16" s="108"/>
      <c r="K16" s="125">
        <f t="shared" si="0"/>
        <v>0</v>
      </c>
      <c r="L16" s="108">
        <v>0.2</v>
      </c>
      <c r="M16" s="35">
        <f t="shared" si="1"/>
        <v>209</v>
      </c>
      <c r="N16" s="109">
        <v>0</v>
      </c>
      <c r="O16" s="37">
        <f t="shared" si="2"/>
        <v>109.0397</v>
      </c>
      <c r="P16" s="35">
        <f t="shared" si="29"/>
        <v>145.40371999999999</v>
      </c>
      <c r="Q16" s="31">
        <f t="shared" si="3"/>
        <v>86.001875960000007</v>
      </c>
      <c r="R16" s="23">
        <f t="shared" si="4"/>
        <v>261.8</v>
      </c>
      <c r="S16" s="35">
        <f t="shared" si="5"/>
        <v>32.725000000000001</v>
      </c>
      <c r="T16" s="110"/>
      <c r="U16" s="35">
        <f t="shared" si="6"/>
        <v>0</v>
      </c>
      <c r="V16" s="35">
        <f t="shared" si="7"/>
        <v>19.634999999999998</v>
      </c>
      <c r="W16" s="35">
        <f t="shared" si="8"/>
        <v>13.09</v>
      </c>
      <c r="X16" s="35">
        <f t="shared" si="9"/>
        <v>7.8540000000000001</v>
      </c>
      <c r="Y16" s="35">
        <f t="shared" si="10"/>
        <v>2.6179999999999999</v>
      </c>
      <c r="Z16" s="34">
        <f t="shared" si="11"/>
        <v>104.72</v>
      </c>
      <c r="AA16" s="111">
        <f>26*2*4.15-F16*0.06</f>
        <v>149.80000000000001</v>
      </c>
      <c r="AB16" s="112">
        <v>140</v>
      </c>
      <c r="AC16" s="112">
        <v>0</v>
      </c>
      <c r="AD16" s="112">
        <v>0</v>
      </c>
      <c r="AE16" s="112">
        <v>0</v>
      </c>
      <c r="AF16" s="113">
        <v>0</v>
      </c>
      <c r="AG16" s="114">
        <v>4.1999999999999997E-3</v>
      </c>
      <c r="AH16" s="29">
        <f t="shared" si="12"/>
        <v>5.4977999999999998</v>
      </c>
      <c r="AI16" s="110">
        <v>2.9999999999999997E-4</v>
      </c>
      <c r="AJ16" s="29">
        <f t="shared" si="13"/>
        <v>0.39269999999999994</v>
      </c>
      <c r="AK16" s="110">
        <v>3.2000000000000001E-2</v>
      </c>
      <c r="AL16" s="29">
        <f t="shared" si="14"/>
        <v>41.887999999999998</v>
      </c>
      <c r="AM16" s="110">
        <v>1.9400000000000001E-2</v>
      </c>
      <c r="AN16" s="29">
        <f t="shared" si="15"/>
        <v>25.394600000000001</v>
      </c>
      <c r="AO16" s="110">
        <v>6.9999999999999999E-4</v>
      </c>
      <c r="AP16" s="29">
        <f t="shared" si="16"/>
        <v>0.9163</v>
      </c>
      <c r="AQ16" s="110">
        <v>1E-3</v>
      </c>
      <c r="AR16" s="36">
        <f t="shared" si="17"/>
        <v>1.3089999999999999</v>
      </c>
      <c r="AS16" s="115">
        <v>8.0000000000000004E-4</v>
      </c>
      <c r="AT16" s="29">
        <f t="shared" si="18"/>
        <v>1.0472000000000001</v>
      </c>
      <c r="AU16" s="110">
        <v>2.0000000000000001E-4</v>
      </c>
      <c r="AV16" s="35">
        <f t="shared" si="19"/>
        <v>0.26180000000000003</v>
      </c>
      <c r="AW16" s="110">
        <v>4.0000000000000002E-4</v>
      </c>
      <c r="AX16" s="35">
        <f t="shared" si="20"/>
        <v>0.52360000000000007</v>
      </c>
      <c r="AY16" s="110">
        <v>6.9999999999999999E-4</v>
      </c>
      <c r="AZ16" s="35">
        <f t="shared" si="21"/>
        <v>0.9163</v>
      </c>
      <c r="BA16" s="110">
        <v>9.4100000000000003E-2</v>
      </c>
      <c r="BB16" s="34">
        <f t="shared" si="22"/>
        <v>123.1769</v>
      </c>
      <c r="BC16" s="114">
        <v>0</v>
      </c>
      <c r="BD16" s="31">
        <f t="shared" si="23"/>
        <v>0</v>
      </c>
      <c r="BE16" s="32">
        <f>IF(E16=0,0,'Uniformes '!$K$171)</f>
        <v>77.308333333333337</v>
      </c>
      <c r="BF16" s="33">
        <f>IF(E16=0,0,custoEPI_huol!$M$329)</f>
        <v>0</v>
      </c>
      <c r="BG16" s="187">
        <f>IF(OR(Radios!$B$9=B16,Radios!$B$10=B16,Radios!$B$11=B16,Radios!$B$12=B16,Radios!$B$13=B16,Radios!$B$14=B16,Radios!$B$15=B16,Radios!$B$16=B16),Radios!$I$18,0)</f>
        <v>0</v>
      </c>
      <c r="BH16" s="184">
        <v>0</v>
      </c>
      <c r="BI16" s="117">
        <v>0.06</v>
      </c>
      <c r="BJ16" s="29">
        <f t="shared" si="24"/>
        <v>159.6191897576</v>
      </c>
      <c r="BK16" s="114">
        <v>6.7900000000000002E-2</v>
      </c>
      <c r="BL16" s="27">
        <f t="shared" si="25"/>
        <v>191.4738593935584</v>
      </c>
      <c r="BM16" s="115">
        <v>9.2499999999999999E-2</v>
      </c>
      <c r="BN16" s="29">
        <f t="shared" si="26"/>
        <v>324.84628717914347</v>
      </c>
      <c r="BO16" s="118">
        <v>0</v>
      </c>
      <c r="BP16" s="27">
        <f t="shared" si="27"/>
        <v>0</v>
      </c>
      <c r="BQ16" s="110">
        <v>0.05</v>
      </c>
      <c r="BR16" s="27">
        <f t="shared" si="28"/>
        <v>175.59258766440189</v>
      </c>
      <c r="BS16" s="40">
        <f t="shared" si="30"/>
        <v>3511.8517532880373</v>
      </c>
    </row>
    <row r="17" spans="1:71" s="8" customFormat="1" ht="15" customHeight="1" x14ac:dyDescent="0.25">
      <c r="A17" s="14" t="s">
        <v>118</v>
      </c>
      <c r="B17" s="14" t="str">
        <f>'planilha - proposta'!C53</f>
        <v>Supervisor de Lavanderia</v>
      </c>
      <c r="C17" s="14" t="str">
        <f>'planilha - proposta'!D53</f>
        <v>Supervisor de Lavanderia - 44h</v>
      </c>
      <c r="D17" s="19" t="str">
        <f>'planilha - proposta'!B53</f>
        <v>5102-05</v>
      </c>
      <c r="E17" s="30">
        <f>'planilha - proposta'!E53</f>
        <v>1</v>
      </c>
      <c r="F17" s="137">
        <f>1566.92*1.0448</f>
        <v>1637.1180159999999</v>
      </c>
      <c r="G17" s="105" t="s">
        <v>112</v>
      </c>
      <c r="H17" s="132">
        <v>43493</v>
      </c>
      <c r="I17" s="107">
        <v>1244.18</v>
      </c>
      <c r="J17" s="108"/>
      <c r="K17" s="125">
        <f t="shared" si="0"/>
        <v>0</v>
      </c>
      <c r="L17" s="108">
        <v>0.2</v>
      </c>
      <c r="M17" s="35">
        <f t="shared" si="1"/>
        <v>209</v>
      </c>
      <c r="N17" s="109">
        <v>0</v>
      </c>
      <c r="O17" s="37">
        <f t="shared" si="2"/>
        <v>121.04989400000001</v>
      </c>
      <c r="P17" s="35">
        <f t="shared" si="29"/>
        <v>161.41923439999999</v>
      </c>
      <c r="Q17" s="31">
        <f t="shared" si="3"/>
        <v>95.474565399200003</v>
      </c>
      <c r="R17" s="23">
        <f t="shared" si="4"/>
        <v>290.63600000000002</v>
      </c>
      <c r="S17" s="35">
        <f t="shared" si="5"/>
        <v>36.329500000000003</v>
      </c>
      <c r="T17" s="110"/>
      <c r="U17" s="35">
        <f t="shared" si="6"/>
        <v>0</v>
      </c>
      <c r="V17" s="35">
        <f t="shared" si="7"/>
        <v>21.797699999999999</v>
      </c>
      <c r="W17" s="35">
        <f t="shared" si="8"/>
        <v>14.5318</v>
      </c>
      <c r="X17" s="35">
        <f t="shared" si="9"/>
        <v>8.7190799999999999</v>
      </c>
      <c r="Y17" s="35">
        <f t="shared" si="10"/>
        <v>2.9063600000000003</v>
      </c>
      <c r="Z17" s="34">
        <f t="shared" si="11"/>
        <v>116.2544</v>
      </c>
      <c r="AA17" s="111">
        <f>26*2*4.15-F17*0.06</f>
        <v>117.57291904000002</v>
      </c>
      <c r="AB17" s="112">
        <v>121.99</v>
      </c>
      <c r="AC17" s="112">
        <v>0</v>
      </c>
      <c r="AD17" s="112">
        <v>0</v>
      </c>
      <c r="AE17" s="112">
        <v>18.5</v>
      </c>
      <c r="AF17" s="113">
        <v>0</v>
      </c>
      <c r="AG17" s="114">
        <v>4.1999999999999997E-3</v>
      </c>
      <c r="AH17" s="29">
        <f t="shared" si="12"/>
        <v>6.1033559999999998</v>
      </c>
      <c r="AI17" s="110">
        <v>2.9999999999999997E-4</v>
      </c>
      <c r="AJ17" s="29">
        <f t="shared" si="13"/>
        <v>0.43595400000000001</v>
      </c>
      <c r="AK17" s="110">
        <v>3.2000000000000001E-2</v>
      </c>
      <c r="AL17" s="29">
        <f t="shared" si="14"/>
        <v>46.501760000000004</v>
      </c>
      <c r="AM17" s="110">
        <v>1.9400000000000001E-2</v>
      </c>
      <c r="AN17" s="29">
        <f t="shared" si="15"/>
        <v>28.191692000000003</v>
      </c>
      <c r="AO17" s="110">
        <v>7.2000000000000005E-4</v>
      </c>
      <c r="AP17" s="29">
        <f t="shared" si="16"/>
        <v>1.0462896000000002</v>
      </c>
      <c r="AQ17" s="110">
        <v>1E-3</v>
      </c>
      <c r="AR17" s="36">
        <f t="shared" si="17"/>
        <v>1.4531800000000001</v>
      </c>
      <c r="AS17" s="115">
        <v>8.0000000000000004E-4</v>
      </c>
      <c r="AT17" s="29">
        <f t="shared" si="18"/>
        <v>1.162544</v>
      </c>
      <c r="AU17" s="110">
        <v>2.0000000000000001E-4</v>
      </c>
      <c r="AV17" s="35">
        <f t="shared" si="19"/>
        <v>0.29063600000000001</v>
      </c>
      <c r="AW17" s="110">
        <v>4.0000000000000002E-4</v>
      </c>
      <c r="AX17" s="35">
        <f t="shared" si="20"/>
        <v>0.58127200000000001</v>
      </c>
      <c r="AY17" s="110">
        <v>6.9999999999999999E-4</v>
      </c>
      <c r="AZ17" s="35">
        <f t="shared" si="21"/>
        <v>1.017226</v>
      </c>
      <c r="BA17" s="110">
        <v>9.4100000000000003E-2</v>
      </c>
      <c r="BB17" s="34">
        <f t="shared" si="22"/>
        <v>136.74423800000002</v>
      </c>
      <c r="BC17" s="114">
        <v>0</v>
      </c>
      <c r="BD17" s="31">
        <f t="shared" si="23"/>
        <v>0</v>
      </c>
      <c r="BE17" s="32">
        <f>IF(E17=0,0,'Uniformes '!K195)</f>
        <v>48.814999999999998</v>
      </c>
      <c r="BF17" s="33">
        <f>IF(E17=0,0,custoEPI_huol!$M$379)</f>
        <v>0</v>
      </c>
      <c r="BG17" s="187">
        <f>IF(OR(Radios!$B$9=B17,Radios!$B$10=B17,Radios!$B$11=B17,Radios!$B$12=B17,Radios!$B$13=B17,Radios!$B$14=B17,Radios!$B$15=B17,Radios!$B$16=B17),Radios!$I$18,0)</f>
        <v>14.631050228310501</v>
      </c>
      <c r="BH17" s="184">
        <v>0</v>
      </c>
      <c r="BI17" s="117">
        <v>0.06</v>
      </c>
      <c r="BJ17" s="29">
        <f t="shared" si="24"/>
        <v>172.04013904005063</v>
      </c>
      <c r="BK17" s="114">
        <v>6.7900000000000002E-2</v>
      </c>
      <c r="BL17" s="27">
        <f t="shared" si="25"/>
        <v>206.37361612114341</v>
      </c>
      <c r="BM17" s="115">
        <v>9.2499999999999999E-2</v>
      </c>
      <c r="BN17" s="29">
        <f t="shared" si="26"/>
        <v>350.12457147423351</v>
      </c>
      <c r="BO17" s="118">
        <v>0</v>
      </c>
      <c r="BP17" s="27">
        <f t="shared" si="27"/>
        <v>0</v>
      </c>
      <c r="BQ17" s="110">
        <v>0.05</v>
      </c>
      <c r="BR17" s="27">
        <f t="shared" si="28"/>
        <v>189.25652512120732</v>
      </c>
      <c r="BS17" s="40">
        <f t="shared" si="30"/>
        <v>3785.1305024241456</v>
      </c>
    </row>
    <row r="18" spans="1:71" s="8" customFormat="1" ht="15" customHeight="1" x14ac:dyDescent="0.25">
      <c r="H18" s="13"/>
    </row>
    <row r="19" spans="1:71" s="8" customFormat="1" ht="15" customHeight="1" x14ac:dyDescent="0.25">
      <c r="H19" s="13"/>
    </row>
    <row r="20" spans="1:71" s="8" customFormat="1" ht="15" customHeight="1" x14ac:dyDescent="0.25">
      <c r="H20" s="13"/>
    </row>
    <row r="21" spans="1:71" s="8" customFormat="1" ht="15" customHeight="1" x14ac:dyDescent="0.25">
      <c r="H21" s="13"/>
    </row>
    <row r="22" spans="1:71" s="8" customFormat="1" ht="15" customHeight="1" x14ac:dyDescent="0.25">
      <c r="H22" s="13"/>
    </row>
    <row r="23" spans="1:71" s="8" customFormat="1" ht="15" customHeight="1" x14ac:dyDescent="0.25">
      <c r="H23" s="13"/>
    </row>
    <row r="24" spans="1:71" s="8" customFormat="1" ht="15" customHeight="1" x14ac:dyDescent="0.25">
      <c r="H24" s="13"/>
    </row>
    <row r="25" spans="1:71" s="8" customFormat="1" ht="15" customHeight="1" x14ac:dyDescent="0.25">
      <c r="H25" s="13"/>
    </row>
    <row r="26" spans="1:71" s="8" customFormat="1" ht="15" customHeight="1" x14ac:dyDescent="0.25">
      <c r="H26" s="13"/>
    </row>
    <row r="27" spans="1:71" s="8" customFormat="1" ht="15" customHeight="1" x14ac:dyDescent="0.25">
      <c r="H27" s="13"/>
    </row>
    <row r="28" spans="1:71" s="8" customFormat="1" ht="15" customHeight="1" x14ac:dyDescent="0.25">
      <c r="H28" s="13"/>
    </row>
    <row r="29" spans="1:71" s="8" customFormat="1" ht="15" customHeight="1" x14ac:dyDescent="0.25">
      <c r="H29" s="13"/>
    </row>
    <row r="30" spans="1:71" s="8" customFormat="1" ht="15" customHeight="1" x14ac:dyDescent="0.25">
      <c r="H30" s="13"/>
    </row>
    <row r="31" spans="1:71" s="8" customFormat="1" ht="15" customHeight="1" x14ac:dyDescent="0.25">
      <c r="H31" s="13"/>
    </row>
    <row r="32" spans="1:71" s="8" customFormat="1" ht="15" customHeight="1" x14ac:dyDescent="0.25">
      <c r="H32" s="13"/>
    </row>
    <row r="33" spans="8:8" s="8" customFormat="1" ht="15" customHeight="1" x14ac:dyDescent="0.25">
      <c r="H33" s="13"/>
    </row>
    <row r="34" spans="8:8" s="8" customFormat="1" ht="15" customHeight="1" x14ac:dyDescent="0.25">
      <c r="H34" s="13"/>
    </row>
    <row r="35" spans="8:8" s="8" customFormat="1" ht="15" customHeight="1" x14ac:dyDescent="0.25">
      <c r="H35" s="13"/>
    </row>
    <row r="36" spans="8:8" s="8" customFormat="1" ht="15" customHeight="1" x14ac:dyDescent="0.25">
      <c r="H36" s="13"/>
    </row>
    <row r="37" spans="8:8" s="8" customFormat="1" ht="15" customHeight="1" x14ac:dyDescent="0.25">
      <c r="H37" s="13"/>
    </row>
    <row r="38" spans="8:8" s="8" customFormat="1" ht="15" customHeight="1" x14ac:dyDescent="0.25">
      <c r="H38" s="13"/>
    </row>
    <row r="39" spans="8:8" s="8" customFormat="1" ht="15" customHeight="1" x14ac:dyDescent="0.25">
      <c r="H39" s="13"/>
    </row>
    <row r="40" spans="8:8" s="8" customFormat="1" ht="15" customHeight="1" x14ac:dyDescent="0.25">
      <c r="H40" s="13"/>
    </row>
    <row r="41" spans="8:8" s="8" customFormat="1" ht="15" customHeight="1" x14ac:dyDescent="0.25">
      <c r="H41" s="13"/>
    </row>
    <row r="42" spans="8:8" s="8" customFormat="1" ht="15" customHeight="1" x14ac:dyDescent="0.25">
      <c r="H42" s="13"/>
    </row>
    <row r="43" spans="8:8" s="8" customFormat="1" ht="15" customHeight="1" x14ac:dyDescent="0.25">
      <c r="H43" s="13"/>
    </row>
    <row r="44" spans="8:8" s="8" customFormat="1" ht="15" customHeight="1" x14ac:dyDescent="0.25">
      <c r="H44" s="13"/>
    </row>
    <row r="45" spans="8:8" s="8" customFormat="1" ht="15" customHeight="1" x14ac:dyDescent="0.25">
      <c r="H45" s="13"/>
    </row>
    <row r="46" spans="8:8" s="8" customFormat="1" ht="15" customHeight="1" x14ac:dyDescent="0.25">
      <c r="H46" s="13"/>
    </row>
    <row r="47" spans="8:8" s="8" customFormat="1" ht="15" customHeight="1" x14ac:dyDescent="0.25">
      <c r="H47" s="13"/>
    </row>
    <row r="48" spans="8:8" s="8" customFormat="1" ht="15" customHeight="1" x14ac:dyDescent="0.25">
      <c r="H48" s="13"/>
    </row>
    <row r="49" spans="8:8" s="8" customFormat="1" ht="15" customHeight="1" x14ac:dyDescent="0.25">
      <c r="H49" s="13"/>
    </row>
    <row r="50" spans="8:8" s="8" customFormat="1" ht="15" customHeight="1" x14ac:dyDescent="0.25">
      <c r="H50" s="13"/>
    </row>
    <row r="51" spans="8:8" s="8" customFormat="1" ht="15" customHeight="1" x14ac:dyDescent="0.25">
      <c r="H51" s="13"/>
    </row>
    <row r="52" spans="8:8" s="8" customFormat="1" ht="15" customHeight="1" x14ac:dyDescent="0.25">
      <c r="H52" s="13"/>
    </row>
    <row r="53" spans="8:8" s="8" customFormat="1" ht="15" customHeight="1" x14ac:dyDescent="0.25">
      <c r="H53" s="13"/>
    </row>
    <row r="54" spans="8:8" s="8" customFormat="1" ht="15" customHeight="1" x14ac:dyDescent="0.25">
      <c r="H54" s="13"/>
    </row>
    <row r="55" spans="8:8" s="8" customFormat="1" ht="15" customHeight="1" x14ac:dyDescent="0.25">
      <c r="H55" s="13"/>
    </row>
    <row r="56" spans="8:8" s="8" customFormat="1" ht="15" customHeight="1" x14ac:dyDescent="0.25">
      <c r="H56" s="13"/>
    </row>
    <row r="57" spans="8:8" s="8" customFormat="1" ht="15" customHeight="1" x14ac:dyDescent="0.25">
      <c r="H57" s="13"/>
    </row>
    <row r="58" spans="8:8" s="8" customFormat="1" ht="15" customHeight="1" x14ac:dyDescent="0.25">
      <c r="H58" s="13"/>
    </row>
    <row r="59" spans="8:8" s="8" customFormat="1" ht="15" customHeight="1" x14ac:dyDescent="0.25">
      <c r="H59" s="13"/>
    </row>
    <row r="60" spans="8:8" s="8" customFormat="1" ht="15" customHeight="1" x14ac:dyDescent="0.25">
      <c r="H60" s="13"/>
    </row>
    <row r="61" spans="8:8" s="8" customFormat="1" ht="15" customHeight="1" x14ac:dyDescent="0.25">
      <c r="H61" s="13"/>
    </row>
    <row r="62" spans="8:8" s="8" customFormat="1" ht="15" customHeight="1" x14ac:dyDescent="0.25">
      <c r="H62" s="13"/>
    </row>
    <row r="63" spans="8:8" s="8" customFormat="1" ht="15" customHeight="1" x14ac:dyDescent="0.25">
      <c r="H63" s="13"/>
    </row>
    <row r="64" spans="8:8" s="8" customFormat="1" ht="15" customHeight="1" x14ac:dyDescent="0.25">
      <c r="H64" s="13"/>
    </row>
    <row r="65" spans="8:8" s="8" customFormat="1" ht="15" customHeight="1" x14ac:dyDescent="0.25">
      <c r="H65" s="13"/>
    </row>
    <row r="66" spans="8:8" s="8" customFormat="1" ht="15" customHeight="1" x14ac:dyDescent="0.25">
      <c r="H66" s="13"/>
    </row>
    <row r="67" spans="8:8" s="8" customFormat="1" ht="15" customHeight="1" x14ac:dyDescent="0.25">
      <c r="H67" s="13"/>
    </row>
    <row r="68" spans="8:8" s="8" customFormat="1" ht="15" customHeight="1" x14ac:dyDescent="0.25">
      <c r="H68" s="13"/>
    </row>
    <row r="69" spans="8:8" s="8" customFormat="1" ht="15" customHeight="1" x14ac:dyDescent="0.25">
      <c r="H69" s="13"/>
    </row>
    <row r="70" spans="8:8" s="8" customFormat="1" ht="15" customHeight="1" x14ac:dyDescent="0.25">
      <c r="H70" s="13"/>
    </row>
    <row r="71" spans="8:8" s="8" customFormat="1" ht="15" customHeight="1" x14ac:dyDescent="0.25">
      <c r="H71" s="13"/>
    </row>
    <row r="72" spans="8:8" s="8" customFormat="1" ht="15" customHeight="1" x14ac:dyDescent="0.25">
      <c r="H72" s="13"/>
    </row>
    <row r="73" spans="8:8" s="8" customFormat="1" ht="15" customHeight="1" x14ac:dyDescent="0.25">
      <c r="H73" s="13"/>
    </row>
    <row r="74" spans="8:8" s="8" customFormat="1" ht="15" customHeight="1" x14ac:dyDescent="0.25">
      <c r="H74" s="13"/>
    </row>
    <row r="75" spans="8:8" s="8" customFormat="1" ht="15" customHeight="1" x14ac:dyDescent="0.25">
      <c r="H75" s="13"/>
    </row>
    <row r="76" spans="8:8" s="8" customFormat="1" ht="15" customHeight="1" x14ac:dyDescent="0.25">
      <c r="H76" s="13"/>
    </row>
    <row r="77" spans="8:8" s="8" customFormat="1" ht="15" customHeight="1" x14ac:dyDescent="0.25">
      <c r="H77" s="13"/>
    </row>
    <row r="78" spans="8:8" s="8" customFormat="1" ht="15" customHeight="1" x14ac:dyDescent="0.25">
      <c r="H78" s="13"/>
    </row>
    <row r="79" spans="8:8" s="8" customFormat="1" ht="15" customHeight="1" x14ac:dyDescent="0.25">
      <c r="H79" s="13"/>
    </row>
    <row r="80" spans="8:8" s="8" customFormat="1" ht="15" customHeight="1" x14ac:dyDescent="0.25">
      <c r="H80" s="13"/>
    </row>
    <row r="81" spans="8:8" s="8" customFormat="1" ht="15" customHeight="1" x14ac:dyDescent="0.25">
      <c r="H81" s="13"/>
    </row>
    <row r="82" spans="8:8" s="8" customFormat="1" ht="15" customHeight="1" x14ac:dyDescent="0.25">
      <c r="H82" s="13"/>
    </row>
    <row r="83" spans="8:8" s="8" customFormat="1" ht="15" customHeight="1" x14ac:dyDescent="0.25">
      <c r="H83" s="13"/>
    </row>
    <row r="84" spans="8:8" s="8" customFormat="1" ht="15" customHeight="1" x14ac:dyDescent="0.25">
      <c r="H84" s="13"/>
    </row>
    <row r="85" spans="8:8" s="8" customFormat="1" ht="15" customHeight="1" x14ac:dyDescent="0.25">
      <c r="H85" s="13"/>
    </row>
    <row r="86" spans="8:8" s="8" customFormat="1" ht="15" customHeight="1" x14ac:dyDescent="0.25">
      <c r="H86" s="13"/>
    </row>
    <row r="87" spans="8:8" s="8" customFormat="1" ht="15" customHeight="1" x14ac:dyDescent="0.25">
      <c r="H87" s="13"/>
    </row>
    <row r="88" spans="8:8" s="8" customFormat="1" ht="15" customHeight="1" x14ac:dyDescent="0.25">
      <c r="H88" s="13"/>
    </row>
    <row r="89" spans="8:8" s="8" customFormat="1" ht="15" customHeight="1" x14ac:dyDescent="0.25">
      <c r="H89" s="13"/>
    </row>
    <row r="90" spans="8:8" s="8" customFormat="1" ht="15" customHeight="1" x14ac:dyDescent="0.25">
      <c r="H90" s="13"/>
    </row>
    <row r="91" spans="8:8" s="8" customFormat="1" ht="15" customHeight="1" x14ac:dyDescent="0.25">
      <c r="H91" s="13"/>
    </row>
    <row r="92" spans="8:8" s="8" customFormat="1" ht="15" customHeight="1" x14ac:dyDescent="0.25">
      <c r="H92" s="13"/>
    </row>
    <row r="93" spans="8:8" s="8" customFormat="1" ht="15" customHeight="1" x14ac:dyDescent="0.25">
      <c r="H93" s="13"/>
    </row>
    <row r="94" spans="8:8" s="8" customFormat="1" ht="15" customHeight="1" x14ac:dyDescent="0.25">
      <c r="H94" s="13"/>
    </row>
    <row r="95" spans="8:8" s="8" customFormat="1" ht="15" customHeight="1" x14ac:dyDescent="0.25">
      <c r="H95" s="13"/>
    </row>
    <row r="96" spans="8:8" s="8" customFormat="1" ht="15" customHeight="1" x14ac:dyDescent="0.25">
      <c r="H96" s="13"/>
    </row>
    <row r="97" spans="8:8" s="8" customFormat="1" ht="15" customHeight="1" x14ac:dyDescent="0.25">
      <c r="H97" s="13"/>
    </row>
    <row r="98" spans="8:8" s="8" customFormat="1" ht="15" customHeight="1" x14ac:dyDescent="0.25">
      <c r="H98" s="13"/>
    </row>
    <row r="99" spans="8:8" s="8" customFormat="1" ht="15" customHeight="1" x14ac:dyDescent="0.25">
      <c r="H99" s="13"/>
    </row>
    <row r="100" spans="8:8" s="8" customFormat="1" ht="15" customHeight="1" x14ac:dyDescent="0.25">
      <c r="H100" s="13"/>
    </row>
    <row r="101" spans="8:8" s="8" customFormat="1" ht="15" customHeight="1" x14ac:dyDescent="0.25">
      <c r="H101" s="13"/>
    </row>
    <row r="102" spans="8:8" s="8" customFormat="1" ht="15" customHeight="1" x14ac:dyDescent="0.25">
      <c r="H102" s="13"/>
    </row>
    <row r="103" spans="8:8" s="8" customFormat="1" ht="15" customHeight="1" x14ac:dyDescent="0.25">
      <c r="H103" s="13"/>
    </row>
    <row r="104" spans="8:8" s="8" customFormat="1" ht="15" customHeight="1" x14ac:dyDescent="0.25">
      <c r="H104" s="13"/>
    </row>
    <row r="105" spans="8:8" s="8" customFormat="1" ht="15" customHeight="1" x14ac:dyDescent="0.25">
      <c r="H105" s="13"/>
    </row>
    <row r="106" spans="8:8" s="8" customFormat="1" ht="15" customHeight="1" x14ac:dyDescent="0.25">
      <c r="H106" s="13"/>
    </row>
    <row r="107" spans="8:8" s="8" customFormat="1" ht="15" customHeight="1" x14ac:dyDescent="0.25">
      <c r="H107" s="13"/>
    </row>
    <row r="108" spans="8:8" s="8" customFormat="1" ht="15" customHeight="1" x14ac:dyDescent="0.25">
      <c r="H108" s="13"/>
    </row>
    <row r="109" spans="8:8" s="8" customFormat="1" ht="15" customHeight="1" x14ac:dyDescent="0.25">
      <c r="H109" s="13"/>
    </row>
    <row r="110" spans="8:8" s="8" customFormat="1" ht="15" customHeight="1" x14ac:dyDescent="0.25">
      <c r="H110" s="13"/>
    </row>
    <row r="111" spans="8:8" s="8" customFormat="1" ht="15" customHeight="1" x14ac:dyDescent="0.25">
      <c r="H111" s="13"/>
    </row>
    <row r="112" spans="8:8" s="8" customFormat="1" ht="15" customHeight="1" x14ac:dyDescent="0.25">
      <c r="H112" s="13"/>
    </row>
    <row r="113" spans="8:8" s="8" customFormat="1" ht="15" customHeight="1" x14ac:dyDescent="0.25">
      <c r="H113" s="13"/>
    </row>
    <row r="114" spans="8:8" s="8" customFormat="1" ht="15" customHeight="1" x14ac:dyDescent="0.25">
      <c r="H114" s="13"/>
    </row>
    <row r="115" spans="8:8" s="8" customFormat="1" ht="15" customHeight="1" x14ac:dyDescent="0.25">
      <c r="H115" s="13"/>
    </row>
    <row r="116" spans="8:8" s="8" customFormat="1" ht="15" customHeight="1" x14ac:dyDescent="0.25">
      <c r="H116" s="13"/>
    </row>
    <row r="117" spans="8:8" s="8" customFormat="1" ht="15" customHeight="1" x14ac:dyDescent="0.25">
      <c r="H117" s="13"/>
    </row>
    <row r="118" spans="8:8" s="8" customFormat="1" ht="15" customHeight="1" x14ac:dyDescent="0.25">
      <c r="H118" s="13"/>
    </row>
    <row r="119" spans="8:8" s="8" customFormat="1" ht="15" customHeight="1" x14ac:dyDescent="0.25">
      <c r="H119" s="13"/>
    </row>
    <row r="120" spans="8:8" s="8" customFormat="1" ht="15" customHeight="1" x14ac:dyDescent="0.25">
      <c r="H120" s="13"/>
    </row>
    <row r="121" spans="8:8" s="8" customFormat="1" ht="15" customHeight="1" x14ac:dyDescent="0.25">
      <c r="H121" s="13"/>
    </row>
    <row r="122" spans="8:8" s="8" customFormat="1" ht="15" customHeight="1" x14ac:dyDescent="0.25">
      <c r="H122" s="13"/>
    </row>
    <row r="123" spans="8:8" s="8" customFormat="1" ht="15" customHeight="1" x14ac:dyDescent="0.25">
      <c r="H123" s="13"/>
    </row>
    <row r="124" spans="8:8" s="8" customFormat="1" ht="15" customHeight="1" x14ac:dyDescent="0.25">
      <c r="H124" s="13"/>
    </row>
    <row r="125" spans="8:8" s="8" customFormat="1" ht="15" customHeight="1" x14ac:dyDescent="0.25">
      <c r="H125" s="13"/>
    </row>
    <row r="126" spans="8:8" s="8" customFormat="1" ht="15" customHeight="1" x14ac:dyDescent="0.25">
      <c r="H126" s="13"/>
    </row>
    <row r="127" spans="8:8" s="8" customFormat="1" ht="15" customHeight="1" x14ac:dyDescent="0.25">
      <c r="H127" s="13"/>
    </row>
    <row r="128" spans="8:8" s="8" customFormat="1" ht="15" customHeight="1" x14ac:dyDescent="0.25">
      <c r="H128" s="13"/>
    </row>
    <row r="129" spans="8:8" s="8" customFormat="1" ht="15" customHeight="1" x14ac:dyDescent="0.25">
      <c r="H129" s="13"/>
    </row>
    <row r="130" spans="8:8" s="8" customFormat="1" ht="15" customHeight="1" x14ac:dyDescent="0.25">
      <c r="H130" s="13"/>
    </row>
    <row r="131" spans="8:8" s="8" customFormat="1" ht="15" customHeight="1" x14ac:dyDescent="0.25">
      <c r="H131" s="13"/>
    </row>
    <row r="132" spans="8:8" s="8" customFormat="1" ht="15" customHeight="1" x14ac:dyDescent="0.25">
      <c r="H132" s="13"/>
    </row>
    <row r="133" spans="8:8" s="8" customFormat="1" ht="15" customHeight="1" x14ac:dyDescent="0.25">
      <c r="H133" s="13"/>
    </row>
    <row r="134" spans="8:8" s="8" customFormat="1" ht="15" customHeight="1" x14ac:dyDescent="0.25">
      <c r="H134" s="13"/>
    </row>
    <row r="135" spans="8:8" s="8" customFormat="1" ht="15" customHeight="1" x14ac:dyDescent="0.25">
      <c r="H135" s="13"/>
    </row>
    <row r="136" spans="8:8" s="8" customFormat="1" ht="15" customHeight="1" x14ac:dyDescent="0.25">
      <c r="H136" s="13"/>
    </row>
    <row r="137" spans="8:8" s="8" customFormat="1" ht="15" customHeight="1" x14ac:dyDescent="0.25">
      <c r="H137" s="13"/>
    </row>
    <row r="138" spans="8:8" s="8" customFormat="1" ht="15" customHeight="1" x14ac:dyDescent="0.25">
      <c r="H138" s="13"/>
    </row>
    <row r="139" spans="8:8" s="8" customFormat="1" ht="15" customHeight="1" x14ac:dyDescent="0.25">
      <c r="H139" s="13"/>
    </row>
    <row r="140" spans="8:8" s="8" customFormat="1" ht="15" customHeight="1" x14ac:dyDescent="0.25">
      <c r="H140" s="13"/>
    </row>
    <row r="141" spans="8:8" s="8" customFormat="1" ht="15" customHeight="1" x14ac:dyDescent="0.25">
      <c r="H141" s="13"/>
    </row>
    <row r="142" spans="8:8" s="8" customFormat="1" ht="15" customHeight="1" x14ac:dyDescent="0.25">
      <c r="H142" s="13"/>
    </row>
    <row r="143" spans="8:8" s="8" customFormat="1" ht="15" customHeight="1" x14ac:dyDescent="0.25">
      <c r="H143" s="13"/>
    </row>
    <row r="144" spans="8:8" s="8" customFormat="1" ht="15" customHeight="1" x14ac:dyDescent="0.25">
      <c r="H144" s="13"/>
    </row>
    <row r="145" spans="8:8" s="8" customFormat="1" ht="15" customHeight="1" x14ac:dyDescent="0.25">
      <c r="H145" s="13"/>
    </row>
    <row r="146" spans="8:8" s="8" customFormat="1" ht="15" customHeight="1" x14ac:dyDescent="0.25">
      <c r="H146" s="13"/>
    </row>
    <row r="147" spans="8:8" s="8" customFormat="1" ht="15" customHeight="1" x14ac:dyDescent="0.25">
      <c r="H147" s="13"/>
    </row>
    <row r="148" spans="8:8" s="8" customFormat="1" ht="15" customHeight="1" x14ac:dyDescent="0.25">
      <c r="H148" s="13"/>
    </row>
    <row r="149" spans="8:8" s="8" customFormat="1" ht="15" customHeight="1" x14ac:dyDescent="0.25">
      <c r="H149" s="13"/>
    </row>
    <row r="150" spans="8:8" s="8" customFormat="1" ht="15" customHeight="1" x14ac:dyDescent="0.25">
      <c r="H150" s="13"/>
    </row>
    <row r="151" spans="8:8" s="8" customFormat="1" ht="15" customHeight="1" x14ac:dyDescent="0.25">
      <c r="H151" s="13"/>
    </row>
    <row r="152" spans="8:8" s="8" customFormat="1" ht="15" customHeight="1" x14ac:dyDescent="0.25">
      <c r="H152" s="13"/>
    </row>
    <row r="153" spans="8:8" s="8" customFormat="1" ht="15" customHeight="1" x14ac:dyDescent="0.25">
      <c r="H153" s="13"/>
    </row>
    <row r="154" spans="8:8" s="8" customFormat="1" ht="15" customHeight="1" x14ac:dyDescent="0.25">
      <c r="H154" s="13"/>
    </row>
    <row r="155" spans="8:8" s="8" customFormat="1" ht="15" customHeight="1" x14ac:dyDescent="0.25">
      <c r="H155" s="13"/>
    </row>
    <row r="156" spans="8:8" s="8" customFormat="1" ht="15" customHeight="1" x14ac:dyDescent="0.25">
      <c r="H156" s="13"/>
    </row>
    <row r="157" spans="8:8" s="8" customFormat="1" ht="15" customHeight="1" x14ac:dyDescent="0.25">
      <c r="H157" s="13"/>
    </row>
    <row r="158" spans="8:8" s="8" customFormat="1" ht="15" customHeight="1" x14ac:dyDescent="0.25">
      <c r="H158" s="13"/>
    </row>
    <row r="159" spans="8:8" s="8" customFormat="1" ht="15" customHeight="1" x14ac:dyDescent="0.25">
      <c r="H159" s="13"/>
    </row>
    <row r="160" spans="8:8" s="8" customFormat="1" ht="15" customHeight="1" x14ac:dyDescent="0.25">
      <c r="H160" s="13"/>
    </row>
    <row r="161" spans="8:8" s="8" customFormat="1" ht="15" customHeight="1" x14ac:dyDescent="0.25">
      <c r="H161" s="13"/>
    </row>
    <row r="162" spans="8:8" s="8" customFormat="1" ht="15" customHeight="1" x14ac:dyDescent="0.25">
      <c r="H162" s="13"/>
    </row>
    <row r="163" spans="8:8" s="8" customFormat="1" ht="15" customHeight="1" x14ac:dyDescent="0.25">
      <c r="H163" s="13"/>
    </row>
    <row r="164" spans="8:8" s="8" customFormat="1" ht="15" customHeight="1" x14ac:dyDescent="0.25">
      <c r="H164" s="13"/>
    </row>
    <row r="165" spans="8:8" s="8" customFormat="1" ht="15" customHeight="1" x14ac:dyDescent="0.25">
      <c r="H165" s="13"/>
    </row>
    <row r="166" spans="8:8" s="8" customFormat="1" ht="15" customHeight="1" x14ac:dyDescent="0.25">
      <c r="H166" s="13"/>
    </row>
    <row r="167" spans="8:8" s="8" customFormat="1" ht="15" customHeight="1" x14ac:dyDescent="0.25">
      <c r="H167" s="13"/>
    </row>
    <row r="168" spans="8:8" s="8" customFormat="1" ht="15" customHeight="1" x14ac:dyDescent="0.25">
      <c r="H168" s="13"/>
    </row>
    <row r="169" spans="8:8" s="8" customFormat="1" ht="15" customHeight="1" x14ac:dyDescent="0.25">
      <c r="H169" s="13"/>
    </row>
    <row r="170" spans="8:8" s="8" customFormat="1" ht="15" customHeight="1" x14ac:dyDescent="0.25">
      <c r="H170" s="13"/>
    </row>
    <row r="171" spans="8:8" s="8" customFormat="1" ht="15" customHeight="1" x14ac:dyDescent="0.25">
      <c r="H171" s="13"/>
    </row>
    <row r="172" spans="8:8" s="8" customFormat="1" ht="15" customHeight="1" x14ac:dyDescent="0.25">
      <c r="H172" s="13"/>
    </row>
    <row r="173" spans="8:8" s="8" customFormat="1" ht="15" customHeight="1" x14ac:dyDescent="0.25">
      <c r="H173" s="13"/>
    </row>
    <row r="174" spans="8:8" s="8" customFormat="1" ht="15" customHeight="1" x14ac:dyDescent="0.25">
      <c r="H174" s="13"/>
    </row>
    <row r="175" spans="8:8" s="8" customFormat="1" ht="15" customHeight="1" x14ac:dyDescent="0.25">
      <c r="H175" s="13"/>
    </row>
    <row r="176" spans="8:8" s="8" customFormat="1" ht="15" customHeight="1" x14ac:dyDescent="0.25">
      <c r="H176" s="13"/>
    </row>
    <row r="177" spans="8:8" s="8" customFormat="1" ht="15" customHeight="1" x14ac:dyDescent="0.25">
      <c r="H177" s="13"/>
    </row>
    <row r="178" spans="8:8" s="8" customFormat="1" ht="15" customHeight="1" x14ac:dyDescent="0.25">
      <c r="H178" s="13"/>
    </row>
    <row r="179" spans="8:8" s="8" customFormat="1" ht="15" customHeight="1" x14ac:dyDescent="0.25">
      <c r="H179" s="13"/>
    </row>
    <row r="180" spans="8:8" s="8" customFormat="1" ht="15" customHeight="1" x14ac:dyDescent="0.25">
      <c r="H180" s="13"/>
    </row>
    <row r="181" spans="8:8" s="8" customFormat="1" ht="15" customHeight="1" x14ac:dyDescent="0.25">
      <c r="H181" s="13"/>
    </row>
    <row r="182" spans="8:8" s="8" customFormat="1" ht="15" customHeight="1" x14ac:dyDescent="0.25">
      <c r="H182" s="13"/>
    </row>
    <row r="183" spans="8:8" s="8" customFormat="1" ht="15" customHeight="1" x14ac:dyDescent="0.25">
      <c r="H183" s="13"/>
    </row>
    <row r="184" spans="8:8" s="8" customFormat="1" ht="15" customHeight="1" x14ac:dyDescent="0.25">
      <c r="H184" s="13"/>
    </row>
    <row r="185" spans="8:8" s="8" customFormat="1" ht="15" customHeight="1" x14ac:dyDescent="0.25">
      <c r="H185" s="13"/>
    </row>
    <row r="186" spans="8:8" s="8" customFormat="1" ht="15" customHeight="1" x14ac:dyDescent="0.25">
      <c r="H186" s="13"/>
    </row>
    <row r="187" spans="8:8" s="8" customFormat="1" ht="15" customHeight="1" x14ac:dyDescent="0.25">
      <c r="H187" s="13"/>
    </row>
    <row r="188" spans="8:8" s="8" customFormat="1" ht="15" customHeight="1" x14ac:dyDescent="0.25">
      <c r="H188" s="13"/>
    </row>
    <row r="189" spans="8:8" s="8" customFormat="1" ht="15" customHeight="1" x14ac:dyDescent="0.25">
      <c r="H189" s="13"/>
    </row>
    <row r="190" spans="8:8" s="8" customFormat="1" ht="15" customHeight="1" x14ac:dyDescent="0.25">
      <c r="H190" s="13"/>
    </row>
    <row r="191" spans="8:8" s="8" customFormat="1" ht="15" customHeight="1" x14ac:dyDescent="0.25">
      <c r="H191" s="13"/>
    </row>
    <row r="192" spans="8:8" s="8" customFormat="1" ht="15" customHeight="1" x14ac:dyDescent="0.25">
      <c r="H192" s="13"/>
    </row>
    <row r="193" spans="8:8" s="8" customFormat="1" ht="15" customHeight="1" x14ac:dyDescent="0.25">
      <c r="H193" s="13"/>
    </row>
    <row r="194" spans="8:8" s="8" customFormat="1" ht="15" customHeight="1" x14ac:dyDescent="0.25">
      <c r="H194" s="13"/>
    </row>
    <row r="195" spans="8:8" s="8" customFormat="1" ht="15" customHeight="1" x14ac:dyDescent="0.25">
      <c r="H195" s="13"/>
    </row>
    <row r="196" spans="8:8" s="8" customFormat="1" ht="15" customHeight="1" x14ac:dyDescent="0.25">
      <c r="H196" s="13"/>
    </row>
    <row r="197" spans="8:8" s="8" customFormat="1" ht="15" customHeight="1" x14ac:dyDescent="0.25">
      <c r="H197" s="13"/>
    </row>
    <row r="198" spans="8:8" s="8" customFormat="1" ht="15" customHeight="1" x14ac:dyDescent="0.25">
      <c r="H198" s="13"/>
    </row>
    <row r="199" spans="8:8" s="8" customFormat="1" ht="15" customHeight="1" x14ac:dyDescent="0.25">
      <c r="H199" s="13"/>
    </row>
    <row r="200" spans="8:8" s="8" customFormat="1" ht="15" customHeight="1" x14ac:dyDescent="0.25">
      <c r="H200" s="13"/>
    </row>
    <row r="201" spans="8:8" s="8" customFormat="1" ht="15" customHeight="1" x14ac:dyDescent="0.25">
      <c r="H201" s="13"/>
    </row>
    <row r="202" spans="8:8" s="8" customFormat="1" ht="15" customHeight="1" x14ac:dyDescent="0.25">
      <c r="H202" s="13"/>
    </row>
    <row r="203" spans="8:8" s="8" customFormat="1" ht="15" customHeight="1" x14ac:dyDescent="0.25">
      <c r="H203" s="13"/>
    </row>
    <row r="204" spans="8:8" s="8" customFormat="1" ht="15" customHeight="1" x14ac:dyDescent="0.25">
      <c r="H204" s="13"/>
    </row>
    <row r="205" spans="8:8" s="8" customFormat="1" ht="15" customHeight="1" x14ac:dyDescent="0.25">
      <c r="H205" s="13"/>
    </row>
    <row r="206" spans="8:8" s="8" customFormat="1" ht="15" customHeight="1" x14ac:dyDescent="0.25">
      <c r="H206" s="13"/>
    </row>
    <row r="207" spans="8:8" s="8" customFormat="1" ht="15" customHeight="1" x14ac:dyDescent="0.25">
      <c r="H207" s="13"/>
    </row>
    <row r="208" spans="8:8" s="8" customFormat="1" ht="15" customHeight="1" x14ac:dyDescent="0.25">
      <c r="H208" s="13"/>
    </row>
    <row r="209" spans="8:8" s="8" customFormat="1" ht="15" customHeight="1" x14ac:dyDescent="0.25">
      <c r="H209" s="13"/>
    </row>
    <row r="210" spans="8:8" s="8" customFormat="1" ht="15" customHeight="1" x14ac:dyDescent="0.25">
      <c r="H210" s="13"/>
    </row>
    <row r="211" spans="8:8" s="8" customFormat="1" ht="15" customHeight="1" x14ac:dyDescent="0.25">
      <c r="H211" s="13"/>
    </row>
    <row r="212" spans="8:8" s="8" customFormat="1" ht="15" customHeight="1" x14ac:dyDescent="0.25">
      <c r="H212" s="13"/>
    </row>
    <row r="213" spans="8:8" s="8" customFormat="1" ht="15" customHeight="1" x14ac:dyDescent="0.25">
      <c r="H213" s="13"/>
    </row>
    <row r="214" spans="8:8" s="8" customFormat="1" ht="15" customHeight="1" x14ac:dyDescent="0.25">
      <c r="H214" s="13"/>
    </row>
    <row r="215" spans="8:8" s="8" customFormat="1" ht="15" customHeight="1" x14ac:dyDescent="0.25">
      <c r="H215" s="13"/>
    </row>
    <row r="216" spans="8:8" s="8" customFormat="1" ht="15" customHeight="1" x14ac:dyDescent="0.25">
      <c r="H216" s="13"/>
    </row>
    <row r="217" spans="8:8" s="8" customFormat="1" ht="15" customHeight="1" x14ac:dyDescent="0.25">
      <c r="H217" s="13"/>
    </row>
    <row r="218" spans="8:8" s="8" customFormat="1" ht="15" customHeight="1" x14ac:dyDescent="0.25">
      <c r="H218" s="13"/>
    </row>
    <row r="219" spans="8:8" s="8" customFormat="1" ht="15" customHeight="1" x14ac:dyDescent="0.25">
      <c r="H219" s="13"/>
    </row>
    <row r="220" spans="8:8" s="8" customFormat="1" ht="15" customHeight="1" x14ac:dyDescent="0.25">
      <c r="H220" s="13"/>
    </row>
    <row r="221" spans="8:8" s="8" customFormat="1" ht="15" customHeight="1" x14ac:dyDescent="0.25">
      <c r="H221" s="13"/>
    </row>
    <row r="222" spans="8:8" s="8" customFormat="1" ht="15" customHeight="1" x14ac:dyDescent="0.25">
      <c r="H222" s="13"/>
    </row>
    <row r="223" spans="8:8" s="8" customFormat="1" ht="15" customHeight="1" x14ac:dyDescent="0.25">
      <c r="H223" s="13"/>
    </row>
    <row r="224" spans="8:8" s="8" customFormat="1" ht="15" customHeight="1" x14ac:dyDescent="0.25">
      <c r="H224" s="13"/>
    </row>
    <row r="225" spans="8:8" s="8" customFormat="1" ht="15" customHeight="1" x14ac:dyDescent="0.25">
      <c r="H225" s="13"/>
    </row>
    <row r="226" spans="8:8" s="8" customFormat="1" ht="15" customHeight="1" x14ac:dyDescent="0.25">
      <c r="H226" s="13"/>
    </row>
    <row r="227" spans="8:8" s="8" customFormat="1" ht="15" customHeight="1" x14ac:dyDescent="0.25">
      <c r="H227" s="13"/>
    </row>
    <row r="228" spans="8:8" s="8" customFormat="1" ht="15" customHeight="1" x14ac:dyDescent="0.25">
      <c r="H228" s="13"/>
    </row>
    <row r="229" spans="8:8" s="8" customFormat="1" ht="15" customHeight="1" x14ac:dyDescent="0.25">
      <c r="H229" s="13"/>
    </row>
    <row r="230" spans="8:8" s="8" customFormat="1" ht="15" customHeight="1" x14ac:dyDescent="0.25">
      <c r="H230" s="13"/>
    </row>
    <row r="231" spans="8:8" s="8" customFormat="1" ht="15" customHeight="1" x14ac:dyDescent="0.25">
      <c r="H231" s="13"/>
    </row>
    <row r="232" spans="8:8" s="8" customFormat="1" ht="15" customHeight="1" x14ac:dyDescent="0.25">
      <c r="H232" s="13"/>
    </row>
    <row r="233" spans="8:8" s="8" customFormat="1" ht="15" customHeight="1" x14ac:dyDescent="0.25">
      <c r="H233" s="13"/>
    </row>
    <row r="234" spans="8:8" s="8" customFormat="1" ht="15" customHeight="1" x14ac:dyDescent="0.25">
      <c r="H234" s="13"/>
    </row>
    <row r="235" spans="8:8" s="8" customFormat="1" ht="15" customHeight="1" x14ac:dyDescent="0.25">
      <c r="H235" s="13"/>
    </row>
    <row r="236" spans="8:8" s="8" customFormat="1" ht="15" customHeight="1" x14ac:dyDescent="0.25">
      <c r="H236" s="13"/>
    </row>
    <row r="237" spans="8:8" s="8" customFormat="1" ht="15" customHeight="1" x14ac:dyDescent="0.25">
      <c r="H237" s="13"/>
    </row>
    <row r="238" spans="8:8" s="8" customFormat="1" ht="15" customHeight="1" x14ac:dyDescent="0.25">
      <c r="H238" s="13"/>
    </row>
    <row r="239" spans="8:8" s="8" customFormat="1" ht="15" customHeight="1" x14ac:dyDescent="0.25">
      <c r="H239" s="13"/>
    </row>
    <row r="240" spans="8:8" s="8" customFormat="1" ht="15" customHeight="1" x14ac:dyDescent="0.25">
      <c r="H240" s="13"/>
    </row>
    <row r="241" spans="8:8" s="8" customFormat="1" ht="15" customHeight="1" x14ac:dyDescent="0.25">
      <c r="H241" s="13"/>
    </row>
    <row r="242" spans="8:8" s="8" customFormat="1" ht="15" customHeight="1" x14ac:dyDescent="0.25">
      <c r="H242" s="13"/>
    </row>
    <row r="243" spans="8:8" s="8" customFormat="1" ht="15" customHeight="1" x14ac:dyDescent="0.25">
      <c r="H243" s="13"/>
    </row>
    <row r="244" spans="8:8" s="8" customFormat="1" ht="15" customHeight="1" x14ac:dyDescent="0.25">
      <c r="H244" s="13"/>
    </row>
    <row r="245" spans="8:8" s="8" customFormat="1" ht="15" customHeight="1" x14ac:dyDescent="0.25">
      <c r="H245" s="13"/>
    </row>
    <row r="246" spans="8:8" s="8" customFormat="1" ht="15" customHeight="1" x14ac:dyDescent="0.25">
      <c r="H246" s="13"/>
    </row>
    <row r="247" spans="8:8" s="8" customFormat="1" ht="15" customHeight="1" x14ac:dyDescent="0.25">
      <c r="H247" s="13"/>
    </row>
    <row r="248" spans="8:8" s="8" customFormat="1" ht="15" customHeight="1" x14ac:dyDescent="0.25">
      <c r="H248" s="13"/>
    </row>
    <row r="249" spans="8:8" s="8" customFormat="1" ht="15" customHeight="1" x14ac:dyDescent="0.25">
      <c r="H249" s="13"/>
    </row>
    <row r="250" spans="8:8" s="8" customFormat="1" ht="15" customHeight="1" x14ac:dyDescent="0.25">
      <c r="H250" s="13"/>
    </row>
    <row r="251" spans="8:8" s="8" customFormat="1" ht="15" customHeight="1" x14ac:dyDescent="0.25">
      <c r="H251" s="13"/>
    </row>
    <row r="252" spans="8:8" s="8" customFormat="1" ht="15" customHeight="1" x14ac:dyDescent="0.25">
      <c r="H252" s="13"/>
    </row>
    <row r="253" spans="8:8" s="8" customFormat="1" ht="15" customHeight="1" x14ac:dyDescent="0.25">
      <c r="H253" s="13"/>
    </row>
    <row r="254" spans="8:8" s="8" customFormat="1" ht="15" customHeight="1" x14ac:dyDescent="0.25">
      <c r="H254" s="13"/>
    </row>
    <row r="255" spans="8:8" s="8" customFormat="1" ht="15" customHeight="1" x14ac:dyDescent="0.25">
      <c r="H255" s="13"/>
    </row>
    <row r="256" spans="8:8" s="8" customFormat="1" ht="15" customHeight="1" x14ac:dyDescent="0.25">
      <c r="H256" s="13"/>
    </row>
    <row r="257" spans="8:8" s="8" customFormat="1" ht="15" customHeight="1" x14ac:dyDescent="0.25">
      <c r="H257" s="13"/>
    </row>
    <row r="258" spans="8:8" s="8" customFormat="1" ht="15" customHeight="1" x14ac:dyDescent="0.25">
      <c r="H258" s="13"/>
    </row>
    <row r="259" spans="8:8" s="8" customFormat="1" ht="15" customHeight="1" x14ac:dyDescent="0.25">
      <c r="H259" s="13"/>
    </row>
    <row r="260" spans="8:8" s="8" customFormat="1" ht="15" customHeight="1" x14ac:dyDescent="0.25">
      <c r="H260" s="13"/>
    </row>
    <row r="261" spans="8:8" s="8" customFormat="1" ht="15" customHeight="1" x14ac:dyDescent="0.25">
      <c r="H261" s="13"/>
    </row>
    <row r="262" spans="8:8" s="8" customFormat="1" ht="15" customHeight="1" x14ac:dyDescent="0.25">
      <c r="H262" s="13"/>
    </row>
    <row r="263" spans="8:8" s="8" customFormat="1" ht="15" customHeight="1" x14ac:dyDescent="0.25">
      <c r="H263" s="13"/>
    </row>
    <row r="264" spans="8:8" s="8" customFormat="1" ht="15" customHeight="1" x14ac:dyDescent="0.25">
      <c r="H264" s="13"/>
    </row>
    <row r="265" spans="8:8" s="8" customFormat="1" ht="15" customHeight="1" x14ac:dyDescent="0.25">
      <c r="H265" s="13"/>
    </row>
    <row r="266" spans="8:8" s="8" customFormat="1" ht="15" customHeight="1" x14ac:dyDescent="0.25">
      <c r="H266" s="13"/>
    </row>
    <row r="267" spans="8:8" s="8" customFormat="1" ht="15" customHeight="1" x14ac:dyDescent="0.25">
      <c r="H267" s="13"/>
    </row>
    <row r="268" spans="8:8" s="8" customFormat="1" ht="15" customHeight="1" x14ac:dyDescent="0.25">
      <c r="H268" s="13"/>
    </row>
    <row r="269" spans="8:8" s="8" customFormat="1" ht="15" customHeight="1" x14ac:dyDescent="0.25">
      <c r="H269" s="13"/>
    </row>
    <row r="270" spans="8:8" s="8" customFormat="1" ht="15" customHeight="1" x14ac:dyDescent="0.25">
      <c r="H270" s="13"/>
    </row>
    <row r="271" spans="8:8" s="8" customFormat="1" ht="15" customHeight="1" x14ac:dyDescent="0.25">
      <c r="H271" s="13"/>
    </row>
    <row r="272" spans="8:8" s="8" customFormat="1" ht="15" customHeight="1" x14ac:dyDescent="0.25">
      <c r="H272" s="13"/>
    </row>
    <row r="273" spans="8:8" s="8" customFormat="1" ht="15" customHeight="1" x14ac:dyDescent="0.25">
      <c r="H273" s="13"/>
    </row>
    <row r="274" spans="8:8" s="8" customFormat="1" ht="15" customHeight="1" x14ac:dyDescent="0.25">
      <c r="H274" s="13"/>
    </row>
    <row r="275" spans="8:8" s="8" customFormat="1" ht="15" customHeight="1" x14ac:dyDescent="0.25">
      <c r="H275" s="13"/>
    </row>
    <row r="276" spans="8:8" s="8" customFormat="1" ht="15" customHeight="1" x14ac:dyDescent="0.25">
      <c r="H276" s="13"/>
    </row>
    <row r="277" spans="8:8" s="8" customFormat="1" ht="15" customHeight="1" x14ac:dyDescent="0.25">
      <c r="H277" s="13"/>
    </row>
    <row r="278" spans="8:8" s="8" customFormat="1" ht="15" customHeight="1" x14ac:dyDescent="0.25">
      <c r="H278" s="13"/>
    </row>
    <row r="279" spans="8:8" s="8" customFormat="1" ht="15" customHeight="1" x14ac:dyDescent="0.25">
      <c r="H279" s="13"/>
    </row>
    <row r="280" spans="8:8" s="8" customFormat="1" ht="15" customHeight="1" x14ac:dyDescent="0.25">
      <c r="H280" s="13"/>
    </row>
    <row r="281" spans="8:8" s="8" customFormat="1" ht="15" customHeight="1" x14ac:dyDescent="0.25">
      <c r="H281" s="13"/>
    </row>
    <row r="282" spans="8:8" s="8" customFormat="1" ht="15" customHeight="1" x14ac:dyDescent="0.25">
      <c r="H282" s="13"/>
    </row>
    <row r="283" spans="8:8" s="8" customFormat="1" ht="15" customHeight="1" x14ac:dyDescent="0.25">
      <c r="H283" s="13"/>
    </row>
    <row r="284" spans="8:8" s="8" customFormat="1" ht="15" customHeight="1" x14ac:dyDescent="0.25">
      <c r="H284" s="13"/>
    </row>
    <row r="285" spans="8:8" s="8" customFormat="1" ht="15" customHeight="1" x14ac:dyDescent="0.25">
      <c r="H285" s="13"/>
    </row>
    <row r="286" spans="8:8" s="8" customFormat="1" ht="15" customHeight="1" x14ac:dyDescent="0.25">
      <c r="H286" s="13"/>
    </row>
    <row r="287" spans="8:8" s="8" customFormat="1" ht="15" customHeight="1" x14ac:dyDescent="0.25">
      <c r="H287" s="13"/>
    </row>
    <row r="288" spans="8:8" s="8" customFormat="1" ht="15" customHeight="1" x14ac:dyDescent="0.25">
      <c r="H288" s="13"/>
    </row>
    <row r="289" spans="8:8" s="8" customFormat="1" ht="15" customHeight="1" x14ac:dyDescent="0.25">
      <c r="H289" s="13"/>
    </row>
    <row r="290" spans="8:8" s="8" customFormat="1" ht="15" customHeight="1" x14ac:dyDescent="0.25">
      <c r="H290" s="13"/>
    </row>
    <row r="291" spans="8:8" s="8" customFormat="1" ht="15" customHeight="1" x14ac:dyDescent="0.25">
      <c r="H291" s="13"/>
    </row>
    <row r="292" spans="8:8" s="8" customFormat="1" ht="15" customHeight="1" x14ac:dyDescent="0.25">
      <c r="H292" s="13"/>
    </row>
    <row r="293" spans="8:8" s="8" customFormat="1" ht="15" customHeight="1" x14ac:dyDescent="0.25">
      <c r="H293" s="13"/>
    </row>
    <row r="294" spans="8:8" s="8" customFormat="1" ht="15" customHeight="1" x14ac:dyDescent="0.25">
      <c r="H294" s="13"/>
    </row>
    <row r="295" spans="8:8" s="8" customFormat="1" ht="15" customHeight="1" x14ac:dyDescent="0.25">
      <c r="H295" s="13"/>
    </row>
    <row r="296" spans="8:8" s="8" customFormat="1" ht="15" customHeight="1" x14ac:dyDescent="0.25">
      <c r="H296" s="13"/>
    </row>
    <row r="297" spans="8:8" s="8" customFormat="1" ht="15" customHeight="1" x14ac:dyDescent="0.25">
      <c r="H297" s="13"/>
    </row>
    <row r="298" spans="8:8" s="8" customFormat="1" ht="15" customHeight="1" x14ac:dyDescent="0.25">
      <c r="H298" s="13"/>
    </row>
    <row r="299" spans="8:8" s="8" customFormat="1" ht="15" customHeight="1" x14ac:dyDescent="0.25">
      <c r="H299" s="13"/>
    </row>
    <row r="300" spans="8:8" s="8" customFormat="1" ht="15" customHeight="1" x14ac:dyDescent="0.25">
      <c r="H300" s="13"/>
    </row>
    <row r="301" spans="8:8" s="8" customFormat="1" ht="15" customHeight="1" x14ac:dyDescent="0.25">
      <c r="H301" s="13"/>
    </row>
    <row r="302" spans="8:8" s="8" customFormat="1" ht="15" customHeight="1" x14ac:dyDescent="0.25">
      <c r="H302" s="13"/>
    </row>
    <row r="303" spans="8:8" s="8" customFormat="1" ht="15" customHeight="1" x14ac:dyDescent="0.25">
      <c r="H303" s="13"/>
    </row>
    <row r="304" spans="8:8" s="8" customFormat="1" ht="15" customHeight="1" x14ac:dyDescent="0.25">
      <c r="H304" s="13"/>
    </row>
    <row r="305" spans="8:8" s="8" customFormat="1" ht="15" customHeight="1" x14ac:dyDescent="0.25">
      <c r="H305" s="13"/>
    </row>
    <row r="306" spans="8:8" s="8" customFormat="1" ht="15" customHeight="1" x14ac:dyDescent="0.25">
      <c r="H306" s="13"/>
    </row>
    <row r="307" spans="8:8" s="8" customFormat="1" ht="15" customHeight="1" x14ac:dyDescent="0.25">
      <c r="H307" s="13"/>
    </row>
    <row r="308" spans="8:8" s="8" customFormat="1" ht="15" customHeight="1" x14ac:dyDescent="0.25">
      <c r="H308" s="13"/>
    </row>
    <row r="309" spans="8:8" s="8" customFormat="1" ht="15" customHeight="1" x14ac:dyDescent="0.25">
      <c r="H309" s="13"/>
    </row>
    <row r="310" spans="8:8" s="8" customFormat="1" ht="15" customHeight="1" x14ac:dyDescent="0.25">
      <c r="H310" s="13"/>
    </row>
    <row r="311" spans="8:8" s="8" customFormat="1" ht="15" customHeight="1" x14ac:dyDescent="0.25">
      <c r="H311" s="13"/>
    </row>
    <row r="312" spans="8:8" s="8" customFormat="1" ht="15" customHeight="1" x14ac:dyDescent="0.25">
      <c r="H312" s="13"/>
    </row>
    <row r="313" spans="8:8" s="8" customFormat="1" ht="15" customHeight="1" x14ac:dyDescent="0.25">
      <c r="H313" s="13"/>
    </row>
    <row r="314" spans="8:8" s="8" customFormat="1" ht="15" customHeight="1" x14ac:dyDescent="0.25">
      <c r="H314" s="13"/>
    </row>
    <row r="315" spans="8:8" s="8" customFormat="1" ht="15" customHeight="1" x14ac:dyDescent="0.25">
      <c r="H315" s="13"/>
    </row>
    <row r="316" spans="8:8" s="8" customFormat="1" ht="15" customHeight="1" x14ac:dyDescent="0.25">
      <c r="H316" s="13"/>
    </row>
    <row r="317" spans="8:8" s="8" customFormat="1" ht="15" customHeight="1" x14ac:dyDescent="0.25">
      <c r="H317" s="13"/>
    </row>
    <row r="318" spans="8:8" s="8" customFormat="1" ht="15" customHeight="1" x14ac:dyDescent="0.25">
      <c r="H318" s="13"/>
    </row>
    <row r="319" spans="8:8" s="8" customFormat="1" ht="15" customHeight="1" x14ac:dyDescent="0.25">
      <c r="H319" s="13"/>
    </row>
    <row r="320" spans="8:8" s="8" customFormat="1" ht="15" customHeight="1" x14ac:dyDescent="0.25">
      <c r="H320" s="13"/>
    </row>
    <row r="321" spans="8:8" s="8" customFormat="1" ht="15" customHeight="1" x14ac:dyDescent="0.25">
      <c r="H321" s="13"/>
    </row>
    <row r="322" spans="8:8" s="8" customFormat="1" ht="15" customHeight="1" x14ac:dyDescent="0.25">
      <c r="H322" s="13"/>
    </row>
    <row r="323" spans="8:8" s="8" customFormat="1" ht="15" customHeight="1" x14ac:dyDescent="0.25">
      <c r="H323" s="13"/>
    </row>
    <row r="324" spans="8:8" s="8" customFormat="1" ht="15" customHeight="1" x14ac:dyDescent="0.25">
      <c r="H324" s="13"/>
    </row>
    <row r="325" spans="8:8" s="8" customFormat="1" ht="15" customHeight="1" x14ac:dyDescent="0.25">
      <c r="H325" s="13"/>
    </row>
    <row r="326" spans="8:8" s="8" customFormat="1" ht="15" customHeight="1" x14ac:dyDescent="0.25">
      <c r="H326" s="13"/>
    </row>
    <row r="327" spans="8:8" s="8" customFormat="1" ht="15" customHeight="1" x14ac:dyDescent="0.25">
      <c r="H327" s="13"/>
    </row>
    <row r="328" spans="8:8" s="8" customFormat="1" ht="15" customHeight="1" x14ac:dyDescent="0.25">
      <c r="H328" s="13"/>
    </row>
    <row r="329" spans="8:8" s="8" customFormat="1" ht="15" customHeight="1" x14ac:dyDescent="0.25">
      <c r="H329" s="13"/>
    </row>
    <row r="330" spans="8:8" s="8" customFormat="1" ht="15" customHeight="1" x14ac:dyDescent="0.25">
      <c r="H330" s="13"/>
    </row>
    <row r="331" spans="8:8" s="8" customFormat="1" ht="15" customHeight="1" x14ac:dyDescent="0.25">
      <c r="H331" s="13"/>
    </row>
    <row r="332" spans="8:8" s="8" customFormat="1" ht="15" customHeight="1" x14ac:dyDescent="0.25">
      <c r="H332" s="13"/>
    </row>
    <row r="333" spans="8:8" s="8" customFormat="1" ht="15" customHeight="1" x14ac:dyDescent="0.25">
      <c r="H333" s="13"/>
    </row>
    <row r="334" spans="8:8" s="8" customFormat="1" ht="15" customHeight="1" x14ac:dyDescent="0.25">
      <c r="H334" s="13"/>
    </row>
    <row r="335" spans="8:8" s="8" customFormat="1" ht="15" customHeight="1" x14ac:dyDescent="0.25">
      <c r="H335" s="13"/>
    </row>
    <row r="336" spans="8:8" s="8" customFormat="1" ht="15" customHeight="1" x14ac:dyDescent="0.25">
      <c r="H336" s="13"/>
    </row>
    <row r="337" spans="8:8" s="8" customFormat="1" ht="15" customHeight="1" x14ac:dyDescent="0.25">
      <c r="H337" s="13"/>
    </row>
    <row r="338" spans="8:8" s="8" customFormat="1" ht="15" customHeight="1" x14ac:dyDescent="0.25">
      <c r="H338" s="13"/>
    </row>
    <row r="339" spans="8:8" s="8" customFormat="1" ht="15" customHeight="1" x14ac:dyDescent="0.25">
      <c r="H339" s="13"/>
    </row>
    <row r="340" spans="8:8" s="8" customFormat="1" ht="15" customHeight="1" x14ac:dyDescent="0.25">
      <c r="H340" s="13"/>
    </row>
    <row r="341" spans="8:8" s="8" customFormat="1" ht="15" customHeight="1" x14ac:dyDescent="0.25">
      <c r="H341" s="13"/>
    </row>
    <row r="342" spans="8:8" s="8" customFormat="1" ht="15" customHeight="1" x14ac:dyDescent="0.25">
      <c r="H342" s="13"/>
    </row>
    <row r="343" spans="8:8" s="8" customFormat="1" ht="15" customHeight="1" x14ac:dyDescent="0.25">
      <c r="H343" s="13"/>
    </row>
    <row r="344" spans="8:8" s="8" customFormat="1" ht="15" customHeight="1" x14ac:dyDescent="0.25">
      <c r="H344" s="13"/>
    </row>
    <row r="345" spans="8:8" s="8" customFormat="1" ht="15" customHeight="1" x14ac:dyDescent="0.25">
      <c r="H345" s="13"/>
    </row>
    <row r="346" spans="8:8" s="8" customFormat="1" ht="15" customHeight="1" x14ac:dyDescent="0.25">
      <c r="H346" s="13"/>
    </row>
    <row r="347" spans="8:8" s="8" customFormat="1" ht="15" customHeight="1" x14ac:dyDescent="0.25">
      <c r="H347" s="13"/>
    </row>
    <row r="348" spans="8:8" s="8" customFormat="1" ht="15" customHeight="1" x14ac:dyDescent="0.25">
      <c r="H348" s="13"/>
    </row>
    <row r="349" spans="8:8" s="8" customFormat="1" ht="15" customHeight="1" x14ac:dyDescent="0.25">
      <c r="H349" s="13"/>
    </row>
    <row r="350" spans="8:8" s="8" customFormat="1" ht="15" customHeight="1" x14ac:dyDescent="0.25">
      <c r="H350" s="13"/>
    </row>
    <row r="351" spans="8:8" s="8" customFormat="1" ht="15" customHeight="1" x14ac:dyDescent="0.25">
      <c r="H351" s="13"/>
    </row>
    <row r="352" spans="8:8" s="8" customFormat="1" ht="15" customHeight="1" x14ac:dyDescent="0.25">
      <c r="H352" s="13"/>
    </row>
    <row r="353" spans="8:8" s="8" customFormat="1" ht="15" customHeight="1" x14ac:dyDescent="0.25">
      <c r="H353" s="13"/>
    </row>
    <row r="354" spans="8:8" s="8" customFormat="1" ht="15" customHeight="1" x14ac:dyDescent="0.25">
      <c r="H354" s="13"/>
    </row>
    <row r="355" spans="8:8" s="8" customFormat="1" ht="15" customHeight="1" x14ac:dyDescent="0.25">
      <c r="H355" s="13"/>
    </row>
    <row r="356" spans="8:8" s="8" customFormat="1" ht="15" customHeight="1" x14ac:dyDescent="0.25">
      <c r="H356" s="13"/>
    </row>
    <row r="357" spans="8:8" s="8" customFormat="1" ht="15" customHeight="1" x14ac:dyDescent="0.25">
      <c r="H357" s="13"/>
    </row>
    <row r="358" spans="8:8" s="8" customFormat="1" ht="15" customHeight="1" x14ac:dyDescent="0.25">
      <c r="H358" s="13"/>
    </row>
    <row r="359" spans="8:8" s="8" customFormat="1" ht="15" customHeight="1" x14ac:dyDescent="0.25">
      <c r="H359" s="13"/>
    </row>
    <row r="360" spans="8:8" s="8" customFormat="1" ht="15" customHeight="1" x14ac:dyDescent="0.25">
      <c r="H360" s="13"/>
    </row>
    <row r="361" spans="8:8" s="8" customFormat="1" ht="15" customHeight="1" x14ac:dyDescent="0.25">
      <c r="H361" s="13"/>
    </row>
    <row r="362" spans="8:8" s="8" customFormat="1" ht="15" customHeight="1" x14ac:dyDescent="0.25">
      <c r="H362" s="13"/>
    </row>
    <row r="363" spans="8:8" s="8" customFormat="1" ht="15" customHeight="1" x14ac:dyDescent="0.25">
      <c r="H363" s="13"/>
    </row>
    <row r="364" spans="8:8" s="8" customFormat="1" ht="15" customHeight="1" x14ac:dyDescent="0.25">
      <c r="H364" s="13"/>
    </row>
    <row r="365" spans="8:8" s="8" customFormat="1" ht="15" customHeight="1" x14ac:dyDescent="0.25">
      <c r="H365" s="13"/>
    </row>
    <row r="366" spans="8:8" s="8" customFormat="1" ht="15" customHeight="1" x14ac:dyDescent="0.25">
      <c r="H366" s="13"/>
    </row>
    <row r="367" spans="8:8" s="8" customFormat="1" ht="15" customHeight="1" x14ac:dyDescent="0.25">
      <c r="H367" s="13"/>
    </row>
    <row r="368" spans="8:8" s="8" customFormat="1" ht="15" customHeight="1" x14ac:dyDescent="0.25">
      <c r="H368" s="13"/>
    </row>
    <row r="369" spans="8:8" s="8" customFormat="1" ht="15" customHeight="1" x14ac:dyDescent="0.25">
      <c r="H369" s="13"/>
    </row>
    <row r="370" spans="8:8" s="8" customFormat="1" ht="15" customHeight="1" x14ac:dyDescent="0.25">
      <c r="H370" s="13"/>
    </row>
    <row r="371" spans="8:8" s="8" customFormat="1" ht="15" customHeight="1" x14ac:dyDescent="0.25">
      <c r="H371" s="13"/>
    </row>
    <row r="372" spans="8:8" s="8" customFormat="1" ht="15" customHeight="1" x14ac:dyDescent="0.25">
      <c r="H372" s="13"/>
    </row>
    <row r="373" spans="8:8" s="8" customFormat="1" ht="15" customHeight="1" x14ac:dyDescent="0.25">
      <c r="H373" s="13"/>
    </row>
    <row r="374" spans="8:8" s="8" customFormat="1" ht="15" customHeight="1" x14ac:dyDescent="0.25">
      <c r="H374" s="13"/>
    </row>
    <row r="375" spans="8:8" s="8" customFormat="1" ht="15" customHeight="1" x14ac:dyDescent="0.25">
      <c r="H375" s="13"/>
    </row>
    <row r="376" spans="8:8" s="8" customFormat="1" ht="15" customHeight="1" x14ac:dyDescent="0.25">
      <c r="H376" s="13"/>
    </row>
    <row r="377" spans="8:8" s="8" customFormat="1" ht="15" customHeight="1" x14ac:dyDescent="0.25">
      <c r="H377" s="13"/>
    </row>
    <row r="378" spans="8:8" s="8" customFormat="1" ht="15" customHeight="1" x14ac:dyDescent="0.25">
      <c r="H378" s="13"/>
    </row>
    <row r="379" spans="8:8" s="8" customFormat="1" ht="15" customHeight="1" x14ac:dyDescent="0.25">
      <c r="H379" s="13"/>
    </row>
    <row r="380" spans="8:8" s="8" customFormat="1" ht="15" customHeight="1" x14ac:dyDescent="0.25">
      <c r="H380" s="13"/>
    </row>
    <row r="381" spans="8:8" s="8" customFormat="1" ht="15" customHeight="1" x14ac:dyDescent="0.25">
      <c r="H381" s="13"/>
    </row>
    <row r="382" spans="8:8" s="8" customFormat="1" ht="15" customHeight="1" x14ac:dyDescent="0.25">
      <c r="H382" s="13"/>
    </row>
    <row r="383" spans="8:8" s="8" customFormat="1" ht="15" customHeight="1" x14ac:dyDescent="0.25">
      <c r="H383" s="13"/>
    </row>
    <row r="384" spans="8:8" s="8" customFormat="1" ht="15" customHeight="1" x14ac:dyDescent="0.25">
      <c r="H384" s="13"/>
    </row>
    <row r="385" spans="8:8" s="8" customFormat="1" ht="15" customHeight="1" x14ac:dyDescent="0.25">
      <c r="H385" s="13"/>
    </row>
    <row r="386" spans="8:8" s="8" customFormat="1" ht="15" customHeight="1" x14ac:dyDescent="0.25">
      <c r="H386" s="13"/>
    </row>
    <row r="387" spans="8:8" s="8" customFormat="1" ht="15" customHeight="1" x14ac:dyDescent="0.25">
      <c r="H387" s="13"/>
    </row>
    <row r="388" spans="8:8" s="8" customFormat="1" ht="15" customHeight="1" x14ac:dyDescent="0.25">
      <c r="H388" s="13"/>
    </row>
    <row r="389" spans="8:8" s="8" customFormat="1" ht="15" customHeight="1" x14ac:dyDescent="0.25">
      <c r="H389" s="13"/>
    </row>
    <row r="390" spans="8:8" s="8" customFormat="1" ht="15" customHeight="1" x14ac:dyDescent="0.25">
      <c r="H390" s="13"/>
    </row>
    <row r="391" spans="8:8" s="8" customFormat="1" ht="15" customHeight="1" x14ac:dyDescent="0.25">
      <c r="H391" s="13"/>
    </row>
    <row r="392" spans="8:8" s="8" customFormat="1" ht="15" customHeight="1" x14ac:dyDescent="0.25">
      <c r="H392" s="13"/>
    </row>
    <row r="393" spans="8:8" s="8" customFormat="1" ht="15" customHeight="1" x14ac:dyDescent="0.25">
      <c r="H393" s="13"/>
    </row>
    <row r="394" spans="8:8" s="8" customFormat="1" ht="15" customHeight="1" x14ac:dyDescent="0.25">
      <c r="H394" s="13"/>
    </row>
    <row r="395" spans="8:8" s="8" customFormat="1" ht="15" customHeight="1" x14ac:dyDescent="0.25">
      <c r="H395" s="13"/>
    </row>
    <row r="396" spans="8:8" s="8" customFormat="1" ht="15" customHeight="1" x14ac:dyDescent="0.25">
      <c r="H396" s="13"/>
    </row>
    <row r="397" spans="8:8" s="8" customFormat="1" ht="15" customHeight="1" x14ac:dyDescent="0.25">
      <c r="H397" s="13"/>
    </row>
    <row r="398" spans="8:8" s="8" customFormat="1" ht="15" customHeight="1" x14ac:dyDescent="0.25">
      <c r="H398" s="13"/>
    </row>
    <row r="399" spans="8:8" s="8" customFormat="1" ht="15" customHeight="1" x14ac:dyDescent="0.25">
      <c r="H399" s="13"/>
    </row>
    <row r="400" spans="8:8" s="8" customFormat="1" ht="15" customHeight="1" x14ac:dyDescent="0.25">
      <c r="H400" s="13"/>
    </row>
    <row r="401" spans="8:8" s="8" customFormat="1" ht="15" customHeight="1" x14ac:dyDescent="0.25">
      <c r="H401" s="13"/>
    </row>
    <row r="402" spans="8:8" s="8" customFormat="1" ht="15" customHeight="1" x14ac:dyDescent="0.25">
      <c r="H402" s="13"/>
    </row>
    <row r="403" spans="8:8" s="8" customFormat="1" ht="15" customHeight="1" x14ac:dyDescent="0.25">
      <c r="H403" s="13"/>
    </row>
    <row r="404" spans="8:8" s="8" customFormat="1" ht="15" customHeight="1" x14ac:dyDescent="0.25">
      <c r="H404" s="13"/>
    </row>
    <row r="405" spans="8:8" s="8" customFormat="1" ht="15" customHeight="1" x14ac:dyDescent="0.25">
      <c r="H405" s="13"/>
    </row>
    <row r="406" spans="8:8" s="8" customFormat="1" ht="15" customHeight="1" x14ac:dyDescent="0.25">
      <c r="H406" s="13"/>
    </row>
    <row r="407" spans="8:8" s="8" customFormat="1" ht="15" customHeight="1" x14ac:dyDescent="0.25">
      <c r="H407" s="13"/>
    </row>
    <row r="408" spans="8:8" s="8" customFormat="1" ht="15" customHeight="1" x14ac:dyDescent="0.25">
      <c r="H408" s="13"/>
    </row>
    <row r="409" spans="8:8" s="8" customFormat="1" ht="15" customHeight="1" x14ac:dyDescent="0.25">
      <c r="H409" s="13"/>
    </row>
    <row r="410" spans="8:8" s="8" customFormat="1" ht="15" customHeight="1" x14ac:dyDescent="0.25">
      <c r="H410" s="13"/>
    </row>
    <row r="411" spans="8:8" s="8" customFormat="1" ht="15" customHeight="1" x14ac:dyDescent="0.25">
      <c r="H411" s="13"/>
    </row>
    <row r="412" spans="8:8" s="8" customFormat="1" ht="15" customHeight="1" x14ac:dyDescent="0.25">
      <c r="H412" s="13"/>
    </row>
    <row r="413" spans="8:8" s="8" customFormat="1" ht="15" customHeight="1" x14ac:dyDescent="0.25">
      <c r="H413" s="13"/>
    </row>
    <row r="414" spans="8:8" s="8" customFormat="1" ht="15" customHeight="1" x14ac:dyDescent="0.25">
      <c r="H414" s="13"/>
    </row>
    <row r="415" spans="8:8" s="8" customFormat="1" ht="15" customHeight="1" x14ac:dyDescent="0.25">
      <c r="H415" s="13"/>
    </row>
    <row r="416" spans="8:8" s="8" customFormat="1" ht="15" customHeight="1" x14ac:dyDescent="0.25">
      <c r="H416" s="13"/>
    </row>
    <row r="417" spans="8:8" s="8" customFormat="1" ht="15" customHeight="1" x14ac:dyDescent="0.25">
      <c r="H417" s="13"/>
    </row>
    <row r="418" spans="8:8" s="8" customFormat="1" ht="15" customHeight="1" x14ac:dyDescent="0.25">
      <c r="H418" s="13"/>
    </row>
    <row r="419" spans="8:8" s="8" customFormat="1" ht="15" customHeight="1" x14ac:dyDescent="0.25">
      <c r="H419" s="13"/>
    </row>
    <row r="420" spans="8:8" s="8" customFormat="1" ht="15" customHeight="1" x14ac:dyDescent="0.25">
      <c r="H420" s="13"/>
    </row>
    <row r="421" spans="8:8" s="8" customFormat="1" ht="15" customHeight="1" x14ac:dyDescent="0.25">
      <c r="H421" s="13"/>
    </row>
    <row r="422" spans="8:8" s="8" customFormat="1" ht="15" customHeight="1" x14ac:dyDescent="0.25">
      <c r="H422" s="13"/>
    </row>
    <row r="423" spans="8:8" s="8" customFormat="1" ht="15" customHeight="1" x14ac:dyDescent="0.25">
      <c r="H423" s="13"/>
    </row>
    <row r="424" spans="8:8" s="8" customFormat="1" ht="15" customHeight="1" x14ac:dyDescent="0.25">
      <c r="H424" s="13"/>
    </row>
    <row r="425" spans="8:8" s="8" customFormat="1" ht="15" customHeight="1" x14ac:dyDescent="0.25">
      <c r="H425" s="13"/>
    </row>
    <row r="426" spans="8:8" s="8" customFormat="1" ht="15" customHeight="1" x14ac:dyDescent="0.25">
      <c r="H426" s="13"/>
    </row>
    <row r="427" spans="8:8" s="8" customFormat="1" ht="15" customHeight="1" x14ac:dyDescent="0.25">
      <c r="H427" s="13"/>
    </row>
    <row r="428" spans="8:8" s="8" customFormat="1" ht="15" customHeight="1" x14ac:dyDescent="0.25">
      <c r="H428" s="13"/>
    </row>
    <row r="429" spans="8:8" s="8" customFormat="1" ht="15" customHeight="1" x14ac:dyDescent="0.25">
      <c r="H429" s="13"/>
    </row>
    <row r="430" spans="8:8" s="8" customFormat="1" ht="15" customHeight="1" x14ac:dyDescent="0.25">
      <c r="H430" s="13"/>
    </row>
    <row r="431" spans="8:8" s="8" customFormat="1" ht="15" customHeight="1" x14ac:dyDescent="0.25">
      <c r="H431" s="13"/>
    </row>
    <row r="432" spans="8:8" s="8" customFormat="1" ht="15" customHeight="1" x14ac:dyDescent="0.25">
      <c r="H432" s="13"/>
    </row>
    <row r="433" spans="8:8" s="8" customFormat="1" ht="15" customHeight="1" x14ac:dyDescent="0.25">
      <c r="H433" s="13"/>
    </row>
    <row r="434" spans="8:8" s="8" customFormat="1" ht="15" customHeight="1" x14ac:dyDescent="0.25">
      <c r="H434" s="13"/>
    </row>
    <row r="435" spans="8:8" s="8" customFormat="1" ht="15" customHeight="1" x14ac:dyDescent="0.25">
      <c r="H435" s="13"/>
    </row>
    <row r="436" spans="8:8" s="8" customFormat="1" ht="15" customHeight="1" x14ac:dyDescent="0.25">
      <c r="H436" s="13"/>
    </row>
    <row r="437" spans="8:8" s="8" customFormat="1" ht="15" customHeight="1" x14ac:dyDescent="0.25">
      <c r="H437" s="13"/>
    </row>
    <row r="438" spans="8:8" s="8" customFormat="1" ht="15" customHeight="1" x14ac:dyDescent="0.25">
      <c r="H438" s="13"/>
    </row>
    <row r="439" spans="8:8" s="8" customFormat="1" ht="15" customHeight="1" x14ac:dyDescent="0.25">
      <c r="H439" s="13"/>
    </row>
    <row r="440" spans="8:8" s="8" customFormat="1" ht="15" customHeight="1" x14ac:dyDescent="0.25">
      <c r="H440" s="13"/>
    </row>
    <row r="441" spans="8:8" s="8" customFormat="1" ht="15" customHeight="1" x14ac:dyDescent="0.25">
      <c r="H441" s="13"/>
    </row>
    <row r="442" spans="8:8" s="8" customFormat="1" ht="15" customHeight="1" x14ac:dyDescent="0.25">
      <c r="H442" s="13"/>
    </row>
    <row r="443" spans="8:8" s="8" customFormat="1" ht="15" customHeight="1" x14ac:dyDescent="0.25">
      <c r="H443" s="13"/>
    </row>
    <row r="444" spans="8:8" s="8" customFormat="1" ht="15" customHeight="1" x14ac:dyDescent="0.25">
      <c r="H444" s="13"/>
    </row>
    <row r="445" spans="8:8" s="8" customFormat="1" ht="15" customHeight="1" x14ac:dyDescent="0.25">
      <c r="H445" s="13"/>
    </row>
    <row r="446" spans="8:8" s="8" customFormat="1" ht="15" customHeight="1" x14ac:dyDescent="0.25">
      <c r="H446" s="13"/>
    </row>
    <row r="447" spans="8:8" s="8" customFormat="1" ht="15" customHeight="1" x14ac:dyDescent="0.25">
      <c r="H447" s="13"/>
    </row>
    <row r="448" spans="8:8" s="8" customFormat="1" ht="15" customHeight="1" x14ac:dyDescent="0.25">
      <c r="H448" s="13"/>
    </row>
    <row r="449" spans="8:8" s="8" customFormat="1" ht="15" customHeight="1" x14ac:dyDescent="0.25">
      <c r="H449" s="13"/>
    </row>
    <row r="450" spans="8:8" s="8" customFormat="1" ht="15" customHeight="1" x14ac:dyDescent="0.25">
      <c r="H450" s="13"/>
    </row>
    <row r="451" spans="8:8" s="8" customFormat="1" ht="15" customHeight="1" x14ac:dyDescent="0.25">
      <c r="H451" s="13"/>
    </row>
    <row r="452" spans="8:8" s="8" customFormat="1" ht="15" customHeight="1" x14ac:dyDescent="0.25">
      <c r="H452" s="13"/>
    </row>
    <row r="453" spans="8:8" s="8" customFormat="1" ht="15" customHeight="1" x14ac:dyDescent="0.25">
      <c r="H453" s="13"/>
    </row>
    <row r="454" spans="8:8" s="8" customFormat="1" ht="15" customHeight="1" x14ac:dyDescent="0.25">
      <c r="H454" s="13"/>
    </row>
    <row r="455" spans="8:8" s="8" customFormat="1" ht="15" customHeight="1" x14ac:dyDescent="0.25">
      <c r="H455" s="13"/>
    </row>
    <row r="456" spans="8:8" s="8" customFormat="1" ht="15" customHeight="1" x14ac:dyDescent="0.25">
      <c r="H456" s="13"/>
    </row>
    <row r="457" spans="8:8" s="8" customFormat="1" ht="15" customHeight="1" x14ac:dyDescent="0.25">
      <c r="H457" s="13"/>
    </row>
    <row r="458" spans="8:8" s="8" customFormat="1" ht="15" customHeight="1" x14ac:dyDescent="0.25">
      <c r="H458" s="13"/>
    </row>
    <row r="459" spans="8:8" s="8" customFormat="1" ht="15" customHeight="1" x14ac:dyDescent="0.25">
      <c r="H459" s="13"/>
    </row>
    <row r="460" spans="8:8" s="8" customFormat="1" ht="15" customHeight="1" x14ac:dyDescent="0.25">
      <c r="H460" s="13"/>
    </row>
    <row r="461" spans="8:8" s="8" customFormat="1" ht="15" customHeight="1" x14ac:dyDescent="0.25">
      <c r="H461" s="13"/>
    </row>
    <row r="462" spans="8:8" s="8" customFormat="1" ht="15" customHeight="1" x14ac:dyDescent="0.25">
      <c r="H462" s="13"/>
    </row>
    <row r="463" spans="8:8" s="8" customFormat="1" ht="15" customHeight="1" x14ac:dyDescent="0.25">
      <c r="H463" s="13"/>
    </row>
    <row r="464" spans="8:8" s="8" customFormat="1" ht="15" customHeight="1" x14ac:dyDescent="0.25">
      <c r="H464" s="13"/>
    </row>
    <row r="465" spans="8:8" s="8" customFormat="1" ht="15" customHeight="1" x14ac:dyDescent="0.25">
      <c r="H465" s="13"/>
    </row>
    <row r="466" spans="8:8" s="8" customFormat="1" ht="15" customHeight="1" x14ac:dyDescent="0.25">
      <c r="H466" s="13"/>
    </row>
    <row r="467" spans="8:8" s="8" customFormat="1" ht="15" customHeight="1" x14ac:dyDescent="0.25">
      <c r="H467" s="13"/>
    </row>
    <row r="468" spans="8:8" s="8" customFormat="1" ht="15" customHeight="1" x14ac:dyDescent="0.25">
      <c r="H468" s="13"/>
    </row>
    <row r="469" spans="8:8" s="8" customFormat="1" ht="15" customHeight="1" x14ac:dyDescent="0.25">
      <c r="H469" s="13"/>
    </row>
    <row r="470" spans="8:8" s="8" customFormat="1" ht="15" customHeight="1" x14ac:dyDescent="0.25">
      <c r="H470" s="13"/>
    </row>
    <row r="471" spans="8:8" s="8" customFormat="1" ht="15" customHeight="1" x14ac:dyDescent="0.25">
      <c r="H471" s="13"/>
    </row>
    <row r="472" spans="8:8" s="8" customFormat="1" ht="15" customHeight="1" x14ac:dyDescent="0.25">
      <c r="H472" s="13"/>
    </row>
    <row r="473" spans="8:8" s="8" customFormat="1" ht="15" customHeight="1" x14ac:dyDescent="0.25">
      <c r="H473" s="13"/>
    </row>
    <row r="474" spans="8:8" s="8" customFormat="1" ht="15" customHeight="1" x14ac:dyDescent="0.25">
      <c r="H474" s="13"/>
    </row>
    <row r="475" spans="8:8" s="8" customFormat="1" ht="15" customHeight="1" x14ac:dyDescent="0.25">
      <c r="H475" s="13"/>
    </row>
    <row r="476" spans="8:8" s="8" customFormat="1" ht="15" customHeight="1" x14ac:dyDescent="0.25">
      <c r="H476" s="13"/>
    </row>
    <row r="477" spans="8:8" s="8" customFormat="1" ht="15" customHeight="1" x14ac:dyDescent="0.25">
      <c r="H477" s="13"/>
    </row>
    <row r="478" spans="8:8" s="8" customFormat="1" ht="15" customHeight="1" x14ac:dyDescent="0.25">
      <c r="H478" s="13"/>
    </row>
    <row r="479" spans="8:8" s="8" customFormat="1" ht="15" customHeight="1" x14ac:dyDescent="0.25">
      <c r="H479" s="13"/>
    </row>
    <row r="480" spans="8:8" s="8" customFormat="1" ht="15" customHeight="1" x14ac:dyDescent="0.25">
      <c r="H480" s="13"/>
    </row>
    <row r="481" spans="8:8" s="8" customFormat="1" ht="15" customHeight="1" x14ac:dyDescent="0.25">
      <c r="H481" s="13"/>
    </row>
    <row r="482" spans="8:8" s="8" customFormat="1" ht="15" customHeight="1" x14ac:dyDescent="0.25">
      <c r="H482" s="13"/>
    </row>
    <row r="483" spans="8:8" s="8" customFormat="1" ht="15" customHeight="1" x14ac:dyDescent="0.25">
      <c r="H483" s="13"/>
    </row>
    <row r="484" spans="8:8" s="8" customFormat="1" ht="15" customHeight="1" x14ac:dyDescent="0.25">
      <c r="H484" s="13"/>
    </row>
    <row r="485" spans="8:8" s="8" customFormat="1" ht="15" customHeight="1" x14ac:dyDescent="0.25">
      <c r="H485" s="13"/>
    </row>
    <row r="486" spans="8:8" s="8" customFormat="1" ht="15" customHeight="1" x14ac:dyDescent="0.25">
      <c r="H486" s="13"/>
    </row>
    <row r="487" spans="8:8" s="8" customFormat="1" ht="15" customHeight="1" x14ac:dyDescent="0.25">
      <c r="H487" s="13"/>
    </row>
    <row r="488" spans="8:8" s="8" customFormat="1" ht="15" customHeight="1" x14ac:dyDescent="0.25">
      <c r="H488" s="13"/>
    </row>
    <row r="489" spans="8:8" s="8" customFormat="1" ht="15" customHeight="1" x14ac:dyDescent="0.25">
      <c r="H489" s="13"/>
    </row>
    <row r="490" spans="8:8" s="8" customFormat="1" ht="15" customHeight="1" x14ac:dyDescent="0.25">
      <c r="H490" s="13"/>
    </row>
    <row r="491" spans="8:8" s="8" customFormat="1" ht="15" customHeight="1" x14ac:dyDescent="0.25">
      <c r="H491" s="13"/>
    </row>
    <row r="492" spans="8:8" s="8" customFormat="1" ht="15" customHeight="1" x14ac:dyDescent="0.25">
      <c r="H492" s="13"/>
    </row>
    <row r="493" spans="8:8" s="8" customFormat="1" ht="15" customHeight="1" x14ac:dyDescent="0.25">
      <c r="H493" s="13"/>
    </row>
    <row r="494" spans="8:8" s="8" customFormat="1" ht="15" customHeight="1" x14ac:dyDescent="0.25">
      <c r="H494" s="13"/>
    </row>
    <row r="495" spans="8:8" s="8" customFormat="1" ht="15" customHeight="1" x14ac:dyDescent="0.25">
      <c r="H495" s="13"/>
    </row>
    <row r="496" spans="8:8" s="8" customFormat="1" ht="15" customHeight="1" x14ac:dyDescent="0.25">
      <c r="H496" s="13"/>
    </row>
    <row r="497" spans="8:8" s="8" customFormat="1" ht="15" customHeight="1" x14ac:dyDescent="0.25">
      <c r="H497" s="13"/>
    </row>
    <row r="498" spans="8:8" s="8" customFormat="1" ht="15" customHeight="1" x14ac:dyDescent="0.25">
      <c r="H498" s="13"/>
    </row>
    <row r="499" spans="8:8" s="8" customFormat="1" ht="15" customHeight="1" x14ac:dyDescent="0.25">
      <c r="H499" s="13"/>
    </row>
    <row r="500" spans="8:8" s="8" customFormat="1" ht="15" customHeight="1" x14ac:dyDescent="0.25">
      <c r="H500" s="13"/>
    </row>
    <row r="501" spans="8:8" s="8" customFormat="1" ht="15" customHeight="1" x14ac:dyDescent="0.25">
      <c r="H501" s="13"/>
    </row>
    <row r="502" spans="8:8" s="8" customFormat="1" ht="15" customHeight="1" x14ac:dyDescent="0.25">
      <c r="H502" s="13"/>
    </row>
    <row r="503" spans="8:8" s="8" customFormat="1" ht="15" customHeight="1" x14ac:dyDescent="0.25">
      <c r="H503" s="13"/>
    </row>
    <row r="504" spans="8:8" s="8" customFormat="1" ht="15" customHeight="1" x14ac:dyDescent="0.25">
      <c r="H504" s="13"/>
    </row>
    <row r="505" spans="8:8" s="8" customFormat="1" ht="15" customHeight="1" x14ac:dyDescent="0.25">
      <c r="H505" s="13"/>
    </row>
    <row r="506" spans="8:8" s="8" customFormat="1" ht="15" customHeight="1" x14ac:dyDescent="0.25">
      <c r="H506" s="13"/>
    </row>
    <row r="507" spans="8:8" s="8" customFormat="1" ht="15" customHeight="1" x14ac:dyDescent="0.25">
      <c r="H507" s="13"/>
    </row>
    <row r="508" spans="8:8" s="8" customFormat="1" ht="15" customHeight="1" x14ac:dyDescent="0.25">
      <c r="H508" s="13"/>
    </row>
    <row r="509" spans="8:8" s="8" customFormat="1" ht="15" customHeight="1" x14ac:dyDescent="0.25">
      <c r="H509" s="13"/>
    </row>
  </sheetData>
  <mergeCells count="20">
    <mergeCell ref="BE8:BH8"/>
    <mergeCell ref="BI8:BL8"/>
    <mergeCell ref="BM8:BR8"/>
    <mergeCell ref="BE7:BH7"/>
    <mergeCell ref="BI7:BR7"/>
    <mergeCell ref="AA8:AF8"/>
    <mergeCell ref="AG8:AR8"/>
    <mergeCell ref="AS8:BB8"/>
    <mergeCell ref="A5:B5"/>
    <mergeCell ref="A7:H7"/>
    <mergeCell ref="I7:N7"/>
    <mergeCell ref="O7:AF7"/>
    <mergeCell ref="AG7:AR7"/>
    <mergeCell ref="AS7:BD7"/>
    <mergeCell ref="A8:D8"/>
    <mergeCell ref="E8:H8"/>
    <mergeCell ref="I8:N8"/>
    <mergeCell ref="O8:Q8"/>
    <mergeCell ref="R8:Z8"/>
    <mergeCell ref="BC8:BD8"/>
  </mergeCells>
  <dataValidations count="2">
    <dataValidation type="list" allowBlank="1" showInputMessage="1" showErrorMessage="1" sqref="J10:J17">
      <formula1>"30%"</formula1>
    </dataValidation>
    <dataValidation type="list" allowBlank="1" showInputMessage="1" showErrorMessage="1" sqref="L10:L17">
      <formula1>"10%, 20%, 40%"</formula1>
    </dataValidation>
  </dataValidations>
  <pageMargins left="0.59055118110236227" right="0.59055118110236227" top="0.19685039370078741" bottom="0.19685039370078741" header="0" footer="0"/>
  <pageSetup paperSize="9" scale="82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S501"/>
  <sheetViews>
    <sheetView showGridLines="0" zoomScaleNormal="100" workbookViewId="0">
      <pane xSplit="8" ySplit="8" topLeftCell="BD9" activePane="bottomRight" state="frozen"/>
      <selection activeCell="M58" sqref="M58"/>
      <selection pane="topRight" activeCell="M58" sqref="M58"/>
      <selection pane="bottomLeft" activeCell="M58" sqref="M58"/>
      <selection pane="bottomRight" activeCell="M58" sqref="M58"/>
    </sheetView>
  </sheetViews>
  <sheetFormatPr defaultColWidth="9.140625" defaultRowHeight="15" x14ac:dyDescent="0.25"/>
  <cols>
    <col min="1" max="1" width="5.42578125" style="2" customWidth="1"/>
    <col min="2" max="2" width="20.7109375" style="2" customWidth="1"/>
    <col min="3" max="3" width="26.42578125" style="2" customWidth="1"/>
    <col min="4" max="7" width="12.140625" style="2" customWidth="1"/>
    <col min="8" max="8" width="12.140625" style="12" customWidth="1"/>
    <col min="9" max="16" width="15.5703125" style="2" customWidth="1"/>
    <col min="17" max="17" width="23.28515625" style="2" customWidth="1"/>
    <col min="18" max="36" width="15.5703125" style="2" customWidth="1"/>
    <col min="37" max="38" width="21.140625" style="2" customWidth="1"/>
    <col min="39" max="40" width="15.5703125" style="2" customWidth="1"/>
    <col min="41" max="42" width="22.42578125" style="2" customWidth="1"/>
    <col min="43" max="44" width="20.5703125" style="2" customWidth="1"/>
    <col min="45" max="46" width="15.5703125" style="2" customWidth="1"/>
    <col min="47" max="48" width="18.28515625" style="2" customWidth="1"/>
    <col min="49" max="50" width="20.5703125" style="2" customWidth="1"/>
    <col min="51" max="52" width="21.140625" style="2" customWidth="1"/>
    <col min="53" max="54" width="18.28515625" style="2" customWidth="1"/>
    <col min="55" max="56" width="21.140625" style="2" customWidth="1"/>
    <col min="57" max="70" width="15.5703125" style="2" customWidth="1"/>
    <col min="71" max="71" width="16.5703125" style="2" customWidth="1"/>
    <col min="72" max="16384" width="9.140625" style="2"/>
  </cols>
  <sheetData>
    <row r="1" spans="1:71" s="1" customFormat="1" ht="18.75" x14ac:dyDescent="0.25">
      <c r="A1" s="130" t="s">
        <v>16</v>
      </c>
      <c r="B1" s="3"/>
      <c r="C1" s="3"/>
      <c r="D1" s="3"/>
      <c r="E1" s="3"/>
      <c r="H1" s="11"/>
    </row>
    <row r="2" spans="1:71" s="1" customFormat="1" ht="16.5" customHeight="1" x14ac:dyDescent="0.25">
      <c r="A2" s="4" t="s">
        <v>17</v>
      </c>
      <c r="B2" s="4"/>
      <c r="C2" s="4"/>
      <c r="D2" s="4"/>
      <c r="E2" s="4"/>
      <c r="H2" s="11"/>
    </row>
    <row r="3" spans="1:71" s="1" customFormat="1" ht="6.75" customHeight="1" x14ac:dyDescent="0.25">
      <c r="B3" s="6"/>
      <c r="C3" s="6"/>
      <c r="D3" s="6"/>
      <c r="E3" s="6"/>
      <c r="H3" s="11"/>
    </row>
    <row r="4" spans="1:71" s="1" customFormat="1" ht="16.5" customHeight="1" x14ac:dyDescent="0.25">
      <c r="A4" s="202" t="s">
        <v>18</v>
      </c>
      <c r="B4" s="202"/>
      <c r="C4" s="202"/>
      <c r="D4" s="5"/>
      <c r="E4" s="5"/>
      <c r="H4" s="11"/>
    </row>
    <row r="5" spans="1:71" ht="16.5" customHeight="1" x14ac:dyDescent="0.25">
      <c r="A5" s="247">
        <v>1045</v>
      </c>
      <c r="B5" s="247"/>
      <c r="C5" s="202"/>
      <c r="D5" s="5"/>
      <c r="E5" s="5"/>
    </row>
    <row r="6" spans="1:71" ht="9" customHeight="1" x14ac:dyDescent="0.25">
      <c r="A6" s="7"/>
      <c r="B6" s="7"/>
      <c r="C6" s="7"/>
      <c r="D6" s="7"/>
      <c r="E6" s="7"/>
    </row>
    <row r="7" spans="1:71" s="10" customFormat="1" ht="18.75" customHeight="1" x14ac:dyDescent="0.25">
      <c r="A7" s="239" t="s">
        <v>19</v>
      </c>
      <c r="B7" s="238"/>
      <c r="C7" s="238"/>
      <c r="D7" s="238"/>
      <c r="E7" s="238"/>
      <c r="F7" s="238"/>
      <c r="G7" s="238"/>
      <c r="H7" s="238"/>
      <c r="I7" s="246" t="s">
        <v>20</v>
      </c>
      <c r="J7" s="238"/>
      <c r="K7" s="238"/>
      <c r="L7" s="238"/>
      <c r="M7" s="238"/>
      <c r="N7" s="240"/>
      <c r="O7" s="238" t="s">
        <v>21</v>
      </c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40"/>
      <c r="AG7" s="246" t="s">
        <v>22</v>
      </c>
      <c r="AH7" s="238"/>
      <c r="AI7" s="238"/>
      <c r="AJ7" s="238"/>
      <c r="AK7" s="238"/>
      <c r="AL7" s="238"/>
      <c r="AM7" s="238"/>
      <c r="AN7" s="238"/>
      <c r="AO7" s="238"/>
      <c r="AP7" s="238"/>
      <c r="AQ7" s="238"/>
      <c r="AR7" s="240"/>
      <c r="AS7" s="246" t="s">
        <v>23</v>
      </c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40"/>
      <c r="BE7" s="238" t="s">
        <v>24</v>
      </c>
      <c r="BF7" s="238"/>
      <c r="BG7" s="238"/>
      <c r="BH7" s="238"/>
      <c r="BI7" s="246" t="s">
        <v>25</v>
      </c>
      <c r="BJ7" s="238"/>
      <c r="BK7" s="238"/>
      <c r="BL7" s="238"/>
      <c r="BM7" s="238"/>
      <c r="BN7" s="238"/>
      <c r="BO7" s="238"/>
      <c r="BP7" s="238"/>
      <c r="BQ7" s="238"/>
      <c r="BR7" s="238"/>
      <c r="BS7" s="38"/>
    </row>
    <row r="8" spans="1:71" s="9" customFormat="1" ht="30.75" customHeight="1" x14ac:dyDescent="0.25">
      <c r="A8" s="248" t="s">
        <v>19</v>
      </c>
      <c r="B8" s="244"/>
      <c r="C8" s="244"/>
      <c r="D8" s="244"/>
      <c r="E8" s="243" t="s">
        <v>26</v>
      </c>
      <c r="F8" s="244"/>
      <c r="G8" s="244"/>
      <c r="H8" s="244"/>
      <c r="I8" s="243" t="s">
        <v>27</v>
      </c>
      <c r="J8" s="244"/>
      <c r="K8" s="244"/>
      <c r="L8" s="244"/>
      <c r="M8" s="244"/>
      <c r="N8" s="245"/>
      <c r="O8" s="244" t="s">
        <v>28</v>
      </c>
      <c r="P8" s="244"/>
      <c r="Q8" s="244"/>
      <c r="R8" s="243" t="s">
        <v>29</v>
      </c>
      <c r="S8" s="244"/>
      <c r="T8" s="244"/>
      <c r="U8" s="244"/>
      <c r="V8" s="244"/>
      <c r="W8" s="244"/>
      <c r="X8" s="244"/>
      <c r="Y8" s="244"/>
      <c r="Z8" s="245"/>
      <c r="AA8" s="243" t="s">
        <v>30</v>
      </c>
      <c r="AB8" s="244"/>
      <c r="AC8" s="244"/>
      <c r="AD8" s="244"/>
      <c r="AE8" s="244"/>
      <c r="AF8" s="245"/>
      <c r="AG8" s="244" t="s">
        <v>31</v>
      </c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5"/>
      <c r="AS8" s="243" t="s">
        <v>32</v>
      </c>
      <c r="AT8" s="244"/>
      <c r="AU8" s="244"/>
      <c r="AV8" s="244"/>
      <c r="AW8" s="244"/>
      <c r="AX8" s="244"/>
      <c r="AY8" s="244"/>
      <c r="AZ8" s="244"/>
      <c r="BA8" s="244"/>
      <c r="BB8" s="245"/>
      <c r="BC8" s="244" t="s">
        <v>33</v>
      </c>
      <c r="BD8" s="244"/>
      <c r="BE8" s="243" t="s">
        <v>34</v>
      </c>
      <c r="BF8" s="244"/>
      <c r="BG8" s="244"/>
      <c r="BH8" s="244"/>
      <c r="BI8" s="241" t="s">
        <v>35</v>
      </c>
      <c r="BJ8" s="242"/>
      <c r="BK8" s="242"/>
      <c r="BL8" s="242"/>
      <c r="BM8" s="241" t="s">
        <v>36</v>
      </c>
      <c r="BN8" s="242"/>
      <c r="BO8" s="242"/>
      <c r="BP8" s="242"/>
      <c r="BQ8" s="242"/>
      <c r="BR8" s="242"/>
      <c r="BS8" s="43" t="s">
        <v>37</v>
      </c>
    </row>
    <row r="9" spans="1:71" s="22" customFormat="1" ht="45" customHeight="1" x14ac:dyDescent="0.25">
      <c r="A9" s="15" t="s">
        <v>38</v>
      </c>
      <c r="B9" s="15" t="s">
        <v>39</v>
      </c>
      <c r="C9" s="15" t="s">
        <v>40</v>
      </c>
      <c r="D9" s="18" t="s">
        <v>41</v>
      </c>
      <c r="E9" s="20" t="s">
        <v>42</v>
      </c>
      <c r="F9" s="15" t="s">
        <v>43</v>
      </c>
      <c r="G9" s="15" t="s">
        <v>44</v>
      </c>
      <c r="H9" s="18" t="s">
        <v>45</v>
      </c>
      <c r="I9" s="20" t="s">
        <v>43</v>
      </c>
      <c r="J9" s="16" t="s">
        <v>46</v>
      </c>
      <c r="K9" s="15" t="s">
        <v>47</v>
      </c>
      <c r="L9" s="16" t="s">
        <v>48</v>
      </c>
      <c r="M9" s="15" t="s">
        <v>49</v>
      </c>
      <c r="N9" s="17" t="s">
        <v>68</v>
      </c>
      <c r="O9" s="16" t="s">
        <v>51</v>
      </c>
      <c r="P9" s="17" t="s">
        <v>52</v>
      </c>
      <c r="Q9" s="18" t="s">
        <v>53</v>
      </c>
      <c r="R9" s="20" t="s">
        <v>54</v>
      </c>
      <c r="S9" s="15" t="s">
        <v>55</v>
      </c>
      <c r="T9" s="15" t="s">
        <v>56</v>
      </c>
      <c r="U9" s="18" t="s">
        <v>57</v>
      </c>
      <c r="V9" s="15" t="s">
        <v>58</v>
      </c>
      <c r="W9" s="15" t="s">
        <v>59</v>
      </c>
      <c r="X9" s="15" t="s">
        <v>60</v>
      </c>
      <c r="Y9" s="15" t="s">
        <v>61</v>
      </c>
      <c r="Z9" s="17" t="s">
        <v>62</v>
      </c>
      <c r="AA9" s="15" t="s">
        <v>63</v>
      </c>
      <c r="AB9" s="15" t="s">
        <v>64</v>
      </c>
      <c r="AC9" s="15" t="s">
        <v>65</v>
      </c>
      <c r="AD9" s="15" t="s">
        <v>66</v>
      </c>
      <c r="AE9" s="15" t="s">
        <v>67</v>
      </c>
      <c r="AF9" s="17" t="s">
        <v>68</v>
      </c>
      <c r="AG9" s="21" t="s">
        <v>69</v>
      </c>
      <c r="AH9" s="15" t="s">
        <v>70</v>
      </c>
      <c r="AI9" s="16" t="s">
        <v>71</v>
      </c>
      <c r="AJ9" s="15" t="s">
        <v>72</v>
      </c>
      <c r="AK9" s="15" t="s">
        <v>73</v>
      </c>
      <c r="AL9" s="15" t="s">
        <v>74</v>
      </c>
      <c r="AM9" s="15" t="s">
        <v>75</v>
      </c>
      <c r="AN9" s="15" t="s">
        <v>76</v>
      </c>
      <c r="AO9" s="15" t="s">
        <v>77</v>
      </c>
      <c r="AP9" s="15" t="s">
        <v>78</v>
      </c>
      <c r="AQ9" s="18" t="s">
        <v>79</v>
      </c>
      <c r="AR9" s="15" t="s">
        <v>80</v>
      </c>
      <c r="AS9" s="99" t="s">
        <v>81</v>
      </c>
      <c r="AT9" s="15" t="s">
        <v>82</v>
      </c>
      <c r="AU9" s="100" t="s">
        <v>83</v>
      </c>
      <c r="AV9" s="15" t="s">
        <v>84</v>
      </c>
      <c r="AW9" s="100" t="s">
        <v>85</v>
      </c>
      <c r="AX9" s="15" t="s">
        <v>86</v>
      </c>
      <c r="AY9" s="100" t="s">
        <v>87</v>
      </c>
      <c r="AZ9" s="15" t="s">
        <v>88</v>
      </c>
      <c r="BA9" s="100" t="s">
        <v>89</v>
      </c>
      <c r="BB9" s="17" t="s">
        <v>90</v>
      </c>
      <c r="BC9" s="101" t="s">
        <v>91</v>
      </c>
      <c r="BD9" s="18" t="s">
        <v>92</v>
      </c>
      <c r="BE9" s="99" t="s">
        <v>93</v>
      </c>
      <c r="BF9" s="15" t="s">
        <v>94</v>
      </c>
      <c r="BG9" s="100" t="s">
        <v>95</v>
      </c>
      <c r="BH9" s="102" t="s">
        <v>50</v>
      </c>
      <c r="BI9" s="101" t="s">
        <v>97</v>
      </c>
      <c r="BJ9" s="100" t="s">
        <v>98</v>
      </c>
      <c r="BK9" s="103" t="s">
        <v>99</v>
      </c>
      <c r="BL9" s="104" t="s">
        <v>100</v>
      </c>
      <c r="BM9" s="99" t="s">
        <v>101</v>
      </c>
      <c r="BN9" s="100" t="s">
        <v>102</v>
      </c>
      <c r="BO9" s="104" t="s">
        <v>103</v>
      </c>
      <c r="BP9" s="104" t="s">
        <v>104</v>
      </c>
      <c r="BQ9" s="100" t="s">
        <v>105</v>
      </c>
      <c r="BR9" s="104" t="s">
        <v>106</v>
      </c>
      <c r="BS9" s="39" t="s">
        <v>107</v>
      </c>
    </row>
    <row r="10" spans="1:71" s="8" customFormat="1" ht="15" hidden="1" customHeight="1" x14ac:dyDescent="0.25">
      <c r="A10" s="14"/>
      <c r="B10" s="14" t="str">
        <f>'planilha - proposta'!C17</f>
        <v>Eletrotécnico</v>
      </c>
      <c r="C10" s="14" t="str">
        <f>'planilha - proposta'!D17</f>
        <v>Eletrotécnico - 12x36n</v>
      </c>
      <c r="D10" s="19" t="str">
        <f>'planilha - proposta'!B17</f>
        <v>3131-05</v>
      </c>
      <c r="E10" s="30">
        <f>'planilha - proposta'!E17</f>
        <v>0</v>
      </c>
      <c r="F10" s="105"/>
      <c r="G10" s="105"/>
      <c r="H10" s="106"/>
      <c r="I10" s="107"/>
      <c r="J10" s="108"/>
      <c r="K10" s="125">
        <f t="shared" ref="K10:K14" si="0">J10*I10</f>
        <v>0</v>
      </c>
      <c r="L10" s="108"/>
      <c r="M10" s="35">
        <f>L10*$A$5</f>
        <v>0</v>
      </c>
      <c r="N10" s="109"/>
      <c r="O10" s="37">
        <f>(I10+K10+M10+N10)*0.0833</f>
        <v>0</v>
      </c>
      <c r="P10" s="35">
        <f>(I10+K10+M10+N10)*0.11108</f>
        <v>0</v>
      </c>
      <c r="Q10" s="31">
        <f>(0.338+T10)*(O10+P10)</f>
        <v>0</v>
      </c>
      <c r="R10" s="23">
        <f>0.2*(I10+K10+M10+N10)</f>
        <v>0</v>
      </c>
      <c r="S10" s="35">
        <f>0.025*(I10+K10+M10+N10)</f>
        <v>0</v>
      </c>
      <c r="T10" s="110"/>
      <c r="U10" s="35">
        <f>T10*($I10+$K10+$M10+$N10)</f>
        <v>0</v>
      </c>
      <c r="V10" s="35">
        <f>0.015*(I10+K10+M10+N10)</f>
        <v>0</v>
      </c>
      <c r="W10" s="35">
        <f>0.01*(I10+K10+M10+N10)</f>
        <v>0</v>
      </c>
      <c r="X10" s="35">
        <f>0.006*(I10+K10+M10+N10)</f>
        <v>0</v>
      </c>
      <c r="Y10" s="35">
        <f>0.002*(I10+K10+M10+N10)</f>
        <v>0</v>
      </c>
      <c r="Z10" s="34">
        <f>0.08*(I10+K10+M10+N10)</f>
        <v>0</v>
      </c>
      <c r="AA10" s="111"/>
      <c r="AB10" s="112"/>
      <c r="AC10" s="112"/>
      <c r="AD10" s="112"/>
      <c r="AE10" s="112"/>
      <c r="AF10" s="113"/>
      <c r="AG10" s="114"/>
      <c r="AH10" s="29">
        <f>AG10*($I10+$K10+$M10+$N10)</f>
        <v>0</v>
      </c>
      <c r="AI10" s="110"/>
      <c r="AJ10" s="29">
        <f>AI10*($I10+$K10+$M10+$N10)</f>
        <v>0</v>
      </c>
      <c r="AK10" s="110">
        <v>3.2000000000000001E-2</v>
      </c>
      <c r="AL10" s="29">
        <f>AK10*($I10+$K10+$M10+$N10)</f>
        <v>0</v>
      </c>
      <c r="AM10" s="110"/>
      <c r="AN10" s="29">
        <f>AM10*($I10+$K10+$M10+$N10)</f>
        <v>0</v>
      </c>
      <c r="AO10" s="110"/>
      <c r="AP10" s="29">
        <f>AO10*($I10+$K10+$M10+$N10)</f>
        <v>0</v>
      </c>
      <c r="AQ10" s="110"/>
      <c r="AR10" s="36">
        <f>AQ10*($I10+$K10+$M10+$N10)</f>
        <v>0</v>
      </c>
      <c r="AS10" s="115"/>
      <c r="AT10" s="29">
        <f>AS10*(I10+K10+M10+N10)</f>
        <v>0</v>
      </c>
      <c r="AU10" s="110"/>
      <c r="AV10" s="35">
        <f>AU10*(I10+K10+M10+N10)</f>
        <v>0</v>
      </c>
      <c r="AW10" s="110"/>
      <c r="AX10" s="35">
        <f>AW10*(I10+K10+M10+N10)</f>
        <v>0</v>
      </c>
      <c r="AY10" s="110"/>
      <c r="AZ10" s="35">
        <f>AY10*(I10+K10+M10+N10)</f>
        <v>0</v>
      </c>
      <c r="BA10" s="110"/>
      <c r="BB10" s="34">
        <f>BA10*(I10+K10+M10+N10)</f>
        <v>0</v>
      </c>
      <c r="BC10" s="114"/>
      <c r="BD10" s="31">
        <f>BC10*(I10+K10+M10+N10)</f>
        <v>0</v>
      </c>
      <c r="BE10" s="32">
        <f>IF(E10=0,0,'Uniformes '!$K$19)</f>
        <v>0</v>
      </c>
      <c r="BF10" s="33">
        <f>IF(E10=0,0,custoEPI_huol!$M$29)</f>
        <v>0</v>
      </c>
      <c r="BG10" s="29">
        <f>IF(OR(Radios!$B$9=B10,Radios!$B$10=B10,Radios!$B$11=B10,Radios!$B$12=B10,Radios!$B$13=B10,Radios!$B$14=B10,Radios!$B$15=B10,Radios!$B$16=B10),Radios!$I$18,0)</f>
        <v>0</v>
      </c>
      <c r="BH10" s="116"/>
      <c r="BI10" s="117"/>
      <c r="BJ10" s="29">
        <f>BI10*(I10+K10+M10+N10+O10+P10+Q10+R10+S10+U10+V10+W10+X10+Y10+Z10+AA10+AB10+AC10+AD10+AE10+AF10+AH10+AJ10+AL10+AN10+AP10+AR10+AT10+AV10+AX10+AZ10+BB10+BD10+BE10+BF10+BG10+BH10)</f>
        <v>0</v>
      </c>
      <c r="BK10" s="114"/>
      <c r="BL10" s="27">
        <f>BK10*(I10+K10+M10+N10+O10+P10+Q10+R10+S10+U10+V10+W10+X10+Y10+Z10+AA10+AB10+AC10+AD10+AE10+AF10+AH10+AJ10+AL10+AN10+AP10+AR10+AT10+AV10+AX10+AZ10+BB10+BD10+BE10+BF10+BG10+BH10+BJ10)</f>
        <v>0</v>
      </c>
      <c r="BM10" s="115"/>
      <c r="BN10" s="29">
        <f>BM10*(I10+K10+M10+N10+O10+P10+Q10+R10+S10+U10+V10+W10+X10+Y10+Z10+AA10+AB10+AC10+AD10+AE10+AF10+AH10+AJ10+AL10+AN10+AP10+AR10+AT10+AV10+AX10+AZ10+BB10+BD10+BE10+BF10+BG10+BH10+BJ10+BL10)/(1-(BM10+BO10+BQ10))</f>
        <v>0</v>
      </c>
      <c r="BO10" s="118"/>
      <c r="BP10" s="27">
        <f>BO10*(I10+K10+M10+N10+O10+P10+Q10+R10+S10+U10+V10+W10+X10+Y10+Z10+AA10+AB10+AC10+AD10+AE10+AF10+AH10+AJ10+AL10+AN10+AP10+AR10+AT10+AV10+AX10+AZ10+BB10+BD10+BE10+BF10+BG10+BH10+BJ10+BL10)/(1-(BM10+BO10+BQ10))</f>
        <v>0</v>
      </c>
      <c r="BQ10" s="110"/>
      <c r="BR10" s="27">
        <f>BQ10*(I10+K10+M10+N10+O10+P10+Q10+R10+S10+U10+V10+W10+X10+Y10+Z10+AA10+AB10+AC10+AD10+AE10+AF10+AH10+AJ10+AL10+AN10+AP10+AR10+AT10+AV10+AX10+AZ10+BB10+BD10+BE10+BF10+BG10+BH10+BJ10+BL10)/(1-(BM10+BO10+BQ10))</f>
        <v>0</v>
      </c>
      <c r="BS10" s="40">
        <f>I10+K10+M10+N10+O10+P10+Q10+R10+S10+U10+V10+W10+X10+Y10+Z10+AA10+AB10+AC10+AD10+AE10+AF10+AH10+AJ10+AL10+AN10+AP10+AR10+AT10+AV10+AX10+AZ10+BB10+BD10+BE10+BF10+BG10+BH10+BJ10+BL10+BN10+BP10+BR10</f>
        <v>0</v>
      </c>
    </row>
    <row r="11" spans="1:71" s="8" customFormat="1" ht="15" customHeight="1" x14ac:dyDescent="0.25">
      <c r="A11" s="14" t="s">
        <v>108</v>
      </c>
      <c r="B11" s="14" t="str">
        <f>'planilha - proposta'!C18</f>
        <v>Eletrotécnico</v>
      </c>
      <c r="C11" s="14" t="str">
        <f>'planilha - proposta'!D18</f>
        <v>Eletrotécnico - 44h</v>
      </c>
      <c r="D11" s="19" t="str">
        <f>'planilha - proposta'!B18</f>
        <v>3131-05</v>
      </c>
      <c r="E11" s="30">
        <f>'planilha - proposta'!E18</f>
        <v>1</v>
      </c>
      <c r="F11" s="136">
        <f>2809.33*1.0448</f>
        <v>2935.1879839999997</v>
      </c>
      <c r="G11" s="105" t="s">
        <v>133</v>
      </c>
      <c r="H11" s="132">
        <v>43493</v>
      </c>
      <c r="I11" s="107">
        <f>F11</f>
        <v>2935.1879839999997</v>
      </c>
      <c r="J11" s="108"/>
      <c r="K11" s="125">
        <f t="shared" si="0"/>
        <v>0</v>
      </c>
      <c r="L11" s="108">
        <v>0.2</v>
      </c>
      <c r="M11" s="35">
        <f t="shared" ref="M11:M14" si="1">L11*$A$5</f>
        <v>209</v>
      </c>
      <c r="N11" s="109">
        <v>0</v>
      </c>
      <c r="O11" s="37">
        <f t="shared" ref="O11:O14" si="2">(I11+K11+M11+N11)*0.0833</f>
        <v>261.91085906719997</v>
      </c>
      <c r="P11" s="35">
        <f>(I11+K11+M11+N11)*0.11108</f>
        <v>349.25640126271998</v>
      </c>
      <c r="Q11" s="31">
        <f t="shared" ref="Q11:Q14" si="3">(0.338+T11)*(O11+P11)</f>
        <v>206.57453399151296</v>
      </c>
      <c r="R11" s="23">
        <f t="shared" ref="R11:R14" si="4">0.2*(I11+K11+M11+N11)</f>
        <v>628.83759680000003</v>
      </c>
      <c r="S11" s="35">
        <f t="shared" ref="S11:S14" si="5">0.025*(I11+K11+M11+N11)</f>
        <v>78.604699600000004</v>
      </c>
      <c r="T11" s="110"/>
      <c r="U11" s="35">
        <f t="shared" ref="U11:U14" si="6">T11*($I11+$K11+$M11+$N11)</f>
        <v>0</v>
      </c>
      <c r="V11" s="35">
        <f t="shared" ref="V11:V14" si="7">0.015*(I11+K11+M11+N11)</f>
        <v>47.162819759999991</v>
      </c>
      <c r="W11" s="35">
        <f t="shared" ref="W11:W14" si="8">0.01*(I11+K11+M11+N11)</f>
        <v>31.441879839999999</v>
      </c>
      <c r="X11" s="35">
        <f t="shared" ref="X11:X14" si="9">0.006*(I11+K11+M11+N11)</f>
        <v>18.865127903999998</v>
      </c>
      <c r="Y11" s="35">
        <f t="shared" ref="Y11:Y14" si="10">0.002*(I11+K11+M11+N11)</f>
        <v>6.2883759679999995</v>
      </c>
      <c r="Z11" s="34">
        <f t="shared" ref="Z11:Z14" si="11">0.08*(I11+K11+M11+N11)</f>
        <v>251.53503871999999</v>
      </c>
      <c r="AA11" s="111">
        <f>52*4.15-F11*0.06</f>
        <v>39.68872096000004</v>
      </c>
      <c r="AB11" s="112">
        <v>0</v>
      </c>
      <c r="AC11" s="112">
        <v>0</v>
      </c>
      <c r="AD11" s="112">
        <v>0</v>
      </c>
      <c r="AE11" s="112">
        <v>18.5</v>
      </c>
      <c r="AF11" s="113">
        <v>0</v>
      </c>
      <c r="AG11" s="114">
        <f>'calculo - serv.geral'!AG10</f>
        <v>4.1999999999999997E-3</v>
      </c>
      <c r="AH11" s="29">
        <f t="shared" ref="AH11:AH14" si="12">AG11*($I11+$K11+$M11+$N11)</f>
        <v>13.205589532799998</v>
      </c>
      <c r="AI11" s="110">
        <f>'calculo - serv.geral'!AI10</f>
        <v>2.9999999999999997E-4</v>
      </c>
      <c r="AJ11" s="29">
        <f t="shared" ref="AJ11:AJ14" si="13">AI11*($I11+$K11+$M11+$N11)</f>
        <v>0.94325639519999982</v>
      </c>
      <c r="AK11" s="110">
        <v>3.2000000000000001E-2</v>
      </c>
      <c r="AL11" s="29">
        <f t="shared" ref="AL11:AL14" si="14">AK11*($I11+$K11+$M11+$N11)</f>
        <v>100.61401548799999</v>
      </c>
      <c r="AM11" s="110">
        <f>'calculo - nutricao'!AM10</f>
        <v>1.9400000000000001E-2</v>
      </c>
      <c r="AN11" s="29">
        <f t="shared" ref="AN11:AN14" si="15">AM11*($I11+$K11+$M11+$N11)</f>
        <v>60.997246889599992</v>
      </c>
      <c r="AO11" s="110">
        <f>'calculo - serv.geral'!AO10</f>
        <v>7.2000000000000005E-4</v>
      </c>
      <c r="AP11" s="29">
        <f t="shared" ref="AP11:AP14" si="16">AO11*($I11+$K11+$M11+$N11)</f>
        <v>2.2638153484800001</v>
      </c>
      <c r="AQ11" s="110">
        <f>'calculo - serv.geral'!AQ10</f>
        <v>1E-3</v>
      </c>
      <c r="AR11" s="36">
        <f t="shared" ref="AR11:AR14" si="17">AQ11*($I11+$K11+$M11+$N11)</f>
        <v>3.1441879839999998</v>
      </c>
      <c r="AS11" s="115">
        <f>'calculo - serv.geral'!AS10</f>
        <v>8.0000000000000004E-4</v>
      </c>
      <c r="AT11" s="29">
        <f t="shared" ref="AT11:AT14" si="18">AS11*(I11+K11+M11+N11)</f>
        <v>2.5153503871999998</v>
      </c>
      <c r="AU11" s="110">
        <f>'calculo - serv.geral'!AU10</f>
        <v>2.0000000000000001E-4</v>
      </c>
      <c r="AV11" s="35">
        <f t="shared" ref="AV11:AV14" si="19">AU11*(I11+K11+M11+N11)</f>
        <v>0.62883759679999995</v>
      </c>
      <c r="AW11" s="110">
        <f>'calculo - serv.geral'!AW10</f>
        <v>4.0000000000000002E-4</v>
      </c>
      <c r="AX11" s="35">
        <f t="shared" ref="AX11:AX14" si="20">AW11*(I11+K11+M11+N11)</f>
        <v>1.2576751935999999</v>
      </c>
      <c r="AY11" s="110">
        <f>'calculo - serv.geral'!AY10</f>
        <v>6.9999999999999999E-4</v>
      </c>
      <c r="AZ11" s="35">
        <f t="shared" ref="AZ11:AZ14" si="21">AY11*(I11+K11+M11+N11)</f>
        <v>2.2009315887999996</v>
      </c>
      <c r="BA11" s="110">
        <f>'calculo - serv.geral'!BA10</f>
        <v>9.4100000000000003E-2</v>
      </c>
      <c r="BB11" s="34">
        <f t="shared" ref="BB11:BB14" si="22">BA11*(I11+K11+M11+N11)</f>
        <v>295.86808929439997</v>
      </c>
      <c r="BC11" s="114">
        <f>'calculo - serv.geral'!BC10</f>
        <v>0</v>
      </c>
      <c r="BD11" s="31">
        <f t="shared" ref="BD11:BD14" si="23">BC11*(I11+K11+M11+N11)</f>
        <v>0</v>
      </c>
      <c r="BE11" s="32">
        <f>IF(E11=0,0,'Uniformes '!$K$19)</f>
        <v>46.148333333333333</v>
      </c>
      <c r="BF11" s="33">
        <f>IF(E11=0,0,custoEPI_huol!$M$29)</f>
        <v>0</v>
      </c>
      <c r="BG11" s="187">
        <f>IF(OR(Radios!$B$9=B11,Radios!$B$10=B11,Radios!$B$11=B11,Radios!$B$12=B11,Radios!$B$13=B11,Radios!$B$14=B11,Radios!$B$15=B11,Radios!$B$16=B11),Radios!$I$18,0)</f>
        <v>0</v>
      </c>
      <c r="BH11" s="186">
        <v>0</v>
      </c>
      <c r="BI11" s="117">
        <v>0.06</v>
      </c>
      <c r="BJ11" s="29">
        <f t="shared" ref="BJ11:BJ14" si="24">BI11*(I11+K11+M11+N11+O11+P11+Q11+R11+S11+U11+V11+W11+X11+Y11+Z11+AA11+AB11+AC11+AD11+AE11+AF11+AH11+AJ11+AL11+AN11+AP11+AR11+AT11+AV11+AX11+AZ11+BB11+BD11+BE11+BF11+BG11+BH11)</f>
        <v>336.75848201433877</v>
      </c>
      <c r="BK11" s="114">
        <v>6.7900000000000002E-2</v>
      </c>
      <c r="BL11" s="27">
        <f t="shared" ref="BL11:BL14" si="25">BK11*(I11+K11+M11+N11+O11+P11+Q11+R11+S11+U11+V11+W11+X11+Y11+Z11+AA11+AB11+AC11+AD11+AE11+AF11+AH11+AJ11+AL11+AN11+AP11+AR11+AT11+AV11+AX11+AZ11+BB11+BD11+BE11+BF11+BG11+BH11+BJ11)</f>
        <v>403.964249741667</v>
      </c>
      <c r="BM11" s="115">
        <f>'calculo - serv.geral'!BM10</f>
        <v>9.2499999999999999E-2</v>
      </c>
      <c r="BN11" s="29">
        <f t="shared" ref="BN11:BN14" si="26">BM11*(I11+K11+M11+N11+O11+P11+Q11+R11+S11+U11+V11+W11+X11+Y11+Z11+AA11+AB11+AC11+AD11+AE11+AF11+AH11+AJ11+AL11+AN11+AP11+AR11+AT11+AV11+AX11+AZ11+BB11+BD11+BE11+BF11+BG11+BH11+BJ11+BL11)/(1-(BM11+BO11+BQ11))</f>
        <v>685.34831384979918</v>
      </c>
      <c r="BO11" s="118">
        <f>'calculo - serv.geral'!BO10</f>
        <v>0</v>
      </c>
      <c r="BP11" s="27">
        <f t="shared" ref="BP11:BP14" si="27">BO11*(I11+K11+M11+N11+O11+P11+Q11+R11+S11+U11+V11+W11+X11+Y11+Z11+AA11+AB11+AC11+AD11+AE11+AF11+AH11+AJ11+AL11+AN11+AP11+AR11+AT11+AV11+AX11+AZ11+BB11+BD11+BE11+BF11+BG11+BH11+BJ11+BL11)/(1-(BM11+BO11+BQ11))</f>
        <v>0</v>
      </c>
      <c r="BQ11" s="110">
        <f>'calculo - serv.geral'!BQ10</f>
        <v>0.05</v>
      </c>
      <c r="BR11" s="27">
        <f t="shared" ref="BR11:BR14" si="28">BQ11*(I11+K11+M11+N11+O11+P11+Q11+R11+S11+U11+V11+W11+X11+Y11+Z11+AA11+AB11+AC11+AD11+AE11+AF11+AH11+AJ11+AL11+AN11+AP11+AR11+AT11+AV11+AX11+AZ11+BB11+BD11+BE11+BF11+BG11+BH11+BJ11+BL11)/(1-(BM11+BO11+BQ11))</f>
        <v>370.45854802691855</v>
      </c>
      <c r="BS11" s="40">
        <f t="shared" ref="BS11:BS14" si="29">I11+K11+M11+N11+O11+P11+Q11+R11+S11+U11+V11+W11+X11+Y11+Z11+AA11+AB11+AC11+AD11+AE11+AF11+AH11+AJ11+AL11+AN11+AP11+AR11+AT11+AV11+AX11+AZ11+BB11+BD11+BE11+BF11+BG11+BH11+BJ11+BL11+BN11+BP11+BR11</f>
        <v>7409.1709605383703</v>
      </c>
    </row>
    <row r="12" spans="1:71" s="8" customFormat="1" ht="15" customHeight="1" x14ac:dyDescent="0.25">
      <c r="A12" s="14" t="s">
        <v>110</v>
      </c>
      <c r="B12" s="14" t="str">
        <f>'planilha - proposta'!C19</f>
        <v>Oficial de Manutenção de Equipamento Médico Hospitalar</v>
      </c>
      <c r="C12" s="14" t="str">
        <f>'planilha - proposta'!D19</f>
        <v>Oficial de Manutenção de Equipamento Médico Hospitalar - 12x36d</v>
      </c>
      <c r="D12" s="19" t="str">
        <f>'planilha - proposta'!B19</f>
        <v>3132-15</v>
      </c>
      <c r="E12" s="30">
        <f>'planilha - proposta'!E19</f>
        <v>2</v>
      </c>
      <c r="F12" s="136">
        <f>2809.33*1.0448</f>
        <v>2935.1879839999997</v>
      </c>
      <c r="G12" s="105" t="s">
        <v>133</v>
      </c>
      <c r="H12" s="132">
        <v>43493</v>
      </c>
      <c r="I12" s="107">
        <f>F12</f>
        <v>2935.1879839999997</v>
      </c>
      <c r="J12" s="108"/>
      <c r="K12" s="125">
        <f t="shared" si="0"/>
        <v>0</v>
      </c>
      <c r="L12" s="108">
        <v>0.2</v>
      </c>
      <c r="M12" s="35">
        <f t="shared" si="1"/>
        <v>209</v>
      </c>
      <c r="N12" s="109">
        <v>0</v>
      </c>
      <c r="O12" s="37">
        <f t="shared" si="2"/>
        <v>261.91085906719997</v>
      </c>
      <c r="P12" s="35">
        <f t="shared" ref="P12:P14" si="30">(I12+K12+M12+N12)*0.11108</f>
        <v>349.25640126271998</v>
      </c>
      <c r="Q12" s="31">
        <f t="shared" si="3"/>
        <v>206.57453399151296</v>
      </c>
      <c r="R12" s="23">
        <f t="shared" si="4"/>
        <v>628.83759680000003</v>
      </c>
      <c r="S12" s="35">
        <f t="shared" si="5"/>
        <v>78.604699600000004</v>
      </c>
      <c r="T12" s="110"/>
      <c r="U12" s="35">
        <f t="shared" si="6"/>
        <v>0</v>
      </c>
      <c r="V12" s="35">
        <f t="shared" si="7"/>
        <v>47.162819759999991</v>
      </c>
      <c r="W12" s="35">
        <f t="shared" si="8"/>
        <v>31.441879839999999</v>
      </c>
      <c r="X12" s="35">
        <f t="shared" si="9"/>
        <v>18.865127903999998</v>
      </c>
      <c r="Y12" s="35">
        <f t="shared" si="10"/>
        <v>6.2883759679999995</v>
      </c>
      <c r="Z12" s="34">
        <f t="shared" si="11"/>
        <v>251.53503871999999</v>
      </c>
      <c r="AA12" s="111">
        <v>0</v>
      </c>
      <c r="AB12" s="112">
        <v>0</v>
      </c>
      <c r="AC12" s="112">
        <v>0</v>
      </c>
      <c r="AD12" s="112">
        <v>0</v>
      </c>
      <c r="AE12" s="112">
        <v>18.5</v>
      </c>
      <c r="AF12" s="113">
        <v>0</v>
      </c>
      <c r="AG12" s="114">
        <f>AG11</f>
        <v>4.1999999999999997E-3</v>
      </c>
      <c r="AH12" s="29">
        <f t="shared" si="12"/>
        <v>13.205589532799998</v>
      </c>
      <c r="AI12" s="110">
        <f>AI11</f>
        <v>2.9999999999999997E-4</v>
      </c>
      <c r="AJ12" s="29">
        <f t="shared" si="13"/>
        <v>0.94325639519999982</v>
      </c>
      <c r="AK12" s="110">
        <v>3.2000000000000001E-2</v>
      </c>
      <c r="AL12" s="29">
        <f t="shared" si="14"/>
        <v>100.61401548799999</v>
      </c>
      <c r="AM12" s="110">
        <f>AM11</f>
        <v>1.9400000000000001E-2</v>
      </c>
      <c r="AN12" s="29">
        <f t="shared" si="15"/>
        <v>60.997246889599992</v>
      </c>
      <c r="AO12" s="110">
        <f>AO11</f>
        <v>7.2000000000000005E-4</v>
      </c>
      <c r="AP12" s="29">
        <f t="shared" si="16"/>
        <v>2.2638153484800001</v>
      </c>
      <c r="AQ12" s="110">
        <f>AQ11</f>
        <v>1E-3</v>
      </c>
      <c r="AR12" s="36">
        <f t="shared" si="17"/>
        <v>3.1441879839999998</v>
      </c>
      <c r="AS12" s="115">
        <f>AS11</f>
        <v>8.0000000000000004E-4</v>
      </c>
      <c r="AT12" s="29">
        <f t="shared" si="18"/>
        <v>2.5153503871999998</v>
      </c>
      <c r="AU12" s="110">
        <f>AU11</f>
        <v>2.0000000000000001E-4</v>
      </c>
      <c r="AV12" s="35">
        <f t="shared" si="19"/>
        <v>0.62883759679999995</v>
      </c>
      <c r="AW12" s="110">
        <f>AW11</f>
        <v>4.0000000000000002E-4</v>
      </c>
      <c r="AX12" s="35">
        <f t="shared" si="20"/>
        <v>1.2576751935999999</v>
      </c>
      <c r="AY12" s="110">
        <f>AY11</f>
        <v>6.9999999999999999E-4</v>
      </c>
      <c r="AZ12" s="35">
        <f t="shared" si="21"/>
        <v>2.2009315887999996</v>
      </c>
      <c r="BA12" s="110">
        <f>BA11</f>
        <v>9.4100000000000003E-2</v>
      </c>
      <c r="BB12" s="34">
        <f t="shared" si="22"/>
        <v>295.86808929439997</v>
      </c>
      <c r="BC12" s="114">
        <f>BC11</f>
        <v>0</v>
      </c>
      <c r="BD12" s="31">
        <f t="shared" si="23"/>
        <v>0</v>
      </c>
      <c r="BE12" s="32">
        <f>IF(E12=0,0,'Uniformes '!$K$32)</f>
        <v>46.481666666666662</v>
      </c>
      <c r="BF12" s="33">
        <f>IF(E12=0,0,custoEPI_huol!$M$54)</f>
        <v>0</v>
      </c>
      <c r="BG12" s="187">
        <f>IF(OR(Radios!$B$9=B12,Radios!$B$10=B12,Radios!$B$11=B12,Radios!$B$12=B12,Radios!$B$13=B12,Radios!$B$14=B12,Radios!$B$15=B12,Radios!$B$16=B12),Radios!$I$18,0)</f>
        <v>14.631050228310501</v>
      </c>
      <c r="BH12" s="186">
        <v>0</v>
      </c>
      <c r="BI12" s="117">
        <v>0.06</v>
      </c>
      <c r="BJ12" s="29">
        <f t="shared" si="24"/>
        <v>335.27502177043738</v>
      </c>
      <c r="BK12" s="114">
        <v>6.7900000000000002E-2</v>
      </c>
      <c r="BL12" s="27">
        <f t="shared" si="25"/>
        <v>402.18474028175768</v>
      </c>
      <c r="BM12" s="115">
        <f>BM11</f>
        <v>9.2499999999999999E-2</v>
      </c>
      <c r="BN12" s="29">
        <f t="shared" si="26"/>
        <v>682.32927489125643</v>
      </c>
      <c r="BO12" s="118">
        <f>BO11</f>
        <v>0</v>
      </c>
      <c r="BP12" s="27">
        <f t="shared" si="27"/>
        <v>0</v>
      </c>
      <c r="BQ12" s="110">
        <f>BQ11</f>
        <v>0.05</v>
      </c>
      <c r="BR12" s="27">
        <f t="shared" si="28"/>
        <v>368.82663507635482</v>
      </c>
      <c r="BS12" s="40">
        <f t="shared" si="29"/>
        <v>7376.5327015270959</v>
      </c>
    </row>
    <row r="13" spans="1:71" s="8" customFormat="1" ht="15" customHeight="1" x14ac:dyDescent="0.25">
      <c r="A13" s="14" t="s">
        <v>111</v>
      </c>
      <c r="B13" s="14" t="str">
        <f>'planilha - proposta'!C20</f>
        <v>Oficial de Manutenção de Equipamento Médico Hospitalar</v>
      </c>
      <c r="C13" s="14" t="str">
        <f>'planilha - proposta'!D20</f>
        <v>Oficial de Manutenção de Equipamento Médico Hospitalar - 12x36n</v>
      </c>
      <c r="D13" s="19" t="str">
        <f>'planilha - proposta'!B20</f>
        <v>3132-15</v>
      </c>
      <c r="E13" s="30">
        <f>'planilha - proposta'!E20</f>
        <v>2</v>
      </c>
      <c r="F13" s="136">
        <f>2809.33*1.0448</f>
        <v>2935.1879839999997</v>
      </c>
      <c r="G13" s="105" t="s">
        <v>133</v>
      </c>
      <c r="H13" s="132">
        <v>43493</v>
      </c>
      <c r="I13" s="107">
        <f>F13*1.25</f>
        <v>3668.9849799999997</v>
      </c>
      <c r="J13" s="108"/>
      <c r="K13" s="125">
        <f t="shared" si="0"/>
        <v>0</v>
      </c>
      <c r="L13" s="108">
        <v>0.2</v>
      </c>
      <c r="M13" s="35">
        <f t="shared" si="1"/>
        <v>209</v>
      </c>
      <c r="N13" s="109">
        <v>0</v>
      </c>
      <c r="O13" s="37">
        <f t="shared" si="2"/>
        <v>323.03614883399996</v>
      </c>
      <c r="P13" s="35">
        <f t="shared" si="30"/>
        <v>430.76657157839998</v>
      </c>
      <c r="Q13" s="31">
        <f t="shared" si="3"/>
        <v>254.78531949939119</v>
      </c>
      <c r="R13" s="23">
        <f t="shared" si="4"/>
        <v>775.59699599999999</v>
      </c>
      <c r="S13" s="35">
        <f t="shared" si="5"/>
        <v>96.949624499999999</v>
      </c>
      <c r="T13" s="110"/>
      <c r="U13" s="35">
        <f t="shared" si="6"/>
        <v>0</v>
      </c>
      <c r="V13" s="35">
        <f t="shared" si="7"/>
        <v>58.169774699999991</v>
      </c>
      <c r="W13" s="35">
        <f t="shared" si="8"/>
        <v>38.779849800000001</v>
      </c>
      <c r="X13" s="35">
        <f t="shared" si="9"/>
        <v>23.267909879999998</v>
      </c>
      <c r="Y13" s="35">
        <f t="shared" si="10"/>
        <v>7.7559699599999998</v>
      </c>
      <c r="Z13" s="34">
        <f t="shared" si="11"/>
        <v>310.23879840000001</v>
      </c>
      <c r="AA13" s="111">
        <v>0</v>
      </c>
      <c r="AB13" s="112">
        <v>0</v>
      </c>
      <c r="AC13" s="112">
        <v>0</v>
      </c>
      <c r="AD13" s="112">
        <v>0</v>
      </c>
      <c r="AE13" s="112">
        <v>18.5</v>
      </c>
      <c r="AF13" s="113">
        <v>0</v>
      </c>
      <c r="AG13" s="114">
        <f>AG12</f>
        <v>4.1999999999999997E-3</v>
      </c>
      <c r="AH13" s="29">
        <f t="shared" si="12"/>
        <v>16.287536915999997</v>
      </c>
      <c r="AI13" s="110">
        <f>AI12</f>
        <v>2.9999999999999997E-4</v>
      </c>
      <c r="AJ13" s="29">
        <f t="shared" si="13"/>
        <v>1.1633954939999998</v>
      </c>
      <c r="AK13" s="110">
        <v>3.2000000000000001E-2</v>
      </c>
      <c r="AL13" s="29">
        <f t="shared" si="14"/>
        <v>124.09551936</v>
      </c>
      <c r="AM13" s="110">
        <f>AM12</f>
        <v>1.9400000000000001E-2</v>
      </c>
      <c r="AN13" s="29">
        <f t="shared" si="15"/>
        <v>75.232908612000003</v>
      </c>
      <c r="AO13" s="110">
        <f>AO12</f>
        <v>7.2000000000000005E-4</v>
      </c>
      <c r="AP13" s="29">
        <f t="shared" si="16"/>
        <v>2.7921491856</v>
      </c>
      <c r="AQ13" s="110">
        <f>AQ12</f>
        <v>1E-3</v>
      </c>
      <c r="AR13" s="36">
        <f t="shared" si="17"/>
        <v>3.8779849799999999</v>
      </c>
      <c r="AS13" s="115">
        <f>AS12</f>
        <v>8.0000000000000004E-4</v>
      </c>
      <c r="AT13" s="29">
        <f t="shared" si="18"/>
        <v>3.1023879839999999</v>
      </c>
      <c r="AU13" s="110">
        <f>AU12</f>
        <v>2.0000000000000001E-4</v>
      </c>
      <c r="AV13" s="35">
        <f t="shared" si="19"/>
        <v>0.77559699599999998</v>
      </c>
      <c r="AW13" s="110">
        <f>AW12</f>
        <v>4.0000000000000002E-4</v>
      </c>
      <c r="AX13" s="35">
        <f t="shared" si="20"/>
        <v>1.551193992</v>
      </c>
      <c r="AY13" s="110">
        <f>AY12</f>
        <v>6.9999999999999999E-4</v>
      </c>
      <c r="AZ13" s="35">
        <f t="shared" si="21"/>
        <v>2.7145894859999999</v>
      </c>
      <c r="BA13" s="110">
        <f>BA12</f>
        <v>9.4100000000000003E-2</v>
      </c>
      <c r="BB13" s="34">
        <f t="shared" si="22"/>
        <v>364.918386618</v>
      </c>
      <c r="BC13" s="114">
        <f>BC12</f>
        <v>0</v>
      </c>
      <c r="BD13" s="31">
        <f t="shared" si="23"/>
        <v>0</v>
      </c>
      <c r="BE13" s="32">
        <f>IF(E13=0,0,'Uniformes '!$K$32)</f>
        <v>46.481666666666662</v>
      </c>
      <c r="BF13" s="33">
        <f>IF(E13=0,0,custoEPI_huol!$M$54)</f>
        <v>0</v>
      </c>
      <c r="BG13" s="187">
        <f>IF(OR(Radios!$B$9=B13,Radios!$B$10=B13,Radios!$B$11=B13,Radios!$B$12=B13,Radios!$B$13=B13,Radios!$B$14=B13,Radios!$B$15=B13,Radios!$B$16=B13),Radios!$I$18,0)</f>
        <v>14.631050228310501</v>
      </c>
      <c r="BH13" s="186">
        <v>0</v>
      </c>
      <c r="BI13" s="117">
        <v>0.06</v>
      </c>
      <c r="BJ13" s="29">
        <f t="shared" si="24"/>
        <v>412.40737858022197</v>
      </c>
      <c r="BK13" s="114">
        <v>6.7900000000000002E-2</v>
      </c>
      <c r="BL13" s="27">
        <f t="shared" si="25"/>
        <v>494.71014443221497</v>
      </c>
      <c r="BM13" s="115">
        <f>BM12</f>
        <v>9.2499999999999999E-2</v>
      </c>
      <c r="BN13" s="29">
        <f t="shared" si="26"/>
        <v>839.30388282584181</v>
      </c>
      <c r="BO13" s="118">
        <f>BO12</f>
        <v>0</v>
      </c>
      <c r="BP13" s="27">
        <f t="shared" si="27"/>
        <v>0</v>
      </c>
      <c r="BQ13" s="110">
        <f>BQ12</f>
        <v>0.05</v>
      </c>
      <c r="BR13" s="27">
        <f t="shared" si="28"/>
        <v>453.67777450045509</v>
      </c>
      <c r="BS13" s="40">
        <f t="shared" si="29"/>
        <v>9073.555490009101</v>
      </c>
    </row>
    <row r="14" spans="1:71" s="8" customFormat="1" ht="15" customHeight="1" x14ac:dyDescent="0.25">
      <c r="A14" s="14" t="s">
        <v>113</v>
      </c>
      <c r="B14" s="14" t="str">
        <f>'planilha - proposta'!C21</f>
        <v>Oficial de Manutenção de Equipamento Médico Hospitalar</v>
      </c>
      <c r="C14" s="14" t="str">
        <f>'planilha - proposta'!D21</f>
        <v>Oficial de Manutenção de Equipamento Médico Hospitalar - 44h</v>
      </c>
      <c r="D14" s="19" t="str">
        <f>'planilha - proposta'!B21</f>
        <v>3132-15</v>
      </c>
      <c r="E14" s="30">
        <f>'planilha - proposta'!E21</f>
        <v>2</v>
      </c>
      <c r="F14" s="136">
        <f>2809.33*1.0448</f>
        <v>2935.1879839999997</v>
      </c>
      <c r="G14" s="105" t="s">
        <v>133</v>
      </c>
      <c r="H14" s="132">
        <v>43493</v>
      </c>
      <c r="I14" s="107">
        <f>F14</f>
        <v>2935.1879839999997</v>
      </c>
      <c r="J14" s="108"/>
      <c r="K14" s="125">
        <f t="shared" si="0"/>
        <v>0</v>
      </c>
      <c r="L14" s="108">
        <v>0.2</v>
      </c>
      <c r="M14" s="35">
        <f t="shared" si="1"/>
        <v>209</v>
      </c>
      <c r="N14" s="109">
        <v>0</v>
      </c>
      <c r="O14" s="37">
        <f t="shared" si="2"/>
        <v>261.91085906719997</v>
      </c>
      <c r="P14" s="35">
        <f t="shared" si="30"/>
        <v>349.25640126271998</v>
      </c>
      <c r="Q14" s="31">
        <f t="shared" si="3"/>
        <v>206.57453399151296</v>
      </c>
      <c r="R14" s="23">
        <f t="shared" si="4"/>
        <v>628.83759680000003</v>
      </c>
      <c r="S14" s="35">
        <f t="shared" si="5"/>
        <v>78.604699600000004</v>
      </c>
      <c r="T14" s="110"/>
      <c r="U14" s="35">
        <f t="shared" si="6"/>
        <v>0</v>
      </c>
      <c r="V14" s="35">
        <f t="shared" si="7"/>
        <v>47.162819759999991</v>
      </c>
      <c r="W14" s="35">
        <f t="shared" si="8"/>
        <v>31.441879839999999</v>
      </c>
      <c r="X14" s="35">
        <f t="shared" si="9"/>
        <v>18.865127903999998</v>
      </c>
      <c r="Y14" s="35">
        <f t="shared" si="10"/>
        <v>6.2883759679999995</v>
      </c>
      <c r="Z14" s="34">
        <f t="shared" si="11"/>
        <v>251.53503871999999</v>
      </c>
      <c r="AA14" s="111">
        <f t="shared" ref="AA14" si="31">52*4.15-F14*0.06</f>
        <v>39.68872096000004</v>
      </c>
      <c r="AB14" s="112">
        <v>0</v>
      </c>
      <c r="AC14" s="112">
        <v>0</v>
      </c>
      <c r="AD14" s="112">
        <v>0</v>
      </c>
      <c r="AE14" s="112">
        <v>18.5</v>
      </c>
      <c r="AF14" s="113">
        <v>0</v>
      </c>
      <c r="AG14" s="114">
        <f>AG13</f>
        <v>4.1999999999999997E-3</v>
      </c>
      <c r="AH14" s="29">
        <f t="shared" si="12"/>
        <v>13.205589532799998</v>
      </c>
      <c r="AI14" s="110">
        <f>AI13</f>
        <v>2.9999999999999997E-4</v>
      </c>
      <c r="AJ14" s="29">
        <f t="shared" si="13"/>
        <v>0.94325639519999982</v>
      </c>
      <c r="AK14" s="110">
        <v>3.2000000000000001E-2</v>
      </c>
      <c r="AL14" s="29">
        <f t="shared" si="14"/>
        <v>100.61401548799999</v>
      </c>
      <c r="AM14" s="110">
        <f>AM13</f>
        <v>1.9400000000000001E-2</v>
      </c>
      <c r="AN14" s="29">
        <f t="shared" si="15"/>
        <v>60.997246889599992</v>
      </c>
      <c r="AO14" s="110">
        <f>AO13</f>
        <v>7.2000000000000005E-4</v>
      </c>
      <c r="AP14" s="29">
        <f t="shared" si="16"/>
        <v>2.2638153484800001</v>
      </c>
      <c r="AQ14" s="110">
        <f>AQ13</f>
        <v>1E-3</v>
      </c>
      <c r="AR14" s="36">
        <f t="shared" si="17"/>
        <v>3.1441879839999998</v>
      </c>
      <c r="AS14" s="115">
        <f>AS13</f>
        <v>8.0000000000000004E-4</v>
      </c>
      <c r="AT14" s="29">
        <f t="shared" si="18"/>
        <v>2.5153503871999998</v>
      </c>
      <c r="AU14" s="110">
        <f>AU13</f>
        <v>2.0000000000000001E-4</v>
      </c>
      <c r="AV14" s="35">
        <f t="shared" si="19"/>
        <v>0.62883759679999995</v>
      </c>
      <c r="AW14" s="110">
        <f>AW13</f>
        <v>4.0000000000000002E-4</v>
      </c>
      <c r="AX14" s="35">
        <f t="shared" si="20"/>
        <v>1.2576751935999999</v>
      </c>
      <c r="AY14" s="110">
        <f>AY13</f>
        <v>6.9999999999999999E-4</v>
      </c>
      <c r="AZ14" s="35">
        <f t="shared" si="21"/>
        <v>2.2009315887999996</v>
      </c>
      <c r="BA14" s="110">
        <f>BA13</f>
        <v>9.4100000000000003E-2</v>
      </c>
      <c r="BB14" s="34">
        <f t="shared" si="22"/>
        <v>295.86808929439997</v>
      </c>
      <c r="BC14" s="114">
        <f>BC13</f>
        <v>0</v>
      </c>
      <c r="BD14" s="31">
        <f t="shared" si="23"/>
        <v>0</v>
      </c>
      <c r="BE14" s="32">
        <f>IF(E14=0,0,'Uniformes '!$K$32)</f>
        <v>46.481666666666662</v>
      </c>
      <c r="BF14" s="33">
        <f>IF(E14=0,0,custoEPI_huol!$M$54)</f>
        <v>0</v>
      </c>
      <c r="BG14" s="187">
        <f>IF(OR(Radios!$B$9=B14,Radios!$B$10=B14,Radios!$B$11=B14,Radios!$B$12=B14,Radios!$B$13=B14,Radios!$B$14=B14,Radios!$B$15=B14,Radios!$B$16=B14),Radios!$I$18,0)</f>
        <v>14.631050228310501</v>
      </c>
      <c r="BH14" s="186">
        <v>0</v>
      </c>
      <c r="BI14" s="117">
        <v>0.06</v>
      </c>
      <c r="BJ14" s="29">
        <f t="shared" si="24"/>
        <v>337.65634502803738</v>
      </c>
      <c r="BK14" s="114">
        <v>6.7900000000000002E-2</v>
      </c>
      <c r="BL14" s="27">
        <f t="shared" si="25"/>
        <v>405.04129628413273</v>
      </c>
      <c r="BM14" s="115">
        <f>BM13</f>
        <v>9.2499999999999999E-2</v>
      </c>
      <c r="BN14" s="29">
        <f t="shared" si="26"/>
        <v>687.17558453597678</v>
      </c>
      <c r="BO14" s="118">
        <f>BO13</f>
        <v>0</v>
      </c>
      <c r="BP14" s="27">
        <f t="shared" si="27"/>
        <v>0</v>
      </c>
      <c r="BQ14" s="110">
        <f>BQ13</f>
        <v>0.05</v>
      </c>
      <c r="BR14" s="27">
        <f t="shared" si="28"/>
        <v>371.44626191133887</v>
      </c>
      <c r="BS14" s="40">
        <f t="shared" si="29"/>
        <v>7428.9252382267759</v>
      </c>
    </row>
    <row r="15" spans="1:71" s="8" customFormat="1" ht="15" customHeight="1" x14ac:dyDescent="0.25">
      <c r="H15" s="13"/>
    </row>
    <row r="16" spans="1:71" s="8" customFormat="1" ht="15" customHeight="1" x14ac:dyDescent="0.25">
      <c r="H16" s="13"/>
    </row>
    <row r="17" spans="8:8" s="8" customFormat="1" ht="15" customHeight="1" x14ac:dyDescent="0.25">
      <c r="H17" s="13"/>
    </row>
    <row r="18" spans="8:8" s="8" customFormat="1" ht="15" customHeight="1" x14ac:dyDescent="0.25">
      <c r="H18" s="13"/>
    </row>
    <row r="19" spans="8:8" s="8" customFormat="1" ht="15" customHeight="1" x14ac:dyDescent="0.25">
      <c r="H19" s="13"/>
    </row>
    <row r="20" spans="8:8" s="8" customFormat="1" ht="15" customHeight="1" x14ac:dyDescent="0.25">
      <c r="H20" s="13"/>
    </row>
    <row r="21" spans="8:8" s="8" customFormat="1" ht="15" customHeight="1" x14ac:dyDescent="0.25">
      <c r="H21" s="13"/>
    </row>
    <row r="22" spans="8:8" s="8" customFormat="1" ht="15" customHeight="1" x14ac:dyDescent="0.25">
      <c r="H22" s="13"/>
    </row>
    <row r="23" spans="8:8" s="8" customFormat="1" ht="15" customHeight="1" x14ac:dyDescent="0.25">
      <c r="H23" s="13"/>
    </row>
    <row r="24" spans="8:8" s="8" customFormat="1" ht="15" customHeight="1" x14ac:dyDescent="0.25">
      <c r="H24" s="13"/>
    </row>
    <row r="25" spans="8:8" s="8" customFormat="1" ht="15" customHeight="1" x14ac:dyDescent="0.25">
      <c r="H25" s="13"/>
    </row>
    <row r="26" spans="8:8" s="8" customFormat="1" ht="15" customHeight="1" x14ac:dyDescent="0.25">
      <c r="H26" s="13"/>
    </row>
    <row r="27" spans="8:8" s="8" customFormat="1" ht="15" customHeight="1" x14ac:dyDescent="0.25">
      <c r="H27" s="13"/>
    </row>
    <row r="28" spans="8:8" s="8" customFormat="1" ht="15" customHeight="1" x14ac:dyDescent="0.25">
      <c r="H28" s="13"/>
    </row>
    <row r="29" spans="8:8" s="8" customFormat="1" ht="15" customHeight="1" x14ac:dyDescent="0.25">
      <c r="H29" s="13"/>
    </row>
    <row r="30" spans="8:8" s="8" customFormat="1" ht="15" customHeight="1" x14ac:dyDescent="0.25">
      <c r="H30" s="13"/>
    </row>
    <row r="31" spans="8:8" s="8" customFormat="1" ht="15" customHeight="1" x14ac:dyDescent="0.25">
      <c r="H31" s="13"/>
    </row>
    <row r="32" spans="8:8" s="8" customFormat="1" ht="15" customHeight="1" x14ac:dyDescent="0.25">
      <c r="H32" s="13"/>
    </row>
    <row r="33" spans="8:8" s="8" customFormat="1" ht="15" customHeight="1" x14ac:dyDescent="0.25">
      <c r="H33" s="13"/>
    </row>
    <row r="34" spans="8:8" s="8" customFormat="1" ht="15" customHeight="1" x14ac:dyDescent="0.25">
      <c r="H34" s="13"/>
    </row>
    <row r="35" spans="8:8" s="8" customFormat="1" ht="15" customHeight="1" x14ac:dyDescent="0.25">
      <c r="H35" s="13"/>
    </row>
    <row r="36" spans="8:8" s="8" customFormat="1" ht="15" customHeight="1" x14ac:dyDescent="0.25">
      <c r="H36" s="13"/>
    </row>
    <row r="37" spans="8:8" s="8" customFormat="1" ht="15" customHeight="1" x14ac:dyDescent="0.25">
      <c r="H37" s="13"/>
    </row>
    <row r="38" spans="8:8" s="8" customFormat="1" ht="15" customHeight="1" x14ac:dyDescent="0.25">
      <c r="H38" s="13"/>
    </row>
    <row r="39" spans="8:8" s="8" customFormat="1" ht="15" customHeight="1" x14ac:dyDescent="0.25">
      <c r="H39" s="13"/>
    </row>
    <row r="40" spans="8:8" s="8" customFormat="1" ht="15" customHeight="1" x14ac:dyDescent="0.25">
      <c r="H40" s="13"/>
    </row>
    <row r="41" spans="8:8" s="8" customFormat="1" ht="15" customHeight="1" x14ac:dyDescent="0.25">
      <c r="H41" s="13"/>
    </row>
    <row r="42" spans="8:8" s="8" customFormat="1" ht="15" customHeight="1" x14ac:dyDescent="0.25">
      <c r="H42" s="13"/>
    </row>
    <row r="43" spans="8:8" s="8" customFormat="1" ht="15" customHeight="1" x14ac:dyDescent="0.25">
      <c r="H43" s="13"/>
    </row>
    <row r="44" spans="8:8" s="8" customFormat="1" ht="15" customHeight="1" x14ac:dyDescent="0.25">
      <c r="H44" s="13"/>
    </row>
    <row r="45" spans="8:8" s="8" customFormat="1" ht="15" customHeight="1" x14ac:dyDescent="0.25">
      <c r="H45" s="13"/>
    </row>
    <row r="46" spans="8:8" s="8" customFormat="1" ht="15" customHeight="1" x14ac:dyDescent="0.25">
      <c r="H46" s="13"/>
    </row>
    <row r="47" spans="8:8" s="8" customFormat="1" ht="15" customHeight="1" x14ac:dyDescent="0.25">
      <c r="H47" s="13"/>
    </row>
    <row r="48" spans="8:8" s="8" customFormat="1" ht="15" customHeight="1" x14ac:dyDescent="0.25">
      <c r="H48" s="13"/>
    </row>
    <row r="49" spans="8:8" s="8" customFormat="1" ht="15" customHeight="1" x14ac:dyDescent="0.25">
      <c r="H49" s="13"/>
    </row>
    <row r="50" spans="8:8" s="8" customFormat="1" ht="15" customHeight="1" x14ac:dyDescent="0.25">
      <c r="H50" s="13"/>
    </row>
    <row r="51" spans="8:8" s="8" customFormat="1" ht="15" customHeight="1" x14ac:dyDescent="0.25">
      <c r="H51" s="13"/>
    </row>
    <row r="52" spans="8:8" s="8" customFormat="1" ht="15" customHeight="1" x14ac:dyDescent="0.25">
      <c r="H52" s="13"/>
    </row>
    <row r="53" spans="8:8" s="8" customFormat="1" ht="15" customHeight="1" x14ac:dyDescent="0.25">
      <c r="H53" s="13"/>
    </row>
    <row r="54" spans="8:8" s="8" customFormat="1" ht="15" customHeight="1" x14ac:dyDescent="0.25">
      <c r="H54" s="13"/>
    </row>
    <row r="55" spans="8:8" s="8" customFormat="1" ht="15" customHeight="1" x14ac:dyDescent="0.25">
      <c r="H55" s="13"/>
    </row>
    <row r="56" spans="8:8" s="8" customFormat="1" ht="15" customHeight="1" x14ac:dyDescent="0.25">
      <c r="H56" s="13"/>
    </row>
    <row r="57" spans="8:8" s="8" customFormat="1" ht="15" customHeight="1" x14ac:dyDescent="0.25">
      <c r="H57" s="13"/>
    </row>
    <row r="58" spans="8:8" s="8" customFormat="1" ht="15" customHeight="1" x14ac:dyDescent="0.25">
      <c r="H58" s="13"/>
    </row>
    <row r="59" spans="8:8" s="8" customFormat="1" ht="15" customHeight="1" x14ac:dyDescent="0.25">
      <c r="H59" s="13"/>
    </row>
    <row r="60" spans="8:8" s="8" customFormat="1" ht="15" customHeight="1" x14ac:dyDescent="0.25">
      <c r="H60" s="13"/>
    </row>
    <row r="61" spans="8:8" s="8" customFormat="1" ht="15" customHeight="1" x14ac:dyDescent="0.25">
      <c r="H61" s="13"/>
    </row>
    <row r="62" spans="8:8" s="8" customFormat="1" ht="15" customHeight="1" x14ac:dyDescent="0.25">
      <c r="H62" s="13"/>
    </row>
    <row r="63" spans="8:8" s="8" customFormat="1" ht="15" customHeight="1" x14ac:dyDescent="0.25">
      <c r="H63" s="13"/>
    </row>
    <row r="64" spans="8:8" s="8" customFormat="1" ht="15" customHeight="1" x14ac:dyDescent="0.25">
      <c r="H64" s="13"/>
    </row>
    <row r="65" spans="8:8" s="8" customFormat="1" ht="15" customHeight="1" x14ac:dyDescent="0.25">
      <c r="H65" s="13"/>
    </row>
    <row r="66" spans="8:8" s="8" customFormat="1" ht="15" customHeight="1" x14ac:dyDescent="0.25">
      <c r="H66" s="13"/>
    </row>
    <row r="67" spans="8:8" s="8" customFormat="1" ht="15" customHeight="1" x14ac:dyDescent="0.25">
      <c r="H67" s="13"/>
    </row>
    <row r="68" spans="8:8" s="8" customFormat="1" ht="15" customHeight="1" x14ac:dyDescent="0.25">
      <c r="H68" s="13"/>
    </row>
    <row r="69" spans="8:8" s="8" customFormat="1" ht="15" customHeight="1" x14ac:dyDescent="0.25">
      <c r="H69" s="13"/>
    </row>
    <row r="70" spans="8:8" s="8" customFormat="1" ht="15" customHeight="1" x14ac:dyDescent="0.25">
      <c r="H70" s="13"/>
    </row>
    <row r="71" spans="8:8" s="8" customFormat="1" ht="15" customHeight="1" x14ac:dyDescent="0.25">
      <c r="H71" s="13"/>
    </row>
    <row r="72" spans="8:8" s="8" customFormat="1" ht="15" customHeight="1" x14ac:dyDescent="0.25">
      <c r="H72" s="13"/>
    </row>
    <row r="73" spans="8:8" s="8" customFormat="1" ht="15" customHeight="1" x14ac:dyDescent="0.25">
      <c r="H73" s="13"/>
    </row>
    <row r="74" spans="8:8" s="8" customFormat="1" ht="15" customHeight="1" x14ac:dyDescent="0.25">
      <c r="H74" s="13"/>
    </row>
    <row r="75" spans="8:8" s="8" customFormat="1" ht="15" customHeight="1" x14ac:dyDescent="0.25">
      <c r="H75" s="13"/>
    </row>
    <row r="76" spans="8:8" s="8" customFormat="1" ht="15" customHeight="1" x14ac:dyDescent="0.25">
      <c r="H76" s="13"/>
    </row>
    <row r="77" spans="8:8" s="8" customFormat="1" ht="15" customHeight="1" x14ac:dyDescent="0.25">
      <c r="H77" s="13"/>
    </row>
    <row r="78" spans="8:8" s="8" customFormat="1" ht="15" customHeight="1" x14ac:dyDescent="0.25">
      <c r="H78" s="13"/>
    </row>
    <row r="79" spans="8:8" s="8" customFormat="1" ht="15" customHeight="1" x14ac:dyDescent="0.25">
      <c r="H79" s="13"/>
    </row>
    <row r="80" spans="8:8" s="8" customFormat="1" ht="15" customHeight="1" x14ac:dyDescent="0.25">
      <c r="H80" s="13"/>
    </row>
    <row r="81" spans="8:8" s="8" customFormat="1" ht="15" customHeight="1" x14ac:dyDescent="0.25">
      <c r="H81" s="13"/>
    </row>
    <row r="82" spans="8:8" s="8" customFormat="1" ht="15" customHeight="1" x14ac:dyDescent="0.25">
      <c r="H82" s="13"/>
    </row>
    <row r="83" spans="8:8" s="8" customFormat="1" ht="15" customHeight="1" x14ac:dyDescent="0.25">
      <c r="H83" s="13"/>
    </row>
    <row r="84" spans="8:8" s="8" customFormat="1" ht="15" customHeight="1" x14ac:dyDescent="0.25">
      <c r="H84" s="13"/>
    </row>
    <row r="85" spans="8:8" s="8" customFormat="1" ht="15" customHeight="1" x14ac:dyDescent="0.25">
      <c r="H85" s="13"/>
    </row>
    <row r="86" spans="8:8" s="8" customFormat="1" ht="15" customHeight="1" x14ac:dyDescent="0.25">
      <c r="H86" s="13"/>
    </row>
    <row r="87" spans="8:8" s="8" customFormat="1" ht="15" customHeight="1" x14ac:dyDescent="0.25">
      <c r="H87" s="13"/>
    </row>
    <row r="88" spans="8:8" s="8" customFormat="1" ht="15" customHeight="1" x14ac:dyDescent="0.25">
      <c r="H88" s="13"/>
    </row>
    <row r="89" spans="8:8" s="8" customFormat="1" ht="15" customHeight="1" x14ac:dyDescent="0.25">
      <c r="H89" s="13"/>
    </row>
    <row r="90" spans="8:8" s="8" customFormat="1" ht="15" customHeight="1" x14ac:dyDescent="0.25">
      <c r="H90" s="13"/>
    </row>
    <row r="91" spans="8:8" s="8" customFormat="1" ht="15" customHeight="1" x14ac:dyDescent="0.25">
      <c r="H91" s="13"/>
    </row>
    <row r="92" spans="8:8" s="8" customFormat="1" ht="15" customHeight="1" x14ac:dyDescent="0.25">
      <c r="H92" s="13"/>
    </row>
    <row r="93" spans="8:8" s="8" customFormat="1" ht="15" customHeight="1" x14ac:dyDescent="0.25">
      <c r="H93" s="13"/>
    </row>
    <row r="94" spans="8:8" s="8" customFormat="1" ht="15" customHeight="1" x14ac:dyDescent="0.25">
      <c r="H94" s="13"/>
    </row>
    <row r="95" spans="8:8" s="8" customFormat="1" ht="15" customHeight="1" x14ac:dyDescent="0.25">
      <c r="H95" s="13"/>
    </row>
    <row r="96" spans="8:8" s="8" customFormat="1" ht="15" customHeight="1" x14ac:dyDescent="0.25">
      <c r="H96" s="13"/>
    </row>
    <row r="97" spans="8:8" s="8" customFormat="1" ht="15" customHeight="1" x14ac:dyDescent="0.25">
      <c r="H97" s="13"/>
    </row>
    <row r="98" spans="8:8" s="8" customFormat="1" ht="15" customHeight="1" x14ac:dyDescent="0.25">
      <c r="H98" s="13"/>
    </row>
    <row r="99" spans="8:8" s="8" customFormat="1" ht="15" customHeight="1" x14ac:dyDescent="0.25">
      <c r="H99" s="13"/>
    </row>
    <row r="100" spans="8:8" s="8" customFormat="1" ht="15" customHeight="1" x14ac:dyDescent="0.25">
      <c r="H100" s="13"/>
    </row>
    <row r="101" spans="8:8" s="8" customFormat="1" ht="15" customHeight="1" x14ac:dyDescent="0.25">
      <c r="H101" s="13"/>
    </row>
    <row r="102" spans="8:8" s="8" customFormat="1" ht="15" customHeight="1" x14ac:dyDescent="0.25">
      <c r="H102" s="13"/>
    </row>
    <row r="103" spans="8:8" s="8" customFormat="1" ht="15" customHeight="1" x14ac:dyDescent="0.25">
      <c r="H103" s="13"/>
    </row>
    <row r="104" spans="8:8" s="8" customFormat="1" ht="15" customHeight="1" x14ac:dyDescent="0.25">
      <c r="H104" s="13"/>
    </row>
    <row r="105" spans="8:8" s="8" customFormat="1" ht="15" customHeight="1" x14ac:dyDescent="0.25">
      <c r="H105" s="13"/>
    </row>
    <row r="106" spans="8:8" s="8" customFormat="1" ht="15" customHeight="1" x14ac:dyDescent="0.25">
      <c r="H106" s="13"/>
    </row>
    <row r="107" spans="8:8" s="8" customFormat="1" ht="15" customHeight="1" x14ac:dyDescent="0.25">
      <c r="H107" s="13"/>
    </row>
    <row r="108" spans="8:8" s="8" customFormat="1" ht="15" customHeight="1" x14ac:dyDescent="0.25">
      <c r="H108" s="13"/>
    </row>
    <row r="109" spans="8:8" s="8" customFormat="1" ht="15" customHeight="1" x14ac:dyDescent="0.25">
      <c r="H109" s="13"/>
    </row>
    <row r="110" spans="8:8" s="8" customFormat="1" ht="15" customHeight="1" x14ac:dyDescent="0.25">
      <c r="H110" s="13"/>
    </row>
    <row r="111" spans="8:8" s="8" customFormat="1" ht="15" customHeight="1" x14ac:dyDescent="0.25">
      <c r="H111" s="13"/>
    </row>
    <row r="112" spans="8:8" s="8" customFormat="1" ht="15" customHeight="1" x14ac:dyDescent="0.25">
      <c r="H112" s="13"/>
    </row>
    <row r="113" spans="8:8" s="8" customFormat="1" ht="15" customHeight="1" x14ac:dyDescent="0.25">
      <c r="H113" s="13"/>
    </row>
    <row r="114" spans="8:8" s="8" customFormat="1" ht="15" customHeight="1" x14ac:dyDescent="0.25">
      <c r="H114" s="13"/>
    </row>
    <row r="115" spans="8:8" s="8" customFormat="1" ht="15" customHeight="1" x14ac:dyDescent="0.25">
      <c r="H115" s="13"/>
    </row>
    <row r="116" spans="8:8" s="8" customFormat="1" ht="15" customHeight="1" x14ac:dyDescent="0.25">
      <c r="H116" s="13"/>
    </row>
    <row r="117" spans="8:8" s="8" customFormat="1" ht="15" customHeight="1" x14ac:dyDescent="0.25">
      <c r="H117" s="13"/>
    </row>
    <row r="118" spans="8:8" s="8" customFormat="1" ht="15" customHeight="1" x14ac:dyDescent="0.25">
      <c r="H118" s="13"/>
    </row>
    <row r="119" spans="8:8" s="8" customFormat="1" ht="15" customHeight="1" x14ac:dyDescent="0.25">
      <c r="H119" s="13"/>
    </row>
    <row r="120" spans="8:8" s="8" customFormat="1" ht="15" customHeight="1" x14ac:dyDescent="0.25">
      <c r="H120" s="13"/>
    </row>
    <row r="121" spans="8:8" s="8" customFormat="1" ht="15" customHeight="1" x14ac:dyDescent="0.25">
      <c r="H121" s="13"/>
    </row>
    <row r="122" spans="8:8" s="8" customFormat="1" ht="15" customHeight="1" x14ac:dyDescent="0.25">
      <c r="H122" s="13"/>
    </row>
    <row r="123" spans="8:8" s="8" customFormat="1" ht="15" customHeight="1" x14ac:dyDescent="0.25">
      <c r="H123" s="13"/>
    </row>
    <row r="124" spans="8:8" s="8" customFormat="1" ht="15" customHeight="1" x14ac:dyDescent="0.25">
      <c r="H124" s="13"/>
    </row>
    <row r="125" spans="8:8" s="8" customFormat="1" ht="15" customHeight="1" x14ac:dyDescent="0.25">
      <c r="H125" s="13"/>
    </row>
    <row r="126" spans="8:8" s="8" customFormat="1" ht="15" customHeight="1" x14ac:dyDescent="0.25">
      <c r="H126" s="13"/>
    </row>
    <row r="127" spans="8:8" s="8" customFormat="1" ht="15" customHeight="1" x14ac:dyDescent="0.25">
      <c r="H127" s="13"/>
    </row>
    <row r="128" spans="8:8" s="8" customFormat="1" ht="15" customHeight="1" x14ac:dyDescent="0.25">
      <c r="H128" s="13"/>
    </row>
    <row r="129" spans="8:8" s="8" customFormat="1" ht="15" customHeight="1" x14ac:dyDescent="0.25">
      <c r="H129" s="13"/>
    </row>
    <row r="130" spans="8:8" s="8" customFormat="1" ht="15" customHeight="1" x14ac:dyDescent="0.25">
      <c r="H130" s="13"/>
    </row>
    <row r="131" spans="8:8" s="8" customFormat="1" ht="15" customHeight="1" x14ac:dyDescent="0.25">
      <c r="H131" s="13"/>
    </row>
    <row r="132" spans="8:8" s="8" customFormat="1" ht="15" customHeight="1" x14ac:dyDescent="0.25">
      <c r="H132" s="13"/>
    </row>
    <row r="133" spans="8:8" s="8" customFormat="1" ht="15" customHeight="1" x14ac:dyDescent="0.25">
      <c r="H133" s="13"/>
    </row>
    <row r="134" spans="8:8" s="8" customFormat="1" ht="15" customHeight="1" x14ac:dyDescent="0.25">
      <c r="H134" s="13"/>
    </row>
    <row r="135" spans="8:8" s="8" customFormat="1" ht="15" customHeight="1" x14ac:dyDescent="0.25">
      <c r="H135" s="13"/>
    </row>
    <row r="136" spans="8:8" s="8" customFormat="1" ht="15" customHeight="1" x14ac:dyDescent="0.25">
      <c r="H136" s="13"/>
    </row>
    <row r="137" spans="8:8" s="8" customFormat="1" ht="15" customHeight="1" x14ac:dyDescent="0.25">
      <c r="H137" s="13"/>
    </row>
    <row r="138" spans="8:8" s="8" customFormat="1" ht="15" customHeight="1" x14ac:dyDescent="0.25">
      <c r="H138" s="13"/>
    </row>
    <row r="139" spans="8:8" s="8" customFormat="1" ht="15" customHeight="1" x14ac:dyDescent="0.25">
      <c r="H139" s="13"/>
    </row>
    <row r="140" spans="8:8" s="8" customFormat="1" ht="15" customHeight="1" x14ac:dyDescent="0.25">
      <c r="H140" s="13"/>
    </row>
    <row r="141" spans="8:8" s="8" customFormat="1" ht="15" customHeight="1" x14ac:dyDescent="0.25">
      <c r="H141" s="13"/>
    </row>
    <row r="142" spans="8:8" s="8" customFormat="1" ht="15" customHeight="1" x14ac:dyDescent="0.25">
      <c r="H142" s="13"/>
    </row>
    <row r="143" spans="8:8" s="8" customFormat="1" ht="15" customHeight="1" x14ac:dyDescent="0.25">
      <c r="H143" s="13"/>
    </row>
    <row r="144" spans="8:8" s="8" customFormat="1" ht="15" customHeight="1" x14ac:dyDescent="0.25">
      <c r="H144" s="13"/>
    </row>
    <row r="145" spans="8:8" s="8" customFormat="1" ht="15" customHeight="1" x14ac:dyDescent="0.25">
      <c r="H145" s="13"/>
    </row>
    <row r="146" spans="8:8" s="8" customFormat="1" ht="15" customHeight="1" x14ac:dyDescent="0.25">
      <c r="H146" s="13"/>
    </row>
    <row r="147" spans="8:8" s="8" customFormat="1" ht="15" customHeight="1" x14ac:dyDescent="0.25">
      <c r="H147" s="13"/>
    </row>
    <row r="148" spans="8:8" s="8" customFormat="1" ht="15" customHeight="1" x14ac:dyDescent="0.25">
      <c r="H148" s="13"/>
    </row>
    <row r="149" spans="8:8" s="8" customFormat="1" ht="15" customHeight="1" x14ac:dyDescent="0.25">
      <c r="H149" s="13"/>
    </row>
    <row r="150" spans="8:8" s="8" customFormat="1" ht="15" customHeight="1" x14ac:dyDescent="0.25">
      <c r="H150" s="13"/>
    </row>
    <row r="151" spans="8:8" s="8" customFormat="1" ht="15" customHeight="1" x14ac:dyDescent="0.25">
      <c r="H151" s="13"/>
    </row>
    <row r="152" spans="8:8" s="8" customFormat="1" ht="15" customHeight="1" x14ac:dyDescent="0.25">
      <c r="H152" s="13"/>
    </row>
    <row r="153" spans="8:8" s="8" customFormat="1" ht="15" customHeight="1" x14ac:dyDescent="0.25">
      <c r="H153" s="13"/>
    </row>
    <row r="154" spans="8:8" s="8" customFormat="1" ht="15" customHeight="1" x14ac:dyDescent="0.25">
      <c r="H154" s="13"/>
    </row>
    <row r="155" spans="8:8" s="8" customFormat="1" ht="15" customHeight="1" x14ac:dyDescent="0.25">
      <c r="H155" s="13"/>
    </row>
    <row r="156" spans="8:8" s="8" customFormat="1" ht="15" customHeight="1" x14ac:dyDescent="0.25">
      <c r="H156" s="13"/>
    </row>
    <row r="157" spans="8:8" s="8" customFormat="1" ht="15" customHeight="1" x14ac:dyDescent="0.25">
      <c r="H157" s="13"/>
    </row>
    <row r="158" spans="8:8" s="8" customFormat="1" ht="15" customHeight="1" x14ac:dyDescent="0.25">
      <c r="H158" s="13"/>
    </row>
    <row r="159" spans="8:8" s="8" customFormat="1" ht="15" customHeight="1" x14ac:dyDescent="0.25">
      <c r="H159" s="13"/>
    </row>
    <row r="160" spans="8:8" s="8" customFormat="1" ht="15" customHeight="1" x14ac:dyDescent="0.25">
      <c r="H160" s="13"/>
    </row>
    <row r="161" spans="8:8" s="8" customFormat="1" ht="15" customHeight="1" x14ac:dyDescent="0.25">
      <c r="H161" s="13"/>
    </row>
    <row r="162" spans="8:8" s="8" customFormat="1" ht="15" customHeight="1" x14ac:dyDescent="0.25">
      <c r="H162" s="13"/>
    </row>
    <row r="163" spans="8:8" s="8" customFormat="1" ht="15" customHeight="1" x14ac:dyDescent="0.25">
      <c r="H163" s="13"/>
    </row>
    <row r="164" spans="8:8" s="8" customFormat="1" ht="15" customHeight="1" x14ac:dyDescent="0.25">
      <c r="H164" s="13"/>
    </row>
    <row r="165" spans="8:8" s="8" customFormat="1" ht="15" customHeight="1" x14ac:dyDescent="0.25">
      <c r="H165" s="13"/>
    </row>
    <row r="166" spans="8:8" s="8" customFormat="1" ht="15" customHeight="1" x14ac:dyDescent="0.25">
      <c r="H166" s="13"/>
    </row>
    <row r="167" spans="8:8" s="8" customFormat="1" ht="15" customHeight="1" x14ac:dyDescent="0.25">
      <c r="H167" s="13"/>
    </row>
    <row r="168" spans="8:8" s="8" customFormat="1" ht="15" customHeight="1" x14ac:dyDescent="0.25">
      <c r="H168" s="13"/>
    </row>
    <row r="169" spans="8:8" s="8" customFormat="1" ht="15" customHeight="1" x14ac:dyDescent="0.25">
      <c r="H169" s="13"/>
    </row>
    <row r="170" spans="8:8" s="8" customFormat="1" ht="15" customHeight="1" x14ac:dyDescent="0.25">
      <c r="H170" s="13"/>
    </row>
    <row r="171" spans="8:8" s="8" customFormat="1" ht="15" customHeight="1" x14ac:dyDescent="0.25">
      <c r="H171" s="13"/>
    </row>
    <row r="172" spans="8:8" s="8" customFormat="1" ht="15" customHeight="1" x14ac:dyDescent="0.25">
      <c r="H172" s="13"/>
    </row>
    <row r="173" spans="8:8" s="8" customFormat="1" ht="15" customHeight="1" x14ac:dyDescent="0.25">
      <c r="H173" s="13"/>
    </row>
    <row r="174" spans="8:8" s="8" customFormat="1" ht="15" customHeight="1" x14ac:dyDescent="0.25">
      <c r="H174" s="13"/>
    </row>
    <row r="175" spans="8:8" s="8" customFormat="1" ht="15" customHeight="1" x14ac:dyDescent="0.25">
      <c r="H175" s="13"/>
    </row>
    <row r="176" spans="8:8" s="8" customFormat="1" ht="15" customHeight="1" x14ac:dyDescent="0.25">
      <c r="H176" s="13"/>
    </row>
    <row r="177" spans="8:8" s="8" customFormat="1" ht="15" customHeight="1" x14ac:dyDescent="0.25">
      <c r="H177" s="13"/>
    </row>
    <row r="178" spans="8:8" s="8" customFormat="1" ht="15" customHeight="1" x14ac:dyDescent="0.25">
      <c r="H178" s="13"/>
    </row>
    <row r="179" spans="8:8" s="8" customFormat="1" ht="15" customHeight="1" x14ac:dyDescent="0.25">
      <c r="H179" s="13"/>
    </row>
    <row r="180" spans="8:8" s="8" customFormat="1" ht="15" customHeight="1" x14ac:dyDescent="0.25">
      <c r="H180" s="13"/>
    </row>
    <row r="181" spans="8:8" s="8" customFormat="1" ht="15" customHeight="1" x14ac:dyDescent="0.25">
      <c r="H181" s="13"/>
    </row>
    <row r="182" spans="8:8" s="8" customFormat="1" ht="15" customHeight="1" x14ac:dyDescent="0.25">
      <c r="H182" s="13"/>
    </row>
    <row r="183" spans="8:8" s="8" customFormat="1" ht="15" customHeight="1" x14ac:dyDescent="0.25">
      <c r="H183" s="13"/>
    </row>
    <row r="184" spans="8:8" s="8" customFormat="1" ht="15" customHeight="1" x14ac:dyDescent="0.25">
      <c r="H184" s="13"/>
    </row>
    <row r="185" spans="8:8" s="8" customFormat="1" ht="15" customHeight="1" x14ac:dyDescent="0.25">
      <c r="H185" s="13"/>
    </row>
    <row r="186" spans="8:8" s="8" customFormat="1" ht="15" customHeight="1" x14ac:dyDescent="0.25">
      <c r="H186" s="13"/>
    </row>
    <row r="187" spans="8:8" s="8" customFormat="1" ht="15" customHeight="1" x14ac:dyDescent="0.25">
      <c r="H187" s="13"/>
    </row>
    <row r="188" spans="8:8" s="8" customFormat="1" ht="15" customHeight="1" x14ac:dyDescent="0.25">
      <c r="H188" s="13"/>
    </row>
    <row r="189" spans="8:8" s="8" customFormat="1" ht="15" customHeight="1" x14ac:dyDescent="0.25">
      <c r="H189" s="13"/>
    </row>
    <row r="190" spans="8:8" s="8" customFormat="1" ht="15" customHeight="1" x14ac:dyDescent="0.25">
      <c r="H190" s="13"/>
    </row>
    <row r="191" spans="8:8" s="8" customFormat="1" ht="15" customHeight="1" x14ac:dyDescent="0.25">
      <c r="H191" s="13"/>
    </row>
    <row r="192" spans="8:8" s="8" customFormat="1" ht="15" customHeight="1" x14ac:dyDescent="0.25">
      <c r="H192" s="13"/>
    </row>
    <row r="193" spans="8:8" s="8" customFormat="1" ht="15" customHeight="1" x14ac:dyDescent="0.25">
      <c r="H193" s="13"/>
    </row>
    <row r="194" spans="8:8" s="8" customFormat="1" ht="15" customHeight="1" x14ac:dyDescent="0.25">
      <c r="H194" s="13"/>
    </row>
    <row r="195" spans="8:8" s="8" customFormat="1" ht="15" customHeight="1" x14ac:dyDescent="0.25">
      <c r="H195" s="13"/>
    </row>
    <row r="196" spans="8:8" s="8" customFormat="1" ht="15" customHeight="1" x14ac:dyDescent="0.25">
      <c r="H196" s="13"/>
    </row>
    <row r="197" spans="8:8" s="8" customFormat="1" ht="15" customHeight="1" x14ac:dyDescent="0.25">
      <c r="H197" s="13"/>
    </row>
    <row r="198" spans="8:8" s="8" customFormat="1" ht="15" customHeight="1" x14ac:dyDescent="0.25">
      <c r="H198" s="13"/>
    </row>
    <row r="199" spans="8:8" s="8" customFormat="1" ht="15" customHeight="1" x14ac:dyDescent="0.25">
      <c r="H199" s="13"/>
    </row>
    <row r="200" spans="8:8" s="8" customFormat="1" ht="15" customHeight="1" x14ac:dyDescent="0.25">
      <c r="H200" s="13"/>
    </row>
    <row r="201" spans="8:8" s="8" customFormat="1" ht="15" customHeight="1" x14ac:dyDescent="0.25">
      <c r="H201" s="13"/>
    </row>
    <row r="202" spans="8:8" s="8" customFormat="1" ht="15" customHeight="1" x14ac:dyDescent="0.25">
      <c r="H202" s="13"/>
    </row>
    <row r="203" spans="8:8" s="8" customFormat="1" ht="15" customHeight="1" x14ac:dyDescent="0.25">
      <c r="H203" s="13"/>
    </row>
    <row r="204" spans="8:8" s="8" customFormat="1" ht="15" customHeight="1" x14ac:dyDescent="0.25">
      <c r="H204" s="13"/>
    </row>
    <row r="205" spans="8:8" s="8" customFormat="1" ht="15" customHeight="1" x14ac:dyDescent="0.25">
      <c r="H205" s="13"/>
    </row>
    <row r="206" spans="8:8" s="8" customFormat="1" ht="15" customHeight="1" x14ac:dyDescent="0.25">
      <c r="H206" s="13"/>
    </row>
    <row r="207" spans="8:8" s="8" customFormat="1" ht="15" customHeight="1" x14ac:dyDescent="0.25">
      <c r="H207" s="13"/>
    </row>
    <row r="208" spans="8:8" s="8" customFormat="1" ht="15" customHeight="1" x14ac:dyDescent="0.25">
      <c r="H208" s="13"/>
    </row>
    <row r="209" spans="8:8" s="8" customFormat="1" ht="15" customHeight="1" x14ac:dyDescent="0.25">
      <c r="H209" s="13"/>
    </row>
    <row r="210" spans="8:8" s="8" customFormat="1" ht="15" customHeight="1" x14ac:dyDescent="0.25">
      <c r="H210" s="13"/>
    </row>
    <row r="211" spans="8:8" s="8" customFormat="1" ht="15" customHeight="1" x14ac:dyDescent="0.25">
      <c r="H211" s="13"/>
    </row>
    <row r="212" spans="8:8" s="8" customFormat="1" ht="15" customHeight="1" x14ac:dyDescent="0.25">
      <c r="H212" s="13"/>
    </row>
    <row r="213" spans="8:8" s="8" customFormat="1" ht="15" customHeight="1" x14ac:dyDescent="0.25">
      <c r="H213" s="13"/>
    </row>
    <row r="214" spans="8:8" s="8" customFormat="1" ht="15" customHeight="1" x14ac:dyDescent="0.25">
      <c r="H214" s="13"/>
    </row>
    <row r="215" spans="8:8" s="8" customFormat="1" ht="15" customHeight="1" x14ac:dyDescent="0.25">
      <c r="H215" s="13"/>
    </row>
    <row r="216" spans="8:8" s="8" customFormat="1" ht="15" customHeight="1" x14ac:dyDescent="0.25">
      <c r="H216" s="13"/>
    </row>
    <row r="217" spans="8:8" s="8" customFormat="1" ht="15" customHeight="1" x14ac:dyDescent="0.25">
      <c r="H217" s="13"/>
    </row>
    <row r="218" spans="8:8" s="8" customFormat="1" ht="15" customHeight="1" x14ac:dyDescent="0.25">
      <c r="H218" s="13"/>
    </row>
    <row r="219" spans="8:8" s="8" customFormat="1" ht="15" customHeight="1" x14ac:dyDescent="0.25">
      <c r="H219" s="13"/>
    </row>
    <row r="220" spans="8:8" s="8" customFormat="1" ht="15" customHeight="1" x14ac:dyDescent="0.25">
      <c r="H220" s="13"/>
    </row>
    <row r="221" spans="8:8" s="8" customFormat="1" ht="15" customHeight="1" x14ac:dyDescent="0.25">
      <c r="H221" s="13"/>
    </row>
    <row r="222" spans="8:8" s="8" customFormat="1" ht="15" customHeight="1" x14ac:dyDescent="0.25">
      <c r="H222" s="13"/>
    </row>
    <row r="223" spans="8:8" s="8" customFormat="1" ht="15" customHeight="1" x14ac:dyDescent="0.25">
      <c r="H223" s="13"/>
    </row>
    <row r="224" spans="8:8" s="8" customFormat="1" ht="15" customHeight="1" x14ac:dyDescent="0.25">
      <c r="H224" s="13"/>
    </row>
    <row r="225" spans="8:8" s="8" customFormat="1" ht="15" customHeight="1" x14ac:dyDescent="0.25">
      <c r="H225" s="13"/>
    </row>
    <row r="226" spans="8:8" s="8" customFormat="1" ht="15" customHeight="1" x14ac:dyDescent="0.25">
      <c r="H226" s="13"/>
    </row>
    <row r="227" spans="8:8" s="8" customFormat="1" ht="15" customHeight="1" x14ac:dyDescent="0.25">
      <c r="H227" s="13"/>
    </row>
    <row r="228" spans="8:8" s="8" customFormat="1" ht="15" customHeight="1" x14ac:dyDescent="0.25">
      <c r="H228" s="13"/>
    </row>
    <row r="229" spans="8:8" s="8" customFormat="1" ht="15" customHeight="1" x14ac:dyDescent="0.25">
      <c r="H229" s="13"/>
    </row>
    <row r="230" spans="8:8" s="8" customFormat="1" ht="15" customHeight="1" x14ac:dyDescent="0.25">
      <c r="H230" s="13"/>
    </row>
    <row r="231" spans="8:8" s="8" customFormat="1" ht="15" customHeight="1" x14ac:dyDescent="0.25">
      <c r="H231" s="13"/>
    </row>
    <row r="232" spans="8:8" s="8" customFormat="1" ht="15" customHeight="1" x14ac:dyDescent="0.25">
      <c r="H232" s="13"/>
    </row>
    <row r="233" spans="8:8" s="8" customFormat="1" ht="15" customHeight="1" x14ac:dyDescent="0.25">
      <c r="H233" s="13"/>
    </row>
    <row r="234" spans="8:8" s="8" customFormat="1" ht="15" customHeight="1" x14ac:dyDescent="0.25">
      <c r="H234" s="13"/>
    </row>
    <row r="235" spans="8:8" s="8" customFormat="1" ht="15" customHeight="1" x14ac:dyDescent="0.25">
      <c r="H235" s="13"/>
    </row>
    <row r="236" spans="8:8" s="8" customFormat="1" ht="15" customHeight="1" x14ac:dyDescent="0.25">
      <c r="H236" s="13"/>
    </row>
    <row r="237" spans="8:8" s="8" customFormat="1" ht="15" customHeight="1" x14ac:dyDescent="0.25">
      <c r="H237" s="13"/>
    </row>
    <row r="238" spans="8:8" s="8" customFormat="1" ht="15" customHeight="1" x14ac:dyDescent="0.25">
      <c r="H238" s="13"/>
    </row>
    <row r="239" spans="8:8" s="8" customFormat="1" ht="15" customHeight="1" x14ac:dyDescent="0.25">
      <c r="H239" s="13"/>
    </row>
    <row r="240" spans="8:8" s="8" customFormat="1" ht="15" customHeight="1" x14ac:dyDescent="0.25">
      <c r="H240" s="13"/>
    </row>
    <row r="241" spans="8:8" s="8" customFormat="1" ht="15" customHeight="1" x14ac:dyDescent="0.25">
      <c r="H241" s="13"/>
    </row>
    <row r="242" spans="8:8" s="8" customFormat="1" ht="15" customHeight="1" x14ac:dyDescent="0.25">
      <c r="H242" s="13"/>
    </row>
    <row r="243" spans="8:8" s="8" customFormat="1" ht="15" customHeight="1" x14ac:dyDescent="0.25">
      <c r="H243" s="13"/>
    </row>
    <row r="244" spans="8:8" s="8" customFormat="1" ht="15" customHeight="1" x14ac:dyDescent="0.25">
      <c r="H244" s="13"/>
    </row>
    <row r="245" spans="8:8" s="8" customFormat="1" ht="15" customHeight="1" x14ac:dyDescent="0.25">
      <c r="H245" s="13"/>
    </row>
    <row r="246" spans="8:8" s="8" customFormat="1" ht="15" customHeight="1" x14ac:dyDescent="0.25">
      <c r="H246" s="13"/>
    </row>
    <row r="247" spans="8:8" s="8" customFormat="1" ht="15" customHeight="1" x14ac:dyDescent="0.25">
      <c r="H247" s="13"/>
    </row>
    <row r="248" spans="8:8" s="8" customFormat="1" ht="15" customHeight="1" x14ac:dyDescent="0.25">
      <c r="H248" s="13"/>
    </row>
    <row r="249" spans="8:8" s="8" customFormat="1" ht="15" customHeight="1" x14ac:dyDescent="0.25">
      <c r="H249" s="13"/>
    </row>
    <row r="250" spans="8:8" s="8" customFormat="1" ht="15" customHeight="1" x14ac:dyDescent="0.25">
      <c r="H250" s="13"/>
    </row>
    <row r="251" spans="8:8" s="8" customFormat="1" ht="15" customHeight="1" x14ac:dyDescent="0.25">
      <c r="H251" s="13"/>
    </row>
    <row r="252" spans="8:8" s="8" customFormat="1" ht="15" customHeight="1" x14ac:dyDescent="0.25">
      <c r="H252" s="13"/>
    </row>
    <row r="253" spans="8:8" s="8" customFormat="1" ht="15" customHeight="1" x14ac:dyDescent="0.25">
      <c r="H253" s="13"/>
    </row>
    <row r="254" spans="8:8" s="8" customFormat="1" ht="15" customHeight="1" x14ac:dyDescent="0.25">
      <c r="H254" s="13"/>
    </row>
    <row r="255" spans="8:8" s="8" customFormat="1" ht="15" customHeight="1" x14ac:dyDescent="0.25">
      <c r="H255" s="13"/>
    </row>
    <row r="256" spans="8:8" s="8" customFormat="1" ht="15" customHeight="1" x14ac:dyDescent="0.25">
      <c r="H256" s="13"/>
    </row>
    <row r="257" spans="8:8" s="8" customFormat="1" ht="15" customHeight="1" x14ac:dyDescent="0.25">
      <c r="H257" s="13"/>
    </row>
    <row r="258" spans="8:8" s="8" customFormat="1" ht="15" customHeight="1" x14ac:dyDescent="0.25">
      <c r="H258" s="13"/>
    </row>
    <row r="259" spans="8:8" s="8" customFormat="1" ht="15" customHeight="1" x14ac:dyDescent="0.25">
      <c r="H259" s="13"/>
    </row>
    <row r="260" spans="8:8" s="8" customFormat="1" ht="15" customHeight="1" x14ac:dyDescent="0.25">
      <c r="H260" s="13"/>
    </row>
    <row r="261" spans="8:8" s="8" customFormat="1" ht="15" customHeight="1" x14ac:dyDescent="0.25">
      <c r="H261" s="13"/>
    </row>
    <row r="262" spans="8:8" s="8" customFormat="1" ht="15" customHeight="1" x14ac:dyDescent="0.25">
      <c r="H262" s="13"/>
    </row>
    <row r="263" spans="8:8" s="8" customFormat="1" ht="15" customHeight="1" x14ac:dyDescent="0.25">
      <c r="H263" s="13"/>
    </row>
    <row r="264" spans="8:8" s="8" customFormat="1" ht="15" customHeight="1" x14ac:dyDescent="0.25">
      <c r="H264" s="13"/>
    </row>
    <row r="265" spans="8:8" s="8" customFormat="1" ht="15" customHeight="1" x14ac:dyDescent="0.25">
      <c r="H265" s="13"/>
    </row>
    <row r="266" spans="8:8" s="8" customFormat="1" ht="15" customHeight="1" x14ac:dyDescent="0.25">
      <c r="H266" s="13"/>
    </row>
    <row r="267" spans="8:8" s="8" customFormat="1" ht="15" customHeight="1" x14ac:dyDescent="0.25">
      <c r="H267" s="13"/>
    </row>
    <row r="268" spans="8:8" s="8" customFormat="1" ht="15" customHeight="1" x14ac:dyDescent="0.25">
      <c r="H268" s="13"/>
    </row>
    <row r="269" spans="8:8" s="8" customFormat="1" ht="15" customHeight="1" x14ac:dyDescent="0.25">
      <c r="H269" s="13"/>
    </row>
    <row r="270" spans="8:8" s="8" customFormat="1" ht="15" customHeight="1" x14ac:dyDescent="0.25">
      <c r="H270" s="13"/>
    </row>
    <row r="271" spans="8:8" s="8" customFormat="1" ht="15" customHeight="1" x14ac:dyDescent="0.25">
      <c r="H271" s="13"/>
    </row>
    <row r="272" spans="8:8" s="8" customFormat="1" ht="15" customHeight="1" x14ac:dyDescent="0.25">
      <c r="H272" s="13"/>
    </row>
    <row r="273" spans="8:8" s="8" customFormat="1" ht="15" customHeight="1" x14ac:dyDescent="0.25">
      <c r="H273" s="13"/>
    </row>
    <row r="274" spans="8:8" s="8" customFormat="1" ht="15" customHeight="1" x14ac:dyDescent="0.25">
      <c r="H274" s="13"/>
    </row>
    <row r="275" spans="8:8" s="8" customFormat="1" ht="15" customHeight="1" x14ac:dyDescent="0.25">
      <c r="H275" s="13"/>
    </row>
    <row r="276" spans="8:8" s="8" customFormat="1" ht="15" customHeight="1" x14ac:dyDescent="0.25">
      <c r="H276" s="13"/>
    </row>
    <row r="277" spans="8:8" s="8" customFormat="1" ht="15" customHeight="1" x14ac:dyDescent="0.25">
      <c r="H277" s="13"/>
    </row>
    <row r="278" spans="8:8" s="8" customFormat="1" ht="15" customHeight="1" x14ac:dyDescent="0.25">
      <c r="H278" s="13"/>
    </row>
    <row r="279" spans="8:8" s="8" customFormat="1" ht="15" customHeight="1" x14ac:dyDescent="0.25">
      <c r="H279" s="13"/>
    </row>
    <row r="280" spans="8:8" s="8" customFormat="1" ht="15" customHeight="1" x14ac:dyDescent="0.25">
      <c r="H280" s="13"/>
    </row>
    <row r="281" spans="8:8" s="8" customFormat="1" ht="15" customHeight="1" x14ac:dyDescent="0.25">
      <c r="H281" s="13"/>
    </row>
    <row r="282" spans="8:8" s="8" customFormat="1" ht="15" customHeight="1" x14ac:dyDescent="0.25">
      <c r="H282" s="13"/>
    </row>
    <row r="283" spans="8:8" s="8" customFormat="1" ht="15" customHeight="1" x14ac:dyDescent="0.25">
      <c r="H283" s="13"/>
    </row>
    <row r="284" spans="8:8" s="8" customFormat="1" ht="15" customHeight="1" x14ac:dyDescent="0.25">
      <c r="H284" s="13"/>
    </row>
    <row r="285" spans="8:8" s="8" customFormat="1" ht="15" customHeight="1" x14ac:dyDescent="0.25">
      <c r="H285" s="13"/>
    </row>
    <row r="286" spans="8:8" s="8" customFormat="1" ht="15" customHeight="1" x14ac:dyDescent="0.25">
      <c r="H286" s="13"/>
    </row>
    <row r="287" spans="8:8" s="8" customFormat="1" ht="15" customHeight="1" x14ac:dyDescent="0.25">
      <c r="H287" s="13"/>
    </row>
    <row r="288" spans="8:8" s="8" customFormat="1" ht="15" customHeight="1" x14ac:dyDescent="0.25">
      <c r="H288" s="13"/>
    </row>
    <row r="289" spans="8:8" s="8" customFormat="1" ht="15" customHeight="1" x14ac:dyDescent="0.25">
      <c r="H289" s="13"/>
    </row>
    <row r="290" spans="8:8" s="8" customFormat="1" ht="15" customHeight="1" x14ac:dyDescent="0.25">
      <c r="H290" s="13"/>
    </row>
    <row r="291" spans="8:8" s="8" customFormat="1" ht="15" customHeight="1" x14ac:dyDescent="0.25">
      <c r="H291" s="13"/>
    </row>
    <row r="292" spans="8:8" s="8" customFormat="1" ht="15" customHeight="1" x14ac:dyDescent="0.25">
      <c r="H292" s="13"/>
    </row>
    <row r="293" spans="8:8" s="8" customFormat="1" ht="15" customHeight="1" x14ac:dyDescent="0.25">
      <c r="H293" s="13"/>
    </row>
    <row r="294" spans="8:8" s="8" customFormat="1" ht="15" customHeight="1" x14ac:dyDescent="0.25">
      <c r="H294" s="13"/>
    </row>
    <row r="295" spans="8:8" s="8" customFormat="1" ht="15" customHeight="1" x14ac:dyDescent="0.25">
      <c r="H295" s="13"/>
    </row>
    <row r="296" spans="8:8" s="8" customFormat="1" ht="15" customHeight="1" x14ac:dyDescent="0.25">
      <c r="H296" s="13"/>
    </row>
    <row r="297" spans="8:8" s="8" customFormat="1" ht="15" customHeight="1" x14ac:dyDescent="0.25">
      <c r="H297" s="13"/>
    </row>
    <row r="298" spans="8:8" s="8" customFormat="1" ht="15" customHeight="1" x14ac:dyDescent="0.25">
      <c r="H298" s="13"/>
    </row>
    <row r="299" spans="8:8" s="8" customFormat="1" ht="15" customHeight="1" x14ac:dyDescent="0.25">
      <c r="H299" s="13"/>
    </row>
    <row r="300" spans="8:8" s="8" customFormat="1" ht="15" customHeight="1" x14ac:dyDescent="0.25">
      <c r="H300" s="13"/>
    </row>
    <row r="301" spans="8:8" s="8" customFormat="1" ht="15" customHeight="1" x14ac:dyDescent="0.25">
      <c r="H301" s="13"/>
    </row>
    <row r="302" spans="8:8" s="8" customFormat="1" ht="15" customHeight="1" x14ac:dyDescent="0.25">
      <c r="H302" s="13"/>
    </row>
    <row r="303" spans="8:8" s="8" customFormat="1" ht="15" customHeight="1" x14ac:dyDescent="0.25">
      <c r="H303" s="13"/>
    </row>
    <row r="304" spans="8:8" s="8" customFormat="1" ht="15" customHeight="1" x14ac:dyDescent="0.25">
      <c r="H304" s="13"/>
    </row>
    <row r="305" spans="8:8" s="8" customFormat="1" ht="15" customHeight="1" x14ac:dyDescent="0.25">
      <c r="H305" s="13"/>
    </row>
    <row r="306" spans="8:8" s="8" customFormat="1" ht="15" customHeight="1" x14ac:dyDescent="0.25">
      <c r="H306" s="13"/>
    </row>
    <row r="307" spans="8:8" s="8" customFormat="1" ht="15" customHeight="1" x14ac:dyDescent="0.25">
      <c r="H307" s="13"/>
    </row>
    <row r="308" spans="8:8" s="8" customFormat="1" ht="15" customHeight="1" x14ac:dyDescent="0.25">
      <c r="H308" s="13"/>
    </row>
    <row r="309" spans="8:8" s="8" customFormat="1" ht="15" customHeight="1" x14ac:dyDescent="0.25">
      <c r="H309" s="13"/>
    </row>
    <row r="310" spans="8:8" s="8" customFormat="1" ht="15" customHeight="1" x14ac:dyDescent="0.25">
      <c r="H310" s="13"/>
    </row>
    <row r="311" spans="8:8" s="8" customFormat="1" ht="15" customHeight="1" x14ac:dyDescent="0.25">
      <c r="H311" s="13"/>
    </row>
    <row r="312" spans="8:8" s="8" customFormat="1" ht="15" customHeight="1" x14ac:dyDescent="0.25">
      <c r="H312" s="13"/>
    </row>
    <row r="313" spans="8:8" s="8" customFormat="1" ht="15" customHeight="1" x14ac:dyDescent="0.25">
      <c r="H313" s="13"/>
    </row>
    <row r="314" spans="8:8" s="8" customFormat="1" ht="15" customHeight="1" x14ac:dyDescent="0.25">
      <c r="H314" s="13"/>
    </row>
    <row r="315" spans="8:8" s="8" customFormat="1" ht="15" customHeight="1" x14ac:dyDescent="0.25">
      <c r="H315" s="13"/>
    </row>
    <row r="316" spans="8:8" s="8" customFormat="1" ht="15" customHeight="1" x14ac:dyDescent="0.25">
      <c r="H316" s="13"/>
    </row>
    <row r="317" spans="8:8" s="8" customFormat="1" ht="15" customHeight="1" x14ac:dyDescent="0.25">
      <c r="H317" s="13"/>
    </row>
    <row r="318" spans="8:8" s="8" customFormat="1" ht="15" customHeight="1" x14ac:dyDescent="0.25">
      <c r="H318" s="13"/>
    </row>
    <row r="319" spans="8:8" s="8" customFormat="1" ht="15" customHeight="1" x14ac:dyDescent="0.25">
      <c r="H319" s="13"/>
    </row>
    <row r="320" spans="8:8" s="8" customFormat="1" ht="15" customHeight="1" x14ac:dyDescent="0.25">
      <c r="H320" s="13"/>
    </row>
    <row r="321" spans="8:8" s="8" customFormat="1" ht="15" customHeight="1" x14ac:dyDescent="0.25">
      <c r="H321" s="13"/>
    </row>
    <row r="322" spans="8:8" s="8" customFormat="1" ht="15" customHeight="1" x14ac:dyDescent="0.25">
      <c r="H322" s="13"/>
    </row>
    <row r="323" spans="8:8" s="8" customFormat="1" ht="15" customHeight="1" x14ac:dyDescent="0.25">
      <c r="H323" s="13"/>
    </row>
    <row r="324" spans="8:8" s="8" customFormat="1" ht="15" customHeight="1" x14ac:dyDescent="0.25">
      <c r="H324" s="13"/>
    </row>
    <row r="325" spans="8:8" s="8" customFormat="1" ht="15" customHeight="1" x14ac:dyDescent="0.25">
      <c r="H325" s="13"/>
    </row>
    <row r="326" spans="8:8" s="8" customFormat="1" ht="15" customHeight="1" x14ac:dyDescent="0.25">
      <c r="H326" s="13"/>
    </row>
    <row r="327" spans="8:8" s="8" customFormat="1" ht="15" customHeight="1" x14ac:dyDescent="0.25">
      <c r="H327" s="13"/>
    </row>
    <row r="328" spans="8:8" s="8" customFormat="1" ht="15" customHeight="1" x14ac:dyDescent="0.25">
      <c r="H328" s="13"/>
    </row>
    <row r="329" spans="8:8" s="8" customFormat="1" ht="15" customHeight="1" x14ac:dyDescent="0.25">
      <c r="H329" s="13"/>
    </row>
    <row r="330" spans="8:8" s="8" customFormat="1" ht="15" customHeight="1" x14ac:dyDescent="0.25">
      <c r="H330" s="13"/>
    </row>
    <row r="331" spans="8:8" s="8" customFormat="1" ht="15" customHeight="1" x14ac:dyDescent="0.25">
      <c r="H331" s="13"/>
    </row>
    <row r="332" spans="8:8" s="8" customFormat="1" ht="15" customHeight="1" x14ac:dyDescent="0.25">
      <c r="H332" s="13"/>
    </row>
    <row r="333" spans="8:8" s="8" customFormat="1" ht="15" customHeight="1" x14ac:dyDescent="0.25">
      <c r="H333" s="13"/>
    </row>
    <row r="334" spans="8:8" s="8" customFormat="1" ht="15" customHeight="1" x14ac:dyDescent="0.25">
      <c r="H334" s="13"/>
    </row>
    <row r="335" spans="8:8" s="8" customFormat="1" ht="15" customHeight="1" x14ac:dyDescent="0.25">
      <c r="H335" s="13"/>
    </row>
    <row r="336" spans="8:8" s="8" customFormat="1" ht="15" customHeight="1" x14ac:dyDescent="0.25">
      <c r="H336" s="13"/>
    </row>
    <row r="337" spans="8:8" s="8" customFormat="1" ht="15" customHeight="1" x14ac:dyDescent="0.25">
      <c r="H337" s="13"/>
    </row>
    <row r="338" spans="8:8" s="8" customFormat="1" ht="15" customHeight="1" x14ac:dyDescent="0.25">
      <c r="H338" s="13"/>
    </row>
    <row r="339" spans="8:8" s="8" customFormat="1" ht="15" customHeight="1" x14ac:dyDescent="0.25">
      <c r="H339" s="13"/>
    </row>
    <row r="340" spans="8:8" s="8" customFormat="1" ht="15" customHeight="1" x14ac:dyDescent="0.25">
      <c r="H340" s="13"/>
    </row>
    <row r="341" spans="8:8" s="8" customFormat="1" ht="15" customHeight="1" x14ac:dyDescent="0.25">
      <c r="H341" s="13"/>
    </row>
    <row r="342" spans="8:8" s="8" customFormat="1" ht="15" customHeight="1" x14ac:dyDescent="0.25">
      <c r="H342" s="13"/>
    </row>
    <row r="343" spans="8:8" s="8" customFormat="1" ht="15" customHeight="1" x14ac:dyDescent="0.25">
      <c r="H343" s="13"/>
    </row>
    <row r="344" spans="8:8" s="8" customFormat="1" ht="15" customHeight="1" x14ac:dyDescent="0.25">
      <c r="H344" s="13"/>
    </row>
    <row r="345" spans="8:8" s="8" customFormat="1" ht="15" customHeight="1" x14ac:dyDescent="0.25">
      <c r="H345" s="13"/>
    </row>
    <row r="346" spans="8:8" s="8" customFormat="1" ht="15" customHeight="1" x14ac:dyDescent="0.25">
      <c r="H346" s="13"/>
    </row>
    <row r="347" spans="8:8" s="8" customFormat="1" ht="15" customHeight="1" x14ac:dyDescent="0.25">
      <c r="H347" s="13"/>
    </row>
    <row r="348" spans="8:8" s="8" customFormat="1" ht="15" customHeight="1" x14ac:dyDescent="0.25">
      <c r="H348" s="13"/>
    </row>
    <row r="349" spans="8:8" s="8" customFormat="1" ht="15" customHeight="1" x14ac:dyDescent="0.25">
      <c r="H349" s="13"/>
    </row>
    <row r="350" spans="8:8" s="8" customFormat="1" ht="15" customHeight="1" x14ac:dyDescent="0.25">
      <c r="H350" s="13"/>
    </row>
    <row r="351" spans="8:8" s="8" customFormat="1" ht="15" customHeight="1" x14ac:dyDescent="0.25">
      <c r="H351" s="13"/>
    </row>
    <row r="352" spans="8:8" s="8" customFormat="1" ht="15" customHeight="1" x14ac:dyDescent="0.25">
      <c r="H352" s="13"/>
    </row>
    <row r="353" spans="8:8" s="8" customFormat="1" ht="15" customHeight="1" x14ac:dyDescent="0.25">
      <c r="H353" s="13"/>
    </row>
    <row r="354" spans="8:8" s="8" customFormat="1" ht="15" customHeight="1" x14ac:dyDescent="0.25">
      <c r="H354" s="13"/>
    </row>
    <row r="355" spans="8:8" s="8" customFormat="1" ht="15" customHeight="1" x14ac:dyDescent="0.25">
      <c r="H355" s="13"/>
    </row>
    <row r="356" spans="8:8" s="8" customFormat="1" ht="15" customHeight="1" x14ac:dyDescent="0.25">
      <c r="H356" s="13"/>
    </row>
    <row r="357" spans="8:8" s="8" customFormat="1" ht="15" customHeight="1" x14ac:dyDescent="0.25">
      <c r="H357" s="13"/>
    </row>
    <row r="358" spans="8:8" s="8" customFormat="1" ht="15" customHeight="1" x14ac:dyDescent="0.25">
      <c r="H358" s="13"/>
    </row>
    <row r="359" spans="8:8" s="8" customFormat="1" ht="15" customHeight="1" x14ac:dyDescent="0.25">
      <c r="H359" s="13"/>
    </row>
    <row r="360" spans="8:8" s="8" customFormat="1" ht="15" customHeight="1" x14ac:dyDescent="0.25">
      <c r="H360" s="13"/>
    </row>
    <row r="361" spans="8:8" s="8" customFormat="1" ht="15" customHeight="1" x14ac:dyDescent="0.25">
      <c r="H361" s="13"/>
    </row>
    <row r="362" spans="8:8" s="8" customFormat="1" ht="15" customHeight="1" x14ac:dyDescent="0.25">
      <c r="H362" s="13"/>
    </row>
    <row r="363" spans="8:8" s="8" customFormat="1" ht="15" customHeight="1" x14ac:dyDescent="0.25">
      <c r="H363" s="13"/>
    </row>
    <row r="364" spans="8:8" s="8" customFormat="1" ht="15" customHeight="1" x14ac:dyDescent="0.25">
      <c r="H364" s="13"/>
    </row>
    <row r="365" spans="8:8" s="8" customFormat="1" ht="15" customHeight="1" x14ac:dyDescent="0.25">
      <c r="H365" s="13"/>
    </row>
    <row r="366" spans="8:8" s="8" customFormat="1" ht="15" customHeight="1" x14ac:dyDescent="0.25">
      <c r="H366" s="13"/>
    </row>
    <row r="367" spans="8:8" s="8" customFormat="1" ht="15" customHeight="1" x14ac:dyDescent="0.25">
      <c r="H367" s="13"/>
    </row>
    <row r="368" spans="8:8" s="8" customFormat="1" ht="15" customHeight="1" x14ac:dyDescent="0.25">
      <c r="H368" s="13"/>
    </row>
    <row r="369" spans="8:8" s="8" customFormat="1" ht="15" customHeight="1" x14ac:dyDescent="0.25">
      <c r="H369" s="13"/>
    </row>
    <row r="370" spans="8:8" s="8" customFormat="1" ht="15" customHeight="1" x14ac:dyDescent="0.25">
      <c r="H370" s="13"/>
    </row>
    <row r="371" spans="8:8" s="8" customFormat="1" ht="15" customHeight="1" x14ac:dyDescent="0.25">
      <c r="H371" s="13"/>
    </row>
    <row r="372" spans="8:8" s="8" customFormat="1" ht="15" customHeight="1" x14ac:dyDescent="0.25">
      <c r="H372" s="13"/>
    </row>
    <row r="373" spans="8:8" s="8" customFormat="1" ht="15" customHeight="1" x14ac:dyDescent="0.25">
      <c r="H373" s="13"/>
    </row>
    <row r="374" spans="8:8" s="8" customFormat="1" ht="15" customHeight="1" x14ac:dyDescent="0.25">
      <c r="H374" s="13"/>
    </row>
    <row r="375" spans="8:8" s="8" customFormat="1" ht="15" customHeight="1" x14ac:dyDescent="0.25">
      <c r="H375" s="13"/>
    </row>
    <row r="376" spans="8:8" s="8" customFormat="1" ht="15" customHeight="1" x14ac:dyDescent="0.25">
      <c r="H376" s="13"/>
    </row>
    <row r="377" spans="8:8" s="8" customFormat="1" ht="15" customHeight="1" x14ac:dyDescent="0.25">
      <c r="H377" s="13"/>
    </row>
    <row r="378" spans="8:8" s="8" customFormat="1" ht="15" customHeight="1" x14ac:dyDescent="0.25">
      <c r="H378" s="13"/>
    </row>
    <row r="379" spans="8:8" s="8" customFormat="1" ht="15" customHeight="1" x14ac:dyDescent="0.25">
      <c r="H379" s="13"/>
    </row>
    <row r="380" spans="8:8" s="8" customFormat="1" ht="15" customHeight="1" x14ac:dyDescent="0.25">
      <c r="H380" s="13"/>
    </row>
    <row r="381" spans="8:8" s="8" customFormat="1" ht="15" customHeight="1" x14ac:dyDescent="0.25">
      <c r="H381" s="13"/>
    </row>
    <row r="382" spans="8:8" s="8" customFormat="1" ht="15" customHeight="1" x14ac:dyDescent="0.25">
      <c r="H382" s="13"/>
    </row>
    <row r="383" spans="8:8" s="8" customFormat="1" ht="15" customHeight="1" x14ac:dyDescent="0.25">
      <c r="H383" s="13"/>
    </row>
    <row r="384" spans="8:8" s="8" customFormat="1" ht="15" customHeight="1" x14ac:dyDescent="0.25">
      <c r="H384" s="13"/>
    </row>
    <row r="385" spans="8:8" s="8" customFormat="1" ht="15" customHeight="1" x14ac:dyDescent="0.25">
      <c r="H385" s="13"/>
    </row>
    <row r="386" spans="8:8" s="8" customFormat="1" ht="15" customHeight="1" x14ac:dyDescent="0.25">
      <c r="H386" s="13"/>
    </row>
    <row r="387" spans="8:8" s="8" customFormat="1" ht="15" customHeight="1" x14ac:dyDescent="0.25">
      <c r="H387" s="13"/>
    </row>
    <row r="388" spans="8:8" s="8" customFormat="1" ht="15" customHeight="1" x14ac:dyDescent="0.25">
      <c r="H388" s="13"/>
    </row>
    <row r="389" spans="8:8" s="8" customFormat="1" ht="15" customHeight="1" x14ac:dyDescent="0.25">
      <c r="H389" s="13"/>
    </row>
    <row r="390" spans="8:8" s="8" customFormat="1" ht="15" customHeight="1" x14ac:dyDescent="0.25">
      <c r="H390" s="13"/>
    </row>
    <row r="391" spans="8:8" s="8" customFormat="1" ht="15" customHeight="1" x14ac:dyDescent="0.25">
      <c r="H391" s="13"/>
    </row>
    <row r="392" spans="8:8" s="8" customFormat="1" ht="15" customHeight="1" x14ac:dyDescent="0.25">
      <c r="H392" s="13"/>
    </row>
    <row r="393" spans="8:8" s="8" customFormat="1" ht="15" customHeight="1" x14ac:dyDescent="0.25">
      <c r="H393" s="13"/>
    </row>
    <row r="394" spans="8:8" s="8" customFormat="1" ht="15" customHeight="1" x14ac:dyDescent="0.25">
      <c r="H394" s="13"/>
    </row>
    <row r="395" spans="8:8" s="8" customFormat="1" ht="15" customHeight="1" x14ac:dyDescent="0.25">
      <c r="H395" s="13"/>
    </row>
    <row r="396" spans="8:8" s="8" customFormat="1" ht="15" customHeight="1" x14ac:dyDescent="0.25">
      <c r="H396" s="13"/>
    </row>
    <row r="397" spans="8:8" s="8" customFormat="1" ht="15" customHeight="1" x14ac:dyDescent="0.25">
      <c r="H397" s="13"/>
    </row>
    <row r="398" spans="8:8" s="8" customFormat="1" ht="15" customHeight="1" x14ac:dyDescent="0.25">
      <c r="H398" s="13"/>
    </row>
    <row r="399" spans="8:8" s="8" customFormat="1" ht="15" customHeight="1" x14ac:dyDescent="0.25">
      <c r="H399" s="13"/>
    </row>
    <row r="400" spans="8:8" s="8" customFormat="1" ht="15" customHeight="1" x14ac:dyDescent="0.25">
      <c r="H400" s="13"/>
    </row>
    <row r="401" spans="8:8" s="8" customFormat="1" ht="15" customHeight="1" x14ac:dyDescent="0.25">
      <c r="H401" s="13"/>
    </row>
    <row r="402" spans="8:8" s="8" customFormat="1" ht="15" customHeight="1" x14ac:dyDescent="0.25">
      <c r="H402" s="13"/>
    </row>
    <row r="403" spans="8:8" s="8" customFormat="1" ht="15" customHeight="1" x14ac:dyDescent="0.25">
      <c r="H403" s="13"/>
    </row>
    <row r="404" spans="8:8" s="8" customFormat="1" ht="15" customHeight="1" x14ac:dyDescent="0.25">
      <c r="H404" s="13"/>
    </row>
    <row r="405" spans="8:8" s="8" customFormat="1" ht="15" customHeight="1" x14ac:dyDescent="0.25">
      <c r="H405" s="13"/>
    </row>
    <row r="406" spans="8:8" s="8" customFormat="1" ht="15" customHeight="1" x14ac:dyDescent="0.25">
      <c r="H406" s="13"/>
    </row>
    <row r="407" spans="8:8" s="8" customFormat="1" ht="15" customHeight="1" x14ac:dyDescent="0.25">
      <c r="H407" s="13"/>
    </row>
    <row r="408" spans="8:8" s="8" customFormat="1" ht="15" customHeight="1" x14ac:dyDescent="0.25">
      <c r="H408" s="13"/>
    </row>
    <row r="409" spans="8:8" s="8" customFormat="1" ht="15" customHeight="1" x14ac:dyDescent="0.25">
      <c r="H409" s="13"/>
    </row>
    <row r="410" spans="8:8" s="8" customFormat="1" ht="15" customHeight="1" x14ac:dyDescent="0.25">
      <c r="H410" s="13"/>
    </row>
    <row r="411" spans="8:8" s="8" customFormat="1" ht="15" customHeight="1" x14ac:dyDescent="0.25">
      <c r="H411" s="13"/>
    </row>
    <row r="412" spans="8:8" s="8" customFormat="1" ht="15" customHeight="1" x14ac:dyDescent="0.25">
      <c r="H412" s="13"/>
    </row>
    <row r="413" spans="8:8" s="8" customFormat="1" ht="15" customHeight="1" x14ac:dyDescent="0.25">
      <c r="H413" s="13"/>
    </row>
    <row r="414" spans="8:8" s="8" customFormat="1" ht="15" customHeight="1" x14ac:dyDescent="0.25">
      <c r="H414" s="13"/>
    </row>
    <row r="415" spans="8:8" s="8" customFormat="1" ht="15" customHeight="1" x14ac:dyDescent="0.25">
      <c r="H415" s="13"/>
    </row>
    <row r="416" spans="8:8" s="8" customFormat="1" ht="15" customHeight="1" x14ac:dyDescent="0.25">
      <c r="H416" s="13"/>
    </row>
    <row r="417" spans="8:8" s="8" customFormat="1" ht="15" customHeight="1" x14ac:dyDescent="0.25">
      <c r="H417" s="13"/>
    </row>
    <row r="418" spans="8:8" s="8" customFormat="1" ht="15" customHeight="1" x14ac:dyDescent="0.25">
      <c r="H418" s="13"/>
    </row>
    <row r="419" spans="8:8" s="8" customFormat="1" ht="15" customHeight="1" x14ac:dyDescent="0.25">
      <c r="H419" s="13"/>
    </row>
    <row r="420" spans="8:8" s="8" customFormat="1" ht="15" customHeight="1" x14ac:dyDescent="0.25">
      <c r="H420" s="13"/>
    </row>
    <row r="421" spans="8:8" s="8" customFormat="1" ht="15" customHeight="1" x14ac:dyDescent="0.25">
      <c r="H421" s="13"/>
    </row>
    <row r="422" spans="8:8" s="8" customFormat="1" ht="15" customHeight="1" x14ac:dyDescent="0.25">
      <c r="H422" s="13"/>
    </row>
    <row r="423" spans="8:8" s="8" customFormat="1" ht="15" customHeight="1" x14ac:dyDescent="0.25">
      <c r="H423" s="13"/>
    </row>
    <row r="424" spans="8:8" s="8" customFormat="1" ht="15" customHeight="1" x14ac:dyDescent="0.25">
      <c r="H424" s="13"/>
    </row>
    <row r="425" spans="8:8" s="8" customFormat="1" ht="15" customHeight="1" x14ac:dyDescent="0.25">
      <c r="H425" s="13"/>
    </row>
    <row r="426" spans="8:8" s="8" customFormat="1" ht="15" customHeight="1" x14ac:dyDescent="0.25">
      <c r="H426" s="13"/>
    </row>
    <row r="427" spans="8:8" s="8" customFormat="1" ht="15" customHeight="1" x14ac:dyDescent="0.25">
      <c r="H427" s="13"/>
    </row>
    <row r="428" spans="8:8" s="8" customFormat="1" ht="15" customHeight="1" x14ac:dyDescent="0.25">
      <c r="H428" s="13"/>
    </row>
    <row r="429" spans="8:8" s="8" customFormat="1" ht="15" customHeight="1" x14ac:dyDescent="0.25">
      <c r="H429" s="13"/>
    </row>
    <row r="430" spans="8:8" s="8" customFormat="1" ht="15" customHeight="1" x14ac:dyDescent="0.25">
      <c r="H430" s="13"/>
    </row>
    <row r="431" spans="8:8" s="8" customFormat="1" ht="15" customHeight="1" x14ac:dyDescent="0.25">
      <c r="H431" s="13"/>
    </row>
    <row r="432" spans="8:8" s="8" customFormat="1" ht="15" customHeight="1" x14ac:dyDescent="0.25">
      <c r="H432" s="13"/>
    </row>
    <row r="433" spans="8:8" s="8" customFormat="1" ht="15" customHeight="1" x14ac:dyDescent="0.25">
      <c r="H433" s="13"/>
    </row>
    <row r="434" spans="8:8" s="8" customFormat="1" ht="15" customHeight="1" x14ac:dyDescent="0.25">
      <c r="H434" s="13"/>
    </row>
    <row r="435" spans="8:8" s="8" customFormat="1" ht="15" customHeight="1" x14ac:dyDescent="0.25">
      <c r="H435" s="13"/>
    </row>
    <row r="436" spans="8:8" s="8" customFormat="1" ht="15" customHeight="1" x14ac:dyDescent="0.25">
      <c r="H436" s="13"/>
    </row>
    <row r="437" spans="8:8" s="8" customFormat="1" ht="15" customHeight="1" x14ac:dyDescent="0.25">
      <c r="H437" s="13"/>
    </row>
    <row r="438" spans="8:8" s="8" customFormat="1" ht="15" customHeight="1" x14ac:dyDescent="0.25">
      <c r="H438" s="13"/>
    </row>
    <row r="439" spans="8:8" s="8" customFormat="1" ht="15" customHeight="1" x14ac:dyDescent="0.25">
      <c r="H439" s="13"/>
    </row>
    <row r="440" spans="8:8" s="8" customFormat="1" ht="15" customHeight="1" x14ac:dyDescent="0.25">
      <c r="H440" s="13"/>
    </row>
    <row r="441" spans="8:8" s="8" customFormat="1" ht="15" customHeight="1" x14ac:dyDescent="0.25">
      <c r="H441" s="13"/>
    </row>
    <row r="442" spans="8:8" s="8" customFormat="1" ht="15" customHeight="1" x14ac:dyDescent="0.25">
      <c r="H442" s="13"/>
    </row>
    <row r="443" spans="8:8" s="8" customFormat="1" ht="15" customHeight="1" x14ac:dyDescent="0.25">
      <c r="H443" s="13"/>
    </row>
    <row r="444" spans="8:8" s="8" customFormat="1" ht="15" customHeight="1" x14ac:dyDescent="0.25">
      <c r="H444" s="13"/>
    </row>
    <row r="445" spans="8:8" s="8" customFormat="1" ht="15" customHeight="1" x14ac:dyDescent="0.25">
      <c r="H445" s="13"/>
    </row>
    <row r="446" spans="8:8" s="8" customFormat="1" ht="15" customHeight="1" x14ac:dyDescent="0.25">
      <c r="H446" s="13"/>
    </row>
    <row r="447" spans="8:8" s="8" customFormat="1" ht="15" customHeight="1" x14ac:dyDescent="0.25">
      <c r="H447" s="13"/>
    </row>
    <row r="448" spans="8:8" s="8" customFormat="1" ht="15" customHeight="1" x14ac:dyDescent="0.25">
      <c r="H448" s="13"/>
    </row>
    <row r="449" spans="8:8" s="8" customFormat="1" ht="15" customHeight="1" x14ac:dyDescent="0.25">
      <c r="H449" s="13"/>
    </row>
    <row r="450" spans="8:8" s="8" customFormat="1" ht="15" customHeight="1" x14ac:dyDescent="0.25">
      <c r="H450" s="13"/>
    </row>
    <row r="451" spans="8:8" s="8" customFormat="1" ht="15" customHeight="1" x14ac:dyDescent="0.25">
      <c r="H451" s="13"/>
    </row>
    <row r="452" spans="8:8" s="8" customFormat="1" ht="15" customHeight="1" x14ac:dyDescent="0.25">
      <c r="H452" s="13"/>
    </row>
    <row r="453" spans="8:8" s="8" customFormat="1" ht="15" customHeight="1" x14ac:dyDescent="0.25">
      <c r="H453" s="13"/>
    </row>
    <row r="454" spans="8:8" s="8" customFormat="1" ht="15" customHeight="1" x14ac:dyDescent="0.25">
      <c r="H454" s="13"/>
    </row>
    <row r="455" spans="8:8" s="8" customFormat="1" ht="15" customHeight="1" x14ac:dyDescent="0.25">
      <c r="H455" s="13"/>
    </row>
    <row r="456" spans="8:8" s="8" customFormat="1" ht="15" customHeight="1" x14ac:dyDescent="0.25">
      <c r="H456" s="13"/>
    </row>
    <row r="457" spans="8:8" s="8" customFormat="1" ht="15" customHeight="1" x14ac:dyDescent="0.25">
      <c r="H457" s="13"/>
    </row>
    <row r="458" spans="8:8" s="8" customFormat="1" ht="15" customHeight="1" x14ac:dyDescent="0.25">
      <c r="H458" s="13"/>
    </row>
    <row r="459" spans="8:8" s="8" customFormat="1" ht="15" customHeight="1" x14ac:dyDescent="0.25">
      <c r="H459" s="13"/>
    </row>
    <row r="460" spans="8:8" s="8" customFormat="1" ht="15" customHeight="1" x14ac:dyDescent="0.25">
      <c r="H460" s="13"/>
    </row>
    <row r="461" spans="8:8" s="8" customFormat="1" ht="15" customHeight="1" x14ac:dyDescent="0.25">
      <c r="H461" s="13"/>
    </row>
    <row r="462" spans="8:8" s="8" customFormat="1" ht="15" customHeight="1" x14ac:dyDescent="0.25">
      <c r="H462" s="13"/>
    </row>
    <row r="463" spans="8:8" s="8" customFormat="1" ht="15" customHeight="1" x14ac:dyDescent="0.25">
      <c r="H463" s="13"/>
    </row>
    <row r="464" spans="8:8" s="8" customFormat="1" ht="15" customHeight="1" x14ac:dyDescent="0.25">
      <c r="H464" s="13"/>
    </row>
    <row r="465" spans="8:8" s="8" customFormat="1" ht="15" customHeight="1" x14ac:dyDescent="0.25">
      <c r="H465" s="13"/>
    </row>
    <row r="466" spans="8:8" s="8" customFormat="1" ht="15" customHeight="1" x14ac:dyDescent="0.25">
      <c r="H466" s="13"/>
    </row>
    <row r="467" spans="8:8" s="8" customFormat="1" ht="15" customHeight="1" x14ac:dyDescent="0.25">
      <c r="H467" s="13"/>
    </row>
    <row r="468" spans="8:8" s="8" customFormat="1" ht="15" customHeight="1" x14ac:dyDescent="0.25">
      <c r="H468" s="13"/>
    </row>
    <row r="469" spans="8:8" s="8" customFormat="1" ht="15" customHeight="1" x14ac:dyDescent="0.25">
      <c r="H469" s="13"/>
    </row>
    <row r="470" spans="8:8" s="8" customFormat="1" ht="15" customHeight="1" x14ac:dyDescent="0.25">
      <c r="H470" s="13"/>
    </row>
    <row r="471" spans="8:8" s="8" customFormat="1" ht="15" customHeight="1" x14ac:dyDescent="0.25">
      <c r="H471" s="13"/>
    </row>
    <row r="472" spans="8:8" s="8" customFormat="1" ht="15" customHeight="1" x14ac:dyDescent="0.25">
      <c r="H472" s="13"/>
    </row>
    <row r="473" spans="8:8" s="8" customFormat="1" ht="15" customHeight="1" x14ac:dyDescent="0.25">
      <c r="H473" s="13"/>
    </row>
    <row r="474" spans="8:8" s="8" customFormat="1" ht="15" customHeight="1" x14ac:dyDescent="0.25">
      <c r="H474" s="13"/>
    </row>
    <row r="475" spans="8:8" s="8" customFormat="1" ht="15" customHeight="1" x14ac:dyDescent="0.25">
      <c r="H475" s="13"/>
    </row>
    <row r="476" spans="8:8" s="8" customFormat="1" ht="15" customHeight="1" x14ac:dyDescent="0.25">
      <c r="H476" s="13"/>
    </row>
    <row r="477" spans="8:8" s="8" customFormat="1" ht="15" customHeight="1" x14ac:dyDescent="0.25">
      <c r="H477" s="13"/>
    </row>
    <row r="478" spans="8:8" s="8" customFormat="1" ht="15" customHeight="1" x14ac:dyDescent="0.25">
      <c r="H478" s="13"/>
    </row>
    <row r="479" spans="8:8" s="8" customFormat="1" ht="15" customHeight="1" x14ac:dyDescent="0.25">
      <c r="H479" s="13"/>
    </row>
    <row r="480" spans="8:8" s="8" customFormat="1" ht="15" customHeight="1" x14ac:dyDescent="0.25">
      <c r="H480" s="13"/>
    </row>
    <row r="481" spans="8:8" s="8" customFormat="1" ht="15" customHeight="1" x14ac:dyDescent="0.25">
      <c r="H481" s="13"/>
    </row>
    <row r="482" spans="8:8" s="8" customFormat="1" ht="15" customHeight="1" x14ac:dyDescent="0.25">
      <c r="H482" s="13"/>
    </row>
    <row r="483" spans="8:8" s="8" customFormat="1" ht="15" customHeight="1" x14ac:dyDescent="0.25">
      <c r="H483" s="13"/>
    </row>
    <row r="484" spans="8:8" s="8" customFormat="1" ht="15" customHeight="1" x14ac:dyDescent="0.25">
      <c r="H484" s="13"/>
    </row>
    <row r="485" spans="8:8" s="8" customFormat="1" ht="15" customHeight="1" x14ac:dyDescent="0.25">
      <c r="H485" s="13"/>
    </row>
    <row r="486" spans="8:8" s="8" customFormat="1" ht="15" customHeight="1" x14ac:dyDescent="0.25">
      <c r="H486" s="13"/>
    </row>
    <row r="487" spans="8:8" s="8" customFormat="1" ht="15" customHeight="1" x14ac:dyDescent="0.25">
      <c r="H487" s="13"/>
    </row>
    <row r="488" spans="8:8" s="8" customFormat="1" ht="15" customHeight="1" x14ac:dyDescent="0.25">
      <c r="H488" s="13"/>
    </row>
    <row r="489" spans="8:8" s="8" customFormat="1" ht="15" customHeight="1" x14ac:dyDescent="0.25">
      <c r="H489" s="13"/>
    </row>
    <row r="490" spans="8:8" s="8" customFormat="1" ht="15" customHeight="1" x14ac:dyDescent="0.25">
      <c r="H490" s="13"/>
    </row>
    <row r="491" spans="8:8" s="8" customFormat="1" ht="15" customHeight="1" x14ac:dyDescent="0.25">
      <c r="H491" s="13"/>
    </row>
    <row r="492" spans="8:8" s="8" customFormat="1" ht="15" customHeight="1" x14ac:dyDescent="0.25">
      <c r="H492" s="13"/>
    </row>
    <row r="493" spans="8:8" s="8" customFormat="1" ht="15" customHeight="1" x14ac:dyDescent="0.25">
      <c r="H493" s="13"/>
    </row>
    <row r="494" spans="8:8" s="8" customFormat="1" ht="15" customHeight="1" x14ac:dyDescent="0.25">
      <c r="H494" s="13"/>
    </row>
    <row r="495" spans="8:8" s="8" customFormat="1" ht="15" customHeight="1" x14ac:dyDescent="0.25">
      <c r="H495" s="13"/>
    </row>
    <row r="496" spans="8:8" s="8" customFormat="1" ht="15" customHeight="1" x14ac:dyDescent="0.25">
      <c r="H496" s="13"/>
    </row>
    <row r="497" spans="8:8" s="8" customFormat="1" ht="15" customHeight="1" x14ac:dyDescent="0.25">
      <c r="H497" s="13"/>
    </row>
    <row r="498" spans="8:8" s="8" customFormat="1" ht="15" customHeight="1" x14ac:dyDescent="0.25">
      <c r="H498" s="13"/>
    </row>
    <row r="499" spans="8:8" s="8" customFormat="1" ht="15" customHeight="1" x14ac:dyDescent="0.25">
      <c r="H499" s="13"/>
    </row>
    <row r="500" spans="8:8" s="8" customFormat="1" ht="15" customHeight="1" x14ac:dyDescent="0.25">
      <c r="H500" s="13"/>
    </row>
    <row r="501" spans="8:8" s="8" customFormat="1" ht="15" customHeight="1" x14ac:dyDescent="0.25">
      <c r="H501" s="13"/>
    </row>
  </sheetData>
  <mergeCells count="20">
    <mergeCell ref="BE8:BH8"/>
    <mergeCell ref="BI8:BL8"/>
    <mergeCell ref="BM8:BR8"/>
    <mergeCell ref="BE7:BH7"/>
    <mergeCell ref="BI7:BR7"/>
    <mergeCell ref="AA8:AF8"/>
    <mergeCell ref="AG8:AR8"/>
    <mergeCell ref="AS8:BB8"/>
    <mergeCell ref="A5:B5"/>
    <mergeCell ref="A7:H7"/>
    <mergeCell ref="I7:N7"/>
    <mergeCell ref="O7:AF7"/>
    <mergeCell ref="AG7:AR7"/>
    <mergeCell ref="AS7:BD7"/>
    <mergeCell ref="A8:D8"/>
    <mergeCell ref="E8:H8"/>
    <mergeCell ref="I8:N8"/>
    <mergeCell ref="O8:Q8"/>
    <mergeCell ref="R8:Z8"/>
    <mergeCell ref="BC8:BD8"/>
  </mergeCells>
  <dataValidations count="2">
    <dataValidation type="list" allowBlank="1" showInputMessage="1" showErrorMessage="1" sqref="J10:J14">
      <formula1>"30%"</formula1>
    </dataValidation>
    <dataValidation type="list" allowBlank="1" showInputMessage="1" showErrorMessage="1" sqref="L10:L14">
      <formula1>"10%, 20%, 40%"</formula1>
    </dataValidation>
  </dataValidations>
  <pageMargins left="0.59055118110236227" right="0.59055118110236227" top="0.19685039370078741" bottom="0.19685039370078741" header="0" footer="0"/>
  <pageSetup paperSize="9" scale="82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S503"/>
  <sheetViews>
    <sheetView showGridLines="0" zoomScaleNormal="100" workbookViewId="0">
      <pane xSplit="8" ySplit="8" topLeftCell="BB9" activePane="bottomRight" state="frozen"/>
      <selection activeCell="M58" sqref="M58"/>
      <selection pane="topRight" activeCell="M58" sqref="M58"/>
      <selection pane="bottomLeft" activeCell="M58" sqref="M58"/>
      <selection pane="bottomRight" activeCell="M58" sqref="M58"/>
    </sheetView>
  </sheetViews>
  <sheetFormatPr defaultColWidth="9.140625" defaultRowHeight="15" x14ac:dyDescent="0.25"/>
  <cols>
    <col min="1" max="1" width="5.42578125" style="2" customWidth="1"/>
    <col min="2" max="3" width="20.7109375" style="2" customWidth="1"/>
    <col min="4" max="7" width="12.140625" style="2" customWidth="1"/>
    <col min="8" max="8" width="12.140625" style="12" customWidth="1"/>
    <col min="9" max="16" width="15.5703125" style="2" customWidth="1"/>
    <col min="17" max="17" width="23.28515625" style="2" customWidth="1"/>
    <col min="18" max="36" width="15.5703125" style="2" customWidth="1"/>
    <col min="37" max="38" width="21.140625" style="2" customWidth="1"/>
    <col min="39" max="40" width="15.5703125" style="2" customWidth="1"/>
    <col min="41" max="42" width="22.42578125" style="2" customWidth="1"/>
    <col min="43" max="44" width="20.5703125" style="2" customWidth="1"/>
    <col min="45" max="46" width="15.5703125" style="2" customWidth="1"/>
    <col min="47" max="48" width="18.28515625" style="2" customWidth="1"/>
    <col min="49" max="50" width="20.5703125" style="2" customWidth="1"/>
    <col min="51" max="52" width="21.140625" style="2" customWidth="1"/>
    <col min="53" max="54" width="18.28515625" style="2" customWidth="1"/>
    <col min="55" max="56" width="21.140625" style="2" customWidth="1"/>
    <col min="57" max="70" width="15.5703125" style="2" customWidth="1"/>
    <col min="71" max="71" width="16.5703125" style="2" customWidth="1"/>
    <col min="72" max="16384" width="9.140625" style="2"/>
  </cols>
  <sheetData>
    <row r="1" spans="1:71" s="1" customFormat="1" ht="18.75" x14ac:dyDescent="0.25">
      <c r="A1" s="130" t="s">
        <v>16</v>
      </c>
      <c r="B1" s="3"/>
      <c r="C1" s="3"/>
      <c r="D1" s="3"/>
      <c r="E1" s="3"/>
      <c r="H1" s="11"/>
    </row>
    <row r="2" spans="1:71" s="1" customFormat="1" ht="16.5" customHeight="1" x14ac:dyDescent="0.25">
      <c r="A2" s="4" t="s">
        <v>17</v>
      </c>
      <c r="B2" s="4"/>
      <c r="C2" s="4"/>
      <c r="D2" s="4"/>
      <c r="E2" s="4"/>
      <c r="H2" s="11"/>
    </row>
    <row r="3" spans="1:71" s="1" customFormat="1" ht="6.75" customHeight="1" x14ac:dyDescent="0.25">
      <c r="B3" s="6"/>
      <c r="C3" s="6"/>
      <c r="D3" s="6"/>
      <c r="E3" s="6"/>
      <c r="H3" s="11"/>
    </row>
    <row r="4" spans="1:71" s="1" customFormat="1" ht="16.5" customHeight="1" x14ac:dyDescent="0.25">
      <c r="A4" s="202" t="s">
        <v>18</v>
      </c>
      <c r="B4" s="202"/>
      <c r="C4" s="202"/>
      <c r="D4" s="5"/>
      <c r="E4" s="5"/>
      <c r="H4" s="11"/>
    </row>
    <row r="5" spans="1:71" ht="16.5" customHeight="1" x14ac:dyDescent="0.25">
      <c r="A5" s="247">
        <v>1045</v>
      </c>
      <c r="B5" s="247"/>
      <c r="C5" s="202"/>
      <c r="D5" s="5"/>
      <c r="E5" s="5"/>
    </row>
    <row r="6" spans="1:71" ht="9" customHeight="1" x14ac:dyDescent="0.25">
      <c r="A6" s="7"/>
      <c r="B6" s="7"/>
      <c r="C6" s="7"/>
      <c r="D6" s="7"/>
      <c r="E6" s="7"/>
    </row>
    <row r="7" spans="1:71" s="10" customFormat="1" ht="18.75" customHeight="1" x14ac:dyDescent="0.25">
      <c r="A7" s="239" t="s">
        <v>19</v>
      </c>
      <c r="B7" s="238"/>
      <c r="C7" s="238"/>
      <c r="D7" s="238"/>
      <c r="E7" s="238"/>
      <c r="F7" s="238"/>
      <c r="G7" s="238"/>
      <c r="H7" s="238"/>
      <c r="I7" s="246" t="s">
        <v>20</v>
      </c>
      <c r="J7" s="238"/>
      <c r="K7" s="238"/>
      <c r="L7" s="238"/>
      <c r="M7" s="238"/>
      <c r="N7" s="240"/>
      <c r="O7" s="238" t="s">
        <v>21</v>
      </c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40"/>
      <c r="AG7" s="246" t="s">
        <v>22</v>
      </c>
      <c r="AH7" s="238"/>
      <c r="AI7" s="238"/>
      <c r="AJ7" s="238"/>
      <c r="AK7" s="238"/>
      <c r="AL7" s="238"/>
      <c r="AM7" s="238"/>
      <c r="AN7" s="238"/>
      <c r="AO7" s="238"/>
      <c r="AP7" s="238"/>
      <c r="AQ7" s="238"/>
      <c r="AR7" s="240"/>
      <c r="AS7" s="246" t="s">
        <v>23</v>
      </c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40"/>
      <c r="BE7" s="238" t="s">
        <v>24</v>
      </c>
      <c r="BF7" s="238"/>
      <c r="BG7" s="238"/>
      <c r="BH7" s="238"/>
      <c r="BI7" s="246" t="s">
        <v>25</v>
      </c>
      <c r="BJ7" s="238"/>
      <c r="BK7" s="238"/>
      <c r="BL7" s="238"/>
      <c r="BM7" s="238"/>
      <c r="BN7" s="238"/>
      <c r="BO7" s="238"/>
      <c r="BP7" s="238"/>
      <c r="BQ7" s="238"/>
      <c r="BR7" s="238"/>
      <c r="BS7" s="38"/>
    </row>
    <row r="8" spans="1:71" s="9" customFormat="1" ht="30.75" customHeight="1" x14ac:dyDescent="0.25">
      <c r="A8" s="248" t="s">
        <v>19</v>
      </c>
      <c r="B8" s="244"/>
      <c r="C8" s="244"/>
      <c r="D8" s="244"/>
      <c r="E8" s="243" t="s">
        <v>26</v>
      </c>
      <c r="F8" s="244"/>
      <c r="G8" s="244"/>
      <c r="H8" s="244"/>
      <c r="I8" s="243" t="s">
        <v>27</v>
      </c>
      <c r="J8" s="244"/>
      <c r="K8" s="244"/>
      <c r="L8" s="244"/>
      <c r="M8" s="244"/>
      <c r="N8" s="245"/>
      <c r="O8" s="244" t="s">
        <v>28</v>
      </c>
      <c r="P8" s="244"/>
      <c r="Q8" s="244"/>
      <c r="R8" s="243" t="s">
        <v>29</v>
      </c>
      <c r="S8" s="244"/>
      <c r="T8" s="244"/>
      <c r="U8" s="244"/>
      <c r="V8" s="244"/>
      <c r="W8" s="244"/>
      <c r="X8" s="244"/>
      <c r="Y8" s="244"/>
      <c r="Z8" s="245"/>
      <c r="AA8" s="243" t="s">
        <v>30</v>
      </c>
      <c r="AB8" s="244"/>
      <c r="AC8" s="244"/>
      <c r="AD8" s="244"/>
      <c r="AE8" s="244"/>
      <c r="AF8" s="245"/>
      <c r="AG8" s="244" t="s">
        <v>31</v>
      </c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5"/>
      <c r="AS8" s="243" t="s">
        <v>32</v>
      </c>
      <c r="AT8" s="244"/>
      <c r="AU8" s="244"/>
      <c r="AV8" s="244"/>
      <c r="AW8" s="244"/>
      <c r="AX8" s="244"/>
      <c r="AY8" s="244"/>
      <c r="AZ8" s="244"/>
      <c r="BA8" s="244"/>
      <c r="BB8" s="245"/>
      <c r="BC8" s="244" t="s">
        <v>33</v>
      </c>
      <c r="BD8" s="244"/>
      <c r="BE8" s="243" t="s">
        <v>34</v>
      </c>
      <c r="BF8" s="244"/>
      <c r="BG8" s="244"/>
      <c r="BH8" s="244"/>
      <c r="BI8" s="241" t="s">
        <v>35</v>
      </c>
      <c r="BJ8" s="242"/>
      <c r="BK8" s="242"/>
      <c r="BL8" s="242"/>
      <c r="BM8" s="241" t="s">
        <v>36</v>
      </c>
      <c r="BN8" s="242"/>
      <c r="BO8" s="242"/>
      <c r="BP8" s="242"/>
      <c r="BQ8" s="242"/>
      <c r="BR8" s="242"/>
      <c r="BS8" s="43" t="s">
        <v>37</v>
      </c>
    </row>
    <row r="9" spans="1:71" s="22" customFormat="1" ht="45" customHeight="1" x14ac:dyDescent="0.25">
      <c r="A9" s="15" t="s">
        <v>38</v>
      </c>
      <c r="B9" s="15" t="s">
        <v>39</v>
      </c>
      <c r="C9" s="15" t="s">
        <v>40</v>
      </c>
      <c r="D9" s="18" t="s">
        <v>41</v>
      </c>
      <c r="E9" s="20" t="s">
        <v>42</v>
      </c>
      <c r="F9" s="15" t="s">
        <v>43</v>
      </c>
      <c r="G9" s="15" t="s">
        <v>44</v>
      </c>
      <c r="H9" s="18" t="s">
        <v>45</v>
      </c>
      <c r="I9" s="20" t="s">
        <v>43</v>
      </c>
      <c r="J9" s="16" t="s">
        <v>46</v>
      </c>
      <c r="K9" s="15" t="s">
        <v>47</v>
      </c>
      <c r="L9" s="16" t="s">
        <v>48</v>
      </c>
      <c r="M9" s="15" t="s">
        <v>49</v>
      </c>
      <c r="N9" s="17" t="s">
        <v>68</v>
      </c>
      <c r="O9" s="16" t="s">
        <v>51</v>
      </c>
      <c r="P9" s="17" t="s">
        <v>52</v>
      </c>
      <c r="Q9" s="18" t="s">
        <v>53</v>
      </c>
      <c r="R9" s="20" t="s">
        <v>54</v>
      </c>
      <c r="S9" s="15" t="s">
        <v>55</v>
      </c>
      <c r="T9" s="15" t="s">
        <v>56</v>
      </c>
      <c r="U9" s="18" t="s">
        <v>57</v>
      </c>
      <c r="V9" s="15" t="s">
        <v>58</v>
      </c>
      <c r="W9" s="15" t="s">
        <v>59</v>
      </c>
      <c r="X9" s="15" t="s">
        <v>60</v>
      </c>
      <c r="Y9" s="15" t="s">
        <v>61</v>
      </c>
      <c r="Z9" s="17" t="s">
        <v>62</v>
      </c>
      <c r="AA9" s="15" t="s">
        <v>63</v>
      </c>
      <c r="AB9" s="15" t="s">
        <v>64</v>
      </c>
      <c r="AC9" s="15" t="s">
        <v>65</v>
      </c>
      <c r="AD9" s="15" t="s">
        <v>66</v>
      </c>
      <c r="AE9" s="15" t="s">
        <v>67</v>
      </c>
      <c r="AF9" s="17" t="s">
        <v>68</v>
      </c>
      <c r="AG9" s="21" t="s">
        <v>69</v>
      </c>
      <c r="AH9" s="15" t="s">
        <v>70</v>
      </c>
      <c r="AI9" s="16" t="s">
        <v>71</v>
      </c>
      <c r="AJ9" s="15" t="s">
        <v>72</v>
      </c>
      <c r="AK9" s="15" t="s">
        <v>73</v>
      </c>
      <c r="AL9" s="15" t="s">
        <v>74</v>
      </c>
      <c r="AM9" s="15" t="s">
        <v>75</v>
      </c>
      <c r="AN9" s="15" t="s">
        <v>76</v>
      </c>
      <c r="AO9" s="15" t="s">
        <v>77</v>
      </c>
      <c r="AP9" s="15" t="s">
        <v>78</v>
      </c>
      <c r="AQ9" s="18" t="s">
        <v>79</v>
      </c>
      <c r="AR9" s="15" t="s">
        <v>80</v>
      </c>
      <c r="AS9" s="99" t="s">
        <v>81</v>
      </c>
      <c r="AT9" s="15" t="s">
        <v>82</v>
      </c>
      <c r="AU9" s="100" t="s">
        <v>83</v>
      </c>
      <c r="AV9" s="15" t="s">
        <v>84</v>
      </c>
      <c r="AW9" s="100" t="s">
        <v>85</v>
      </c>
      <c r="AX9" s="15" t="s">
        <v>86</v>
      </c>
      <c r="AY9" s="100" t="s">
        <v>87</v>
      </c>
      <c r="AZ9" s="15" t="s">
        <v>88</v>
      </c>
      <c r="BA9" s="100" t="s">
        <v>89</v>
      </c>
      <c r="BB9" s="17" t="s">
        <v>90</v>
      </c>
      <c r="BC9" s="101" t="s">
        <v>91</v>
      </c>
      <c r="BD9" s="18" t="s">
        <v>92</v>
      </c>
      <c r="BE9" s="99" t="s">
        <v>93</v>
      </c>
      <c r="BF9" s="15" t="s">
        <v>94</v>
      </c>
      <c r="BG9" s="100" t="s">
        <v>95</v>
      </c>
      <c r="BH9" s="102" t="s">
        <v>50</v>
      </c>
      <c r="BI9" s="101" t="s">
        <v>97</v>
      </c>
      <c r="BJ9" s="100" t="s">
        <v>98</v>
      </c>
      <c r="BK9" s="103" t="s">
        <v>99</v>
      </c>
      <c r="BL9" s="104" t="s">
        <v>100</v>
      </c>
      <c r="BM9" s="99" t="s">
        <v>101</v>
      </c>
      <c r="BN9" s="100" t="s">
        <v>102</v>
      </c>
      <c r="BO9" s="104" t="s">
        <v>103</v>
      </c>
      <c r="BP9" s="104" t="s">
        <v>104</v>
      </c>
      <c r="BQ9" s="100" t="s">
        <v>105</v>
      </c>
      <c r="BR9" s="104" t="s">
        <v>106</v>
      </c>
      <c r="BS9" s="39" t="s">
        <v>107</v>
      </c>
    </row>
    <row r="10" spans="1:71" s="8" customFormat="1" ht="15" customHeight="1" x14ac:dyDescent="0.25">
      <c r="A10" s="14" t="s">
        <v>108</v>
      </c>
      <c r="B10" s="14" t="str">
        <f>'planilha - proposta'!C55</f>
        <v>Maqueiro</v>
      </c>
      <c r="C10" s="14" t="str">
        <f>'planilha - proposta'!D55</f>
        <v>Maqueiro - 12x36d</v>
      </c>
      <c r="D10" s="19" t="str">
        <f>'planilha - proposta'!B55</f>
        <v>5151-10</v>
      </c>
      <c r="E10" s="30">
        <f>'planilha - proposta'!E55</f>
        <v>10</v>
      </c>
      <c r="F10" s="105">
        <v>1068.03</v>
      </c>
      <c r="G10" s="105" t="s">
        <v>134</v>
      </c>
      <c r="H10" s="132">
        <v>43686</v>
      </c>
      <c r="I10" s="107">
        <v>1068.03</v>
      </c>
      <c r="J10" s="108"/>
      <c r="K10" s="125">
        <f t="shared" ref="K10:K15" si="0">J10*I10</f>
        <v>0</v>
      </c>
      <c r="L10" s="108">
        <v>0.2</v>
      </c>
      <c r="M10" s="35">
        <f t="shared" ref="M10:M15" si="1">L10*$A$5</f>
        <v>209</v>
      </c>
      <c r="N10" s="109">
        <v>0</v>
      </c>
      <c r="O10" s="37">
        <f t="shared" ref="O10:O12" si="2">(I10+K10+M10+N10)*0.0833</f>
        <v>106.376599</v>
      </c>
      <c r="P10" s="35">
        <f>(I10+K10+M10+N10)*0.11108</f>
        <v>141.85249239999999</v>
      </c>
      <c r="Q10" s="31">
        <f t="shared" ref="Q10:Q12" si="3">(0.338+T10)*(O10+P10)</f>
        <v>83.901432893199996</v>
      </c>
      <c r="R10" s="23">
        <f t="shared" ref="R10:R12" si="4">0.2*(I10+K10+M10+N10)</f>
        <v>255.40600000000001</v>
      </c>
      <c r="S10" s="35">
        <f t="shared" ref="S10:S12" si="5">0.025*(I10+K10+M10+N10)</f>
        <v>31.925750000000001</v>
      </c>
      <c r="T10" s="110"/>
      <c r="U10" s="35">
        <f t="shared" ref="U10:U15" si="6">T10*($I10+$K10+$M10+$N10)</f>
        <v>0</v>
      </c>
      <c r="V10" s="35">
        <f t="shared" ref="V10:V12" si="7">0.015*(I10+K10+M10+N10)</f>
        <v>19.155449999999998</v>
      </c>
      <c r="W10" s="35">
        <f t="shared" ref="W10:W12" si="8">0.01*(I10+K10+M10+N10)</f>
        <v>12.770300000000001</v>
      </c>
      <c r="X10" s="35">
        <f t="shared" ref="X10:X12" si="9">0.006*(I10+K10+M10+N10)</f>
        <v>7.6621800000000002</v>
      </c>
      <c r="Y10" s="35">
        <f t="shared" ref="Y10:Y12" si="10">0.002*(I10+K10+M10+N10)</f>
        <v>2.5540600000000002</v>
      </c>
      <c r="Z10" s="34">
        <f t="shared" ref="Z10:Z12" si="11">0.08*(I10+K10+M10+N10)</f>
        <v>102.16240000000001</v>
      </c>
      <c r="AA10" s="111">
        <f>15*2*4.15-F10*0.06</f>
        <v>60.418200000000013</v>
      </c>
      <c r="AB10" s="112">
        <v>140</v>
      </c>
      <c r="AC10" s="112">
        <v>0</v>
      </c>
      <c r="AD10" s="112">
        <v>0</v>
      </c>
      <c r="AE10" s="112">
        <v>18.5</v>
      </c>
      <c r="AF10" s="113">
        <v>0</v>
      </c>
      <c r="AG10" s="114">
        <v>4.1999999999999997E-3</v>
      </c>
      <c r="AH10" s="29">
        <f t="shared" ref="AH10:AH15" si="12">AG10*($I10+$K10+$M10+$N10)</f>
        <v>5.3635259999999993</v>
      </c>
      <c r="AI10" s="110">
        <v>2.9999999999999997E-4</v>
      </c>
      <c r="AJ10" s="29">
        <f t="shared" ref="AJ10:AJ15" si="13">AI10*($I10+$K10+$M10+$N10)</f>
        <v>0.38310899999999998</v>
      </c>
      <c r="AK10" s="110">
        <v>3.2000000000000001E-2</v>
      </c>
      <c r="AL10" s="29">
        <f t="shared" ref="AL10:AL15" si="14">AK10*($I10+$K10+$M10+$N10)</f>
        <v>40.864960000000004</v>
      </c>
      <c r="AM10" s="110">
        <f>'calculo - nutricao'!AM10</f>
        <v>1.9400000000000001E-2</v>
      </c>
      <c r="AN10" s="29">
        <f t="shared" ref="AN10:AN15" si="15">AM10*($I10+$K10+$M10+$N10)</f>
        <v>24.774381999999999</v>
      </c>
      <c r="AO10" s="110">
        <v>7.2000000000000005E-4</v>
      </c>
      <c r="AP10" s="29">
        <f t="shared" ref="AP10:AP15" si="16">AO10*($I10+$K10+$M10+$N10)</f>
        <v>0.91946159999999999</v>
      </c>
      <c r="AQ10" s="110">
        <v>1E-3</v>
      </c>
      <c r="AR10" s="36">
        <f t="shared" ref="AR10:AR15" si="17">AQ10*($I10+$K10+$M10+$N10)</f>
        <v>1.2770300000000001</v>
      </c>
      <c r="AS10" s="115">
        <v>8.0000000000000004E-4</v>
      </c>
      <c r="AT10" s="29">
        <f t="shared" ref="AT10:AT12" si="18">AS10*(I10+K10+M10+N10)</f>
        <v>1.0216240000000001</v>
      </c>
      <c r="AU10" s="110">
        <v>2.0000000000000001E-4</v>
      </c>
      <c r="AV10" s="35">
        <f t="shared" ref="AV10:AV12" si="19">AU10*(I10+K10+M10+N10)</f>
        <v>0.25540600000000002</v>
      </c>
      <c r="AW10" s="110">
        <v>4.0000000000000002E-4</v>
      </c>
      <c r="AX10" s="35">
        <f t="shared" ref="AX10:AX12" si="20">AW10*(I10+K10+M10+N10)</f>
        <v>0.51081200000000004</v>
      </c>
      <c r="AY10" s="110">
        <v>6.9999999999999999E-4</v>
      </c>
      <c r="AZ10" s="35">
        <f t="shared" ref="AZ10:AZ12" si="21">AY10*(I10+K10+M10+N10)</f>
        <v>0.89392099999999997</v>
      </c>
      <c r="BA10" s="110">
        <f>9.08/100+0.33/100</f>
        <v>9.4100000000000003E-2</v>
      </c>
      <c r="BB10" s="34">
        <f t="shared" ref="BB10:BB12" si="22">BA10*(I10+K10+M10+N10)</f>
        <v>120.16852300000001</v>
      </c>
      <c r="BC10" s="114">
        <v>0</v>
      </c>
      <c r="BD10" s="31">
        <f t="shared" ref="BD10:BD12" si="23">BC10*(I10+K10+M10+N10)</f>
        <v>0</v>
      </c>
      <c r="BE10" s="32">
        <f>IF(E10=0,0,'Uniformes '!$K$219)</f>
        <v>61.031666666666652</v>
      </c>
      <c r="BF10" s="33">
        <f>IF(E10=0,0,custoEPI_huol!$M$429)</f>
        <v>0</v>
      </c>
      <c r="BG10" s="187">
        <f>IF(OR(Radios!$B$9=B10,Radios!$B$10=B10,Radios!$B$11=B10,Radios!$B$12=B10,Radios!$B$13=B10,Radios!$B$14=B10,Radios!$B$15=B10,Radios!$B$16=B10),Radios!$I$18,0)</f>
        <v>14.631050228310501</v>
      </c>
      <c r="BH10" s="184">
        <v>0</v>
      </c>
      <c r="BI10" s="117">
        <v>0.06</v>
      </c>
      <c r="BJ10" s="29">
        <f t="shared" ref="BJ10:BJ12" si="24">BI10*(I10+K10+M10+N10+O10+P10+Q10+R10+S10+U10+V10+W10+X10+Y10+Z10+AA10+AB10+AC10+AD10+AE10+AF10+AH10+AJ10+AL10+AN10+AP10+AR10+AT10+AV10+AX10+AZ10+BB10+BD10+BE10+BF10+BG10+BH10)</f>
        <v>151.90862014729061</v>
      </c>
      <c r="BK10" s="114">
        <v>6.7900000000000002E-2</v>
      </c>
      <c r="BL10" s="27">
        <f t="shared" ref="BL10:BL12" si="25">BK10*(I10+K10+M10+N10+O10+P10+Q10+R10+S10+U10+V10+W10+X10+Y10+Z10+AA10+AB10+AC10+AD10+AE10+AF10+AH10+AJ10+AL10+AN10+AP10+AR10+AT10+AV10+AX10+AZ10+BB10+BD10+BE10+BF10+BG10+BH10+BJ10)</f>
        <v>182.22451710801823</v>
      </c>
      <c r="BM10" s="115">
        <v>9.2499999999999999E-2</v>
      </c>
      <c r="BN10" s="29">
        <f t="shared" ref="BN10:BN12" si="26">BM10*(I10+K10+M10+N10+O10+P10+Q10+R10+S10+U10+V10+W10+X10+Y10+Z10+AA10+AB10+AC10+AD10+AE10+AF10+AH10+AJ10+AL10+AN10+AP10+AR10+AT10+AV10+AX10+AZ10+BB10+BD10+BE10+BF10+BG10+BH10+BJ10+BL10)/(1-(BM10+BO10+BQ10))</f>
        <v>309.15425219419524</v>
      </c>
      <c r="BO10" s="118">
        <v>0</v>
      </c>
      <c r="BP10" s="27">
        <f t="shared" ref="BP10:BP12" si="27">BO10*(I10+K10+M10+N10+O10+P10+Q10+R10+S10+U10+V10+W10+X10+Y10+Z10+AA10+AB10+AC10+AD10+AE10+AF10+AH10+AJ10+AL10+AN10+AP10+AR10+AT10+AV10+AX10+AZ10+BB10+BD10+BE10+BF10+BG10+BH10+BJ10+BL10)/(1-(BM10+BO10+BQ10))</f>
        <v>0</v>
      </c>
      <c r="BQ10" s="110">
        <v>0.05</v>
      </c>
      <c r="BR10" s="27">
        <f t="shared" ref="BR10:BR12" si="28">BQ10*(I10+K10+M10+N10+O10+P10+Q10+R10+S10+U10+V10+W10+X10+Y10+Z10+AA10+AB10+AC10+AD10+AE10+AF10+AH10+AJ10+AL10+AN10+AP10+AR10+AT10+AV10+AX10+AZ10+BB10+BD10+BE10+BF10+BG10+BH10+BJ10+BL10)/(1-(BM10+BO10+BQ10))</f>
        <v>167.11040659145689</v>
      </c>
      <c r="BS10" s="40">
        <f>I10+K10+M10+N10+O10+P10+Q10+R10+S10+U10+V10+W10+X10+Y10+Z10+AA10+AB10+AC10+AD10+AE10+AF10+AH10+AJ10+AL10+AN10+AP10+AR10+AT10+AV10+AX10+AZ10+BB10+BD10+BE10+BF10+BG10+BH10+BJ10+BL10+BN10+BP10+BR10</f>
        <v>3342.2081318291375</v>
      </c>
    </row>
    <row r="11" spans="1:71" s="8" customFormat="1" ht="15" customHeight="1" x14ac:dyDescent="0.25">
      <c r="A11" s="14" t="s">
        <v>110</v>
      </c>
      <c r="B11" s="14" t="str">
        <f>'planilha - proposta'!C56</f>
        <v>Maqueiro</v>
      </c>
      <c r="C11" s="14" t="str">
        <f>'planilha - proposta'!D56</f>
        <v>Maqueiro - 12x36n</v>
      </c>
      <c r="D11" s="19" t="str">
        <f>'planilha - proposta'!B56</f>
        <v>5151-10</v>
      </c>
      <c r="E11" s="30">
        <f>'planilha - proposta'!E56</f>
        <v>6</v>
      </c>
      <c r="F11" s="105">
        <v>1068.03</v>
      </c>
      <c r="G11" s="105" t="s">
        <v>134</v>
      </c>
      <c r="H11" s="132">
        <v>43686</v>
      </c>
      <c r="I11" s="107">
        <f>1068.03*1.035</f>
        <v>1105.4110499999999</v>
      </c>
      <c r="J11" s="108"/>
      <c r="K11" s="125">
        <f t="shared" si="0"/>
        <v>0</v>
      </c>
      <c r="L11" s="108">
        <v>0.2</v>
      </c>
      <c r="M11" s="35">
        <f t="shared" si="1"/>
        <v>209</v>
      </c>
      <c r="N11" s="109">
        <v>0</v>
      </c>
      <c r="O11" s="37">
        <f t="shared" si="2"/>
        <v>109.49044046499999</v>
      </c>
      <c r="P11" s="35">
        <f t="shared" ref="P11:P15" si="29">(I11+K11+M11+N11)*0.11108</f>
        <v>146.004779434</v>
      </c>
      <c r="Q11" s="31">
        <f t="shared" si="3"/>
        <v>86.357384325862014</v>
      </c>
      <c r="R11" s="23">
        <f t="shared" si="4"/>
        <v>262.88220999999999</v>
      </c>
      <c r="S11" s="35">
        <f t="shared" si="5"/>
        <v>32.860276249999998</v>
      </c>
      <c r="T11" s="110"/>
      <c r="U11" s="35">
        <f t="shared" si="6"/>
        <v>0</v>
      </c>
      <c r="V11" s="35">
        <f t="shared" si="7"/>
        <v>19.716165749999998</v>
      </c>
      <c r="W11" s="35">
        <f t="shared" si="8"/>
        <v>13.1441105</v>
      </c>
      <c r="X11" s="35">
        <f t="shared" si="9"/>
        <v>7.8864662999999995</v>
      </c>
      <c r="Y11" s="35">
        <f t="shared" si="10"/>
        <v>2.6288220999999998</v>
      </c>
      <c r="Z11" s="34">
        <f t="shared" si="11"/>
        <v>105.152884</v>
      </c>
      <c r="AA11" s="111">
        <f t="shared" ref="AA11" si="30">15*2*4.15-F11*0.06</f>
        <v>60.418200000000013</v>
      </c>
      <c r="AB11" s="112">
        <v>140</v>
      </c>
      <c r="AC11" s="112">
        <v>0</v>
      </c>
      <c r="AD11" s="112">
        <v>0</v>
      </c>
      <c r="AE11" s="112">
        <v>18.5</v>
      </c>
      <c r="AF11" s="113">
        <v>0</v>
      </c>
      <c r="AG11" s="114">
        <v>4.1999999999999997E-3</v>
      </c>
      <c r="AH11" s="29">
        <f t="shared" si="12"/>
        <v>5.5205264099999996</v>
      </c>
      <c r="AI11" s="110">
        <v>2.9999999999999997E-4</v>
      </c>
      <c r="AJ11" s="29">
        <f t="shared" si="13"/>
        <v>0.39432331499999995</v>
      </c>
      <c r="AK11" s="110">
        <v>3.2000000000000001E-2</v>
      </c>
      <c r="AL11" s="29">
        <f t="shared" si="14"/>
        <v>42.061153599999997</v>
      </c>
      <c r="AM11" s="110">
        <f>AM10</f>
        <v>1.9400000000000001E-2</v>
      </c>
      <c r="AN11" s="29">
        <f t="shared" si="15"/>
        <v>25.499574369999998</v>
      </c>
      <c r="AO11" s="110">
        <v>7.2000000000000005E-4</v>
      </c>
      <c r="AP11" s="29">
        <f t="shared" si="16"/>
        <v>0.94637595600000002</v>
      </c>
      <c r="AQ11" s="110">
        <v>1E-3</v>
      </c>
      <c r="AR11" s="36">
        <f t="shared" si="17"/>
        <v>1.3144110499999999</v>
      </c>
      <c r="AS11" s="115">
        <v>8.0000000000000004E-4</v>
      </c>
      <c r="AT11" s="29">
        <f t="shared" si="18"/>
        <v>1.05152884</v>
      </c>
      <c r="AU11" s="110">
        <v>2.0000000000000001E-4</v>
      </c>
      <c r="AV11" s="35">
        <f t="shared" si="19"/>
        <v>0.26288221000000001</v>
      </c>
      <c r="AW11" s="110">
        <v>4.0000000000000002E-4</v>
      </c>
      <c r="AX11" s="35">
        <f t="shared" si="20"/>
        <v>0.52576442000000001</v>
      </c>
      <c r="AY11" s="110">
        <v>6.9999999999999999E-4</v>
      </c>
      <c r="AZ11" s="35">
        <f t="shared" si="21"/>
        <v>0.92008773499999996</v>
      </c>
      <c r="BA11" s="110">
        <v>9.4100000000000003E-2</v>
      </c>
      <c r="BB11" s="34">
        <f t="shared" si="22"/>
        <v>123.68607980499999</v>
      </c>
      <c r="BC11" s="114">
        <v>0</v>
      </c>
      <c r="BD11" s="31">
        <f t="shared" si="23"/>
        <v>0</v>
      </c>
      <c r="BE11" s="32">
        <f>IF(E11=0,0,'Uniformes '!$K$219)</f>
        <v>61.031666666666652</v>
      </c>
      <c r="BF11" s="33">
        <f>IF(E11=0,0,custoEPI_huol!$M$429)</f>
        <v>0</v>
      </c>
      <c r="BG11" s="187">
        <f>IF(OR(Radios!$B$9=B11,Radios!$B$10=B11,Radios!$B$11=B11,Radios!$B$12=B11,Radios!$B$13=B11,Radios!$B$14=B11,Radios!$B$15=B11,Radios!$B$16=B11),Radios!$I$18,0)</f>
        <v>14.631050228310501</v>
      </c>
      <c r="BH11" s="184">
        <v>0</v>
      </c>
      <c r="BI11" s="117">
        <v>0.06</v>
      </c>
      <c r="BJ11" s="29">
        <f t="shared" si="24"/>
        <v>155.83789282385035</v>
      </c>
      <c r="BK11" s="114">
        <v>6.7900000000000002E-2</v>
      </c>
      <c r="BL11" s="27">
        <f t="shared" si="25"/>
        <v>186.93794163506345</v>
      </c>
      <c r="BM11" s="115">
        <v>9.2499999999999999E-2</v>
      </c>
      <c r="BN11" s="29">
        <f t="shared" si="26"/>
        <v>317.15084484845733</v>
      </c>
      <c r="BO11" s="118">
        <v>0</v>
      </c>
      <c r="BP11" s="27">
        <f t="shared" si="27"/>
        <v>0</v>
      </c>
      <c r="BQ11" s="110">
        <v>0.05</v>
      </c>
      <c r="BR11" s="27">
        <f t="shared" si="28"/>
        <v>171.43288910727426</v>
      </c>
      <c r="BS11" s="40">
        <f t="shared" ref="BS11:BS15" si="31">I11+K11+M11+N11+O11+P11+Q11+R11+S11+U11+V11+W11+X11+Y11+Z11+AA11+AB11+AC11+AD11+AE11+AF11+AH11+AJ11+AL11+AN11+AP11+AR11+AT11+AV11+AX11+AZ11+BB11+BD11+BE11+BF11+BG11+BH11+BJ11+BL11+BN11+BP11+BR11</f>
        <v>3428.6577821454848</v>
      </c>
    </row>
    <row r="12" spans="1:71" s="8" customFormat="1" ht="15" customHeight="1" x14ac:dyDescent="0.25">
      <c r="A12" s="14" t="s">
        <v>111</v>
      </c>
      <c r="B12" s="14" t="str">
        <f>'planilha - proposta'!C57</f>
        <v>Maqueiro</v>
      </c>
      <c r="C12" s="14" t="str">
        <f>'planilha - proposta'!D57</f>
        <v>Maqueiro - 44h</v>
      </c>
      <c r="D12" s="19" t="str">
        <f>'planilha - proposta'!B57</f>
        <v>5151-10</v>
      </c>
      <c r="E12" s="30">
        <f>'planilha - proposta'!E57</f>
        <v>5</v>
      </c>
      <c r="F12" s="105">
        <v>1068.03</v>
      </c>
      <c r="G12" s="105" t="s">
        <v>134</v>
      </c>
      <c r="H12" s="132">
        <v>43686</v>
      </c>
      <c r="I12" s="107">
        <v>1068.03</v>
      </c>
      <c r="J12" s="108"/>
      <c r="K12" s="125">
        <f t="shared" si="0"/>
        <v>0</v>
      </c>
      <c r="L12" s="108">
        <v>0.2</v>
      </c>
      <c r="M12" s="35">
        <f t="shared" si="1"/>
        <v>209</v>
      </c>
      <c r="N12" s="109">
        <v>0</v>
      </c>
      <c r="O12" s="37">
        <f t="shared" si="2"/>
        <v>106.376599</v>
      </c>
      <c r="P12" s="35">
        <f t="shared" si="29"/>
        <v>141.85249239999999</v>
      </c>
      <c r="Q12" s="31">
        <f t="shared" si="3"/>
        <v>83.901432893199996</v>
      </c>
      <c r="R12" s="23">
        <f t="shared" si="4"/>
        <v>255.40600000000001</v>
      </c>
      <c r="S12" s="35">
        <f t="shared" si="5"/>
        <v>31.925750000000001</v>
      </c>
      <c r="T12" s="110"/>
      <c r="U12" s="35">
        <f t="shared" si="6"/>
        <v>0</v>
      </c>
      <c r="V12" s="35">
        <f t="shared" si="7"/>
        <v>19.155449999999998</v>
      </c>
      <c r="W12" s="35">
        <f t="shared" si="8"/>
        <v>12.770300000000001</v>
      </c>
      <c r="X12" s="35">
        <f t="shared" si="9"/>
        <v>7.6621800000000002</v>
      </c>
      <c r="Y12" s="35">
        <f t="shared" si="10"/>
        <v>2.5540600000000002</v>
      </c>
      <c r="Z12" s="34">
        <f t="shared" si="11"/>
        <v>102.16240000000001</v>
      </c>
      <c r="AA12" s="111">
        <f>26*2*4.15-F12*0.06</f>
        <v>151.71820000000002</v>
      </c>
      <c r="AB12" s="112">
        <v>140</v>
      </c>
      <c r="AC12" s="112">
        <v>0</v>
      </c>
      <c r="AD12" s="112">
        <v>0</v>
      </c>
      <c r="AE12" s="112">
        <v>18.5</v>
      </c>
      <c r="AF12" s="113">
        <v>0</v>
      </c>
      <c r="AG12" s="114">
        <v>4.1999999999999997E-3</v>
      </c>
      <c r="AH12" s="29">
        <f t="shared" si="12"/>
        <v>5.3635259999999993</v>
      </c>
      <c r="AI12" s="110">
        <v>2.9999999999999997E-4</v>
      </c>
      <c r="AJ12" s="29">
        <f t="shared" si="13"/>
        <v>0.38310899999999998</v>
      </c>
      <c r="AK12" s="110">
        <v>3.2000000000000001E-2</v>
      </c>
      <c r="AL12" s="29">
        <f t="shared" si="14"/>
        <v>40.864960000000004</v>
      </c>
      <c r="AM12" s="110">
        <f>AM11</f>
        <v>1.9400000000000001E-2</v>
      </c>
      <c r="AN12" s="29">
        <f t="shared" si="15"/>
        <v>24.774381999999999</v>
      </c>
      <c r="AO12" s="110">
        <v>7.2000000000000005E-4</v>
      </c>
      <c r="AP12" s="29">
        <f t="shared" si="16"/>
        <v>0.91946159999999999</v>
      </c>
      <c r="AQ12" s="110">
        <v>1E-3</v>
      </c>
      <c r="AR12" s="36">
        <f t="shared" si="17"/>
        <v>1.2770300000000001</v>
      </c>
      <c r="AS12" s="115">
        <v>8.0000000000000004E-4</v>
      </c>
      <c r="AT12" s="29">
        <f t="shared" si="18"/>
        <v>1.0216240000000001</v>
      </c>
      <c r="AU12" s="110">
        <v>2.0000000000000001E-4</v>
      </c>
      <c r="AV12" s="35">
        <f t="shared" si="19"/>
        <v>0.25540600000000002</v>
      </c>
      <c r="AW12" s="110">
        <v>4.0000000000000002E-4</v>
      </c>
      <c r="AX12" s="35">
        <f t="shared" si="20"/>
        <v>0.51081200000000004</v>
      </c>
      <c r="AY12" s="110">
        <v>6.9999999999999999E-4</v>
      </c>
      <c r="AZ12" s="35">
        <f t="shared" si="21"/>
        <v>0.89392099999999997</v>
      </c>
      <c r="BA12" s="110">
        <v>9.4100000000000003E-2</v>
      </c>
      <c r="BB12" s="34">
        <f t="shared" si="22"/>
        <v>120.16852300000001</v>
      </c>
      <c r="BC12" s="114">
        <v>0</v>
      </c>
      <c r="BD12" s="31">
        <f t="shared" si="23"/>
        <v>0</v>
      </c>
      <c r="BE12" s="32">
        <f>IF(E12=0,0,'Uniformes '!$K$219)</f>
        <v>61.031666666666652</v>
      </c>
      <c r="BF12" s="33">
        <f>IF(E12=0,0,custoEPI_huol!$M$429)</f>
        <v>0</v>
      </c>
      <c r="BG12" s="187">
        <f>IF(OR(Radios!$B$9=B12,Radios!$B$10=B12,Radios!$B$11=B12,Radios!$B$12=B12,Radios!$B$13=B12,Radios!$B$14=B12,Radios!$B$15=B12,Radios!$B$16=B12),Radios!$I$18,0)</f>
        <v>14.631050228310501</v>
      </c>
      <c r="BH12" s="184">
        <v>0</v>
      </c>
      <c r="BI12" s="117">
        <v>0.06</v>
      </c>
      <c r="BJ12" s="29">
        <f t="shared" si="24"/>
        <v>157.38662014729061</v>
      </c>
      <c r="BK12" s="114">
        <v>6.7900000000000002E-2</v>
      </c>
      <c r="BL12" s="27">
        <f t="shared" si="25"/>
        <v>188.79574330801827</v>
      </c>
      <c r="BM12" s="115">
        <v>9.2499999999999999E-2</v>
      </c>
      <c r="BN12" s="29">
        <f t="shared" si="26"/>
        <v>320.30271099711075</v>
      </c>
      <c r="BO12" s="118">
        <v>0</v>
      </c>
      <c r="BP12" s="27">
        <f t="shared" si="27"/>
        <v>0</v>
      </c>
      <c r="BQ12" s="110">
        <v>0.05</v>
      </c>
      <c r="BR12" s="27">
        <f t="shared" si="28"/>
        <v>173.1366005389788</v>
      </c>
      <c r="BS12" s="40">
        <f t="shared" si="31"/>
        <v>3462.7320107795754</v>
      </c>
    </row>
    <row r="13" spans="1:71" s="8" customFormat="1" ht="15" customHeight="1" x14ac:dyDescent="0.25">
      <c r="A13" s="14" t="s">
        <v>113</v>
      </c>
      <c r="B13" s="14" t="str">
        <f>'planilha - proposta'!C58</f>
        <v>Motorista</v>
      </c>
      <c r="C13" s="14" t="str">
        <f>'planilha - proposta'!D58</f>
        <v>Motorista - 44h</v>
      </c>
      <c r="D13" s="19" t="str">
        <f>'planilha - proposta'!B58</f>
        <v>7823-05</v>
      </c>
      <c r="E13" s="30">
        <f>'planilha - proposta'!E58</f>
        <v>1</v>
      </c>
      <c r="F13" s="105">
        <v>1736.5</v>
      </c>
      <c r="G13" s="105" t="s">
        <v>135</v>
      </c>
      <c r="H13" s="132">
        <v>43663</v>
      </c>
      <c r="I13" s="107">
        <v>1736.5</v>
      </c>
      <c r="J13" s="108"/>
      <c r="K13" s="125">
        <f t="shared" si="0"/>
        <v>0</v>
      </c>
      <c r="L13" s="108"/>
      <c r="M13" s="35">
        <f>L13*$A$5</f>
        <v>0</v>
      </c>
      <c r="N13" s="109">
        <v>0</v>
      </c>
      <c r="O13" s="37">
        <f>(I13+K13+M13+N13)*0.0833</f>
        <v>144.65045000000001</v>
      </c>
      <c r="P13" s="35">
        <f t="shared" si="29"/>
        <v>192.89042000000001</v>
      </c>
      <c r="Q13" s="31">
        <f>(0.338+T13)*(O13+P13)</f>
        <v>114.08881406000002</v>
      </c>
      <c r="R13" s="23">
        <f>0.2*(I13+K13+M13+N13)</f>
        <v>347.3</v>
      </c>
      <c r="S13" s="35">
        <f>0.025*(I13+K13+M13+N13)</f>
        <v>43.412500000000001</v>
      </c>
      <c r="T13" s="110"/>
      <c r="U13" s="35">
        <f>T13*($I13+$K13+$M13+$N13)</f>
        <v>0</v>
      </c>
      <c r="V13" s="35">
        <f>0.015*(I13+K13+M13+N13)</f>
        <v>26.047499999999999</v>
      </c>
      <c r="W13" s="35">
        <f>0.01*(I13+K13+M13+N13)</f>
        <v>17.365000000000002</v>
      </c>
      <c r="X13" s="35">
        <f>0.006*(I13+K13+M13+N13)</f>
        <v>10.419</v>
      </c>
      <c r="Y13" s="35">
        <f>0.002*(I13+K13+M13+N13)</f>
        <v>3.4729999999999999</v>
      </c>
      <c r="Z13" s="34">
        <f>0.08*(I13+K13+M13+N13)</f>
        <v>138.92000000000002</v>
      </c>
      <c r="AA13" s="111">
        <f>26*2*4.15-F13*0.06</f>
        <v>111.61000000000001</v>
      </c>
      <c r="AB13" s="112">
        <v>528</v>
      </c>
      <c r="AC13" s="112">
        <v>97.87</v>
      </c>
      <c r="AD13" s="112">
        <v>0</v>
      </c>
      <c r="AE13" s="112">
        <v>0</v>
      </c>
      <c r="AF13" s="113">
        <v>11</v>
      </c>
      <c r="AG13" s="114">
        <f>+AG12</f>
        <v>4.1999999999999997E-3</v>
      </c>
      <c r="AH13" s="29">
        <f>AG13*($I13+$K13+$M13+$N13)</f>
        <v>7.2932999999999995</v>
      </c>
      <c r="AI13" s="110">
        <f>AI12</f>
        <v>2.9999999999999997E-4</v>
      </c>
      <c r="AJ13" s="29">
        <f>AI13*($I13+$K13+$M13+$N13)</f>
        <v>0.52094999999999991</v>
      </c>
      <c r="AK13" s="110">
        <v>3.2000000000000001E-2</v>
      </c>
      <c r="AL13" s="29">
        <f>AK13*($I13+$K13+$M13+$N13)</f>
        <v>55.567999999999998</v>
      </c>
      <c r="AM13" s="110">
        <f>AM12</f>
        <v>1.9400000000000001E-2</v>
      </c>
      <c r="AN13" s="29">
        <f>AM13*($I13+$K13+$M13+$N13)</f>
        <v>33.688099999999999</v>
      </c>
      <c r="AO13" s="110">
        <f>+AO12</f>
        <v>7.2000000000000005E-4</v>
      </c>
      <c r="AP13" s="29">
        <f>AO13*($I13+$K13+$M13+$N13)</f>
        <v>1.2502800000000001</v>
      </c>
      <c r="AQ13" s="110">
        <f>+AQ12</f>
        <v>1E-3</v>
      </c>
      <c r="AR13" s="36">
        <f>AQ13*($I13+$K13+$M13+$N13)</f>
        <v>1.7364999999999999</v>
      </c>
      <c r="AS13" s="115">
        <f>+AS12</f>
        <v>8.0000000000000004E-4</v>
      </c>
      <c r="AT13" s="29">
        <f>AS13*(I13+K13+M13+N13)</f>
        <v>1.3892</v>
      </c>
      <c r="AU13" s="110">
        <f>+AU12</f>
        <v>2.0000000000000001E-4</v>
      </c>
      <c r="AV13" s="35">
        <f>AU13*(I13+K13+M13+N13)</f>
        <v>0.3473</v>
      </c>
      <c r="AW13" s="110">
        <f>+AW12</f>
        <v>4.0000000000000002E-4</v>
      </c>
      <c r="AX13" s="35">
        <f>AW13*(I13+K13+M13+N13)</f>
        <v>0.6946</v>
      </c>
      <c r="AY13" s="110">
        <f>+AY12</f>
        <v>6.9999999999999999E-4</v>
      </c>
      <c r="AZ13" s="35">
        <f>AY13*(I13+K13+M13+N13)</f>
        <v>1.2155499999999999</v>
      </c>
      <c r="BA13" s="110">
        <f>+BA12</f>
        <v>9.4100000000000003E-2</v>
      </c>
      <c r="BB13" s="34">
        <f>BA13*(I13+K13+M13+N13)</f>
        <v>163.40465</v>
      </c>
      <c r="BC13" s="114">
        <f>+BC12</f>
        <v>0</v>
      </c>
      <c r="BD13" s="31">
        <f>BC13*(I13+K13+M13+N13)</f>
        <v>0</v>
      </c>
      <c r="BE13" s="32">
        <f>IF(E13=0,0,'Uniformes '!K231)</f>
        <v>63.458333333333336</v>
      </c>
      <c r="BF13" s="33">
        <f>IF(E13=0,0,custoEPI_huol!$M$454)</f>
        <v>0</v>
      </c>
      <c r="BG13" s="187">
        <f>IF(OR(Radios!$B$9=B13,Radios!$B$10=B13,Radios!$B$11=B13,Radios!$B$12=B13,Radios!$B$13=B13,Radios!$B$14=B13,Radios!$B$15=B13,Radios!$B$16=B13),Radios!$I$18,0)</f>
        <v>0</v>
      </c>
      <c r="BH13" s="184">
        <v>0</v>
      </c>
      <c r="BI13" s="117">
        <v>0.06</v>
      </c>
      <c r="BJ13" s="29">
        <f>BI13*(I13+K13+M13+N13+O13+P13+Q13+R13+S13+U13+V13+W13+X13+Y13+Z13+AA13+AB13+AC13+AD13+AE13+AF13+AH13+AJ13+AL13+AN13+AP13+AR13+AT13+AV13+AX13+AZ13+BB13+BD13+BE13+BF13+BG13+BH13)</f>
        <v>231.24680684359998</v>
      </c>
      <c r="BK13" s="114">
        <v>6.7900000000000002E-2</v>
      </c>
      <c r="BL13" s="27">
        <f>BK13*(I13+K13+M13+N13+O13+P13+Q13+R13+S13+U13+V13+W13+X13+Y13+Z13+AA13+AB13+AC13+AD13+AE13+AF13+AH13+AJ13+AL13+AN13+AP13+AR13+AT13+AV13+AX13+AZ13+BB13+BD13+BE13+BF13+BG13+BH13+BJ13)</f>
        <v>277.39596126268782</v>
      </c>
      <c r="BM13" s="115">
        <f>+BM12</f>
        <v>9.2499999999999999E-2</v>
      </c>
      <c r="BN13" s="29">
        <f>BM13*(I13+K13+M13+N13+O13+P13+Q13+R13+S13+U13+V13+W13+X13+Y13+Z13+AA13+AB13+AC13+AD13+AE13+AF13+AH13+AJ13+AL13+AN13+AP13+AR13+AT13+AV13+AX13+AZ13+BB13+BD13+BE13+BF13+BG13+BH13+BJ13+BL13)/(1-(BM13+BO13+BQ13))</f>
        <v>470.61801741541109</v>
      </c>
      <c r="BO13" s="118">
        <f>+BO12</f>
        <v>0</v>
      </c>
      <c r="BP13" s="27">
        <f>BO13*(I13+K13+M13+N13+O13+P13+Q13+R13+S13+U13+V13+W13+X13+Y13+Z13+AA13+AB13+AC13+AD13+AE13+AF13+AH13+AJ13+AL13+AN13+AP13+AR13+AT13+AV13+AX13+AZ13+BB13+BD13+BE13+BF13+BG13+BH13+BJ13+BL13)/(1-(BM13+BO13+BQ13))</f>
        <v>0</v>
      </c>
      <c r="BQ13" s="110">
        <f>+BQ12</f>
        <v>0.05</v>
      </c>
      <c r="BR13" s="27">
        <f>BQ13*(I13+K13+M13+N13+O13+P13+Q13+R13+S13+U13+V13+W13+X13+Y13+Z13+AA13+AB13+AC13+AD13+AE13+AF13+AH13+AJ13+AL13+AN13+AP13+AR13+AT13+AV13+AX13+AZ13+BB13+BD13+BE13+BF13+BG13+BH13+BJ13+BL13)/(1-(BM13+BO13+BQ13))</f>
        <v>254.38811752184384</v>
      </c>
      <c r="BS13" s="40">
        <f t="shared" si="31"/>
        <v>5087.7623504368767</v>
      </c>
    </row>
    <row r="14" spans="1:71" s="8" customFormat="1" ht="15" customHeight="1" x14ac:dyDescent="0.25">
      <c r="A14" s="14" t="s">
        <v>114</v>
      </c>
      <c r="B14" s="14" t="str">
        <f>'planilha - proposta'!C59</f>
        <v>Condutor de Ambulância</v>
      </c>
      <c r="C14" s="14" t="str">
        <f>'planilha - proposta'!D59</f>
        <v>Condutor de Ambulância - 12x36/12x48</v>
      </c>
      <c r="D14" s="19" t="str">
        <f>'planilha - proposta'!B59</f>
        <v>7823-20</v>
      </c>
      <c r="E14" s="30">
        <f>'planilha - proposta'!E59</f>
        <v>6</v>
      </c>
      <c r="F14" s="105">
        <v>2167.37</v>
      </c>
      <c r="G14" s="105" t="s">
        <v>136</v>
      </c>
      <c r="H14" s="132">
        <v>43658</v>
      </c>
      <c r="I14" s="107">
        <v>2167.37</v>
      </c>
      <c r="J14" s="108"/>
      <c r="K14" s="125">
        <f t="shared" si="0"/>
        <v>0</v>
      </c>
      <c r="L14" s="108">
        <v>0.2</v>
      </c>
      <c r="M14" s="35">
        <f t="shared" si="1"/>
        <v>209</v>
      </c>
      <c r="N14" s="109">
        <v>0</v>
      </c>
      <c r="O14" s="37">
        <f t="shared" ref="O14:O15" si="32">(I14+K14+M14+N14)*0.0833</f>
        <v>197.95162099999999</v>
      </c>
      <c r="P14" s="35">
        <f t="shared" si="29"/>
        <v>263.96717960000001</v>
      </c>
      <c r="Q14" s="31">
        <f t="shared" ref="Q14:Q15" si="33">(0.338+T14)*(O14+P14)</f>
        <v>156.12855460280002</v>
      </c>
      <c r="R14" s="23">
        <f t="shared" ref="R14:R15" si="34">0.2*(I14+K14+M14+N14)</f>
        <v>475.274</v>
      </c>
      <c r="S14" s="35">
        <f t="shared" ref="S14:S15" si="35">0.025*(I14+K14+M14+N14)</f>
        <v>59.40925</v>
      </c>
      <c r="T14" s="110"/>
      <c r="U14" s="35">
        <f t="shared" si="6"/>
        <v>0</v>
      </c>
      <c r="V14" s="35">
        <f t="shared" ref="V14:V15" si="36">0.015*(I14+K14+M14+N14)</f>
        <v>35.64555</v>
      </c>
      <c r="W14" s="35">
        <f t="shared" ref="W14:W15" si="37">0.01*(I14+K14+M14+N14)</f>
        <v>23.7637</v>
      </c>
      <c r="X14" s="35">
        <f t="shared" ref="X14:X15" si="38">0.006*(I14+K14+M14+N14)</f>
        <v>14.25822</v>
      </c>
      <c r="Y14" s="35">
        <f t="shared" ref="Y14:Y15" si="39">0.002*(I14+K14+M14+N14)</f>
        <v>4.7527400000000002</v>
      </c>
      <c r="Z14" s="34">
        <f t="shared" ref="Z14:Z15" si="40">0.08*(I14+K14+M14+N14)</f>
        <v>190.1096</v>
      </c>
      <c r="AA14" s="111">
        <v>0</v>
      </c>
      <c r="AB14" s="112">
        <v>600</v>
      </c>
      <c r="AC14" s="112">
        <v>108</v>
      </c>
      <c r="AD14" s="112">
        <v>0</v>
      </c>
      <c r="AE14" s="112">
        <v>0</v>
      </c>
      <c r="AF14" s="113">
        <v>0</v>
      </c>
      <c r="AG14" s="114">
        <f>AG13</f>
        <v>4.1999999999999997E-3</v>
      </c>
      <c r="AH14" s="29">
        <f t="shared" si="12"/>
        <v>9.9807539999999992</v>
      </c>
      <c r="AI14" s="110">
        <f>AI13</f>
        <v>2.9999999999999997E-4</v>
      </c>
      <c r="AJ14" s="29">
        <f t="shared" si="13"/>
        <v>0.71291099999999985</v>
      </c>
      <c r="AK14" s="110">
        <v>3.2000000000000001E-2</v>
      </c>
      <c r="AL14" s="29">
        <f t="shared" si="14"/>
        <v>76.043840000000003</v>
      </c>
      <c r="AM14" s="110">
        <f>AM13</f>
        <v>1.9400000000000001E-2</v>
      </c>
      <c r="AN14" s="29">
        <f t="shared" si="15"/>
        <v>46.101577999999996</v>
      </c>
      <c r="AO14" s="110">
        <f>AO13</f>
        <v>7.2000000000000005E-4</v>
      </c>
      <c r="AP14" s="29">
        <f t="shared" si="16"/>
        <v>1.7109864000000001</v>
      </c>
      <c r="AQ14" s="110">
        <f>AQ13</f>
        <v>1E-3</v>
      </c>
      <c r="AR14" s="36">
        <f t="shared" si="17"/>
        <v>2.3763700000000001</v>
      </c>
      <c r="AS14" s="115">
        <f>AS13</f>
        <v>8.0000000000000004E-4</v>
      </c>
      <c r="AT14" s="29">
        <f t="shared" ref="AT14:AT15" si="41">AS14*(I14+K14+M14+N14)</f>
        <v>1.9010959999999999</v>
      </c>
      <c r="AU14" s="110">
        <f>AU13</f>
        <v>2.0000000000000001E-4</v>
      </c>
      <c r="AV14" s="35">
        <f t="shared" ref="AV14:AV15" si="42">AU14*(I14+K14+M14+N14)</f>
        <v>0.47527399999999997</v>
      </c>
      <c r="AW14" s="110">
        <f>AW13</f>
        <v>4.0000000000000002E-4</v>
      </c>
      <c r="AX14" s="35">
        <f t="shared" ref="AX14:AX15" si="43">AW14*(I14+K14+M14+N14)</f>
        <v>0.95054799999999995</v>
      </c>
      <c r="AY14" s="110">
        <f>AY13</f>
        <v>6.9999999999999999E-4</v>
      </c>
      <c r="AZ14" s="35">
        <f t="shared" ref="AZ14:AZ15" si="44">AY14*(I14+K14+M14+N14)</f>
        <v>1.6634589999999998</v>
      </c>
      <c r="BA14" s="110">
        <f>BA13</f>
        <v>9.4100000000000003E-2</v>
      </c>
      <c r="BB14" s="34">
        <f t="shared" ref="BB14:BB15" si="45">BA14*(I14+K14+M14+N14)</f>
        <v>223.61641699999998</v>
      </c>
      <c r="BC14" s="114">
        <f>BC13</f>
        <v>0</v>
      </c>
      <c r="BD14" s="31">
        <f t="shared" ref="BD14:BD15" si="46">BC14*(I14+K14+M14+N14)</f>
        <v>0</v>
      </c>
      <c r="BE14" s="32">
        <f>IF(E14=0,0,'Uniformes '!$K$243)</f>
        <v>108.295</v>
      </c>
      <c r="BF14" s="33">
        <f>IF(E14=0,0,custoEPI_huol!$M$479)</f>
        <v>0</v>
      </c>
      <c r="BG14" s="187">
        <f>IF(OR(Radios!$B$9=B14,Radios!$B$10=B14,Radios!$B$11=B14,Radios!$B$12=B14,Radios!$B$13=B14,Radios!$B$14=B14,Radios!$B$15=B14,Radios!$B$16=B14),Radios!$I$18,0)</f>
        <v>0</v>
      </c>
      <c r="BH14" s="184">
        <v>0</v>
      </c>
      <c r="BI14" s="117">
        <v>0.06</v>
      </c>
      <c r="BJ14" s="29">
        <f t="shared" ref="BJ14:BJ15" si="47">BI14*(I14+K14+M14+N14+O14+P14+Q14+R14+S14+U14+V14+W14+X14+Y14+Z14+AA14+AB14+AC14+AD14+AE14+AF14+AH14+AJ14+AL14+AN14+AP14+AR14+AT14+AV14+AX14+AZ14+BB14+BD14+BE14+BF14+BG14+BH14)</f>
        <v>298.76751891616806</v>
      </c>
      <c r="BK14" s="114">
        <v>6.7900000000000002E-2</v>
      </c>
      <c r="BL14" s="27">
        <f t="shared" ref="BL14:BL15" si="48">BK14*(I14+K14+M14+N14+O14+P14+Q14+R14+S14+U14+V14+W14+X14+Y14+Z14+AA14+AB14+AC14+AD14+AE14+AF14+AH14+AJ14+AL14+AN14+AP14+AR14+AT14+AV14+AX14+AZ14+BB14+BD14+BE14+BF14+BG14+BH14+BJ14)</f>
        <v>358.391556774538</v>
      </c>
      <c r="BM14" s="115">
        <f>BM13</f>
        <v>9.2499999999999999E-2</v>
      </c>
      <c r="BN14" s="29">
        <f t="shared" ref="BN14:BN15" si="49">BM14*(I14+K14+M14+N14+O14+P14+Q14+R14+S14+U14+V14+W14+X14+Y14+Z14+AA14+AB14+AC14+AD14+AE14+AF14+AH14+AJ14+AL14+AN14+AP14+AR14+AT14+AV14+AX14+AZ14+BB14+BD14+BE14+BF14+BG14+BH14+BJ14+BL14)/(1-(BM14+BO14+BQ14))</f>
        <v>608.0316495593579</v>
      </c>
      <c r="BO14" s="118">
        <f>BO13</f>
        <v>0</v>
      </c>
      <c r="BP14" s="27">
        <f t="shared" ref="BP14:BP15" si="50">BO14*(I14+K14+M14+N14+O14+P14+Q14+R14+S14+U14+V14+W14+X14+Y14+Z14+AA14+AB14+AC14+AD14+AE14+AF14+AH14+AJ14+AL14+AN14+AP14+AR14+AT14+AV14+AX14+AZ14+BB14+BD14+BE14+BF14+BG14+BH14+BJ14+BL14)/(1-(BM14+BO14+BQ14))</f>
        <v>0</v>
      </c>
      <c r="BQ14" s="110">
        <f>BQ13</f>
        <v>0.05</v>
      </c>
      <c r="BR14" s="27">
        <f t="shared" ref="BR14:BR15" si="51">BQ14*(I14+K14+M14+N14+O14+P14+Q14+R14+S14+U14+V14+W14+X14+Y14+Z14+AA14+AB14+AC14+AD14+AE14+AF14+AH14+AJ14+AL14+AN14+AP14+AR14+AT14+AV14+AX14+AZ14+BB14+BD14+BE14+BF14+BG14+BH14+BJ14+BL14)/(1-(BM14+BO14+BQ14))</f>
        <v>328.66575651857192</v>
      </c>
      <c r="BS14" s="40">
        <f t="shared" si="31"/>
        <v>6573.3151303714367</v>
      </c>
    </row>
    <row r="15" spans="1:71" s="8" customFormat="1" ht="15" hidden="1" customHeight="1" x14ac:dyDescent="0.25">
      <c r="A15" s="14"/>
      <c r="B15" s="14" t="str">
        <f>'planilha - proposta'!C60</f>
        <v>Condutor de Ambulância</v>
      </c>
      <c r="C15" s="14" t="str">
        <f>'planilha - proposta'!D60</f>
        <v>Condutor de Ambulância - 24x96</v>
      </c>
      <c r="D15" s="19" t="str">
        <f>'planilha - proposta'!B60</f>
        <v>7823-20</v>
      </c>
      <c r="E15" s="30">
        <f>'planilha - proposta'!E60</f>
        <v>0</v>
      </c>
      <c r="F15" s="105"/>
      <c r="G15" s="105"/>
      <c r="H15" s="106"/>
      <c r="I15" s="107"/>
      <c r="J15" s="108"/>
      <c r="K15" s="125">
        <f t="shared" si="0"/>
        <v>0</v>
      </c>
      <c r="L15" s="108"/>
      <c r="M15" s="35">
        <f t="shared" si="1"/>
        <v>0</v>
      </c>
      <c r="N15" s="109"/>
      <c r="O15" s="37">
        <f t="shared" si="32"/>
        <v>0</v>
      </c>
      <c r="P15" s="35">
        <f t="shared" si="29"/>
        <v>0</v>
      </c>
      <c r="Q15" s="31">
        <f t="shared" si="33"/>
        <v>0</v>
      </c>
      <c r="R15" s="23">
        <f t="shared" si="34"/>
        <v>0</v>
      </c>
      <c r="S15" s="35">
        <f t="shared" si="35"/>
        <v>0</v>
      </c>
      <c r="T15" s="110"/>
      <c r="U15" s="35">
        <f t="shared" si="6"/>
        <v>0</v>
      </c>
      <c r="V15" s="35">
        <f t="shared" si="36"/>
        <v>0</v>
      </c>
      <c r="W15" s="35">
        <f t="shared" si="37"/>
        <v>0</v>
      </c>
      <c r="X15" s="35">
        <f t="shared" si="38"/>
        <v>0</v>
      </c>
      <c r="Y15" s="35">
        <f t="shared" si="39"/>
        <v>0</v>
      </c>
      <c r="Z15" s="34">
        <f t="shared" si="40"/>
        <v>0</v>
      </c>
      <c r="AA15" s="111"/>
      <c r="AB15" s="112"/>
      <c r="AC15" s="112"/>
      <c r="AD15" s="112"/>
      <c r="AE15" s="112"/>
      <c r="AF15" s="113"/>
      <c r="AG15" s="114"/>
      <c r="AH15" s="29">
        <f t="shared" si="12"/>
        <v>0</v>
      </c>
      <c r="AI15" s="110"/>
      <c r="AJ15" s="29">
        <f t="shared" si="13"/>
        <v>0</v>
      </c>
      <c r="AK15" s="110">
        <v>3.2000000000000001E-2</v>
      </c>
      <c r="AL15" s="29">
        <f t="shared" si="14"/>
        <v>0</v>
      </c>
      <c r="AM15" s="110"/>
      <c r="AN15" s="29">
        <f t="shared" si="15"/>
        <v>0</v>
      </c>
      <c r="AO15" s="110"/>
      <c r="AP15" s="29">
        <f t="shared" si="16"/>
        <v>0</v>
      </c>
      <c r="AQ15" s="110"/>
      <c r="AR15" s="36">
        <f t="shared" si="17"/>
        <v>0</v>
      </c>
      <c r="AS15" s="115"/>
      <c r="AT15" s="29">
        <f t="shared" si="41"/>
        <v>0</v>
      </c>
      <c r="AU15" s="110"/>
      <c r="AV15" s="35">
        <f t="shared" si="42"/>
        <v>0</v>
      </c>
      <c r="AW15" s="110"/>
      <c r="AX15" s="35">
        <f t="shared" si="43"/>
        <v>0</v>
      </c>
      <c r="AY15" s="110"/>
      <c r="AZ15" s="35">
        <f t="shared" si="44"/>
        <v>0</v>
      </c>
      <c r="BA15" s="110"/>
      <c r="BB15" s="34">
        <f t="shared" si="45"/>
        <v>0</v>
      </c>
      <c r="BC15" s="114"/>
      <c r="BD15" s="31">
        <f t="shared" si="46"/>
        <v>0</v>
      </c>
      <c r="BE15" s="32">
        <f>IF(E15=0,0,'Uniformes '!$K$243)</f>
        <v>0</v>
      </c>
      <c r="BF15" s="33">
        <f>IF(E15=0,0,custoEPI_huol!$M$479)</f>
        <v>0</v>
      </c>
      <c r="BG15" s="29">
        <f>IF(OR(Radios!$B$9=B15,Radios!$B$10=B15,Radios!$B$11=B15,Radios!$B$12=B15,Radios!$B$13=B15,Radios!$B$14=B15,Radios!$B$15=B15,Radios!$B$16=B15),Radios!$I$18,0)</f>
        <v>0</v>
      </c>
      <c r="BH15" s="116"/>
      <c r="BI15" s="117"/>
      <c r="BJ15" s="29">
        <f t="shared" si="47"/>
        <v>0</v>
      </c>
      <c r="BK15" s="114"/>
      <c r="BL15" s="27">
        <f t="shared" si="48"/>
        <v>0</v>
      </c>
      <c r="BM15" s="115"/>
      <c r="BN15" s="29">
        <f t="shared" si="49"/>
        <v>0</v>
      </c>
      <c r="BO15" s="118"/>
      <c r="BP15" s="27">
        <f t="shared" si="50"/>
        <v>0</v>
      </c>
      <c r="BQ15" s="110"/>
      <c r="BR15" s="27">
        <f t="shared" si="51"/>
        <v>0</v>
      </c>
      <c r="BS15" s="40">
        <f t="shared" si="31"/>
        <v>0</v>
      </c>
    </row>
    <row r="16" spans="1:71" s="8" customFormat="1" ht="15" customHeight="1" x14ac:dyDescent="0.25">
      <c r="H16" s="13"/>
    </row>
    <row r="17" spans="8:8" s="8" customFormat="1" ht="15" customHeight="1" x14ac:dyDescent="0.25">
      <c r="H17" s="13"/>
    </row>
    <row r="18" spans="8:8" s="8" customFormat="1" ht="15" customHeight="1" x14ac:dyDescent="0.25">
      <c r="H18" s="13"/>
    </row>
    <row r="19" spans="8:8" s="8" customFormat="1" ht="15" customHeight="1" x14ac:dyDescent="0.25">
      <c r="H19" s="13"/>
    </row>
    <row r="20" spans="8:8" s="8" customFormat="1" ht="15" customHeight="1" x14ac:dyDescent="0.25">
      <c r="H20" s="13"/>
    </row>
    <row r="21" spans="8:8" s="8" customFormat="1" ht="15" customHeight="1" x14ac:dyDescent="0.25">
      <c r="H21" s="13"/>
    </row>
    <row r="22" spans="8:8" s="8" customFormat="1" ht="15" customHeight="1" x14ac:dyDescent="0.25">
      <c r="H22" s="13"/>
    </row>
    <row r="23" spans="8:8" s="8" customFormat="1" ht="15" customHeight="1" x14ac:dyDescent="0.25">
      <c r="H23" s="13"/>
    </row>
    <row r="24" spans="8:8" s="8" customFormat="1" ht="15" customHeight="1" x14ac:dyDescent="0.25">
      <c r="H24" s="13"/>
    </row>
    <row r="25" spans="8:8" s="8" customFormat="1" ht="15" customHeight="1" x14ac:dyDescent="0.25">
      <c r="H25" s="13"/>
    </row>
    <row r="26" spans="8:8" s="8" customFormat="1" ht="15" customHeight="1" x14ac:dyDescent="0.25">
      <c r="H26" s="13"/>
    </row>
    <row r="27" spans="8:8" s="8" customFormat="1" ht="15" customHeight="1" x14ac:dyDescent="0.25">
      <c r="H27" s="13"/>
    </row>
    <row r="28" spans="8:8" s="8" customFormat="1" ht="15" customHeight="1" x14ac:dyDescent="0.25">
      <c r="H28" s="13"/>
    </row>
    <row r="29" spans="8:8" s="8" customFormat="1" ht="15" customHeight="1" x14ac:dyDescent="0.25">
      <c r="H29" s="13"/>
    </row>
    <row r="30" spans="8:8" s="8" customFormat="1" ht="15" customHeight="1" x14ac:dyDescent="0.25">
      <c r="H30" s="13"/>
    </row>
    <row r="31" spans="8:8" s="8" customFormat="1" ht="15" customHeight="1" x14ac:dyDescent="0.25">
      <c r="H31" s="13"/>
    </row>
    <row r="32" spans="8:8" s="8" customFormat="1" ht="15" customHeight="1" x14ac:dyDescent="0.25">
      <c r="H32" s="13"/>
    </row>
    <row r="33" spans="8:8" s="8" customFormat="1" ht="15" customHeight="1" x14ac:dyDescent="0.25">
      <c r="H33" s="13"/>
    </row>
    <row r="34" spans="8:8" s="8" customFormat="1" ht="15" customHeight="1" x14ac:dyDescent="0.25">
      <c r="H34" s="13"/>
    </row>
    <row r="35" spans="8:8" s="8" customFormat="1" ht="15" customHeight="1" x14ac:dyDescent="0.25">
      <c r="H35" s="13"/>
    </row>
    <row r="36" spans="8:8" s="8" customFormat="1" ht="15" customHeight="1" x14ac:dyDescent="0.25">
      <c r="H36" s="13"/>
    </row>
    <row r="37" spans="8:8" s="8" customFormat="1" ht="15" customHeight="1" x14ac:dyDescent="0.25">
      <c r="H37" s="13"/>
    </row>
    <row r="38" spans="8:8" s="8" customFormat="1" ht="15" customHeight="1" x14ac:dyDescent="0.25">
      <c r="H38" s="13"/>
    </row>
    <row r="39" spans="8:8" s="8" customFormat="1" ht="15" customHeight="1" x14ac:dyDescent="0.25">
      <c r="H39" s="13"/>
    </row>
    <row r="40" spans="8:8" s="8" customFormat="1" ht="15" customHeight="1" x14ac:dyDescent="0.25">
      <c r="H40" s="13"/>
    </row>
    <row r="41" spans="8:8" s="8" customFormat="1" ht="15" customHeight="1" x14ac:dyDescent="0.25">
      <c r="H41" s="13"/>
    </row>
    <row r="42" spans="8:8" s="8" customFormat="1" ht="15" customHeight="1" x14ac:dyDescent="0.25">
      <c r="H42" s="13"/>
    </row>
    <row r="43" spans="8:8" s="8" customFormat="1" ht="15" customHeight="1" x14ac:dyDescent="0.25">
      <c r="H43" s="13"/>
    </row>
    <row r="44" spans="8:8" s="8" customFormat="1" ht="15" customHeight="1" x14ac:dyDescent="0.25">
      <c r="H44" s="13"/>
    </row>
    <row r="45" spans="8:8" s="8" customFormat="1" ht="15" customHeight="1" x14ac:dyDescent="0.25">
      <c r="H45" s="13"/>
    </row>
    <row r="46" spans="8:8" s="8" customFormat="1" ht="15" customHeight="1" x14ac:dyDescent="0.25">
      <c r="H46" s="13"/>
    </row>
    <row r="47" spans="8:8" s="8" customFormat="1" ht="15" customHeight="1" x14ac:dyDescent="0.25">
      <c r="H47" s="13"/>
    </row>
    <row r="48" spans="8:8" s="8" customFormat="1" ht="15" customHeight="1" x14ac:dyDescent="0.25">
      <c r="H48" s="13"/>
    </row>
    <row r="49" spans="8:8" s="8" customFormat="1" ht="15" customHeight="1" x14ac:dyDescent="0.25">
      <c r="H49" s="13"/>
    </row>
    <row r="50" spans="8:8" s="8" customFormat="1" ht="15" customHeight="1" x14ac:dyDescent="0.25">
      <c r="H50" s="13"/>
    </row>
    <row r="51" spans="8:8" s="8" customFormat="1" ht="15" customHeight="1" x14ac:dyDescent="0.25">
      <c r="H51" s="13"/>
    </row>
    <row r="52" spans="8:8" s="8" customFormat="1" ht="15" customHeight="1" x14ac:dyDescent="0.25">
      <c r="H52" s="13"/>
    </row>
    <row r="53" spans="8:8" s="8" customFormat="1" ht="15" customHeight="1" x14ac:dyDescent="0.25">
      <c r="H53" s="13"/>
    </row>
    <row r="54" spans="8:8" s="8" customFormat="1" ht="15" customHeight="1" x14ac:dyDescent="0.25">
      <c r="H54" s="13"/>
    </row>
    <row r="55" spans="8:8" s="8" customFormat="1" ht="15" customHeight="1" x14ac:dyDescent="0.25">
      <c r="H55" s="13"/>
    </row>
    <row r="56" spans="8:8" s="8" customFormat="1" ht="15" customHeight="1" x14ac:dyDescent="0.25">
      <c r="H56" s="13"/>
    </row>
    <row r="57" spans="8:8" s="8" customFormat="1" ht="15" customHeight="1" x14ac:dyDescent="0.25">
      <c r="H57" s="13"/>
    </row>
    <row r="58" spans="8:8" s="8" customFormat="1" ht="15" customHeight="1" x14ac:dyDescent="0.25">
      <c r="H58" s="13"/>
    </row>
    <row r="59" spans="8:8" s="8" customFormat="1" ht="15" customHeight="1" x14ac:dyDescent="0.25">
      <c r="H59" s="13"/>
    </row>
    <row r="60" spans="8:8" s="8" customFormat="1" ht="15" customHeight="1" x14ac:dyDescent="0.25">
      <c r="H60" s="13"/>
    </row>
    <row r="61" spans="8:8" s="8" customFormat="1" ht="15" customHeight="1" x14ac:dyDescent="0.25">
      <c r="H61" s="13"/>
    </row>
    <row r="62" spans="8:8" s="8" customFormat="1" ht="15" customHeight="1" x14ac:dyDescent="0.25">
      <c r="H62" s="13"/>
    </row>
    <row r="63" spans="8:8" s="8" customFormat="1" ht="15" customHeight="1" x14ac:dyDescent="0.25">
      <c r="H63" s="13"/>
    </row>
    <row r="64" spans="8:8" s="8" customFormat="1" ht="15" customHeight="1" x14ac:dyDescent="0.25">
      <c r="H64" s="13"/>
    </row>
    <row r="65" spans="8:8" s="8" customFormat="1" ht="15" customHeight="1" x14ac:dyDescent="0.25">
      <c r="H65" s="13"/>
    </row>
    <row r="66" spans="8:8" s="8" customFormat="1" ht="15" customHeight="1" x14ac:dyDescent="0.25">
      <c r="H66" s="13"/>
    </row>
    <row r="67" spans="8:8" s="8" customFormat="1" ht="15" customHeight="1" x14ac:dyDescent="0.25">
      <c r="H67" s="13"/>
    </row>
    <row r="68" spans="8:8" s="8" customFormat="1" ht="15" customHeight="1" x14ac:dyDescent="0.25">
      <c r="H68" s="13"/>
    </row>
    <row r="69" spans="8:8" s="8" customFormat="1" ht="15" customHeight="1" x14ac:dyDescent="0.25">
      <c r="H69" s="13"/>
    </row>
    <row r="70" spans="8:8" s="8" customFormat="1" ht="15" customHeight="1" x14ac:dyDescent="0.25">
      <c r="H70" s="13"/>
    </row>
    <row r="71" spans="8:8" s="8" customFormat="1" ht="15" customHeight="1" x14ac:dyDescent="0.25">
      <c r="H71" s="13"/>
    </row>
    <row r="72" spans="8:8" s="8" customFormat="1" ht="15" customHeight="1" x14ac:dyDescent="0.25">
      <c r="H72" s="13"/>
    </row>
    <row r="73" spans="8:8" s="8" customFormat="1" ht="15" customHeight="1" x14ac:dyDescent="0.25">
      <c r="H73" s="13"/>
    </row>
    <row r="74" spans="8:8" s="8" customFormat="1" ht="15" customHeight="1" x14ac:dyDescent="0.25">
      <c r="H74" s="13"/>
    </row>
    <row r="75" spans="8:8" s="8" customFormat="1" ht="15" customHeight="1" x14ac:dyDescent="0.25">
      <c r="H75" s="13"/>
    </row>
    <row r="76" spans="8:8" s="8" customFormat="1" ht="15" customHeight="1" x14ac:dyDescent="0.25">
      <c r="H76" s="13"/>
    </row>
    <row r="77" spans="8:8" s="8" customFormat="1" ht="15" customHeight="1" x14ac:dyDescent="0.25">
      <c r="H77" s="13"/>
    </row>
    <row r="78" spans="8:8" s="8" customFormat="1" ht="15" customHeight="1" x14ac:dyDescent="0.25">
      <c r="H78" s="13"/>
    </row>
    <row r="79" spans="8:8" s="8" customFormat="1" ht="15" customHeight="1" x14ac:dyDescent="0.25">
      <c r="H79" s="13"/>
    </row>
    <row r="80" spans="8:8" s="8" customFormat="1" ht="15" customHeight="1" x14ac:dyDescent="0.25">
      <c r="H80" s="13"/>
    </row>
    <row r="81" spans="8:8" s="8" customFormat="1" ht="15" customHeight="1" x14ac:dyDescent="0.25">
      <c r="H81" s="13"/>
    </row>
    <row r="82" spans="8:8" s="8" customFormat="1" ht="15" customHeight="1" x14ac:dyDescent="0.25">
      <c r="H82" s="13"/>
    </row>
    <row r="83" spans="8:8" s="8" customFormat="1" ht="15" customHeight="1" x14ac:dyDescent="0.25">
      <c r="H83" s="13"/>
    </row>
    <row r="84" spans="8:8" s="8" customFormat="1" ht="15" customHeight="1" x14ac:dyDescent="0.25">
      <c r="H84" s="13"/>
    </row>
    <row r="85" spans="8:8" s="8" customFormat="1" ht="15" customHeight="1" x14ac:dyDescent="0.25">
      <c r="H85" s="13"/>
    </row>
    <row r="86" spans="8:8" s="8" customFormat="1" ht="15" customHeight="1" x14ac:dyDescent="0.25">
      <c r="H86" s="13"/>
    </row>
    <row r="87" spans="8:8" s="8" customFormat="1" ht="15" customHeight="1" x14ac:dyDescent="0.25">
      <c r="H87" s="13"/>
    </row>
    <row r="88" spans="8:8" s="8" customFormat="1" ht="15" customHeight="1" x14ac:dyDescent="0.25">
      <c r="H88" s="13"/>
    </row>
    <row r="89" spans="8:8" s="8" customFormat="1" ht="15" customHeight="1" x14ac:dyDescent="0.25">
      <c r="H89" s="13"/>
    </row>
    <row r="90" spans="8:8" s="8" customFormat="1" ht="15" customHeight="1" x14ac:dyDescent="0.25">
      <c r="H90" s="13"/>
    </row>
    <row r="91" spans="8:8" s="8" customFormat="1" ht="15" customHeight="1" x14ac:dyDescent="0.25">
      <c r="H91" s="13"/>
    </row>
    <row r="92" spans="8:8" s="8" customFormat="1" ht="15" customHeight="1" x14ac:dyDescent="0.25">
      <c r="H92" s="13"/>
    </row>
    <row r="93" spans="8:8" s="8" customFormat="1" ht="15" customHeight="1" x14ac:dyDescent="0.25">
      <c r="H93" s="13"/>
    </row>
    <row r="94" spans="8:8" s="8" customFormat="1" ht="15" customHeight="1" x14ac:dyDescent="0.25">
      <c r="H94" s="13"/>
    </row>
    <row r="95" spans="8:8" s="8" customFormat="1" ht="15" customHeight="1" x14ac:dyDescent="0.25">
      <c r="H95" s="13"/>
    </row>
    <row r="96" spans="8:8" s="8" customFormat="1" ht="15" customHeight="1" x14ac:dyDescent="0.25">
      <c r="H96" s="13"/>
    </row>
    <row r="97" spans="8:8" s="8" customFormat="1" ht="15" customHeight="1" x14ac:dyDescent="0.25">
      <c r="H97" s="13"/>
    </row>
    <row r="98" spans="8:8" s="8" customFormat="1" ht="15" customHeight="1" x14ac:dyDescent="0.25">
      <c r="H98" s="13"/>
    </row>
    <row r="99" spans="8:8" s="8" customFormat="1" ht="15" customHeight="1" x14ac:dyDescent="0.25">
      <c r="H99" s="13"/>
    </row>
    <row r="100" spans="8:8" s="8" customFormat="1" ht="15" customHeight="1" x14ac:dyDescent="0.25">
      <c r="H100" s="13"/>
    </row>
    <row r="101" spans="8:8" s="8" customFormat="1" ht="15" customHeight="1" x14ac:dyDescent="0.25">
      <c r="H101" s="13"/>
    </row>
    <row r="102" spans="8:8" s="8" customFormat="1" ht="15" customHeight="1" x14ac:dyDescent="0.25">
      <c r="H102" s="13"/>
    </row>
    <row r="103" spans="8:8" s="8" customFormat="1" ht="15" customHeight="1" x14ac:dyDescent="0.25">
      <c r="H103" s="13"/>
    </row>
    <row r="104" spans="8:8" s="8" customFormat="1" ht="15" customHeight="1" x14ac:dyDescent="0.25">
      <c r="H104" s="13"/>
    </row>
    <row r="105" spans="8:8" s="8" customFormat="1" ht="15" customHeight="1" x14ac:dyDescent="0.25">
      <c r="H105" s="13"/>
    </row>
    <row r="106" spans="8:8" s="8" customFormat="1" ht="15" customHeight="1" x14ac:dyDescent="0.25">
      <c r="H106" s="13"/>
    </row>
    <row r="107" spans="8:8" s="8" customFormat="1" ht="15" customHeight="1" x14ac:dyDescent="0.25">
      <c r="H107" s="13"/>
    </row>
    <row r="108" spans="8:8" s="8" customFormat="1" ht="15" customHeight="1" x14ac:dyDescent="0.25">
      <c r="H108" s="13"/>
    </row>
    <row r="109" spans="8:8" s="8" customFormat="1" ht="15" customHeight="1" x14ac:dyDescent="0.25">
      <c r="H109" s="13"/>
    </row>
    <row r="110" spans="8:8" s="8" customFormat="1" ht="15" customHeight="1" x14ac:dyDescent="0.25">
      <c r="H110" s="13"/>
    </row>
    <row r="111" spans="8:8" s="8" customFormat="1" ht="15" customHeight="1" x14ac:dyDescent="0.25">
      <c r="H111" s="13"/>
    </row>
    <row r="112" spans="8:8" s="8" customFormat="1" ht="15" customHeight="1" x14ac:dyDescent="0.25">
      <c r="H112" s="13"/>
    </row>
    <row r="113" spans="8:8" s="8" customFormat="1" ht="15" customHeight="1" x14ac:dyDescent="0.25">
      <c r="H113" s="13"/>
    </row>
    <row r="114" spans="8:8" s="8" customFormat="1" ht="15" customHeight="1" x14ac:dyDescent="0.25">
      <c r="H114" s="13"/>
    </row>
    <row r="115" spans="8:8" s="8" customFormat="1" ht="15" customHeight="1" x14ac:dyDescent="0.25">
      <c r="H115" s="13"/>
    </row>
    <row r="116" spans="8:8" s="8" customFormat="1" ht="15" customHeight="1" x14ac:dyDescent="0.25">
      <c r="H116" s="13"/>
    </row>
    <row r="117" spans="8:8" s="8" customFormat="1" ht="15" customHeight="1" x14ac:dyDescent="0.25">
      <c r="H117" s="13"/>
    </row>
    <row r="118" spans="8:8" s="8" customFormat="1" ht="15" customHeight="1" x14ac:dyDescent="0.25">
      <c r="H118" s="13"/>
    </row>
    <row r="119" spans="8:8" s="8" customFormat="1" ht="15" customHeight="1" x14ac:dyDescent="0.25">
      <c r="H119" s="13"/>
    </row>
    <row r="120" spans="8:8" s="8" customFormat="1" ht="15" customHeight="1" x14ac:dyDescent="0.25">
      <c r="H120" s="13"/>
    </row>
    <row r="121" spans="8:8" s="8" customFormat="1" ht="15" customHeight="1" x14ac:dyDescent="0.25">
      <c r="H121" s="13"/>
    </row>
    <row r="122" spans="8:8" s="8" customFormat="1" ht="15" customHeight="1" x14ac:dyDescent="0.25">
      <c r="H122" s="13"/>
    </row>
    <row r="123" spans="8:8" s="8" customFormat="1" ht="15" customHeight="1" x14ac:dyDescent="0.25">
      <c r="H123" s="13"/>
    </row>
    <row r="124" spans="8:8" s="8" customFormat="1" ht="15" customHeight="1" x14ac:dyDescent="0.25">
      <c r="H124" s="13"/>
    </row>
    <row r="125" spans="8:8" s="8" customFormat="1" ht="15" customHeight="1" x14ac:dyDescent="0.25">
      <c r="H125" s="13"/>
    </row>
    <row r="126" spans="8:8" s="8" customFormat="1" ht="15" customHeight="1" x14ac:dyDescent="0.25">
      <c r="H126" s="13"/>
    </row>
    <row r="127" spans="8:8" s="8" customFormat="1" ht="15" customHeight="1" x14ac:dyDescent="0.25">
      <c r="H127" s="13"/>
    </row>
    <row r="128" spans="8:8" s="8" customFormat="1" ht="15" customHeight="1" x14ac:dyDescent="0.25">
      <c r="H128" s="13"/>
    </row>
    <row r="129" spans="8:8" s="8" customFormat="1" ht="15" customHeight="1" x14ac:dyDescent="0.25">
      <c r="H129" s="13"/>
    </row>
    <row r="130" spans="8:8" s="8" customFormat="1" ht="15" customHeight="1" x14ac:dyDescent="0.25">
      <c r="H130" s="13"/>
    </row>
    <row r="131" spans="8:8" s="8" customFormat="1" ht="15" customHeight="1" x14ac:dyDescent="0.25">
      <c r="H131" s="13"/>
    </row>
    <row r="132" spans="8:8" s="8" customFormat="1" ht="15" customHeight="1" x14ac:dyDescent="0.25">
      <c r="H132" s="13"/>
    </row>
    <row r="133" spans="8:8" s="8" customFormat="1" ht="15" customHeight="1" x14ac:dyDescent="0.25">
      <c r="H133" s="13"/>
    </row>
    <row r="134" spans="8:8" s="8" customFormat="1" ht="15" customHeight="1" x14ac:dyDescent="0.25">
      <c r="H134" s="13"/>
    </row>
    <row r="135" spans="8:8" s="8" customFormat="1" ht="15" customHeight="1" x14ac:dyDescent="0.25">
      <c r="H135" s="13"/>
    </row>
    <row r="136" spans="8:8" s="8" customFormat="1" ht="15" customHeight="1" x14ac:dyDescent="0.25">
      <c r="H136" s="13"/>
    </row>
    <row r="137" spans="8:8" s="8" customFormat="1" ht="15" customHeight="1" x14ac:dyDescent="0.25">
      <c r="H137" s="13"/>
    </row>
    <row r="138" spans="8:8" s="8" customFormat="1" ht="15" customHeight="1" x14ac:dyDescent="0.25">
      <c r="H138" s="13"/>
    </row>
    <row r="139" spans="8:8" s="8" customFormat="1" ht="15" customHeight="1" x14ac:dyDescent="0.25">
      <c r="H139" s="13"/>
    </row>
    <row r="140" spans="8:8" s="8" customFormat="1" ht="15" customHeight="1" x14ac:dyDescent="0.25">
      <c r="H140" s="13"/>
    </row>
    <row r="141" spans="8:8" s="8" customFormat="1" ht="15" customHeight="1" x14ac:dyDescent="0.25">
      <c r="H141" s="13"/>
    </row>
    <row r="142" spans="8:8" s="8" customFormat="1" ht="15" customHeight="1" x14ac:dyDescent="0.25">
      <c r="H142" s="13"/>
    </row>
    <row r="143" spans="8:8" s="8" customFormat="1" ht="15" customHeight="1" x14ac:dyDescent="0.25">
      <c r="H143" s="13"/>
    </row>
    <row r="144" spans="8:8" s="8" customFormat="1" ht="15" customHeight="1" x14ac:dyDescent="0.25">
      <c r="H144" s="13"/>
    </row>
    <row r="145" spans="8:8" s="8" customFormat="1" ht="15" customHeight="1" x14ac:dyDescent="0.25">
      <c r="H145" s="13"/>
    </row>
    <row r="146" spans="8:8" s="8" customFormat="1" ht="15" customHeight="1" x14ac:dyDescent="0.25">
      <c r="H146" s="13"/>
    </row>
    <row r="147" spans="8:8" s="8" customFormat="1" ht="15" customHeight="1" x14ac:dyDescent="0.25">
      <c r="H147" s="13"/>
    </row>
    <row r="148" spans="8:8" s="8" customFormat="1" ht="15" customHeight="1" x14ac:dyDescent="0.25">
      <c r="H148" s="13"/>
    </row>
    <row r="149" spans="8:8" s="8" customFormat="1" ht="15" customHeight="1" x14ac:dyDescent="0.25">
      <c r="H149" s="13"/>
    </row>
    <row r="150" spans="8:8" s="8" customFormat="1" ht="15" customHeight="1" x14ac:dyDescent="0.25">
      <c r="H150" s="13"/>
    </row>
    <row r="151" spans="8:8" s="8" customFormat="1" ht="15" customHeight="1" x14ac:dyDescent="0.25">
      <c r="H151" s="13"/>
    </row>
    <row r="152" spans="8:8" s="8" customFormat="1" ht="15" customHeight="1" x14ac:dyDescent="0.25">
      <c r="H152" s="13"/>
    </row>
    <row r="153" spans="8:8" s="8" customFormat="1" ht="15" customHeight="1" x14ac:dyDescent="0.25">
      <c r="H153" s="13"/>
    </row>
    <row r="154" spans="8:8" s="8" customFormat="1" ht="15" customHeight="1" x14ac:dyDescent="0.25">
      <c r="H154" s="13"/>
    </row>
    <row r="155" spans="8:8" s="8" customFormat="1" ht="15" customHeight="1" x14ac:dyDescent="0.25">
      <c r="H155" s="13"/>
    </row>
    <row r="156" spans="8:8" s="8" customFormat="1" ht="15" customHeight="1" x14ac:dyDescent="0.25">
      <c r="H156" s="13"/>
    </row>
    <row r="157" spans="8:8" s="8" customFormat="1" ht="15" customHeight="1" x14ac:dyDescent="0.25">
      <c r="H157" s="13"/>
    </row>
    <row r="158" spans="8:8" s="8" customFormat="1" ht="15" customHeight="1" x14ac:dyDescent="0.25">
      <c r="H158" s="13"/>
    </row>
    <row r="159" spans="8:8" s="8" customFormat="1" ht="15" customHeight="1" x14ac:dyDescent="0.25">
      <c r="H159" s="13"/>
    </row>
    <row r="160" spans="8:8" s="8" customFormat="1" ht="15" customHeight="1" x14ac:dyDescent="0.25">
      <c r="H160" s="13"/>
    </row>
    <row r="161" spans="8:8" s="8" customFormat="1" ht="15" customHeight="1" x14ac:dyDescent="0.25">
      <c r="H161" s="13"/>
    </row>
    <row r="162" spans="8:8" s="8" customFormat="1" ht="15" customHeight="1" x14ac:dyDescent="0.25">
      <c r="H162" s="13"/>
    </row>
    <row r="163" spans="8:8" s="8" customFormat="1" ht="15" customHeight="1" x14ac:dyDescent="0.25">
      <c r="H163" s="13"/>
    </row>
    <row r="164" spans="8:8" s="8" customFormat="1" ht="15" customHeight="1" x14ac:dyDescent="0.25">
      <c r="H164" s="13"/>
    </row>
    <row r="165" spans="8:8" s="8" customFormat="1" ht="15" customHeight="1" x14ac:dyDescent="0.25">
      <c r="H165" s="13"/>
    </row>
    <row r="166" spans="8:8" s="8" customFormat="1" ht="15" customHeight="1" x14ac:dyDescent="0.25">
      <c r="H166" s="13"/>
    </row>
    <row r="167" spans="8:8" s="8" customFormat="1" ht="15" customHeight="1" x14ac:dyDescent="0.25">
      <c r="H167" s="13"/>
    </row>
    <row r="168" spans="8:8" s="8" customFormat="1" ht="15" customHeight="1" x14ac:dyDescent="0.25">
      <c r="H168" s="13"/>
    </row>
    <row r="169" spans="8:8" s="8" customFormat="1" ht="15" customHeight="1" x14ac:dyDescent="0.25">
      <c r="H169" s="13"/>
    </row>
    <row r="170" spans="8:8" s="8" customFormat="1" ht="15" customHeight="1" x14ac:dyDescent="0.25">
      <c r="H170" s="13"/>
    </row>
    <row r="171" spans="8:8" s="8" customFormat="1" ht="15" customHeight="1" x14ac:dyDescent="0.25">
      <c r="H171" s="13"/>
    </row>
    <row r="172" spans="8:8" s="8" customFormat="1" ht="15" customHeight="1" x14ac:dyDescent="0.25">
      <c r="H172" s="13"/>
    </row>
    <row r="173" spans="8:8" s="8" customFormat="1" ht="15" customHeight="1" x14ac:dyDescent="0.25">
      <c r="H173" s="13"/>
    </row>
    <row r="174" spans="8:8" s="8" customFormat="1" ht="15" customHeight="1" x14ac:dyDescent="0.25">
      <c r="H174" s="13"/>
    </row>
    <row r="175" spans="8:8" s="8" customFormat="1" ht="15" customHeight="1" x14ac:dyDescent="0.25">
      <c r="H175" s="13"/>
    </row>
    <row r="176" spans="8:8" s="8" customFormat="1" ht="15" customHeight="1" x14ac:dyDescent="0.25">
      <c r="H176" s="13"/>
    </row>
    <row r="177" spans="8:8" s="8" customFormat="1" ht="15" customHeight="1" x14ac:dyDescent="0.25">
      <c r="H177" s="13"/>
    </row>
    <row r="178" spans="8:8" s="8" customFormat="1" ht="15" customHeight="1" x14ac:dyDescent="0.25">
      <c r="H178" s="13"/>
    </row>
    <row r="179" spans="8:8" s="8" customFormat="1" ht="15" customHeight="1" x14ac:dyDescent="0.25">
      <c r="H179" s="13"/>
    </row>
    <row r="180" spans="8:8" s="8" customFormat="1" ht="15" customHeight="1" x14ac:dyDescent="0.25">
      <c r="H180" s="13"/>
    </row>
    <row r="181" spans="8:8" s="8" customFormat="1" ht="15" customHeight="1" x14ac:dyDescent="0.25">
      <c r="H181" s="13"/>
    </row>
    <row r="182" spans="8:8" s="8" customFormat="1" ht="15" customHeight="1" x14ac:dyDescent="0.25">
      <c r="H182" s="13"/>
    </row>
    <row r="183" spans="8:8" s="8" customFormat="1" ht="15" customHeight="1" x14ac:dyDescent="0.25">
      <c r="H183" s="13"/>
    </row>
    <row r="184" spans="8:8" s="8" customFormat="1" ht="15" customHeight="1" x14ac:dyDescent="0.25">
      <c r="H184" s="13"/>
    </row>
    <row r="185" spans="8:8" s="8" customFormat="1" ht="15" customHeight="1" x14ac:dyDescent="0.25">
      <c r="H185" s="13"/>
    </row>
    <row r="186" spans="8:8" s="8" customFormat="1" ht="15" customHeight="1" x14ac:dyDescent="0.25">
      <c r="H186" s="13"/>
    </row>
    <row r="187" spans="8:8" s="8" customFormat="1" ht="15" customHeight="1" x14ac:dyDescent="0.25">
      <c r="H187" s="13"/>
    </row>
    <row r="188" spans="8:8" s="8" customFormat="1" ht="15" customHeight="1" x14ac:dyDescent="0.25">
      <c r="H188" s="13"/>
    </row>
    <row r="189" spans="8:8" s="8" customFormat="1" ht="15" customHeight="1" x14ac:dyDescent="0.25">
      <c r="H189" s="13"/>
    </row>
    <row r="190" spans="8:8" s="8" customFormat="1" ht="15" customHeight="1" x14ac:dyDescent="0.25">
      <c r="H190" s="13"/>
    </row>
    <row r="191" spans="8:8" s="8" customFormat="1" ht="15" customHeight="1" x14ac:dyDescent="0.25">
      <c r="H191" s="13"/>
    </row>
    <row r="192" spans="8:8" s="8" customFormat="1" ht="15" customHeight="1" x14ac:dyDescent="0.25">
      <c r="H192" s="13"/>
    </row>
    <row r="193" spans="8:8" s="8" customFormat="1" ht="15" customHeight="1" x14ac:dyDescent="0.25">
      <c r="H193" s="13"/>
    </row>
    <row r="194" spans="8:8" s="8" customFormat="1" ht="15" customHeight="1" x14ac:dyDescent="0.25">
      <c r="H194" s="13"/>
    </row>
    <row r="195" spans="8:8" s="8" customFormat="1" ht="15" customHeight="1" x14ac:dyDescent="0.25">
      <c r="H195" s="13"/>
    </row>
    <row r="196" spans="8:8" s="8" customFormat="1" ht="15" customHeight="1" x14ac:dyDescent="0.25">
      <c r="H196" s="13"/>
    </row>
    <row r="197" spans="8:8" s="8" customFormat="1" ht="15" customHeight="1" x14ac:dyDescent="0.25">
      <c r="H197" s="13"/>
    </row>
    <row r="198" spans="8:8" s="8" customFormat="1" ht="15" customHeight="1" x14ac:dyDescent="0.25">
      <c r="H198" s="13"/>
    </row>
    <row r="199" spans="8:8" s="8" customFormat="1" ht="15" customHeight="1" x14ac:dyDescent="0.25">
      <c r="H199" s="13"/>
    </row>
    <row r="200" spans="8:8" s="8" customFormat="1" ht="15" customHeight="1" x14ac:dyDescent="0.25">
      <c r="H200" s="13"/>
    </row>
    <row r="201" spans="8:8" s="8" customFormat="1" ht="15" customHeight="1" x14ac:dyDescent="0.25">
      <c r="H201" s="13"/>
    </row>
    <row r="202" spans="8:8" s="8" customFormat="1" ht="15" customHeight="1" x14ac:dyDescent="0.25">
      <c r="H202" s="13"/>
    </row>
    <row r="203" spans="8:8" s="8" customFormat="1" ht="15" customHeight="1" x14ac:dyDescent="0.25">
      <c r="H203" s="13"/>
    </row>
    <row r="204" spans="8:8" s="8" customFormat="1" ht="15" customHeight="1" x14ac:dyDescent="0.25">
      <c r="H204" s="13"/>
    </row>
    <row r="205" spans="8:8" s="8" customFormat="1" ht="15" customHeight="1" x14ac:dyDescent="0.25">
      <c r="H205" s="13"/>
    </row>
    <row r="206" spans="8:8" s="8" customFormat="1" ht="15" customHeight="1" x14ac:dyDescent="0.25">
      <c r="H206" s="13"/>
    </row>
    <row r="207" spans="8:8" s="8" customFormat="1" ht="15" customHeight="1" x14ac:dyDescent="0.25">
      <c r="H207" s="13"/>
    </row>
    <row r="208" spans="8:8" s="8" customFormat="1" ht="15" customHeight="1" x14ac:dyDescent="0.25">
      <c r="H208" s="13"/>
    </row>
    <row r="209" spans="8:8" s="8" customFormat="1" ht="15" customHeight="1" x14ac:dyDescent="0.25">
      <c r="H209" s="13"/>
    </row>
    <row r="210" spans="8:8" s="8" customFormat="1" ht="15" customHeight="1" x14ac:dyDescent="0.25">
      <c r="H210" s="13"/>
    </row>
    <row r="211" spans="8:8" s="8" customFormat="1" ht="15" customHeight="1" x14ac:dyDescent="0.25">
      <c r="H211" s="13"/>
    </row>
    <row r="212" spans="8:8" s="8" customFormat="1" ht="15" customHeight="1" x14ac:dyDescent="0.25">
      <c r="H212" s="13"/>
    </row>
    <row r="213" spans="8:8" s="8" customFormat="1" ht="15" customHeight="1" x14ac:dyDescent="0.25">
      <c r="H213" s="13"/>
    </row>
    <row r="214" spans="8:8" s="8" customFormat="1" ht="15" customHeight="1" x14ac:dyDescent="0.25">
      <c r="H214" s="13"/>
    </row>
    <row r="215" spans="8:8" s="8" customFormat="1" ht="15" customHeight="1" x14ac:dyDescent="0.25">
      <c r="H215" s="13"/>
    </row>
    <row r="216" spans="8:8" s="8" customFormat="1" ht="15" customHeight="1" x14ac:dyDescent="0.25">
      <c r="H216" s="13"/>
    </row>
    <row r="217" spans="8:8" s="8" customFormat="1" ht="15" customHeight="1" x14ac:dyDescent="0.25">
      <c r="H217" s="13"/>
    </row>
    <row r="218" spans="8:8" s="8" customFormat="1" ht="15" customHeight="1" x14ac:dyDescent="0.25">
      <c r="H218" s="13"/>
    </row>
    <row r="219" spans="8:8" s="8" customFormat="1" ht="15" customHeight="1" x14ac:dyDescent="0.25">
      <c r="H219" s="13"/>
    </row>
    <row r="220" spans="8:8" s="8" customFormat="1" ht="15" customHeight="1" x14ac:dyDescent="0.25">
      <c r="H220" s="13"/>
    </row>
    <row r="221" spans="8:8" s="8" customFormat="1" ht="15" customHeight="1" x14ac:dyDescent="0.25">
      <c r="H221" s="13"/>
    </row>
    <row r="222" spans="8:8" s="8" customFormat="1" ht="15" customHeight="1" x14ac:dyDescent="0.25">
      <c r="H222" s="13"/>
    </row>
    <row r="223" spans="8:8" s="8" customFormat="1" ht="15" customHeight="1" x14ac:dyDescent="0.25">
      <c r="H223" s="13"/>
    </row>
    <row r="224" spans="8:8" s="8" customFormat="1" ht="15" customHeight="1" x14ac:dyDescent="0.25">
      <c r="H224" s="13"/>
    </row>
    <row r="225" spans="8:8" s="8" customFormat="1" ht="15" customHeight="1" x14ac:dyDescent="0.25">
      <c r="H225" s="13"/>
    </row>
    <row r="226" spans="8:8" s="8" customFormat="1" ht="15" customHeight="1" x14ac:dyDescent="0.25">
      <c r="H226" s="13"/>
    </row>
    <row r="227" spans="8:8" s="8" customFormat="1" ht="15" customHeight="1" x14ac:dyDescent="0.25">
      <c r="H227" s="13"/>
    </row>
    <row r="228" spans="8:8" s="8" customFormat="1" ht="15" customHeight="1" x14ac:dyDescent="0.25">
      <c r="H228" s="13"/>
    </row>
    <row r="229" spans="8:8" s="8" customFormat="1" ht="15" customHeight="1" x14ac:dyDescent="0.25">
      <c r="H229" s="13"/>
    </row>
    <row r="230" spans="8:8" s="8" customFormat="1" ht="15" customHeight="1" x14ac:dyDescent="0.25">
      <c r="H230" s="13"/>
    </row>
    <row r="231" spans="8:8" s="8" customFormat="1" ht="15" customHeight="1" x14ac:dyDescent="0.25">
      <c r="H231" s="13"/>
    </row>
    <row r="232" spans="8:8" s="8" customFormat="1" ht="15" customHeight="1" x14ac:dyDescent="0.25">
      <c r="H232" s="13"/>
    </row>
    <row r="233" spans="8:8" s="8" customFormat="1" ht="15" customHeight="1" x14ac:dyDescent="0.25">
      <c r="H233" s="13"/>
    </row>
    <row r="234" spans="8:8" s="8" customFormat="1" ht="15" customHeight="1" x14ac:dyDescent="0.25">
      <c r="H234" s="13"/>
    </row>
    <row r="235" spans="8:8" s="8" customFormat="1" ht="15" customHeight="1" x14ac:dyDescent="0.25">
      <c r="H235" s="13"/>
    </row>
    <row r="236" spans="8:8" s="8" customFormat="1" ht="15" customHeight="1" x14ac:dyDescent="0.25">
      <c r="H236" s="13"/>
    </row>
    <row r="237" spans="8:8" s="8" customFormat="1" ht="15" customHeight="1" x14ac:dyDescent="0.25">
      <c r="H237" s="13"/>
    </row>
    <row r="238" spans="8:8" s="8" customFormat="1" ht="15" customHeight="1" x14ac:dyDescent="0.25">
      <c r="H238" s="13"/>
    </row>
    <row r="239" spans="8:8" s="8" customFormat="1" ht="15" customHeight="1" x14ac:dyDescent="0.25">
      <c r="H239" s="13"/>
    </row>
    <row r="240" spans="8:8" s="8" customFormat="1" ht="15" customHeight="1" x14ac:dyDescent="0.25">
      <c r="H240" s="13"/>
    </row>
    <row r="241" spans="8:8" s="8" customFormat="1" ht="15" customHeight="1" x14ac:dyDescent="0.25">
      <c r="H241" s="13"/>
    </row>
    <row r="242" spans="8:8" s="8" customFormat="1" ht="15" customHeight="1" x14ac:dyDescent="0.25">
      <c r="H242" s="13"/>
    </row>
    <row r="243" spans="8:8" s="8" customFormat="1" ht="15" customHeight="1" x14ac:dyDescent="0.25">
      <c r="H243" s="13"/>
    </row>
    <row r="244" spans="8:8" s="8" customFormat="1" ht="15" customHeight="1" x14ac:dyDescent="0.25">
      <c r="H244" s="13"/>
    </row>
    <row r="245" spans="8:8" s="8" customFormat="1" ht="15" customHeight="1" x14ac:dyDescent="0.25">
      <c r="H245" s="13"/>
    </row>
    <row r="246" spans="8:8" s="8" customFormat="1" ht="15" customHeight="1" x14ac:dyDescent="0.25">
      <c r="H246" s="13"/>
    </row>
    <row r="247" spans="8:8" s="8" customFormat="1" ht="15" customHeight="1" x14ac:dyDescent="0.25">
      <c r="H247" s="13"/>
    </row>
    <row r="248" spans="8:8" s="8" customFormat="1" ht="15" customHeight="1" x14ac:dyDescent="0.25">
      <c r="H248" s="13"/>
    </row>
    <row r="249" spans="8:8" s="8" customFormat="1" ht="15" customHeight="1" x14ac:dyDescent="0.25">
      <c r="H249" s="13"/>
    </row>
    <row r="250" spans="8:8" s="8" customFormat="1" ht="15" customHeight="1" x14ac:dyDescent="0.25">
      <c r="H250" s="13"/>
    </row>
    <row r="251" spans="8:8" s="8" customFormat="1" ht="15" customHeight="1" x14ac:dyDescent="0.25">
      <c r="H251" s="13"/>
    </row>
    <row r="252" spans="8:8" s="8" customFormat="1" ht="15" customHeight="1" x14ac:dyDescent="0.25">
      <c r="H252" s="13"/>
    </row>
    <row r="253" spans="8:8" s="8" customFormat="1" ht="15" customHeight="1" x14ac:dyDescent="0.25">
      <c r="H253" s="13"/>
    </row>
    <row r="254" spans="8:8" s="8" customFormat="1" ht="15" customHeight="1" x14ac:dyDescent="0.25">
      <c r="H254" s="13"/>
    </row>
    <row r="255" spans="8:8" s="8" customFormat="1" ht="15" customHeight="1" x14ac:dyDescent="0.25">
      <c r="H255" s="13"/>
    </row>
    <row r="256" spans="8:8" s="8" customFormat="1" ht="15" customHeight="1" x14ac:dyDescent="0.25">
      <c r="H256" s="13"/>
    </row>
    <row r="257" spans="8:8" s="8" customFormat="1" ht="15" customHeight="1" x14ac:dyDescent="0.25">
      <c r="H257" s="13"/>
    </row>
    <row r="258" spans="8:8" s="8" customFormat="1" ht="15" customHeight="1" x14ac:dyDescent="0.25">
      <c r="H258" s="13"/>
    </row>
    <row r="259" spans="8:8" s="8" customFormat="1" ht="15" customHeight="1" x14ac:dyDescent="0.25">
      <c r="H259" s="13"/>
    </row>
    <row r="260" spans="8:8" s="8" customFormat="1" ht="15" customHeight="1" x14ac:dyDescent="0.25">
      <c r="H260" s="13"/>
    </row>
    <row r="261" spans="8:8" s="8" customFormat="1" ht="15" customHeight="1" x14ac:dyDescent="0.25">
      <c r="H261" s="13"/>
    </row>
    <row r="262" spans="8:8" s="8" customFormat="1" ht="15" customHeight="1" x14ac:dyDescent="0.25">
      <c r="H262" s="13"/>
    </row>
    <row r="263" spans="8:8" s="8" customFormat="1" ht="15" customHeight="1" x14ac:dyDescent="0.25">
      <c r="H263" s="13"/>
    </row>
    <row r="264" spans="8:8" s="8" customFormat="1" ht="15" customHeight="1" x14ac:dyDescent="0.25">
      <c r="H264" s="13"/>
    </row>
    <row r="265" spans="8:8" s="8" customFormat="1" ht="15" customHeight="1" x14ac:dyDescent="0.25">
      <c r="H265" s="13"/>
    </row>
    <row r="266" spans="8:8" s="8" customFormat="1" ht="15" customHeight="1" x14ac:dyDescent="0.25">
      <c r="H266" s="13"/>
    </row>
    <row r="267" spans="8:8" s="8" customFormat="1" ht="15" customHeight="1" x14ac:dyDescent="0.25">
      <c r="H267" s="13"/>
    </row>
    <row r="268" spans="8:8" s="8" customFormat="1" ht="15" customHeight="1" x14ac:dyDescent="0.25">
      <c r="H268" s="13"/>
    </row>
    <row r="269" spans="8:8" s="8" customFormat="1" ht="15" customHeight="1" x14ac:dyDescent="0.25">
      <c r="H269" s="13"/>
    </row>
    <row r="270" spans="8:8" s="8" customFormat="1" ht="15" customHeight="1" x14ac:dyDescent="0.25">
      <c r="H270" s="13"/>
    </row>
    <row r="271" spans="8:8" s="8" customFormat="1" ht="15" customHeight="1" x14ac:dyDescent="0.25">
      <c r="H271" s="13"/>
    </row>
    <row r="272" spans="8:8" s="8" customFormat="1" ht="15" customHeight="1" x14ac:dyDescent="0.25">
      <c r="H272" s="13"/>
    </row>
    <row r="273" spans="8:8" s="8" customFormat="1" ht="15" customHeight="1" x14ac:dyDescent="0.25">
      <c r="H273" s="13"/>
    </row>
    <row r="274" spans="8:8" s="8" customFormat="1" ht="15" customHeight="1" x14ac:dyDescent="0.25">
      <c r="H274" s="13"/>
    </row>
    <row r="275" spans="8:8" s="8" customFormat="1" ht="15" customHeight="1" x14ac:dyDescent="0.25">
      <c r="H275" s="13"/>
    </row>
    <row r="276" spans="8:8" s="8" customFormat="1" ht="15" customHeight="1" x14ac:dyDescent="0.25">
      <c r="H276" s="13"/>
    </row>
    <row r="277" spans="8:8" s="8" customFormat="1" ht="15" customHeight="1" x14ac:dyDescent="0.25">
      <c r="H277" s="13"/>
    </row>
    <row r="278" spans="8:8" s="8" customFormat="1" ht="15" customHeight="1" x14ac:dyDescent="0.25">
      <c r="H278" s="13"/>
    </row>
    <row r="279" spans="8:8" s="8" customFormat="1" ht="15" customHeight="1" x14ac:dyDescent="0.25">
      <c r="H279" s="13"/>
    </row>
    <row r="280" spans="8:8" s="8" customFormat="1" ht="15" customHeight="1" x14ac:dyDescent="0.25">
      <c r="H280" s="13"/>
    </row>
    <row r="281" spans="8:8" s="8" customFormat="1" ht="15" customHeight="1" x14ac:dyDescent="0.25">
      <c r="H281" s="13"/>
    </row>
    <row r="282" spans="8:8" s="8" customFormat="1" ht="15" customHeight="1" x14ac:dyDescent="0.25">
      <c r="H282" s="13"/>
    </row>
    <row r="283" spans="8:8" s="8" customFormat="1" ht="15" customHeight="1" x14ac:dyDescent="0.25">
      <c r="H283" s="13"/>
    </row>
    <row r="284" spans="8:8" s="8" customFormat="1" ht="15" customHeight="1" x14ac:dyDescent="0.25">
      <c r="H284" s="13"/>
    </row>
    <row r="285" spans="8:8" s="8" customFormat="1" ht="15" customHeight="1" x14ac:dyDescent="0.25">
      <c r="H285" s="13"/>
    </row>
    <row r="286" spans="8:8" s="8" customFormat="1" ht="15" customHeight="1" x14ac:dyDescent="0.25">
      <c r="H286" s="13"/>
    </row>
    <row r="287" spans="8:8" s="8" customFormat="1" ht="15" customHeight="1" x14ac:dyDescent="0.25">
      <c r="H287" s="13"/>
    </row>
    <row r="288" spans="8:8" s="8" customFormat="1" ht="15" customHeight="1" x14ac:dyDescent="0.25">
      <c r="H288" s="13"/>
    </row>
    <row r="289" spans="8:8" s="8" customFormat="1" ht="15" customHeight="1" x14ac:dyDescent="0.25">
      <c r="H289" s="13"/>
    </row>
    <row r="290" spans="8:8" s="8" customFormat="1" ht="15" customHeight="1" x14ac:dyDescent="0.25">
      <c r="H290" s="13"/>
    </row>
    <row r="291" spans="8:8" s="8" customFormat="1" ht="15" customHeight="1" x14ac:dyDescent="0.25">
      <c r="H291" s="13"/>
    </row>
    <row r="292" spans="8:8" s="8" customFormat="1" ht="15" customHeight="1" x14ac:dyDescent="0.25">
      <c r="H292" s="13"/>
    </row>
    <row r="293" spans="8:8" s="8" customFormat="1" ht="15" customHeight="1" x14ac:dyDescent="0.25">
      <c r="H293" s="13"/>
    </row>
    <row r="294" spans="8:8" s="8" customFormat="1" ht="15" customHeight="1" x14ac:dyDescent="0.25">
      <c r="H294" s="13"/>
    </row>
    <row r="295" spans="8:8" s="8" customFormat="1" ht="15" customHeight="1" x14ac:dyDescent="0.25">
      <c r="H295" s="13"/>
    </row>
    <row r="296" spans="8:8" s="8" customFormat="1" ht="15" customHeight="1" x14ac:dyDescent="0.25">
      <c r="H296" s="13"/>
    </row>
    <row r="297" spans="8:8" s="8" customFormat="1" ht="15" customHeight="1" x14ac:dyDescent="0.25">
      <c r="H297" s="13"/>
    </row>
    <row r="298" spans="8:8" s="8" customFormat="1" ht="15" customHeight="1" x14ac:dyDescent="0.25">
      <c r="H298" s="13"/>
    </row>
    <row r="299" spans="8:8" s="8" customFormat="1" ht="15" customHeight="1" x14ac:dyDescent="0.25">
      <c r="H299" s="13"/>
    </row>
    <row r="300" spans="8:8" s="8" customFormat="1" ht="15" customHeight="1" x14ac:dyDescent="0.25">
      <c r="H300" s="13"/>
    </row>
    <row r="301" spans="8:8" s="8" customFormat="1" ht="15" customHeight="1" x14ac:dyDescent="0.25">
      <c r="H301" s="13"/>
    </row>
    <row r="302" spans="8:8" s="8" customFormat="1" ht="15" customHeight="1" x14ac:dyDescent="0.25">
      <c r="H302" s="13"/>
    </row>
    <row r="303" spans="8:8" s="8" customFormat="1" ht="15" customHeight="1" x14ac:dyDescent="0.25">
      <c r="H303" s="13"/>
    </row>
    <row r="304" spans="8:8" s="8" customFormat="1" ht="15" customHeight="1" x14ac:dyDescent="0.25">
      <c r="H304" s="13"/>
    </row>
    <row r="305" spans="8:8" s="8" customFormat="1" ht="15" customHeight="1" x14ac:dyDescent="0.25">
      <c r="H305" s="13"/>
    </row>
    <row r="306" spans="8:8" s="8" customFormat="1" ht="15" customHeight="1" x14ac:dyDescent="0.25">
      <c r="H306" s="13"/>
    </row>
    <row r="307" spans="8:8" s="8" customFormat="1" ht="15" customHeight="1" x14ac:dyDescent="0.25">
      <c r="H307" s="13"/>
    </row>
    <row r="308" spans="8:8" s="8" customFormat="1" ht="15" customHeight="1" x14ac:dyDescent="0.25">
      <c r="H308" s="13"/>
    </row>
    <row r="309" spans="8:8" s="8" customFormat="1" ht="15" customHeight="1" x14ac:dyDescent="0.25">
      <c r="H309" s="13"/>
    </row>
    <row r="310" spans="8:8" s="8" customFormat="1" ht="15" customHeight="1" x14ac:dyDescent="0.25">
      <c r="H310" s="13"/>
    </row>
    <row r="311" spans="8:8" s="8" customFormat="1" ht="15" customHeight="1" x14ac:dyDescent="0.25">
      <c r="H311" s="13"/>
    </row>
    <row r="312" spans="8:8" s="8" customFormat="1" ht="15" customHeight="1" x14ac:dyDescent="0.25">
      <c r="H312" s="13"/>
    </row>
    <row r="313" spans="8:8" s="8" customFormat="1" ht="15" customHeight="1" x14ac:dyDescent="0.25">
      <c r="H313" s="13"/>
    </row>
    <row r="314" spans="8:8" s="8" customFormat="1" ht="15" customHeight="1" x14ac:dyDescent="0.25">
      <c r="H314" s="13"/>
    </row>
    <row r="315" spans="8:8" s="8" customFormat="1" ht="15" customHeight="1" x14ac:dyDescent="0.25">
      <c r="H315" s="13"/>
    </row>
    <row r="316" spans="8:8" s="8" customFormat="1" ht="15" customHeight="1" x14ac:dyDescent="0.25">
      <c r="H316" s="13"/>
    </row>
    <row r="317" spans="8:8" s="8" customFormat="1" ht="15" customHeight="1" x14ac:dyDescent="0.25">
      <c r="H317" s="13"/>
    </row>
    <row r="318" spans="8:8" s="8" customFormat="1" ht="15" customHeight="1" x14ac:dyDescent="0.25">
      <c r="H318" s="13"/>
    </row>
    <row r="319" spans="8:8" s="8" customFormat="1" ht="15" customHeight="1" x14ac:dyDescent="0.25">
      <c r="H319" s="13"/>
    </row>
    <row r="320" spans="8:8" s="8" customFormat="1" ht="15" customHeight="1" x14ac:dyDescent="0.25">
      <c r="H320" s="13"/>
    </row>
    <row r="321" spans="8:8" s="8" customFormat="1" ht="15" customHeight="1" x14ac:dyDescent="0.25">
      <c r="H321" s="13"/>
    </row>
    <row r="322" spans="8:8" s="8" customFormat="1" ht="15" customHeight="1" x14ac:dyDescent="0.25">
      <c r="H322" s="13"/>
    </row>
    <row r="323" spans="8:8" s="8" customFormat="1" ht="15" customHeight="1" x14ac:dyDescent="0.25">
      <c r="H323" s="13"/>
    </row>
    <row r="324" spans="8:8" s="8" customFormat="1" ht="15" customHeight="1" x14ac:dyDescent="0.25">
      <c r="H324" s="13"/>
    </row>
    <row r="325" spans="8:8" s="8" customFormat="1" ht="15" customHeight="1" x14ac:dyDescent="0.25">
      <c r="H325" s="13"/>
    </row>
    <row r="326" spans="8:8" s="8" customFormat="1" ht="15" customHeight="1" x14ac:dyDescent="0.25">
      <c r="H326" s="13"/>
    </row>
    <row r="327" spans="8:8" s="8" customFormat="1" ht="15" customHeight="1" x14ac:dyDescent="0.25">
      <c r="H327" s="13"/>
    </row>
    <row r="328" spans="8:8" s="8" customFormat="1" ht="15" customHeight="1" x14ac:dyDescent="0.25">
      <c r="H328" s="13"/>
    </row>
    <row r="329" spans="8:8" s="8" customFormat="1" ht="15" customHeight="1" x14ac:dyDescent="0.25">
      <c r="H329" s="13"/>
    </row>
    <row r="330" spans="8:8" s="8" customFormat="1" ht="15" customHeight="1" x14ac:dyDescent="0.25">
      <c r="H330" s="13"/>
    </row>
    <row r="331" spans="8:8" s="8" customFormat="1" ht="15" customHeight="1" x14ac:dyDescent="0.25">
      <c r="H331" s="13"/>
    </row>
    <row r="332" spans="8:8" s="8" customFormat="1" ht="15" customHeight="1" x14ac:dyDescent="0.25">
      <c r="H332" s="13"/>
    </row>
    <row r="333" spans="8:8" s="8" customFormat="1" ht="15" customHeight="1" x14ac:dyDescent="0.25">
      <c r="H333" s="13"/>
    </row>
    <row r="334" spans="8:8" s="8" customFormat="1" ht="15" customHeight="1" x14ac:dyDescent="0.25">
      <c r="H334" s="13"/>
    </row>
    <row r="335" spans="8:8" s="8" customFormat="1" ht="15" customHeight="1" x14ac:dyDescent="0.25">
      <c r="H335" s="13"/>
    </row>
    <row r="336" spans="8:8" s="8" customFormat="1" ht="15" customHeight="1" x14ac:dyDescent="0.25">
      <c r="H336" s="13"/>
    </row>
    <row r="337" spans="8:8" s="8" customFormat="1" ht="15" customHeight="1" x14ac:dyDescent="0.25">
      <c r="H337" s="13"/>
    </row>
    <row r="338" spans="8:8" s="8" customFormat="1" ht="15" customHeight="1" x14ac:dyDescent="0.25">
      <c r="H338" s="13"/>
    </row>
    <row r="339" spans="8:8" s="8" customFormat="1" ht="15" customHeight="1" x14ac:dyDescent="0.25">
      <c r="H339" s="13"/>
    </row>
    <row r="340" spans="8:8" s="8" customFormat="1" ht="15" customHeight="1" x14ac:dyDescent="0.25">
      <c r="H340" s="13"/>
    </row>
    <row r="341" spans="8:8" s="8" customFormat="1" ht="15" customHeight="1" x14ac:dyDescent="0.25">
      <c r="H341" s="13"/>
    </row>
    <row r="342" spans="8:8" s="8" customFormat="1" ht="15" customHeight="1" x14ac:dyDescent="0.25">
      <c r="H342" s="13"/>
    </row>
    <row r="343" spans="8:8" s="8" customFormat="1" ht="15" customHeight="1" x14ac:dyDescent="0.25">
      <c r="H343" s="13"/>
    </row>
    <row r="344" spans="8:8" s="8" customFormat="1" ht="15" customHeight="1" x14ac:dyDescent="0.25">
      <c r="H344" s="13"/>
    </row>
    <row r="345" spans="8:8" s="8" customFormat="1" ht="15" customHeight="1" x14ac:dyDescent="0.25">
      <c r="H345" s="13"/>
    </row>
    <row r="346" spans="8:8" s="8" customFormat="1" ht="15" customHeight="1" x14ac:dyDescent="0.25">
      <c r="H346" s="13"/>
    </row>
    <row r="347" spans="8:8" s="8" customFormat="1" ht="15" customHeight="1" x14ac:dyDescent="0.25">
      <c r="H347" s="13"/>
    </row>
    <row r="348" spans="8:8" s="8" customFormat="1" ht="15" customHeight="1" x14ac:dyDescent="0.25">
      <c r="H348" s="13"/>
    </row>
    <row r="349" spans="8:8" s="8" customFormat="1" ht="15" customHeight="1" x14ac:dyDescent="0.25">
      <c r="H349" s="13"/>
    </row>
    <row r="350" spans="8:8" s="8" customFormat="1" ht="15" customHeight="1" x14ac:dyDescent="0.25">
      <c r="H350" s="13"/>
    </row>
    <row r="351" spans="8:8" s="8" customFormat="1" ht="15" customHeight="1" x14ac:dyDescent="0.25">
      <c r="H351" s="13"/>
    </row>
    <row r="352" spans="8:8" s="8" customFormat="1" ht="15" customHeight="1" x14ac:dyDescent="0.25">
      <c r="H352" s="13"/>
    </row>
    <row r="353" spans="8:8" s="8" customFormat="1" ht="15" customHeight="1" x14ac:dyDescent="0.25">
      <c r="H353" s="13"/>
    </row>
    <row r="354" spans="8:8" s="8" customFormat="1" ht="15" customHeight="1" x14ac:dyDescent="0.25">
      <c r="H354" s="13"/>
    </row>
    <row r="355" spans="8:8" s="8" customFormat="1" ht="15" customHeight="1" x14ac:dyDescent="0.25">
      <c r="H355" s="13"/>
    </row>
    <row r="356" spans="8:8" s="8" customFormat="1" ht="15" customHeight="1" x14ac:dyDescent="0.25">
      <c r="H356" s="13"/>
    </row>
    <row r="357" spans="8:8" s="8" customFormat="1" ht="15" customHeight="1" x14ac:dyDescent="0.25">
      <c r="H357" s="13"/>
    </row>
    <row r="358" spans="8:8" s="8" customFormat="1" ht="15" customHeight="1" x14ac:dyDescent="0.25">
      <c r="H358" s="13"/>
    </row>
    <row r="359" spans="8:8" s="8" customFormat="1" ht="15" customHeight="1" x14ac:dyDescent="0.25">
      <c r="H359" s="13"/>
    </row>
    <row r="360" spans="8:8" s="8" customFormat="1" ht="15" customHeight="1" x14ac:dyDescent="0.25">
      <c r="H360" s="13"/>
    </row>
    <row r="361" spans="8:8" s="8" customFormat="1" ht="15" customHeight="1" x14ac:dyDescent="0.25">
      <c r="H361" s="13"/>
    </row>
    <row r="362" spans="8:8" s="8" customFormat="1" ht="15" customHeight="1" x14ac:dyDescent="0.25">
      <c r="H362" s="13"/>
    </row>
    <row r="363" spans="8:8" s="8" customFormat="1" ht="15" customHeight="1" x14ac:dyDescent="0.25">
      <c r="H363" s="13"/>
    </row>
    <row r="364" spans="8:8" s="8" customFormat="1" ht="15" customHeight="1" x14ac:dyDescent="0.25">
      <c r="H364" s="13"/>
    </row>
    <row r="365" spans="8:8" s="8" customFormat="1" ht="15" customHeight="1" x14ac:dyDescent="0.25">
      <c r="H365" s="13"/>
    </row>
    <row r="366" spans="8:8" s="8" customFormat="1" ht="15" customHeight="1" x14ac:dyDescent="0.25">
      <c r="H366" s="13"/>
    </row>
    <row r="367" spans="8:8" s="8" customFormat="1" ht="15" customHeight="1" x14ac:dyDescent="0.25">
      <c r="H367" s="13"/>
    </row>
    <row r="368" spans="8:8" s="8" customFormat="1" ht="15" customHeight="1" x14ac:dyDescent="0.25">
      <c r="H368" s="13"/>
    </row>
    <row r="369" spans="8:8" s="8" customFormat="1" ht="15" customHeight="1" x14ac:dyDescent="0.25">
      <c r="H369" s="13"/>
    </row>
    <row r="370" spans="8:8" s="8" customFormat="1" ht="15" customHeight="1" x14ac:dyDescent="0.25">
      <c r="H370" s="13"/>
    </row>
    <row r="371" spans="8:8" s="8" customFormat="1" ht="15" customHeight="1" x14ac:dyDescent="0.25">
      <c r="H371" s="13"/>
    </row>
    <row r="372" spans="8:8" s="8" customFormat="1" ht="15" customHeight="1" x14ac:dyDescent="0.25">
      <c r="H372" s="13"/>
    </row>
    <row r="373" spans="8:8" s="8" customFormat="1" ht="15" customHeight="1" x14ac:dyDescent="0.25">
      <c r="H373" s="13"/>
    </row>
    <row r="374" spans="8:8" s="8" customFormat="1" ht="15" customHeight="1" x14ac:dyDescent="0.25">
      <c r="H374" s="13"/>
    </row>
    <row r="375" spans="8:8" s="8" customFormat="1" ht="15" customHeight="1" x14ac:dyDescent="0.25">
      <c r="H375" s="13"/>
    </row>
    <row r="376" spans="8:8" s="8" customFormat="1" ht="15" customHeight="1" x14ac:dyDescent="0.25">
      <c r="H376" s="13"/>
    </row>
    <row r="377" spans="8:8" s="8" customFormat="1" ht="15" customHeight="1" x14ac:dyDescent="0.25">
      <c r="H377" s="13"/>
    </row>
    <row r="378" spans="8:8" s="8" customFormat="1" ht="15" customHeight="1" x14ac:dyDescent="0.25">
      <c r="H378" s="13"/>
    </row>
    <row r="379" spans="8:8" s="8" customFormat="1" ht="15" customHeight="1" x14ac:dyDescent="0.25">
      <c r="H379" s="13"/>
    </row>
    <row r="380" spans="8:8" s="8" customFormat="1" ht="15" customHeight="1" x14ac:dyDescent="0.25">
      <c r="H380" s="13"/>
    </row>
    <row r="381" spans="8:8" s="8" customFormat="1" ht="15" customHeight="1" x14ac:dyDescent="0.25">
      <c r="H381" s="13"/>
    </row>
    <row r="382" spans="8:8" s="8" customFormat="1" ht="15" customHeight="1" x14ac:dyDescent="0.25">
      <c r="H382" s="13"/>
    </row>
    <row r="383" spans="8:8" s="8" customFormat="1" ht="15" customHeight="1" x14ac:dyDescent="0.25">
      <c r="H383" s="13"/>
    </row>
    <row r="384" spans="8:8" s="8" customFormat="1" ht="15" customHeight="1" x14ac:dyDescent="0.25">
      <c r="H384" s="13"/>
    </row>
    <row r="385" spans="8:8" s="8" customFormat="1" ht="15" customHeight="1" x14ac:dyDescent="0.25">
      <c r="H385" s="13"/>
    </row>
    <row r="386" spans="8:8" s="8" customFormat="1" ht="15" customHeight="1" x14ac:dyDescent="0.25">
      <c r="H386" s="13"/>
    </row>
    <row r="387" spans="8:8" s="8" customFormat="1" ht="15" customHeight="1" x14ac:dyDescent="0.25">
      <c r="H387" s="13"/>
    </row>
    <row r="388" spans="8:8" s="8" customFormat="1" ht="15" customHeight="1" x14ac:dyDescent="0.25">
      <c r="H388" s="13"/>
    </row>
    <row r="389" spans="8:8" s="8" customFormat="1" ht="15" customHeight="1" x14ac:dyDescent="0.25">
      <c r="H389" s="13"/>
    </row>
    <row r="390" spans="8:8" s="8" customFormat="1" ht="15" customHeight="1" x14ac:dyDescent="0.25">
      <c r="H390" s="13"/>
    </row>
    <row r="391" spans="8:8" s="8" customFormat="1" ht="15" customHeight="1" x14ac:dyDescent="0.25">
      <c r="H391" s="13"/>
    </row>
    <row r="392" spans="8:8" s="8" customFormat="1" ht="15" customHeight="1" x14ac:dyDescent="0.25">
      <c r="H392" s="13"/>
    </row>
    <row r="393" spans="8:8" s="8" customFormat="1" ht="15" customHeight="1" x14ac:dyDescent="0.25">
      <c r="H393" s="13"/>
    </row>
    <row r="394" spans="8:8" s="8" customFormat="1" ht="15" customHeight="1" x14ac:dyDescent="0.25">
      <c r="H394" s="13"/>
    </row>
    <row r="395" spans="8:8" s="8" customFormat="1" ht="15" customHeight="1" x14ac:dyDescent="0.25">
      <c r="H395" s="13"/>
    </row>
    <row r="396" spans="8:8" s="8" customFormat="1" ht="15" customHeight="1" x14ac:dyDescent="0.25">
      <c r="H396" s="13"/>
    </row>
    <row r="397" spans="8:8" s="8" customFormat="1" ht="15" customHeight="1" x14ac:dyDescent="0.25">
      <c r="H397" s="13"/>
    </row>
    <row r="398" spans="8:8" s="8" customFormat="1" ht="15" customHeight="1" x14ac:dyDescent="0.25">
      <c r="H398" s="13"/>
    </row>
    <row r="399" spans="8:8" s="8" customFormat="1" ht="15" customHeight="1" x14ac:dyDescent="0.25">
      <c r="H399" s="13"/>
    </row>
    <row r="400" spans="8:8" s="8" customFormat="1" ht="15" customHeight="1" x14ac:dyDescent="0.25">
      <c r="H400" s="13"/>
    </row>
    <row r="401" spans="8:8" s="8" customFormat="1" ht="15" customHeight="1" x14ac:dyDescent="0.25">
      <c r="H401" s="13"/>
    </row>
    <row r="402" spans="8:8" s="8" customFormat="1" ht="15" customHeight="1" x14ac:dyDescent="0.25">
      <c r="H402" s="13"/>
    </row>
    <row r="403" spans="8:8" s="8" customFormat="1" ht="15" customHeight="1" x14ac:dyDescent="0.25">
      <c r="H403" s="13"/>
    </row>
    <row r="404" spans="8:8" s="8" customFormat="1" ht="15" customHeight="1" x14ac:dyDescent="0.25">
      <c r="H404" s="13"/>
    </row>
    <row r="405" spans="8:8" s="8" customFormat="1" ht="15" customHeight="1" x14ac:dyDescent="0.25">
      <c r="H405" s="13"/>
    </row>
    <row r="406" spans="8:8" s="8" customFormat="1" ht="15" customHeight="1" x14ac:dyDescent="0.25">
      <c r="H406" s="13"/>
    </row>
    <row r="407" spans="8:8" s="8" customFormat="1" ht="15" customHeight="1" x14ac:dyDescent="0.25">
      <c r="H407" s="13"/>
    </row>
    <row r="408" spans="8:8" s="8" customFormat="1" ht="15" customHeight="1" x14ac:dyDescent="0.25">
      <c r="H408" s="13"/>
    </row>
    <row r="409" spans="8:8" s="8" customFormat="1" ht="15" customHeight="1" x14ac:dyDescent="0.25">
      <c r="H409" s="13"/>
    </row>
    <row r="410" spans="8:8" s="8" customFormat="1" ht="15" customHeight="1" x14ac:dyDescent="0.25">
      <c r="H410" s="13"/>
    </row>
    <row r="411" spans="8:8" s="8" customFormat="1" ht="15" customHeight="1" x14ac:dyDescent="0.25">
      <c r="H411" s="13"/>
    </row>
    <row r="412" spans="8:8" s="8" customFormat="1" ht="15" customHeight="1" x14ac:dyDescent="0.25">
      <c r="H412" s="13"/>
    </row>
    <row r="413" spans="8:8" s="8" customFormat="1" ht="15" customHeight="1" x14ac:dyDescent="0.25">
      <c r="H413" s="13"/>
    </row>
    <row r="414" spans="8:8" s="8" customFormat="1" ht="15" customHeight="1" x14ac:dyDescent="0.25">
      <c r="H414" s="13"/>
    </row>
    <row r="415" spans="8:8" s="8" customFormat="1" ht="15" customHeight="1" x14ac:dyDescent="0.25">
      <c r="H415" s="13"/>
    </row>
    <row r="416" spans="8:8" s="8" customFormat="1" ht="15" customHeight="1" x14ac:dyDescent="0.25">
      <c r="H416" s="13"/>
    </row>
    <row r="417" spans="8:8" s="8" customFormat="1" ht="15" customHeight="1" x14ac:dyDescent="0.25">
      <c r="H417" s="13"/>
    </row>
    <row r="418" spans="8:8" s="8" customFormat="1" ht="15" customHeight="1" x14ac:dyDescent="0.25">
      <c r="H418" s="13"/>
    </row>
    <row r="419" spans="8:8" s="8" customFormat="1" ht="15" customHeight="1" x14ac:dyDescent="0.25">
      <c r="H419" s="13"/>
    </row>
    <row r="420" spans="8:8" s="8" customFormat="1" ht="15" customHeight="1" x14ac:dyDescent="0.25">
      <c r="H420" s="13"/>
    </row>
    <row r="421" spans="8:8" s="8" customFormat="1" ht="15" customHeight="1" x14ac:dyDescent="0.25">
      <c r="H421" s="13"/>
    </row>
    <row r="422" spans="8:8" s="8" customFormat="1" ht="15" customHeight="1" x14ac:dyDescent="0.25">
      <c r="H422" s="13"/>
    </row>
    <row r="423" spans="8:8" s="8" customFormat="1" ht="15" customHeight="1" x14ac:dyDescent="0.25">
      <c r="H423" s="13"/>
    </row>
    <row r="424" spans="8:8" s="8" customFormat="1" ht="15" customHeight="1" x14ac:dyDescent="0.25">
      <c r="H424" s="13"/>
    </row>
    <row r="425" spans="8:8" s="8" customFormat="1" ht="15" customHeight="1" x14ac:dyDescent="0.25">
      <c r="H425" s="13"/>
    </row>
    <row r="426" spans="8:8" s="8" customFormat="1" ht="15" customHeight="1" x14ac:dyDescent="0.25">
      <c r="H426" s="13"/>
    </row>
    <row r="427" spans="8:8" s="8" customFormat="1" ht="15" customHeight="1" x14ac:dyDescent="0.25">
      <c r="H427" s="13"/>
    </row>
    <row r="428" spans="8:8" s="8" customFormat="1" ht="15" customHeight="1" x14ac:dyDescent="0.25">
      <c r="H428" s="13"/>
    </row>
    <row r="429" spans="8:8" s="8" customFormat="1" ht="15" customHeight="1" x14ac:dyDescent="0.25">
      <c r="H429" s="13"/>
    </row>
    <row r="430" spans="8:8" s="8" customFormat="1" ht="15" customHeight="1" x14ac:dyDescent="0.25">
      <c r="H430" s="13"/>
    </row>
    <row r="431" spans="8:8" s="8" customFormat="1" ht="15" customHeight="1" x14ac:dyDescent="0.25">
      <c r="H431" s="13"/>
    </row>
    <row r="432" spans="8:8" s="8" customFormat="1" ht="15" customHeight="1" x14ac:dyDescent="0.25">
      <c r="H432" s="13"/>
    </row>
    <row r="433" spans="8:8" s="8" customFormat="1" ht="15" customHeight="1" x14ac:dyDescent="0.25">
      <c r="H433" s="13"/>
    </row>
    <row r="434" spans="8:8" s="8" customFormat="1" ht="15" customHeight="1" x14ac:dyDescent="0.25">
      <c r="H434" s="13"/>
    </row>
    <row r="435" spans="8:8" s="8" customFormat="1" ht="15" customHeight="1" x14ac:dyDescent="0.25">
      <c r="H435" s="13"/>
    </row>
    <row r="436" spans="8:8" s="8" customFormat="1" ht="15" customHeight="1" x14ac:dyDescent="0.25">
      <c r="H436" s="13"/>
    </row>
    <row r="437" spans="8:8" s="8" customFormat="1" ht="15" customHeight="1" x14ac:dyDescent="0.25">
      <c r="H437" s="13"/>
    </row>
    <row r="438" spans="8:8" s="8" customFormat="1" ht="15" customHeight="1" x14ac:dyDescent="0.25">
      <c r="H438" s="13"/>
    </row>
    <row r="439" spans="8:8" s="8" customFormat="1" ht="15" customHeight="1" x14ac:dyDescent="0.25">
      <c r="H439" s="13"/>
    </row>
    <row r="440" spans="8:8" s="8" customFormat="1" ht="15" customHeight="1" x14ac:dyDescent="0.25">
      <c r="H440" s="13"/>
    </row>
    <row r="441" spans="8:8" s="8" customFormat="1" ht="15" customHeight="1" x14ac:dyDescent="0.25">
      <c r="H441" s="13"/>
    </row>
    <row r="442" spans="8:8" s="8" customFormat="1" ht="15" customHeight="1" x14ac:dyDescent="0.25">
      <c r="H442" s="13"/>
    </row>
    <row r="443" spans="8:8" s="8" customFormat="1" ht="15" customHeight="1" x14ac:dyDescent="0.25">
      <c r="H443" s="13"/>
    </row>
    <row r="444" spans="8:8" s="8" customFormat="1" ht="15" customHeight="1" x14ac:dyDescent="0.25">
      <c r="H444" s="13"/>
    </row>
    <row r="445" spans="8:8" s="8" customFormat="1" ht="15" customHeight="1" x14ac:dyDescent="0.25">
      <c r="H445" s="13"/>
    </row>
    <row r="446" spans="8:8" s="8" customFormat="1" ht="15" customHeight="1" x14ac:dyDescent="0.25">
      <c r="H446" s="13"/>
    </row>
    <row r="447" spans="8:8" s="8" customFormat="1" ht="15" customHeight="1" x14ac:dyDescent="0.25">
      <c r="H447" s="13"/>
    </row>
    <row r="448" spans="8:8" s="8" customFormat="1" ht="15" customHeight="1" x14ac:dyDescent="0.25">
      <c r="H448" s="13"/>
    </row>
    <row r="449" spans="8:8" s="8" customFormat="1" ht="15" customHeight="1" x14ac:dyDescent="0.25">
      <c r="H449" s="13"/>
    </row>
    <row r="450" spans="8:8" s="8" customFormat="1" ht="15" customHeight="1" x14ac:dyDescent="0.25">
      <c r="H450" s="13"/>
    </row>
    <row r="451" spans="8:8" s="8" customFormat="1" ht="15" customHeight="1" x14ac:dyDescent="0.25">
      <c r="H451" s="13"/>
    </row>
    <row r="452" spans="8:8" s="8" customFormat="1" ht="15" customHeight="1" x14ac:dyDescent="0.25">
      <c r="H452" s="13"/>
    </row>
    <row r="453" spans="8:8" s="8" customFormat="1" ht="15" customHeight="1" x14ac:dyDescent="0.25">
      <c r="H453" s="13"/>
    </row>
    <row r="454" spans="8:8" s="8" customFormat="1" ht="15" customHeight="1" x14ac:dyDescent="0.25">
      <c r="H454" s="13"/>
    </row>
    <row r="455" spans="8:8" s="8" customFormat="1" ht="15" customHeight="1" x14ac:dyDescent="0.25">
      <c r="H455" s="13"/>
    </row>
    <row r="456" spans="8:8" s="8" customFormat="1" ht="15" customHeight="1" x14ac:dyDescent="0.25">
      <c r="H456" s="13"/>
    </row>
    <row r="457" spans="8:8" s="8" customFormat="1" ht="15" customHeight="1" x14ac:dyDescent="0.25">
      <c r="H457" s="13"/>
    </row>
    <row r="458" spans="8:8" s="8" customFormat="1" ht="15" customHeight="1" x14ac:dyDescent="0.25">
      <c r="H458" s="13"/>
    </row>
    <row r="459" spans="8:8" s="8" customFormat="1" ht="15" customHeight="1" x14ac:dyDescent="0.25">
      <c r="H459" s="13"/>
    </row>
    <row r="460" spans="8:8" s="8" customFormat="1" ht="15" customHeight="1" x14ac:dyDescent="0.25">
      <c r="H460" s="13"/>
    </row>
    <row r="461" spans="8:8" s="8" customFormat="1" ht="15" customHeight="1" x14ac:dyDescent="0.25">
      <c r="H461" s="13"/>
    </row>
    <row r="462" spans="8:8" s="8" customFormat="1" ht="15" customHeight="1" x14ac:dyDescent="0.25">
      <c r="H462" s="13"/>
    </row>
    <row r="463" spans="8:8" s="8" customFormat="1" ht="15" customHeight="1" x14ac:dyDescent="0.25">
      <c r="H463" s="13"/>
    </row>
    <row r="464" spans="8:8" s="8" customFormat="1" ht="15" customHeight="1" x14ac:dyDescent="0.25">
      <c r="H464" s="13"/>
    </row>
    <row r="465" spans="8:8" s="8" customFormat="1" ht="15" customHeight="1" x14ac:dyDescent="0.25">
      <c r="H465" s="13"/>
    </row>
    <row r="466" spans="8:8" s="8" customFormat="1" ht="15" customHeight="1" x14ac:dyDescent="0.25">
      <c r="H466" s="13"/>
    </row>
    <row r="467" spans="8:8" s="8" customFormat="1" ht="15" customHeight="1" x14ac:dyDescent="0.25">
      <c r="H467" s="13"/>
    </row>
    <row r="468" spans="8:8" s="8" customFormat="1" ht="15" customHeight="1" x14ac:dyDescent="0.25">
      <c r="H468" s="13"/>
    </row>
    <row r="469" spans="8:8" s="8" customFormat="1" ht="15" customHeight="1" x14ac:dyDescent="0.25">
      <c r="H469" s="13"/>
    </row>
    <row r="470" spans="8:8" s="8" customFormat="1" ht="15" customHeight="1" x14ac:dyDescent="0.25">
      <c r="H470" s="13"/>
    </row>
    <row r="471" spans="8:8" s="8" customFormat="1" ht="15" customHeight="1" x14ac:dyDescent="0.25">
      <c r="H471" s="13"/>
    </row>
    <row r="472" spans="8:8" s="8" customFormat="1" ht="15" customHeight="1" x14ac:dyDescent="0.25">
      <c r="H472" s="13"/>
    </row>
    <row r="473" spans="8:8" s="8" customFormat="1" ht="15" customHeight="1" x14ac:dyDescent="0.25">
      <c r="H473" s="13"/>
    </row>
    <row r="474" spans="8:8" s="8" customFormat="1" ht="15" customHeight="1" x14ac:dyDescent="0.25">
      <c r="H474" s="13"/>
    </row>
    <row r="475" spans="8:8" s="8" customFormat="1" ht="15" customHeight="1" x14ac:dyDescent="0.25">
      <c r="H475" s="13"/>
    </row>
    <row r="476" spans="8:8" s="8" customFormat="1" ht="15" customHeight="1" x14ac:dyDescent="0.25">
      <c r="H476" s="13"/>
    </row>
    <row r="477" spans="8:8" s="8" customFormat="1" ht="15" customHeight="1" x14ac:dyDescent="0.25">
      <c r="H477" s="13"/>
    </row>
    <row r="478" spans="8:8" s="8" customFormat="1" ht="15" customHeight="1" x14ac:dyDescent="0.25">
      <c r="H478" s="13"/>
    </row>
    <row r="479" spans="8:8" s="8" customFormat="1" ht="15" customHeight="1" x14ac:dyDescent="0.25">
      <c r="H479" s="13"/>
    </row>
    <row r="480" spans="8:8" s="8" customFormat="1" ht="15" customHeight="1" x14ac:dyDescent="0.25">
      <c r="H480" s="13"/>
    </row>
    <row r="481" spans="8:8" s="8" customFormat="1" ht="15" customHeight="1" x14ac:dyDescent="0.25">
      <c r="H481" s="13"/>
    </row>
    <row r="482" spans="8:8" s="8" customFormat="1" ht="15" customHeight="1" x14ac:dyDescent="0.25">
      <c r="H482" s="13"/>
    </row>
    <row r="483" spans="8:8" s="8" customFormat="1" ht="15" customHeight="1" x14ac:dyDescent="0.25">
      <c r="H483" s="13"/>
    </row>
    <row r="484" spans="8:8" s="8" customFormat="1" ht="15" customHeight="1" x14ac:dyDescent="0.25">
      <c r="H484" s="13"/>
    </row>
    <row r="485" spans="8:8" s="8" customFormat="1" ht="15" customHeight="1" x14ac:dyDescent="0.25">
      <c r="H485" s="13"/>
    </row>
    <row r="486" spans="8:8" s="8" customFormat="1" ht="15" customHeight="1" x14ac:dyDescent="0.25">
      <c r="H486" s="13"/>
    </row>
    <row r="487" spans="8:8" s="8" customFormat="1" ht="15" customHeight="1" x14ac:dyDescent="0.25">
      <c r="H487" s="13"/>
    </row>
    <row r="488" spans="8:8" s="8" customFormat="1" ht="15" customHeight="1" x14ac:dyDescent="0.25">
      <c r="H488" s="13"/>
    </row>
    <row r="489" spans="8:8" s="8" customFormat="1" ht="15" customHeight="1" x14ac:dyDescent="0.25">
      <c r="H489" s="13"/>
    </row>
    <row r="490" spans="8:8" s="8" customFormat="1" ht="15" customHeight="1" x14ac:dyDescent="0.25">
      <c r="H490" s="13"/>
    </row>
    <row r="491" spans="8:8" s="8" customFormat="1" ht="15" customHeight="1" x14ac:dyDescent="0.25">
      <c r="H491" s="13"/>
    </row>
    <row r="492" spans="8:8" s="8" customFormat="1" ht="15" customHeight="1" x14ac:dyDescent="0.25">
      <c r="H492" s="13"/>
    </row>
    <row r="493" spans="8:8" s="8" customFormat="1" ht="15" customHeight="1" x14ac:dyDescent="0.25">
      <c r="H493" s="13"/>
    </row>
    <row r="494" spans="8:8" s="8" customFormat="1" ht="15" customHeight="1" x14ac:dyDescent="0.25">
      <c r="H494" s="13"/>
    </row>
    <row r="495" spans="8:8" s="8" customFormat="1" ht="15" customHeight="1" x14ac:dyDescent="0.25">
      <c r="H495" s="13"/>
    </row>
    <row r="496" spans="8:8" s="8" customFormat="1" ht="15" customHeight="1" x14ac:dyDescent="0.25">
      <c r="H496" s="13"/>
    </row>
    <row r="497" spans="8:8" s="8" customFormat="1" ht="15" customHeight="1" x14ac:dyDescent="0.25">
      <c r="H497" s="13"/>
    </row>
    <row r="498" spans="8:8" s="8" customFormat="1" ht="15" customHeight="1" x14ac:dyDescent="0.25">
      <c r="H498" s="13"/>
    </row>
    <row r="499" spans="8:8" s="8" customFormat="1" ht="15" customHeight="1" x14ac:dyDescent="0.25">
      <c r="H499" s="13"/>
    </row>
    <row r="500" spans="8:8" s="8" customFormat="1" ht="15" customHeight="1" x14ac:dyDescent="0.25">
      <c r="H500" s="13"/>
    </row>
    <row r="501" spans="8:8" s="8" customFormat="1" ht="15" customHeight="1" x14ac:dyDescent="0.25">
      <c r="H501" s="13"/>
    </row>
    <row r="502" spans="8:8" s="8" customFormat="1" ht="15" customHeight="1" x14ac:dyDescent="0.25">
      <c r="H502" s="13"/>
    </row>
    <row r="503" spans="8:8" s="8" customFormat="1" ht="15" customHeight="1" x14ac:dyDescent="0.25">
      <c r="H503" s="13"/>
    </row>
  </sheetData>
  <mergeCells count="20">
    <mergeCell ref="BE8:BH8"/>
    <mergeCell ref="BI8:BL8"/>
    <mergeCell ref="BM8:BR8"/>
    <mergeCell ref="BE7:BH7"/>
    <mergeCell ref="BI7:BR7"/>
    <mergeCell ref="AA8:AF8"/>
    <mergeCell ref="AG8:AR8"/>
    <mergeCell ref="AS8:BB8"/>
    <mergeCell ref="A5:B5"/>
    <mergeCell ref="A7:H7"/>
    <mergeCell ref="I7:N7"/>
    <mergeCell ref="O7:AF7"/>
    <mergeCell ref="AG7:AR7"/>
    <mergeCell ref="AS7:BD7"/>
    <mergeCell ref="A8:D8"/>
    <mergeCell ref="E8:H8"/>
    <mergeCell ref="I8:N8"/>
    <mergeCell ref="O8:Q8"/>
    <mergeCell ref="R8:Z8"/>
    <mergeCell ref="BC8:BD8"/>
  </mergeCells>
  <dataValidations count="2">
    <dataValidation type="list" allowBlank="1" showInputMessage="1" showErrorMessage="1" sqref="J10:J15">
      <formula1>"30%"</formula1>
    </dataValidation>
    <dataValidation type="list" allowBlank="1" showInputMessage="1" showErrorMessage="1" sqref="L10:L15">
      <formula1>"10%, 20%, 40%"</formula1>
    </dataValidation>
  </dataValidations>
  <pageMargins left="0.59055118110236227" right="0.59055118110236227" top="0.19685039370078741" bottom="0.19685039370078741" header="0" footer="0"/>
  <pageSetup paperSize="9" scale="82" fitToHeight="0" orientation="portrait" r:id="rId1"/>
  <ignoredErrors>
    <ignoredError sqref="AG13:AG14" unlockedFormula="1"/>
    <ignoredError sqref="AH14" formula="1"/>
    <ignoredError sqref="AI13:AI14" formula="1" unlocked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S499"/>
  <sheetViews>
    <sheetView showGridLines="0" zoomScaleNormal="100" workbookViewId="0">
      <pane xSplit="8" ySplit="8" topLeftCell="BC9" activePane="bottomRight" state="frozen"/>
      <selection activeCell="M58" sqref="M58"/>
      <selection pane="topRight" activeCell="M58" sqref="M58"/>
      <selection pane="bottomLeft" activeCell="M58" sqref="M58"/>
      <selection pane="bottomRight" activeCell="M58" sqref="M58"/>
    </sheetView>
  </sheetViews>
  <sheetFormatPr defaultColWidth="9.140625" defaultRowHeight="15" x14ac:dyDescent="0.25"/>
  <cols>
    <col min="1" max="1" width="5.42578125" style="2" customWidth="1"/>
    <col min="2" max="3" width="20.7109375" style="2" customWidth="1"/>
    <col min="4" max="7" width="12.140625" style="2" customWidth="1"/>
    <col min="8" max="8" width="12.140625" style="12" customWidth="1"/>
    <col min="9" max="16" width="15.5703125" style="2" customWidth="1"/>
    <col min="17" max="17" width="23.28515625" style="2" customWidth="1"/>
    <col min="18" max="36" width="15.5703125" style="2" customWidth="1"/>
    <col min="37" max="38" width="21.140625" style="2" customWidth="1"/>
    <col min="39" max="40" width="15.5703125" style="2" customWidth="1"/>
    <col min="41" max="42" width="22.42578125" style="2" customWidth="1"/>
    <col min="43" max="44" width="20.5703125" style="2" customWidth="1"/>
    <col min="45" max="46" width="15.5703125" style="2" customWidth="1"/>
    <col min="47" max="48" width="18.28515625" style="2" customWidth="1"/>
    <col min="49" max="50" width="20.5703125" style="2" customWidth="1"/>
    <col min="51" max="52" width="21.140625" style="2" customWidth="1"/>
    <col min="53" max="54" width="18.28515625" style="2" customWidth="1"/>
    <col min="55" max="56" width="21.140625" style="2" customWidth="1"/>
    <col min="57" max="70" width="15.5703125" style="2" customWidth="1"/>
    <col min="71" max="71" width="16.5703125" style="2" customWidth="1"/>
    <col min="72" max="16384" width="9.140625" style="2"/>
  </cols>
  <sheetData>
    <row r="1" spans="1:71" s="1" customFormat="1" ht="18.75" x14ac:dyDescent="0.25">
      <c r="A1" s="130" t="s">
        <v>16</v>
      </c>
      <c r="B1" s="3"/>
      <c r="C1" s="3"/>
      <c r="D1" s="3"/>
      <c r="E1" s="3"/>
      <c r="H1" s="11"/>
    </row>
    <row r="2" spans="1:71" s="1" customFormat="1" ht="16.5" customHeight="1" x14ac:dyDescent="0.25">
      <c r="A2" s="4" t="s">
        <v>17</v>
      </c>
      <c r="B2" s="4"/>
      <c r="C2" s="4"/>
      <c r="D2" s="4"/>
      <c r="E2" s="4"/>
      <c r="H2" s="11"/>
    </row>
    <row r="3" spans="1:71" s="1" customFormat="1" ht="6.75" customHeight="1" x14ac:dyDescent="0.25">
      <c r="B3" s="6"/>
      <c r="C3" s="6"/>
      <c r="D3" s="6"/>
      <c r="E3" s="6"/>
      <c r="H3" s="11"/>
    </row>
    <row r="4" spans="1:71" s="1" customFormat="1" ht="16.5" customHeight="1" x14ac:dyDescent="0.25">
      <c r="A4" s="202" t="s">
        <v>18</v>
      </c>
      <c r="B4" s="202"/>
      <c r="C4" s="202"/>
      <c r="D4" s="5"/>
      <c r="E4" s="5"/>
      <c r="H4" s="11"/>
    </row>
    <row r="5" spans="1:71" ht="16.5" customHeight="1" x14ac:dyDescent="0.25">
      <c r="A5" s="247">
        <v>1045</v>
      </c>
      <c r="B5" s="247"/>
      <c r="C5" s="202"/>
      <c r="D5" s="5"/>
      <c r="E5" s="5"/>
    </row>
    <row r="6" spans="1:71" ht="9" customHeight="1" x14ac:dyDescent="0.25">
      <c r="A6" s="7"/>
      <c r="B6" s="7"/>
      <c r="C6" s="7"/>
      <c r="D6" s="7"/>
      <c r="E6" s="7"/>
    </row>
    <row r="7" spans="1:71" s="10" customFormat="1" ht="18.75" customHeight="1" x14ac:dyDescent="0.25">
      <c r="A7" s="239" t="s">
        <v>19</v>
      </c>
      <c r="B7" s="238"/>
      <c r="C7" s="238"/>
      <c r="D7" s="238"/>
      <c r="E7" s="238"/>
      <c r="F7" s="238"/>
      <c r="G7" s="238"/>
      <c r="H7" s="238"/>
      <c r="I7" s="246" t="s">
        <v>20</v>
      </c>
      <c r="J7" s="238"/>
      <c r="K7" s="238"/>
      <c r="L7" s="238"/>
      <c r="M7" s="238"/>
      <c r="N7" s="240"/>
      <c r="O7" s="238" t="s">
        <v>21</v>
      </c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40"/>
      <c r="AG7" s="246" t="s">
        <v>22</v>
      </c>
      <c r="AH7" s="238"/>
      <c r="AI7" s="238"/>
      <c r="AJ7" s="238"/>
      <c r="AK7" s="238"/>
      <c r="AL7" s="238"/>
      <c r="AM7" s="238"/>
      <c r="AN7" s="238"/>
      <c r="AO7" s="238"/>
      <c r="AP7" s="238"/>
      <c r="AQ7" s="238"/>
      <c r="AR7" s="240"/>
      <c r="AS7" s="246" t="s">
        <v>23</v>
      </c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40"/>
      <c r="BE7" s="238" t="s">
        <v>24</v>
      </c>
      <c r="BF7" s="238"/>
      <c r="BG7" s="238"/>
      <c r="BH7" s="238"/>
      <c r="BI7" s="246" t="s">
        <v>25</v>
      </c>
      <c r="BJ7" s="238"/>
      <c r="BK7" s="238"/>
      <c r="BL7" s="238"/>
      <c r="BM7" s="238"/>
      <c r="BN7" s="238"/>
      <c r="BO7" s="238"/>
      <c r="BP7" s="238"/>
      <c r="BQ7" s="238"/>
      <c r="BR7" s="238"/>
      <c r="BS7" s="38"/>
    </row>
    <row r="8" spans="1:71" s="9" customFormat="1" ht="30.75" customHeight="1" x14ac:dyDescent="0.25">
      <c r="A8" s="248" t="s">
        <v>19</v>
      </c>
      <c r="B8" s="244"/>
      <c r="C8" s="244"/>
      <c r="D8" s="244"/>
      <c r="E8" s="243" t="s">
        <v>26</v>
      </c>
      <c r="F8" s="244"/>
      <c r="G8" s="244"/>
      <c r="H8" s="244"/>
      <c r="I8" s="243" t="s">
        <v>27</v>
      </c>
      <c r="J8" s="244"/>
      <c r="K8" s="244"/>
      <c r="L8" s="244"/>
      <c r="M8" s="244"/>
      <c r="N8" s="245"/>
      <c r="O8" s="244" t="s">
        <v>28</v>
      </c>
      <c r="P8" s="244"/>
      <c r="Q8" s="244"/>
      <c r="R8" s="243" t="s">
        <v>29</v>
      </c>
      <c r="S8" s="244"/>
      <c r="T8" s="244"/>
      <c r="U8" s="244"/>
      <c r="V8" s="244"/>
      <c r="W8" s="244"/>
      <c r="X8" s="244"/>
      <c r="Y8" s="244"/>
      <c r="Z8" s="245"/>
      <c r="AA8" s="243" t="s">
        <v>30</v>
      </c>
      <c r="AB8" s="244"/>
      <c r="AC8" s="244"/>
      <c r="AD8" s="244"/>
      <c r="AE8" s="244"/>
      <c r="AF8" s="245"/>
      <c r="AG8" s="244" t="s">
        <v>31</v>
      </c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5"/>
      <c r="AS8" s="243" t="s">
        <v>32</v>
      </c>
      <c r="AT8" s="244"/>
      <c r="AU8" s="244"/>
      <c r="AV8" s="244"/>
      <c r="AW8" s="244"/>
      <c r="AX8" s="244"/>
      <c r="AY8" s="244"/>
      <c r="AZ8" s="244"/>
      <c r="BA8" s="244"/>
      <c r="BB8" s="245"/>
      <c r="BC8" s="244" t="s">
        <v>33</v>
      </c>
      <c r="BD8" s="244"/>
      <c r="BE8" s="243" t="s">
        <v>34</v>
      </c>
      <c r="BF8" s="244"/>
      <c r="BG8" s="244"/>
      <c r="BH8" s="244"/>
      <c r="BI8" s="241" t="s">
        <v>35</v>
      </c>
      <c r="BJ8" s="242"/>
      <c r="BK8" s="242"/>
      <c r="BL8" s="242"/>
      <c r="BM8" s="241" t="s">
        <v>36</v>
      </c>
      <c r="BN8" s="242"/>
      <c r="BO8" s="242"/>
      <c r="BP8" s="242"/>
      <c r="BQ8" s="242"/>
      <c r="BR8" s="242"/>
      <c r="BS8" s="43" t="s">
        <v>37</v>
      </c>
    </row>
    <row r="9" spans="1:71" s="22" customFormat="1" ht="45" customHeight="1" x14ac:dyDescent="0.25">
      <c r="A9" s="15" t="s">
        <v>38</v>
      </c>
      <c r="B9" s="15" t="s">
        <v>39</v>
      </c>
      <c r="C9" s="15" t="s">
        <v>40</v>
      </c>
      <c r="D9" s="18" t="s">
        <v>41</v>
      </c>
      <c r="E9" s="20" t="s">
        <v>42</v>
      </c>
      <c r="F9" s="15" t="s">
        <v>43</v>
      </c>
      <c r="G9" s="15" t="s">
        <v>44</v>
      </c>
      <c r="H9" s="18" t="s">
        <v>45</v>
      </c>
      <c r="I9" s="20" t="s">
        <v>43</v>
      </c>
      <c r="J9" s="16" t="s">
        <v>46</v>
      </c>
      <c r="K9" s="15" t="s">
        <v>47</v>
      </c>
      <c r="L9" s="16" t="s">
        <v>48</v>
      </c>
      <c r="M9" s="15" t="s">
        <v>49</v>
      </c>
      <c r="N9" s="17" t="s">
        <v>68</v>
      </c>
      <c r="O9" s="16" t="s">
        <v>51</v>
      </c>
      <c r="P9" s="17" t="s">
        <v>52</v>
      </c>
      <c r="Q9" s="18" t="s">
        <v>53</v>
      </c>
      <c r="R9" s="20" t="s">
        <v>54</v>
      </c>
      <c r="S9" s="15" t="s">
        <v>55</v>
      </c>
      <c r="T9" s="15" t="s">
        <v>56</v>
      </c>
      <c r="U9" s="18" t="s">
        <v>57</v>
      </c>
      <c r="V9" s="15" t="s">
        <v>58</v>
      </c>
      <c r="W9" s="15" t="s">
        <v>59</v>
      </c>
      <c r="X9" s="15" t="s">
        <v>60</v>
      </c>
      <c r="Y9" s="15" t="s">
        <v>61</v>
      </c>
      <c r="Z9" s="17" t="s">
        <v>62</v>
      </c>
      <c r="AA9" s="15" t="s">
        <v>63</v>
      </c>
      <c r="AB9" s="15" t="s">
        <v>64</v>
      </c>
      <c r="AC9" s="15" t="s">
        <v>65</v>
      </c>
      <c r="AD9" s="15" t="s">
        <v>66</v>
      </c>
      <c r="AE9" s="15" t="s">
        <v>67</v>
      </c>
      <c r="AF9" s="17" t="s">
        <v>68</v>
      </c>
      <c r="AG9" s="21" t="s">
        <v>69</v>
      </c>
      <c r="AH9" s="15" t="s">
        <v>70</v>
      </c>
      <c r="AI9" s="16" t="s">
        <v>71</v>
      </c>
      <c r="AJ9" s="15" t="s">
        <v>72</v>
      </c>
      <c r="AK9" s="15" t="s">
        <v>73</v>
      </c>
      <c r="AL9" s="15" t="s">
        <v>74</v>
      </c>
      <c r="AM9" s="15" t="s">
        <v>75</v>
      </c>
      <c r="AN9" s="15" t="s">
        <v>76</v>
      </c>
      <c r="AO9" s="15" t="s">
        <v>77</v>
      </c>
      <c r="AP9" s="15" t="s">
        <v>78</v>
      </c>
      <c r="AQ9" s="18" t="s">
        <v>79</v>
      </c>
      <c r="AR9" s="15" t="s">
        <v>80</v>
      </c>
      <c r="AS9" s="99" t="s">
        <v>81</v>
      </c>
      <c r="AT9" s="15" t="s">
        <v>82</v>
      </c>
      <c r="AU9" s="100" t="s">
        <v>83</v>
      </c>
      <c r="AV9" s="15" t="s">
        <v>84</v>
      </c>
      <c r="AW9" s="100" t="s">
        <v>85</v>
      </c>
      <c r="AX9" s="15" t="s">
        <v>86</v>
      </c>
      <c r="AY9" s="100" t="s">
        <v>87</v>
      </c>
      <c r="AZ9" s="15" t="s">
        <v>88</v>
      </c>
      <c r="BA9" s="100" t="s">
        <v>89</v>
      </c>
      <c r="BB9" s="17" t="s">
        <v>90</v>
      </c>
      <c r="BC9" s="101" t="s">
        <v>91</v>
      </c>
      <c r="BD9" s="18" t="s">
        <v>92</v>
      </c>
      <c r="BE9" s="99" t="s">
        <v>93</v>
      </c>
      <c r="BF9" s="15" t="s">
        <v>94</v>
      </c>
      <c r="BG9" s="100" t="s">
        <v>95</v>
      </c>
      <c r="BH9" s="102" t="s">
        <v>50</v>
      </c>
      <c r="BI9" s="101" t="s">
        <v>97</v>
      </c>
      <c r="BJ9" s="100" t="s">
        <v>98</v>
      </c>
      <c r="BK9" s="103" t="s">
        <v>99</v>
      </c>
      <c r="BL9" s="104" t="s">
        <v>100</v>
      </c>
      <c r="BM9" s="99" t="s">
        <v>101</v>
      </c>
      <c r="BN9" s="100" t="s">
        <v>102</v>
      </c>
      <c r="BO9" s="104" t="s">
        <v>103</v>
      </c>
      <c r="BP9" s="104" t="s">
        <v>104</v>
      </c>
      <c r="BQ9" s="100" t="s">
        <v>105</v>
      </c>
      <c r="BR9" s="104" t="s">
        <v>106</v>
      </c>
      <c r="BS9" s="39" t="s">
        <v>107</v>
      </c>
    </row>
    <row r="10" spans="1:71" s="8" customFormat="1" ht="15" customHeight="1" x14ac:dyDescent="0.25">
      <c r="A10" s="14" t="s">
        <v>108</v>
      </c>
      <c r="B10" s="14" t="str">
        <f>'planilha - proposta'!C61</f>
        <v>Bombeiro Civil</v>
      </c>
      <c r="C10" s="14" t="str">
        <f>'planilha - proposta'!D61</f>
        <v>Bombeiro Civil - 12x36d</v>
      </c>
      <c r="D10" s="19" t="str">
        <f>'planilha - proposta'!B61</f>
        <v>5171-10</v>
      </c>
      <c r="E10" s="30">
        <f>'planilha - proposta'!E61</f>
        <v>4</v>
      </c>
      <c r="F10" s="105">
        <v>1650.52</v>
      </c>
      <c r="G10" s="105" t="s">
        <v>137</v>
      </c>
      <c r="H10" s="132">
        <v>43794</v>
      </c>
      <c r="I10" s="107">
        <v>1650.52</v>
      </c>
      <c r="J10" s="108">
        <v>0.3</v>
      </c>
      <c r="K10" s="125">
        <f t="shared" ref="K10:K11" si="0">J10*I10</f>
        <v>495.15599999999995</v>
      </c>
      <c r="L10" s="108"/>
      <c r="M10" s="35">
        <f t="shared" ref="M10:M11" si="1">L10*$A$5</f>
        <v>0</v>
      </c>
      <c r="N10" s="109"/>
      <c r="O10" s="37">
        <f t="shared" ref="O10:O11" si="2">(I10+K10+M10+N10)*0.0833</f>
        <v>178.73481079999999</v>
      </c>
      <c r="P10" s="35">
        <f>(I10+K10+M10+N10)*0.11108</f>
        <v>238.34169007999998</v>
      </c>
      <c r="Q10" s="31">
        <f t="shared" ref="Q10:Q11" si="3">(0.338+T10)*(O10+P10)</f>
        <v>140.97185729744001</v>
      </c>
      <c r="R10" s="23">
        <f t="shared" ref="R10:R11" si="4">0.2*(I10+K10+M10+N10)</f>
        <v>429.1352</v>
      </c>
      <c r="S10" s="35">
        <f t="shared" ref="S10:S11" si="5">0.025*(I10+K10+M10+N10)</f>
        <v>53.6419</v>
      </c>
      <c r="T10" s="110"/>
      <c r="U10" s="35">
        <f t="shared" ref="U10:U11" si="6">T10*($I10+$K10+$M10+$N10)</f>
        <v>0</v>
      </c>
      <c r="V10" s="35">
        <f t="shared" ref="V10:V11" si="7">0.015*(I10+K10+M10+N10)</f>
        <v>32.185139999999997</v>
      </c>
      <c r="W10" s="35">
        <f t="shared" ref="W10:W11" si="8">0.01*(I10+K10+M10+N10)</f>
        <v>21.456759999999999</v>
      </c>
      <c r="X10" s="35">
        <f t="shared" ref="X10:X11" si="9">0.006*(I10+K10+M10+N10)</f>
        <v>12.874056</v>
      </c>
      <c r="Y10" s="35">
        <f t="shared" ref="Y10:Y11" si="10">0.002*(I10+K10+M10+N10)</f>
        <v>4.2913519999999998</v>
      </c>
      <c r="Z10" s="34">
        <f t="shared" ref="Z10:Z11" si="11">0.08*(I10+K10+M10+N10)</f>
        <v>171.65407999999999</v>
      </c>
      <c r="AA10" s="111">
        <f>15*2*4.15-F10*0.06</f>
        <v>25.468800000000016</v>
      </c>
      <c r="AB10" s="112">
        <f>23*15-F10*0.1</f>
        <v>179.94799999999998</v>
      </c>
      <c r="AC10" s="112">
        <v>21.9</v>
      </c>
      <c r="AD10" s="112">
        <f>AD11</f>
        <v>0</v>
      </c>
      <c r="AE10" s="112">
        <f>AE11</f>
        <v>0</v>
      </c>
      <c r="AF10" s="113">
        <f>AF11</f>
        <v>0</v>
      </c>
      <c r="AG10" s="114">
        <f>AG11</f>
        <v>4.1999999999999997E-3</v>
      </c>
      <c r="AH10" s="29">
        <f t="shared" ref="AH10:AH11" si="12">AG10*($I10+$K10+$M10+$N10)</f>
        <v>9.0118391999999989</v>
      </c>
      <c r="AI10" s="110">
        <f>AI11</f>
        <v>2.9999999999999997E-4</v>
      </c>
      <c r="AJ10" s="29">
        <f t="shared" ref="AJ10:AJ11" si="13">AI10*($I10+$K10+$M10+$N10)</f>
        <v>0.64370279999999991</v>
      </c>
      <c r="AK10" s="110">
        <v>3.2000000000000001E-2</v>
      </c>
      <c r="AL10" s="29">
        <f t="shared" ref="AL10:AL11" si="14">AK10*($I10+$K10+$M10+$N10)</f>
        <v>68.661631999999997</v>
      </c>
      <c r="AM10" s="110">
        <f>AM11</f>
        <v>1.9400000000000001E-2</v>
      </c>
      <c r="AN10" s="29">
        <f t="shared" ref="AN10:AN11" si="15">AM10*($I10+$K10+$M10+$N10)</f>
        <v>41.626114399999999</v>
      </c>
      <c r="AO10" s="110">
        <f>AO11</f>
        <v>7.2000000000000005E-4</v>
      </c>
      <c r="AP10" s="29">
        <f t="shared" ref="AP10:AP11" si="16">AO10*($I10+$K10+$M10+$N10)</f>
        <v>1.54488672</v>
      </c>
      <c r="AQ10" s="110">
        <f>AQ11</f>
        <v>1E-3</v>
      </c>
      <c r="AR10" s="36">
        <f t="shared" ref="AR10:AR11" si="17">AQ10*($I10+$K10+$M10+$N10)</f>
        <v>2.1456759999999999</v>
      </c>
      <c r="AS10" s="115">
        <f>AS11</f>
        <v>8.0000000000000004E-4</v>
      </c>
      <c r="AT10" s="29">
        <f t="shared" ref="AT10:AT11" si="18">AS10*(I10+K10+M10+N10)</f>
        <v>1.7165408</v>
      </c>
      <c r="AU10" s="110">
        <f>AU11</f>
        <v>2.0000000000000001E-4</v>
      </c>
      <c r="AV10" s="35">
        <f t="shared" ref="AV10:AV11" si="19">AU10*(I10+K10+M10+N10)</f>
        <v>0.42913519999999999</v>
      </c>
      <c r="AW10" s="110">
        <f>AW11</f>
        <v>4.0000000000000002E-4</v>
      </c>
      <c r="AX10" s="35">
        <f t="shared" ref="AX10:AX11" si="20">AW10*(I10+K10+M10+N10)</f>
        <v>0.85827039999999999</v>
      </c>
      <c r="AY10" s="110">
        <f>AY11</f>
        <v>6.9999999999999999E-4</v>
      </c>
      <c r="AZ10" s="35">
        <f t="shared" ref="AZ10:AZ11" si="21">AY10*(I10+K10+M10+N10)</f>
        <v>1.5019731999999999</v>
      </c>
      <c r="BA10" s="110">
        <f>BA11</f>
        <v>9.4100000000000003E-2</v>
      </c>
      <c r="BB10" s="34">
        <f t="shared" ref="BB10:BB11" si="22">BA10*(I10+K10+M10+N10)</f>
        <v>201.90811160000001</v>
      </c>
      <c r="BC10" s="114">
        <f>BC11</f>
        <v>0</v>
      </c>
      <c r="BD10" s="31">
        <f t="shared" ref="BD10:BD11" si="23">BC10*(I10+K10+M10+N10)</f>
        <v>0</v>
      </c>
      <c r="BE10" s="32">
        <f>IF(E10=0,0,'Uniformes '!$K$263)</f>
        <v>512.22500000000002</v>
      </c>
      <c r="BF10" s="33">
        <f>IF(E10=0,0,custoEPI_huol!$M$505)</f>
        <v>0</v>
      </c>
      <c r="BG10" s="187">
        <f>IF(OR(Radios!$B$9=B10,Radios!$B$10=B10,Radios!$B$11=B10,Radios!$B$12=B10,Radios!$B$13=B10,Radios!$B$14=B10,Radios!$B$15=B10,Radios!$B$16=B10),Radios!$I$18,0)</f>
        <v>14.631050228310501</v>
      </c>
      <c r="BH10" s="184">
        <v>0</v>
      </c>
      <c r="BI10" s="117">
        <v>0.06</v>
      </c>
      <c r="BJ10" s="29">
        <f t="shared" ref="BJ10:BJ11" si="24">BI10*(I10+K10+M10+N10+O10+P10+Q10+R10+S10+U10+V10+W10+X10+Y10+Z10+AA10+AB10+AC10+AD10+AE10+AF10+AH10+AJ10+AL10+AN10+AP10+AR10+AT10+AV10+AX10+AZ10+BB10+BD10+BE10+BF10+BG10+BH10)</f>
        <v>270.79101472354506</v>
      </c>
      <c r="BK10" s="114">
        <v>6.7900000000000002E-2</v>
      </c>
      <c r="BL10" s="27">
        <f t="shared" ref="BL10:BL11" si="25">BK10*(I10+K10+M10+N10+O10+P10+Q10+R10+S10+U10+V10+W10+X10+Y10+Z10+AA10+AB10+AC10+AD10+AE10+AF10+AH10+AJ10+AL10+AN10+AP10+AR10+AT10+AV10+AX10+AZ10+BB10+BD10+BE10+BF10+BG10+BH10+BJ10)</f>
        <v>324.83187489520725</v>
      </c>
      <c r="BM10" s="115">
        <f>BM11</f>
        <v>9.2499999999999999E-2</v>
      </c>
      <c r="BN10" s="29">
        <f t="shared" ref="BN10:BN11" si="26">BM10*(I10+K10+M10+N10+O10+P10+Q10+R10+S10+U10+V10+W10+X10+Y10+Z10+AA10+AB10+AC10+AD10+AE10+AF10+AH10+AJ10+AL10+AN10+AP10+AR10+AT10+AV10+AX10+AZ10+BB10+BD10+BE10+BF10+BG10+BH10+BJ10+BL10)/(1-(BM10+BO10+BQ10))</f>
        <v>551.09574148322633</v>
      </c>
      <c r="BO10" s="118">
        <f>BO11</f>
        <v>0</v>
      </c>
      <c r="BP10" s="27">
        <f t="shared" ref="BP10:BP11" si="27">BO10*(I10+K10+M10+N10+O10+P10+Q10+R10+S10+U10+V10+W10+X10+Y10+Z10+AA10+AB10+AC10+AD10+AE10+AF10+AH10+AJ10+AL10+AN10+AP10+AR10+AT10+AV10+AX10+AZ10+BB10+BD10+BE10+BF10+BG10+BH10+BJ10+BL10)/(1-(BM10+BO10+BQ10))</f>
        <v>0</v>
      </c>
      <c r="BQ10" s="110">
        <f>BQ11</f>
        <v>0.05</v>
      </c>
      <c r="BR10" s="27">
        <f t="shared" ref="BR10:BR11" si="28">BQ10*(I10+K10+M10+N10+O10+P10+Q10+R10+S10+U10+V10+W10+X10+Y10+Z10+AA10+AB10+AC10+AD10+AE10+AF10+AH10+AJ10+AL10+AN10+AP10+AR10+AT10+AV10+AX10+AZ10+BB10+BD10+BE10+BF10+BG10+BH10+BJ10+BL10)/(1-(BM10+BO10+BQ10))</f>
        <v>297.88958999093319</v>
      </c>
      <c r="BS10" s="40">
        <f>I10+K10+M10+N10+O10+P10+Q10+R10+S10+U10+V10+W10+X10+Y10+Z10+AA10+AB10+AC10+AD10+AE10+AF10+AH10+AJ10+AL10+AN10+AP10+AR10+AT10+AV10+AX10+AZ10+BB10+BD10+BE10+BF10+BG10+BH10+BJ10+BL10+BN10+BP10+BR10</f>
        <v>5957.7917998186631</v>
      </c>
    </row>
    <row r="11" spans="1:71" s="8" customFormat="1" ht="15" customHeight="1" x14ac:dyDescent="0.25">
      <c r="A11" s="14" t="s">
        <v>110</v>
      </c>
      <c r="B11" s="14" t="str">
        <f>'planilha - proposta'!C62</f>
        <v>Bombeiro Civil</v>
      </c>
      <c r="C11" s="14" t="str">
        <f>'planilha - proposta'!D62</f>
        <v>Bombeiro Civil - 12x36n</v>
      </c>
      <c r="D11" s="19" t="str">
        <f>'planilha - proposta'!B62</f>
        <v>5171-10</v>
      </c>
      <c r="E11" s="30">
        <f>'planilha - proposta'!E62</f>
        <v>4</v>
      </c>
      <c r="F11" s="105">
        <v>1650.52</v>
      </c>
      <c r="G11" s="105" t="s">
        <v>137</v>
      </c>
      <c r="H11" s="132">
        <v>43794</v>
      </c>
      <c r="I11" s="107">
        <f>1.2*1650.52</f>
        <v>1980.6239999999998</v>
      </c>
      <c r="J11" s="108">
        <v>0.3</v>
      </c>
      <c r="K11" s="125">
        <f t="shared" si="0"/>
        <v>594.18719999999996</v>
      </c>
      <c r="L11" s="108"/>
      <c r="M11" s="35">
        <f t="shared" si="1"/>
        <v>0</v>
      </c>
      <c r="N11" s="109"/>
      <c r="O11" s="37">
        <f t="shared" si="2"/>
        <v>214.48177295999997</v>
      </c>
      <c r="P11" s="35">
        <f>(I11+K11+M11+N11)*0.11108</f>
        <v>286.01002809599993</v>
      </c>
      <c r="Q11" s="31">
        <f t="shared" si="3"/>
        <v>169.16622875692798</v>
      </c>
      <c r="R11" s="23">
        <f t="shared" si="4"/>
        <v>514.96223999999995</v>
      </c>
      <c r="S11" s="35">
        <f t="shared" si="5"/>
        <v>64.370279999999994</v>
      </c>
      <c r="T11" s="110"/>
      <c r="U11" s="35">
        <f t="shared" si="6"/>
        <v>0</v>
      </c>
      <c r="V11" s="35">
        <f t="shared" si="7"/>
        <v>38.622167999999995</v>
      </c>
      <c r="W11" s="35">
        <f t="shared" si="8"/>
        <v>25.748111999999995</v>
      </c>
      <c r="X11" s="35">
        <f t="shared" si="9"/>
        <v>15.448867199999999</v>
      </c>
      <c r="Y11" s="35">
        <f t="shared" si="10"/>
        <v>5.1496223999999993</v>
      </c>
      <c r="Z11" s="34">
        <f t="shared" si="11"/>
        <v>205.98489599999996</v>
      </c>
      <c r="AA11" s="111">
        <f>15*2*4.15-F11*0.06</f>
        <v>25.468800000000016</v>
      </c>
      <c r="AB11" s="112">
        <f>AB10</f>
        <v>179.94799999999998</v>
      </c>
      <c r="AC11" s="112">
        <v>21.9</v>
      </c>
      <c r="AD11" s="112">
        <v>0</v>
      </c>
      <c r="AE11" s="112">
        <v>0</v>
      </c>
      <c r="AF11" s="113">
        <v>0</v>
      </c>
      <c r="AG11" s="114">
        <f>'calculo - serv.geral'!AG14</f>
        <v>4.1999999999999997E-3</v>
      </c>
      <c r="AH11" s="29">
        <f t="shared" si="12"/>
        <v>10.814207039999998</v>
      </c>
      <c r="AI11" s="110">
        <f>'calculo - serv.geral'!AI14</f>
        <v>2.9999999999999997E-4</v>
      </c>
      <c r="AJ11" s="29">
        <f t="shared" si="13"/>
        <v>0.7724433599999998</v>
      </c>
      <c r="AK11" s="110">
        <v>3.2000000000000001E-2</v>
      </c>
      <c r="AL11" s="29">
        <f t="shared" si="14"/>
        <v>82.393958399999988</v>
      </c>
      <c r="AM11" s="110">
        <f>'calculo - serv.geral'!AM14</f>
        <v>1.9400000000000001E-2</v>
      </c>
      <c r="AN11" s="29">
        <f t="shared" si="15"/>
        <v>49.951337279999997</v>
      </c>
      <c r="AO11" s="110">
        <f>'calculo - serv.geral'!AO14</f>
        <v>7.2000000000000005E-4</v>
      </c>
      <c r="AP11" s="29">
        <f t="shared" si="16"/>
        <v>1.8538640639999999</v>
      </c>
      <c r="AQ11" s="110">
        <f>'calculo - serv.geral'!AQ14</f>
        <v>1E-3</v>
      </c>
      <c r="AR11" s="36">
        <f t="shared" si="17"/>
        <v>2.5748111999999996</v>
      </c>
      <c r="AS11" s="115">
        <f>'calculo - serv.geral'!AS14</f>
        <v>8.0000000000000004E-4</v>
      </c>
      <c r="AT11" s="29">
        <f t="shared" si="18"/>
        <v>2.0598489599999996</v>
      </c>
      <c r="AU11" s="110">
        <f>'calculo - serv.geral'!AU14</f>
        <v>2.0000000000000001E-4</v>
      </c>
      <c r="AV11" s="35">
        <f t="shared" si="19"/>
        <v>0.5149622399999999</v>
      </c>
      <c r="AW11" s="110">
        <f>'calculo - serv.geral'!AW14</f>
        <v>4.0000000000000002E-4</v>
      </c>
      <c r="AX11" s="35">
        <f t="shared" si="20"/>
        <v>1.0299244799999998</v>
      </c>
      <c r="AY11" s="110">
        <f>'calculo - serv.geral'!AY14</f>
        <v>6.9999999999999999E-4</v>
      </c>
      <c r="AZ11" s="35">
        <f t="shared" si="21"/>
        <v>1.8023678399999998</v>
      </c>
      <c r="BA11" s="110">
        <f>'calculo - serv.geral'!BA14</f>
        <v>9.4100000000000003E-2</v>
      </c>
      <c r="BB11" s="34">
        <f t="shared" si="22"/>
        <v>242.28973391999997</v>
      </c>
      <c r="BC11" s="114">
        <f>'calculo - serv.geral'!BC14</f>
        <v>0</v>
      </c>
      <c r="BD11" s="31">
        <f t="shared" si="23"/>
        <v>0</v>
      </c>
      <c r="BE11" s="32">
        <f>IF(E11=0,0,'Uniformes '!$K$263)</f>
        <v>512.22500000000002</v>
      </c>
      <c r="BF11" s="33">
        <f>IF(E11=0,0,custoEPI_huol!$M$505)</f>
        <v>0</v>
      </c>
      <c r="BG11" s="187">
        <f>IF(OR(Radios!$B$9=B11,Radios!$B$10=B11,Radios!$B$11=B11,Radios!$B$12=B11,Radios!$B$13=B11,Radios!$B$14=B11,Radios!$B$15=B11,Radios!$B$16=B11),Radios!$I$18,0)</f>
        <v>14.631050228310501</v>
      </c>
      <c r="BH11" s="184">
        <v>0</v>
      </c>
      <c r="BI11" s="117">
        <v>0.06</v>
      </c>
      <c r="BJ11" s="29">
        <f t="shared" si="24"/>
        <v>315.89914346551433</v>
      </c>
      <c r="BK11" s="114">
        <v>6.7900000000000002E-2</v>
      </c>
      <c r="BL11" s="27">
        <f t="shared" si="25"/>
        <v>378.94208252978217</v>
      </c>
      <c r="BM11" s="115">
        <f>'calculo - serv.geral'!BM14</f>
        <v>9.2499999999999999E-2</v>
      </c>
      <c r="BN11" s="29">
        <f t="shared" si="26"/>
        <v>642.89678473924141</v>
      </c>
      <c r="BO11" s="118">
        <f>'calculo - serv.geral'!BO14</f>
        <v>0</v>
      </c>
      <c r="BP11" s="27">
        <f t="shared" si="27"/>
        <v>0</v>
      </c>
      <c r="BQ11" s="110">
        <f>'calculo - serv.geral'!BQ14</f>
        <v>0.05</v>
      </c>
      <c r="BR11" s="27">
        <f t="shared" si="28"/>
        <v>347.51177553472513</v>
      </c>
      <c r="BS11" s="40">
        <f>I11+K11+M11+N11+O11+P11+Q11+R11+S11+U11+V11+W11+X11+Y11+Z11+AA11+AB11+AC11+AD11+AE11+AF11+AH11+AJ11+AL11+AN11+AP11+AR11+AT11+AV11+AX11+AZ11+BB11+BD11+BE11+BF11+BG11+BH11+BJ11+BL11+BN11+BP11+BR11</f>
        <v>6950.2355106945024</v>
      </c>
    </row>
    <row r="12" spans="1:71" s="8" customFormat="1" ht="15" customHeight="1" x14ac:dyDescent="0.25">
      <c r="H12" s="13"/>
    </row>
    <row r="13" spans="1:71" s="8" customFormat="1" ht="15" customHeight="1" x14ac:dyDescent="0.25">
      <c r="H13" s="13"/>
    </row>
    <row r="14" spans="1:71" s="8" customFormat="1" ht="15" customHeight="1" x14ac:dyDescent="0.25">
      <c r="H14" s="13"/>
    </row>
    <row r="15" spans="1:71" s="8" customFormat="1" ht="15" customHeight="1" x14ac:dyDescent="0.25">
      <c r="H15" s="13"/>
    </row>
    <row r="16" spans="1:71" s="8" customFormat="1" ht="15" customHeight="1" x14ac:dyDescent="0.25">
      <c r="H16" s="13"/>
    </row>
    <row r="17" spans="8:8" s="8" customFormat="1" ht="15" customHeight="1" x14ac:dyDescent="0.25">
      <c r="H17" s="13"/>
    </row>
    <row r="18" spans="8:8" s="8" customFormat="1" ht="15" customHeight="1" x14ac:dyDescent="0.25">
      <c r="H18" s="13"/>
    </row>
    <row r="19" spans="8:8" s="8" customFormat="1" ht="15" customHeight="1" x14ac:dyDescent="0.25">
      <c r="H19" s="13"/>
    </row>
    <row r="20" spans="8:8" s="8" customFormat="1" ht="15" customHeight="1" x14ac:dyDescent="0.25">
      <c r="H20" s="13"/>
    </row>
    <row r="21" spans="8:8" s="8" customFormat="1" ht="15" customHeight="1" x14ac:dyDescent="0.25">
      <c r="H21" s="13"/>
    </row>
    <row r="22" spans="8:8" s="8" customFormat="1" ht="15" customHeight="1" x14ac:dyDescent="0.25">
      <c r="H22" s="13"/>
    </row>
    <row r="23" spans="8:8" s="8" customFormat="1" ht="15" customHeight="1" x14ac:dyDescent="0.25">
      <c r="H23" s="13"/>
    </row>
    <row r="24" spans="8:8" s="8" customFormat="1" ht="15" customHeight="1" x14ac:dyDescent="0.25">
      <c r="H24" s="13"/>
    </row>
    <row r="25" spans="8:8" s="8" customFormat="1" ht="15" customHeight="1" x14ac:dyDescent="0.25">
      <c r="H25" s="13"/>
    </row>
    <row r="26" spans="8:8" s="8" customFormat="1" ht="15" customHeight="1" x14ac:dyDescent="0.25">
      <c r="H26" s="13"/>
    </row>
    <row r="27" spans="8:8" s="8" customFormat="1" ht="15" customHeight="1" x14ac:dyDescent="0.25">
      <c r="H27" s="13"/>
    </row>
    <row r="28" spans="8:8" s="8" customFormat="1" ht="15" customHeight="1" x14ac:dyDescent="0.25">
      <c r="H28" s="13"/>
    </row>
    <row r="29" spans="8:8" s="8" customFormat="1" ht="15" customHeight="1" x14ac:dyDescent="0.25">
      <c r="H29" s="13"/>
    </row>
    <row r="30" spans="8:8" s="8" customFormat="1" ht="15" customHeight="1" x14ac:dyDescent="0.25">
      <c r="H30" s="13"/>
    </row>
    <row r="31" spans="8:8" s="8" customFormat="1" ht="15" customHeight="1" x14ac:dyDescent="0.25">
      <c r="H31" s="13"/>
    </row>
    <row r="32" spans="8:8" s="8" customFormat="1" ht="15" customHeight="1" x14ac:dyDescent="0.25">
      <c r="H32" s="13"/>
    </row>
    <row r="33" spans="8:8" s="8" customFormat="1" ht="15" customHeight="1" x14ac:dyDescent="0.25">
      <c r="H33" s="13"/>
    </row>
    <row r="34" spans="8:8" s="8" customFormat="1" ht="15" customHeight="1" x14ac:dyDescent="0.25">
      <c r="H34" s="13"/>
    </row>
    <row r="35" spans="8:8" s="8" customFormat="1" ht="15" customHeight="1" x14ac:dyDescent="0.25">
      <c r="H35" s="13"/>
    </row>
    <row r="36" spans="8:8" s="8" customFormat="1" ht="15" customHeight="1" x14ac:dyDescent="0.25">
      <c r="H36" s="13"/>
    </row>
    <row r="37" spans="8:8" s="8" customFormat="1" ht="15" customHeight="1" x14ac:dyDescent="0.25">
      <c r="H37" s="13"/>
    </row>
    <row r="38" spans="8:8" s="8" customFormat="1" ht="15" customHeight="1" x14ac:dyDescent="0.25">
      <c r="H38" s="13"/>
    </row>
    <row r="39" spans="8:8" s="8" customFormat="1" ht="15" customHeight="1" x14ac:dyDescent="0.25">
      <c r="H39" s="13"/>
    </row>
    <row r="40" spans="8:8" s="8" customFormat="1" ht="15" customHeight="1" x14ac:dyDescent="0.25">
      <c r="H40" s="13"/>
    </row>
    <row r="41" spans="8:8" s="8" customFormat="1" ht="15" customHeight="1" x14ac:dyDescent="0.25">
      <c r="H41" s="13"/>
    </row>
    <row r="42" spans="8:8" s="8" customFormat="1" ht="15" customHeight="1" x14ac:dyDescent="0.25">
      <c r="H42" s="13"/>
    </row>
    <row r="43" spans="8:8" s="8" customFormat="1" ht="15" customHeight="1" x14ac:dyDescent="0.25">
      <c r="H43" s="13"/>
    </row>
    <row r="44" spans="8:8" s="8" customFormat="1" ht="15" customHeight="1" x14ac:dyDescent="0.25">
      <c r="H44" s="13"/>
    </row>
    <row r="45" spans="8:8" s="8" customFormat="1" ht="15" customHeight="1" x14ac:dyDescent="0.25">
      <c r="H45" s="13"/>
    </row>
    <row r="46" spans="8:8" s="8" customFormat="1" ht="15" customHeight="1" x14ac:dyDescent="0.25">
      <c r="H46" s="13"/>
    </row>
    <row r="47" spans="8:8" s="8" customFormat="1" ht="15" customHeight="1" x14ac:dyDescent="0.25">
      <c r="H47" s="13"/>
    </row>
    <row r="48" spans="8:8" s="8" customFormat="1" ht="15" customHeight="1" x14ac:dyDescent="0.25">
      <c r="H48" s="13"/>
    </row>
    <row r="49" spans="8:8" s="8" customFormat="1" ht="15" customHeight="1" x14ac:dyDescent="0.25">
      <c r="H49" s="13"/>
    </row>
    <row r="50" spans="8:8" s="8" customFormat="1" ht="15" customHeight="1" x14ac:dyDescent="0.25">
      <c r="H50" s="13"/>
    </row>
    <row r="51" spans="8:8" s="8" customFormat="1" ht="15" customHeight="1" x14ac:dyDescent="0.25">
      <c r="H51" s="13"/>
    </row>
    <row r="52" spans="8:8" s="8" customFormat="1" ht="15" customHeight="1" x14ac:dyDescent="0.25">
      <c r="H52" s="13"/>
    </row>
    <row r="53" spans="8:8" s="8" customFormat="1" ht="15" customHeight="1" x14ac:dyDescent="0.25">
      <c r="H53" s="13"/>
    </row>
    <row r="54" spans="8:8" s="8" customFormat="1" ht="15" customHeight="1" x14ac:dyDescent="0.25">
      <c r="H54" s="13"/>
    </row>
    <row r="55" spans="8:8" s="8" customFormat="1" ht="15" customHeight="1" x14ac:dyDescent="0.25">
      <c r="H55" s="13"/>
    </row>
    <row r="56" spans="8:8" s="8" customFormat="1" ht="15" customHeight="1" x14ac:dyDescent="0.25">
      <c r="H56" s="13"/>
    </row>
    <row r="57" spans="8:8" s="8" customFormat="1" ht="15" customHeight="1" x14ac:dyDescent="0.25">
      <c r="H57" s="13"/>
    </row>
    <row r="58" spans="8:8" s="8" customFormat="1" ht="15" customHeight="1" x14ac:dyDescent="0.25">
      <c r="H58" s="13"/>
    </row>
    <row r="59" spans="8:8" s="8" customFormat="1" ht="15" customHeight="1" x14ac:dyDescent="0.25">
      <c r="H59" s="13"/>
    </row>
    <row r="60" spans="8:8" s="8" customFormat="1" ht="15" customHeight="1" x14ac:dyDescent="0.25">
      <c r="H60" s="13"/>
    </row>
    <row r="61" spans="8:8" s="8" customFormat="1" ht="15" customHeight="1" x14ac:dyDescent="0.25">
      <c r="H61" s="13"/>
    </row>
    <row r="62" spans="8:8" s="8" customFormat="1" ht="15" customHeight="1" x14ac:dyDescent="0.25">
      <c r="H62" s="13"/>
    </row>
    <row r="63" spans="8:8" s="8" customFormat="1" ht="15" customHeight="1" x14ac:dyDescent="0.25">
      <c r="H63" s="13"/>
    </row>
    <row r="64" spans="8:8" s="8" customFormat="1" ht="15" customHeight="1" x14ac:dyDescent="0.25">
      <c r="H64" s="13"/>
    </row>
    <row r="65" spans="8:8" s="8" customFormat="1" ht="15" customHeight="1" x14ac:dyDescent="0.25">
      <c r="H65" s="13"/>
    </row>
    <row r="66" spans="8:8" s="8" customFormat="1" ht="15" customHeight="1" x14ac:dyDescent="0.25">
      <c r="H66" s="13"/>
    </row>
    <row r="67" spans="8:8" s="8" customFormat="1" ht="15" customHeight="1" x14ac:dyDescent="0.25">
      <c r="H67" s="13"/>
    </row>
    <row r="68" spans="8:8" s="8" customFormat="1" ht="15" customHeight="1" x14ac:dyDescent="0.25">
      <c r="H68" s="13"/>
    </row>
    <row r="69" spans="8:8" s="8" customFormat="1" ht="15" customHeight="1" x14ac:dyDescent="0.25">
      <c r="H69" s="13"/>
    </row>
    <row r="70" spans="8:8" s="8" customFormat="1" ht="15" customHeight="1" x14ac:dyDescent="0.25">
      <c r="H70" s="13"/>
    </row>
    <row r="71" spans="8:8" s="8" customFormat="1" ht="15" customHeight="1" x14ac:dyDescent="0.25">
      <c r="H71" s="13"/>
    </row>
    <row r="72" spans="8:8" s="8" customFormat="1" ht="15" customHeight="1" x14ac:dyDescent="0.25">
      <c r="H72" s="13"/>
    </row>
    <row r="73" spans="8:8" s="8" customFormat="1" ht="15" customHeight="1" x14ac:dyDescent="0.25">
      <c r="H73" s="13"/>
    </row>
    <row r="74" spans="8:8" s="8" customFormat="1" ht="15" customHeight="1" x14ac:dyDescent="0.25">
      <c r="H74" s="13"/>
    </row>
    <row r="75" spans="8:8" s="8" customFormat="1" ht="15" customHeight="1" x14ac:dyDescent="0.25">
      <c r="H75" s="13"/>
    </row>
    <row r="76" spans="8:8" s="8" customFormat="1" ht="15" customHeight="1" x14ac:dyDescent="0.25">
      <c r="H76" s="13"/>
    </row>
    <row r="77" spans="8:8" s="8" customFormat="1" ht="15" customHeight="1" x14ac:dyDescent="0.25">
      <c r="H77" s="13"/>
    </row>
    <row r="78" spans="8:8" s="8" customFormat="1" ht="15" customHeight="1" x14ac:dyDescent="0.25">
      <c r="H78" s="13"/>
    </row>
    <row r="79" spans="8:8" s="8" customFormat="1" ht="15" customHeight="1" x14ac:dyDescent="0.25">
      <c r="H79" s="13"/>
    </row>
    <row r="80" spans="8:8" s="8" customFormat="1" ht="15" customHeight="1" x14ac:dyDescent="0.25">
      <c r="H80" s="13"/>
    </row>
    <row r="81" spans="8:8" s="8" customFormat="1" ht="15" customHeight="1" x14ac:dyDescent="0.25">
      <c r="H81" s="13"/>
    </row>
    <row r="82" spans="8:8" s="8" customFormat="1" ht="15" customHeight="1" x14ac:dyDescent="0.25">
      <c r="H82" s="13"/>
    </row>
    <row r="83" spans="8:8" s="8" customFormat="1" ht="15" customHeight="1" x14ac:dyDescent="0.25">
      <c r="H83" s="13"/>
    </row>
    <row r="84" spans="8:8" s="8" customFormat="1" ht="15" customHeight="1" x14ac:dyDescent="0.25">
      <c r="H84" s="13"/>
    </row>
    <row r="85" spans="8:8" s="8" customFormat="1" ht="15" customHeight="1" x14ac:dyDescent="0.25">
      <c r="H85" s="13"/>
    </row>
    <row r="86" spans="8:8" s="8" customFormat="1" ht="15" customHeight="1" x14ac:dyDescent="0.25">
      <c r="H86" s="13"/>
    </row>
    <row r="87" spans="8:8" s="8" customFormat="1" ht="15" customHeight="1" x14ac:dyDescent="0.25">
      <c r="H87" s="13"/>
    </row>
    <row r="88" spans="8:8" s="8" customFormat="1" ht="15" customHeight="1" x14ac:dyDescent="0.25">
      <c r="H88" s="13"/>
    </row>
    <row r="89" spans="8:8" s="8" customFormat="1" ht="15" customHeight="1" x14ac:dyDescent="0.25">
      <c r="H89" s="13"/>
    </row>
    <row r="90" spans="8:8" s="8" customFormat="1" ht="15" customHeight="1" x14ac:dyDescent="0.25">
      <c r="H90" s="13"/>
    </row>
    <row r="91" spans="8:8" s="8" customFormat="1" ht="15" customHeight="1" x14ac:dyDescent="0.25">
      <c r="H91" s="13"/>
    </row>
    <row r="92" spans="8:8" s="8" customFormat="1" ht="15" customHeight="1" x14ac:dyDescent="0.25">
      <c r="H92" s="13"/>
    </row>
    <row r="93" spans="8:8" s="8" customFormat="1" ht="15" customHeight="1" x14ac:dyDescent="0.25">
      <c r="H93" s="13"/>
    </row>
    <row r="94" spans="8:8" s="8" customFormat="1" ht="15" customHeight="1" x14ac:dyDescent="0.25">
      <c r="H94" s="13"/>
    </row>
    <row r="95" spans="8:8" s="8" customFormat="1" ht="15" customHeight="1" x14ac:dyDescent="0.25">
      <c r="H95" s="13"/>
    </row>
    <row r="96" spans="8:8" s="8" customFormat="1" ht="15" customHeight="1" x14ac:dyDescent="0.25">
      <c r="H96" s="13"/>
    </row>
    <row r="97" spans="8:8" s="8" customFormat="1" ht="15" customHeight="1" x14ac:dyDescent="0.25">
      <c r="H97" s="13"/>
    </row>
    <row r="98" spans="8:8" s="8" customFormat="1" ht="15" customHeight="1" x14ac:dyDescent="0.25">
      <c r="H98" s="13"/>
    </row>
    <row r="99" spans="8:8" s="8" customFormat="1" ht="15" customHeight="1" x14ac:dyDescent="0.25">
      <c r="H99" s="13"/>
    </row>
    <row r="100" spans="8:8" s="8" customFormat="1" ht="15" customHeight="1" x14ac:dyDescent="0.25">
      <c r="H100" s="13"/>
    </row>
    <row r="101" spans="8:8" s="8" customFormat="1" ht="15" customHeight="1" x14ac:dyDescent="0.25">
      <c r="H101" s="13"/>
    </row>
    <row r="102" spans="8:8" s="8" customFormat="1" ht="15" customHeight="1" x14ac:dyDescent="0.25">
      <c r="H102" s="13"/>
    </row>
    <row r="103" spans="8:8" s="8" customFormat="1" ht="15" customHeight="1" x14ac:dyDescent="0.25">
      <c r="H103" s="13"/>
    </row>
    <row r="104" spans="8:8" s="8" customFormat="1" ht="15" customHeight="1" x14ac:dyDescent="0.25">
      <c r="H104" s="13"/>
    </row>
    <row r="105" spans="8:8" s="8" customFormat="1" ht="15" customHeight="1" x14ac:dyDescent="0.25">
      <c r="H105" s="13"/>
    </row>
    <row r="106" spans="8:8" s="8" customFormat="1" ht="15" customHeight="1" x14ac:dyDescent="0.25">
      <c r="H106" s="13"/>
    </row>
    <row r="107" spans="8:8" s="8" customFormat="1" ht="15" customHeight="1" x14ac:dyDescent="0.25">
      <c r="H107" s="13"/>
    </row>
    <row r="108" spans="8:8" s="8" customFormat="1" ht="15" customHeight="1" x14ac:dyDescent="0.25">
      <c r="H108" s="13"/>
    </row>
    <row r="109" spans="8:8" s="8" customFormat="1" ht="15" customHeight="1" x14ac:dyDescent="0.25">
      <c r="H109" s="13"/>
    </row>
    <row r="110" spans="8:8" s="8" customFormat="1" ht="15" customHeight="1" x14ac:dyDescent="0.25">
      <c r="H110" s="13"/>
    </row>
    <row r="111" spans="8:8" s="8" customFormat="1" ht="15" customHeight="1" x14ac:dyDescent="0.25">
      <c r="H111" s="13"/>
    </row>
    <row r="112" spans="8:8" s="8" customFormat="1" ht="15" customHeight="1" x14ac:dyDescent="0.25">
      <c r="H112" s="13"/>
    </row>
    <row r="113" spans="8:8" s="8" customFormat="1" ht="15" customHeight="1" x14ac:dyDescent="0.25">
      <c r="H113" s="13"/>
    </row>
    <row r="114" spans="8:8" s="8" customFormat="1" ht="15" customHeight="1" x14ac:dyDescent="0.25">
      <c r="H114" s="13"/>
    </row>
    <row r="115" spans="8:8" s="8" customFormat="1" ht="15" customHeight="1" x14ac:dyDescent="0.25">
      <c r="H115" s="13"/>
    </row>
    <row r="116" spans="8:8" s="8" customFormat="1" ht="15" customHeight="1" x14ac:dyDescent="0.25">
      <c r="H116" s="13"/>
    </row>
    <row r="117" spans="8:8" s="8" customFormat="1" ht="15" customHeight="1" x14ac:dyDescent="0.25">
      <c r="H117" s="13"/>
    </row>
    <row r="118" spans="8:8" s="8" customFormat="1" ht="15" customHeight="1" x14ac:dyDescent="0.25">
      <c r="H118" s="13"/>
    </row>
    <row r="119" spans="8:8" s="8" customFormat="1" ht="15" customHeight="1" x14ac:dyDescent="0.25">
      <c r="H119" s="13"/>
    </row>
    <row r="120" spans="8:8" s="8" customFormat="1" ht="15" customHeight="1" x14ac:dyDescent="0.25">
      <c r="H120" s="13"/>
    </row>
    <row r="121" spans="8:8" s="8" customFormat="1" ht="15" customHeight="1" x14ac:dyDescent="0.25">
      <c r="H121" s="13"/>
    </row>
    <row r="122" spans="8:8" s="8" customFormat="1" ht="15" customHeight="1" x14ac:dyDescent="0.25">
      <c r="H122" s="13"/>
    </row>
    <row r="123" spans="8:8" s="8" customFormat="1" ht="15" customHeight="1" x14ac:dyDescent="0.25">
      <c r="H123" s="13"/>
    </row>
    <row r="124" spans="8:8" s="8" customFormat="1" ht="15" customHeight="1" x14ac:dyDescent="0.25">
      <c r="H124" s="13"/>
    </row>
    <row r="125" spans="8:8" s="8" customFormat="1" ht="15" customHeight="1" x14ac:dyDescent="0.25">
      <c r="H125" s="13"/>
    </row>
    <row r="126" spans="8:8" s="8" customFormat="1" ht="15" customHeight="1" x14ac:dyDescent="0.25">
      <c r="H126" s="13"/>
    </row>
    <row r="127" spans="8:8" s="8" customFormat="1" ht="15" customHeight="1" x14ac:dyDescent="0.25">
      <c r="H127" s="13"/>
    </row>
    <row r="128" spans="8:8" s="8" customFormat="1" ht="15" customHeight="1" x14ac:dyDescent="0.25">
      <c r="H128" s="13"/>
    </row>
    <row r="129" spans="8:8" s="8" customFormat="1" ht="15" customHeight="1" x14ac:dyDescent="0.25">
      <c r="H129" s="13"/>
    </row>
    <row r="130" spans="8:8" s="8" customFormat="1" ht="15" customHeight="1" x14ac:dyDescent="0.25">
      <c r="H130" s="13"/>
    </row>
    <row r="131" spans="8:8" s="8" customFormat="1" ht="15" customHeight="1" x14ac:dyDescent="0.25">
      <c r="H131" s="13"/>
    </row>
    <row r="132" spans="8:8" s="8" customFormat="1" ht="15" customHeight="1" x14ac:dyDescent="0.25">
      <c r="H132" s="13"/>
    </row>
    <row r="133" spans="8:8" s="8" customFormat="1" ht="15" customHeight="1" x14ac:dyDescent="0.25">
      <c r="H133" s="13"/>
    </row>
    <row r="134" spans="8:8" s="8" customFormat="1" ht="15" customHeight="1" x14ac:dyDescent="0.25">
      <c r="H134" s="13"/>
    </row>
    <row r="135" spans="8:8" s="8" customFormat="1" ht="15" customHeight="1" x14ac:dyDescent="0.25">
      <c r="H135" s="13"/>
    </row>
    <row r="136" spans="8:8" s="8" customFormat="1" ht="15" customHeight="1" x14ac:dyDescent="0.25">
      <c r="H136" s="13"/>
    </row>
    <row r="137" spans="8:8" s="8" customFormat="1" ht="15" customHeight="1" x14ac:dyDescent="0.25">
      <c r="H137" s="13"/>
    </row>
    <row r="138" spans="8:8" s="8" customFormat="1" ht="15" customHeight="1" x14ac:dyDescent="0.25">
      <c r="H138" s="13"/>
    </row>
    <row r="139" spans="8:8" s="8" customFormat="1" ht="15" customHeight="1" x14ac:dyDescent="0.25">
      <c r="H139" s="13"/>
    </row>
    <row r="140" spans="8:8" s="8" customFormat="1" ht="15" customHeight="1" x14ac:dyDescent="0.25">
      <c r="H140" s="13"/>
    </row>
    <row r="141" spans="8:8" s="8" customFormat="1" ht="15" customHeight="1" x14ac:dyDescent="0.25">
      <c r="H141" s="13"/>
    </row>
    <row r="142" spans="8:8" s="8" customFormat="1" ht="15" customHeight="1" x14ac:dyDescent="0.25">
      <c r="H142" s="13"/>
    </row>
    <row r="143" spans="8:8" s="8" customFormat="1" ht="15" customHeight="1" x14ac:dyDescent="0.25">
      <c r="H143" s="13"/>
    </row>
    <row r="144" spans="8:8" s="8" customFormat="1" ht="15" customHeight="1" x14ac:dyDescent="0.25">
      <c r="H144" s="13"/>
    </row>
    <row r="145" spans="8:8" s="8" customFormat="1" ht="15" customHeight="1" x14ac:dyDescent="0.25">
      <c r="H145" s="13"/>
    </row>
    <row r="146" spans="8:8" s="8" customFormat="1" ht="15" customHeight="1" x14ac:dyDescent="0.25">
      <c r="H146" s="13"/>
    </row>
    <row r="147" spans="8:8" s="8" customFormat="1" ht="15" customHeight="1" x14ac:dyDescent="0.25">
      <c r="H147" s="13"/>
    </row>
    <row r="148" spans="8:8" s="8" customFormat="1" ht="15" customHeight="1" x14ac:dyDescent="0.25">
      <c r="H148" s="13"/>
    </row>
    <row r="149" spans="8:8" s="8" customFormat="1" ht="15" customHeight="1" x14ac:dyDescent="0.25">
      <c r="H149" s="13"/>
    </row>
    <row r="150" spans="8:8" s="8" customFormat="1" ht="15" customHeight="1" x14ac:dyDescent="0.25">
      <c r="H150" s="13"/>
    </row>
    <row r="151" spans="8:8" s="8" customFormat="1" ht="15" customHeight="1" x14ac:dyDescent="0.25">
      <c r="H151" s="13"/>
    </row>
    <row r="152" spans="8:8" s="8" customFormat="1" ht="15" customHeight="1" x14ac:dyDescent="0.25">
      <c r="H152" s="13"/>
    </row>
    <row r="153" spans="8:8" s="8" customFormat="1" ht="15" customHeight="1" x14ac:dyDescent="0.25">
      <c r="H153" s="13"/>
    </row>
    <row r="154" spans="8:8" s="8" customFormat="1" ht="15" customHeight="1" x14ac:dyDescent="0.25">
      <c r="H154" s="13"/>
    </row>
    <row r="155" spans="8:8" s="8" customFormat="1" ht="15" customHeight="1" x14ac:dyDescent="0.25">
      <c r="H155" s="13"/>
    </row>
    <row r="156" spans="8:8" s="8" customFormat="1" ht="15" customHeight="1" x14ac:dyDescent="0.25">
      <c r="H156" s="13"/>
    </row>
    <row r="157" spans="8:8" s="8" customFormat="1" ht="15" customHeight="1" x14ac:dyDescent="0.25">
      <c r="H157" s="13"/>
    </row>
    <row r="158" spans="8:8" s="8" customFormat="1" ht="15" customHeight="1" x14ac:dyDescent="0.25">
      <c r="H158" s="13"/>
    </row>
    <row r="159" spans="8:8" s="8" customFormat="1" ht="15" customHeight="1" x14ac:dyDescent="0.25">
      <c r="H159" s="13"/>
    </row>
    <row r="160" spans="8:8" s="8" customFormat="1" ht="15" customHeight="1" x14ac:dyDescent="0.25">
      <c r="H160" s="13"/>
    </row>
    <row r="161" spans="8:8" s="8" customFormat="1" ht="15" customHeight="1" x14ac:dyDescent="0.25">
      <c r="H161" s="13"/>
    </row>
    <row r="162" spans="8:8" s="8" customFormat="1" ht="15" customHeight="1" x14ac:dyDescent="0.25">
      <c r="H162" s="13"/>
    </row>
    <row r="163" spans="8:8" s="8" customFormat="1" ht="15" customHeight="1" x14ac:dyDescent="0.25">
      <c r="H163" s="13"/>
    </row>
    <row r="164" spans="8:8" s="8" customFormat="1" ht="15" customHeight="1" x14ac:dyDescent="0.25">
      <c r="H164" s="13"/>
    </row>
    <row r="165" spans="8:8" s="8" customFormat="1" ht="15" customHeight="1" x14ac:dyDescent="0.25">
      <c r="H165" s="13"/>
    </row>
    <row r="166" spans="8:8" s="8" customFormat="1" ht="15" customHeight="1" x14ac:dyDescent="0.25">
      <c r="H166" s="13"/>
    </row>
    <row r="167" spans="8:8" s="8" customFormat="1" ht="15" customHeight="1" x14ac:dyDescent="0.25">
      <c r="H167" s="13"/>
    </row>
    <row r="168" spans="8:8" s="8" customFormat="1" ht="15" customHeight="1" x14ac:dyDescent="0.25">
      <c r="H168" s="13"/>
    </row>
    <row r="169" spans="8:8" s="8" customFormat="1" ht="15" customHeight="1" x14ac:dyDescent="0.25">
      <c r="H169" s="13"/>
    </row>
    <row r="170" spans="8:8" s="8" customFormat="1" ht="15" customHeight="1" x14ac:dyDescent="0.25">
      <c r="H170" s="13"/>
    </row>
    <row r="171" spans="8:8" s="8" customFormat="1" ht="15" customHeight="1" x14ac:dyDescent="0.25">
      <c r="H171" s="13"/>
    </row>
    <row r="172" spans="8:8" s="8" customFormat="1" ht="15" customHeight="1" x14ac:dyDescent="0.25">
      <c r="H172" s="13"/>
    </row>
    <row r="173" spans="8:8" s="8" customFormat="1" ht="15" customHeight="1" x14ac:dyDescent="0.25">
      <c r="H173" s="13"/>
    </row>
    <row r="174" spans="8:8" s="8" customFormat="1" ht="15" customHeight="1" x14ac:dyDescent="0.25">
      <c r="H174" s="13"/>
    </row>
    <row r="175" spans="8:8" s="8" customFormat="1" ht="15" customHeight="1" x14ac:dyDescent="0.25">
      <c r="H175" s="13"/>
    </row>
    <row r="176" spans="8:8" s="8" customFormat="1" ht="15" customHeight="1" x14ac:dyDescent="0.25">
      <c r="H176" s="13"/>
    </row>
    <row r="177" spans="8:8" s="8" customFormat="1" ht="15" customHeight="1" x14ac:dyDescent="0.25">
      <c r="H177" s="13"/>
    </row>
    <row r="178" spans="8:8" s="8" customFormat="1" ht="15" customHeight="1" x14ac:dyDescent="0.25">
      <c r="H178" s="13"/>
    </row>
    <row r="179" spans="8:8" s="8" customFormat="1" ht="15" customHeight="1" x14ac:dyDescent="0.25">
      <c r="H179" s="13"/>
    </row>
    <row r="180" spans="8:8" s="8" customFormat="1" ht="15" customHeight="1" x14ac:dyDescent="0.25">
      <c r="H180" s="13"/>
    </row>
    <row r="181" spans="8:8" s="8" customFormat="1" ht="15" customHeight="1" x14ac:dyDescent="0.25">
      <c r="H181" s="13"/>
    </row>
    <row r="182" spans="8:8" s="8" customFormat="1" ht="15" customHeight="1" x14ac:dyDescent="0.25">
      <c r="H182" s="13"/>
    </row>
    <row r="183" spans="8:8" s="8" customFormat="1" ht="15" customHeight="1" x14ac:dyDescent="0.25">
      <c r="H183" s="13"/>
    </row>
    <row r="184" spans="8:8" s="8" customFormat="1" ht="15" customHeight="1" x14ac:dyDescent="0.25">
      <c r="H184" s="13"/>
    </row>
    <row r="185" spans="8:8" s="8" customFormat="1" ht="15" customHeight="1" x14ac:dyDescent="0.25">
      <c r="H185" s="13"/>
    </row>
    <row r="186" spans="8:8" s="8" customFormat="1" ht="15" customHeight="1" x14ac:dyDescent="0.25">
      <c r="H186" s="13"/>
    </row>
    <row r="187" spans="8:8" s="8" customFormat="1" ht="15" customHeight="1" x14ac:dyDescent="0.25">
      <c r="H187" s="13"/>
    </row>
    <row r="188" spans="8:8" s="8" customFormat="1" ht="15" customHeight="1" x14ac:dyDescent="0.25">
      <c r="H188" s="13"/>
    </row>
    <row r="189" spans="8:8" s="8" customFormat="1" ht="15" customHeight="1" x14ac:dyDescent="0.25">
      <c r="H189" s="13"/>
    </row>
    <row r="190" spans="8:8" s="8" customFormat="1" ht="15" customHeight="1" x14ac:dyDescent="0.25">
      <c r="H190" s="13"/>
    </row>
    <row r="191" spans="8:8" s="8" customFormat="1" ht="15" customHeight="1" x14ac:dyDescent="0.25">
      <c r="H191" s="13"/>
    </row>
    <row r="192" spans="8:8" s="8" customFormat="1" ht="15" customHeight="1" x14ac:dyDescent="0.25">
      <c r="H192" s="13"/>
    </row>
    <row r="193" spans="8:8" s="8" customFormat="1" ht="15" customHeight="1" x14ac:dyDescent="0.25">
      <c r="H193" s="13"/>
    </row>
    <row r="194" spans="8:8" s="8" customFormat="1" ht="15" customHeight="1" x14ac:dyDescent="0.25">
      <c r="H194" s="13"/>
    </row>
    <row r="195" spans="8:8" s="8" customFormat="1" ht="15" customHeight="1" x14ac:dyDescent="0.25">
      <c r="H195" s="13"/>
    </row>
    <row r="196" spans="8:8" s="8" customFormat="1" ht="15" customHeight="1" x14ac:dyDescent="0.25">
      <c r="H196" s="13"/>
    </row>
    <row r="197" spans="8:8" s="8" customFormat="1" ht="15" customHeight="1" x14ac:dyDescent="0.25">
      <c r="H197" s="13"/>
    </row>
    <row r="198" spans="8:8" s="8" customFormat="1" ht="15" customHeight="1" x14ac:dyDescent="0.25">
      <c r="H198" s="13"/>
    </row>
    <row r="199" spans="8:8" s="8" customFormat="1" ht="15" customHeight="1" x14ac:dyDescent="0.25">
      <c r="H199" s="13"/>
    </row>
    <row r="200" spans="8:8" s="8" customFormat="1" ht="15" customHeight="1" x14ac:dyDescent="0.25">
      <c r="H200" s="13"/>
    </row>
    <row r="201" spans="8:8" s="8" customFormat="1" ht="15" customHeight="1" x14ac:dyDescent="0.25">
      <c r="H201" s="13"/>
    </row>
    <row r="202" spans="8:8" s="8" customFormat="1" ht="15" customHeight="1" x14ac:dyDescent="0.25">
      <c r="H202" s="13"/>
    </row>
    <row r="203" spans="8:8" s="8" customFormat="1" ht="15" customHeight="1" x14ac:dyDescent="0.25">
      <c r="H203" s="13"/>
    </row>
    <row r="204" spans="8:8" s="8" customFormat="1" ht="15" customHeight="1" x14ac:dyDescent="0.25">
      <c r="H204" s="13"/>
    </row>
    <row r="205" spans="8:8" s="8" customFormat="1" ht="15" customHeight="1" x14ac:dyDescent="0.25">
      <c r="H205" s="13"/>
    </row>
    <row r="206" spans="8:8" s="8" customFormat="1" ht="15" customHeight="1" x14ac:dyDescent="0.25">
      <c r="H206" s="13"/>
    </row>
    <row r="207" spans="8:8" s="8" customFormat="1" ht="15" customHeight="1" x14ac:dyDescent="0.25">
      <c r="H207" s="13"/>
    </row>
    <row r="208" spans="8:8" s="8" customFormat="1" ht="15" customHeight="1" x14ac:dyDescent="0.25">
      <c r="H208" s="13"/>
    </row>
    <row r="209" spans="8:8" s="8" customFormat="1" ht="15" customHeight="1" x14ac:dyDescent="0.25">
      <c r="H209" s="13"/>
    </row>
    <row r="210" spans="8:8" s="8" customFormat="1" ht="15" customHeight="1" x14ac:dyDescent="0.25">
      <c r="H210" s="13"/>
    </row>
    <row r="211" spans="8:8" s="8" customFormat="1" ht="15" customHeight="1" x14ac:dyDescent="0.25">
      <c r="H211" s="13"/>
    </row>
    <row r="212" spans="8:8" s="8" customFormat="1" ht="15" customHeight="1" x14ac:dyDescent="0.25">
      <c r="H212" s="13"/>
    </row>
    <row r="213" spans="8:8" s="8" customFormat="1" ht="15" customHeight="1" x14ac:dyDescent="0.25">
      <c r="H213" s="13"/>
    </row>
    <row r="214" spans="8:8" s="8" customFormat="1" ht="15" customHeight="1" x14ac:dyDescent="0.25">
      <c r="H214" s="13"/>
    </row>
    <row r="215" spans="8:8" s="8" customFormat="1" ht="15" customHeight="1" x14ac:dyDescent="0.25">
      <c r="H215" s="13"/>
    </row>
    <row r="216" spans="8:8" s="8" customFormat="1" ht="15" customHeight="1" x14ac:dyDescent="0.25">
      <c r="H216" s="13"/>
    </row>
    <row r="217" spans="8:8" s="8" customFormat="1" ht="15" customHeight="1" x14ac:dyDescent="0.25">
      <c r="H217" s="13"/>
    </row>
    <row r="218" spans="8:8" s="8" customFormat="1" ht="15" customHeight="1" x14ac:dyDescent="0.25">
      <c r="H218" s="13"/>
    </row>
    <row r="219" spans="8:8" s="8" customFormat="1" ht="15" customHeight="1" x14ac:dyDescent="0.25">
      <c r="H219" s="13"/>
    </row>
    <row r="220" spans="8:8" s="8" customFormat="1" ht="15" customHeight="1" x14ac:dyDescent="0.25">
      <c r="H220" s="13"/>
    </row>
    <row r="221" spans="8:8" s="8" customFormat="1" ht="15" customHeight="1" x14ac:dyDescent="0.25">
      <c r="H221" s="13"/>
    </row>
    <row r="222" spans="8:8" s="8" customFormat="1" ht="15" customHeight="1" x14ac:dyDescent="0.25">
      <c r="H222" s="13"/>
    </row>
    <row r="223" spans="8:8" s="8" customFormat="1" ht="15" customHeight="1" x14ac:dyDescent="0.25">
      <c r="H223" s="13"/>
    </row>
    <row r="224" spans="8:8" s="8" customFormat="1" ht="15" customHeight="1" x14ac:dyDescent="0.25">
      <c r="H224" s="13"/>
    </row>
    <row r="225" spans="8:8" s="8" customFormat="1" ht="15" customHeight="1" x14ac:dyDescent="0.25">
      <c r="H225" s="13"/>
    </row>
    <row r="226" spans="8:8" s="8" customFormat="1" ht="15" customHeight="1" x14ac:dyDescent="0.25">
      <c r="H226" s="13"/>
    </row>
    <row r="227" spans="8:8" s="8" customFormat="1" ht="15" customHeight="1" x14ac:dyDescent="0.25">
      <c r="H227" s="13"/>
    </row>
    <row r="228" spans="8:8" s="8" customFormat="1" ht="15" customHeight="1" x14ac:dyDescent="0.25">
      <c r="H228" s="13"/>
    </row>
    <row r="229" spans="8:8" s="8" customFormat="1" ht="15" customHeight="1" x14ac:dyDescent="0.25">
      <c r="H229" s="13"/>
    </row>
    <row r="230" spans="8:8" s="8" customFormat="1" ht="15" customHeight="1" x14ac:dyDescent="0.25">
      <c r="H230" s="13"/>
    </row>
    <row r="231" spans="8:8" s="8" customFormat="1" ht="15" customHeight="1" x14ac:dyDescent="0.25">
      <c r="H231" s="13"/>
    </row>
    <row r="232" spans="8:8" s="8" customFormat="1" ht="15" customHeight="1" x14ac:dyDescent="0.25">
      <c r="H232" s="13"/>
    </row>
    <row r="233" spans="8:8" s="8" customFormat="1" ht="15" customHeight="1" x14ac:dyDescent="0.25">
      <c r="H233" s="13"/>
    </row>
    <row r="234" spans="8:8" s="8" customFormat="1" ht="15" customHeight="1" x14ac:dyDescent="0.25">
      <c r="H234" s="13"/>
    </row>
    <row r="235" spans="8:8" s="8" customFormat="1" ht="15" customHeight="1" x14ac:dyDescent="0.25">
      <c r="H235" s="13"/>
    </row>
    <row r="236" spans="8:8" s="8" customFormat="1" ht="15" customHeight="1" x14ac:dyDescent="0.25">
      <c r="H236" s="13"/>
    </row>
    <row r="237" spans="8:8" s="8" customFormat="1" ht="15" customHeight="1" x14ac:dyDescent="0.25">
      <c r="H237" s="13"/>
    </row>
    <row r="238" spans="8:8" s="8" customFormat="1" ht="15" customHeight="1" x14ac:dyDescent="0.25">
      <c r="H238" s="13"/>
    </row>
    <row r="239" spans="8:8" s="8" customFormat="1" ht="15" customHeight="1" x14ac:dyDescent="0.25">
      <c r="H239" s="13"/>
    </row>
    <row r="240" spans="8:8" s="8" customFormat="1" ht="15" customHeight="1" x14ac:dyDescent="0.25">
      <c r="H240" s="13"/>
    </row>
    <row r="241" spans="8:8" s="8" customFormat="1" ht="15" customHeight="1" x14ac:dyDescent="0.25">
      <c r="H241" s="13"/>
    </row>
    <row r="242" spans="8:8" s="8" customFormat="1" ht="15" customHeight="1" x14ac:dyDescent="0.25">
      <c r="H242" s="13"/>
    </row>
    <row r="243" spans="8:8" s="8" customFormat="1" ht="15" customHeight="1" x14ac:dyDescent="0.25">
      <c r="H243" s="13"/>
    </row>
    <row r="244" spans="8:8" s="8" customFormat="1" ht="15" customHeight="1" x14ac:dyDescent="0.25">
      <c r="H244" s="13"/>
    </row>
    <row r="245" spans="8:8" s="8" customFormat="1" ht="15" customHeight="1" x14ac:dyDescent="0.25">
      <c r="H245" s="13"/>
    </row>
    <row r="246" spans="8:8" s="8" customFormat="1" ht="15" customHeight="1" x14ac:dyDescent="0.25">
      <c r="H246" s="13"/>
    </row>
    <row r="247" spans="8:8" s="8" customFormat="1" ht="15" customHeight="1" x14ac:dyDescent="0.25">
      <c r="H247" s="13"/>
    </row>
    <row r="248" spans="8:8" s="8" customFormat="1" ht="15" customHeight="1" x14ac:dyDescent="0.25">
      <c r="H248" s="13"/>
    </row>
    <row r="249" spans="8:8" s="8" customFormat="1" ht="15" customHeight="1" x14ac:dyDescent="0.25">
      <c r="H249" s="13"/>
    </row>
    <row r="250" spans="8:8" s="8" customFormat="1" ht="15" customHeight="1" x14ac:dyDescent="0.25">
      <c r="H250" s="13"/>
    </row>
    <row r="251" spans="8:8" s="8" customFormat="1" ht="15" customHeight="1" x14ac:dyDescent="0.25">
      <c r="H251" s="13"/>
    </row>
    <row r="252" spans="8:8" s="8" customFormat="1" ht="15" customHeight="1" x14ac:dyDescent="0.25">
      <c r="H252" s="13"/>
    </row>
    <row r="253" spans="8:8" s="8" customFormat="1" ht="15" customHeight="1" x14ac:dyDescent="0.25">
      <c r="H253" s="13"/>
    </row>
    <row r="254" spans="8:8" s="8" customFormat="1" ht="15" customHeight="1" x14ac:dyDescent="0.25">
      <c r="H254" s="13"/>
    </row>
    <row r="255" spans="8:8" s="8" customFormat="1" ht="15" customHeight="1" x14ac:dyDescent="0.25">
      <c r="H255" s="13"/>
    </row>
    <row r="256" spans="8:8" s="8" customFormat="1" ht="15" customHeight="1" x14ac:dyDescent="0.25">
      <c r="H256" s="13"/>
    </row>
    <row r="257" spans="8:8" s="8" customFormat="1" ht="15" customHeight="1" x14ac:dyDescent="0.25">
      <c r="H257" s="13"/>
    </row>
    <row r="258" spans="8:8" s="8" customFormat="1" ht="15" customHeight="1" x14ac:dyDescent="0.25">
      <c r="H258" s="13"/>
    </row>
    <row r="259" spans="8:8" s="8" customFormat="1" ht="15" customHeight="1" x14ac:dyDescent="0.25">
      <c r="H259" s="13"/>
    </row>
    <row r="260" spans="8:8" s="8" customFormat="1" ht="15" customHeight="1" x14ac:dyDescent="0.25">
      <c r="H260" s="13"/>
    </row>
    <row r="261" spans="8:8" s="8" customFormat="1" ht="15" customHeight="1" x14ac:dyDescent="0.25">
      <c r="H261" s="13"/>
    </row>
    <row r="262" spans="8:8" s="8" customFormat="1" ht="15" customHeight="1" x14ac:dyDescent="0.25">
      <c r="H262" s="13"/>
    </row>
    <row r="263" spans="8:8" s="8" customFormat="1" ht="15" customHeight="1" x14ac:dyDescent="0.25">
      <c r="H263" s="13"/>
    </row>
    <row r="264" spans="8:8" s="8" customFormat="1" ht="15" customHeight="1" x14ac:dyDescent="0.25">
      <c r="H264" s="13"/>
    </row>
    <row r="265" spans="8:8" s="8" customFormat="1" ht="15" customHeight="1" x14ac:dyDescent="0.25">
      <c r="H265" s="13"/>
    </row>
    <row r="266" spans="8:8" s="8" customFormat="1" ht="15" customHeight="1" x14ac:dyDescent="0.25">
      <c r="H266" s="13"/>
    </row>
    <row r="267" spans="8:8" s="8" customFormat="1" ht="15" customHeight="1" x14ac:dyDescent="0.25">
      <c r="H267" s="13"/>
    </row>
    <row r="268" spans="8:8" s="8" customFormat="1" ht="15" customHeight="1" x14ac:dyDescent="0.25">
      <c r="H268" s="13"/>
    </row>
    <row r="269" spans="8:8" s="8" customFormat="1" ht="15" customHeight="1" x14ac:dyDescent="0.25">
      <c r="H269" s="13"/>
    </row>
    <row r="270" spans="8:8" s="8" customFormat="1" ht="15" customHeight="1" x14ac:dyDescent="0.25">
      <c r="H270" s="13"/>
    </row>
    <row r="271" spans="8:8" s="8" customFormat="1" ht="15" customHeight="1" x14ac:dyDescent="0.25">
      <c r="H271" s="13"/>
    </row>
    <row r="272" spans="8:8" s="8" customFormat="1" ht="15" customHeight="1" x14ac:dyDescent="0.25">
      <c r="H272" s="13"/>
    </row>
    <row r="273" spans="8:8" s="8" customFormat="1" ht="15" customHeight="1" x14ac:dyDescent="0.25">
      <c r="H273" s="13"/>
    </row>
    <row r="274" spans="8:8" s="8" customFormat="1" ht="15" customHeight="1" x14ac:dyDescent="0.25">
      <c r="H274" s="13"/>
    </row>
    <row r="275" spans="8:8" s="8" customFormat="1" ht="15" customHeight="1" x14ac:dyDescent="0.25">
      <c r="H275" s="13"/>
    </row>
    <row r="276" spans="8:8" s="8" customFormat="1" ht="15" customHeight="1" x14ac:dyDescent="0.25">
      <c r="H276" s="13"/>
    </row>
    <row r="277" spans="8:8" s="8" customFormat="1" ht="15" customHeight="1" x14ac:dyDescent="0.25">
      <c r="H277" s="13"/>
    </row>
    <row r="278" spans="8:8" s="8" customFormat="1" ht="15" customHeight="1" x14ac:dyDescent="0.25">
      <c r="H278" s="13"/>
    </row>
    <row r="279" spans="8:8" s="8" customFormat="1" ht="15" customHeight="1" x14ac:dyDescent="0.25">
      <c r="H279" s="13"/>
    </row>
    <row r="280" spans="8:8" s="8" customFormat="1" ht="15" customHeight="1" x14ac:dyDescent="0.25">
      <c r="H280" s="13"/>
    </row>
    <row r="281" spans="8:8" s="8" customFormat="1" ht="15" customHeight="1" x14ac:dyDescent="0.25">
      <c r="H281" s="13"/>
    </row>
    <row r="282" spans="8:8" s="8" customFormat="1" ht="15" customHeight="1" x14ac:dyDescent="0.25">
      <c r="H282" s="13"/>
    </row>
    <row r="283" spans="8:8" s="8" customFormat="1" ht="15" customHeight="1" x14ac:dyDescent="0.25">
      <c r="H283" s="13"/>
    </row>
    <row r="284" spans="8:8" s="8" customFormat="1" ht="15" customHeight="1" x14ac:dyDescent="0.25">
      <c r="H284" s="13"/>
    </row>
    <row r="285" spans="8:8" s="8" customFormat="1" ht="15" customHeight="1" x14ac:dyDescent="0.25">
      <c r="H285" s="13"/>
    </row>
    <row r="286" spans="8:8" s="8" customFormat="1" ht="15" customHeight="1" x14ac:dyDescent="0.25">
      <c r="H286" s="13"/>
    </row>
    <row r="287" spans="8:8" s="8" customFormat="1" ht="15" customHeight="1" x14ac:dyDescent="0.25">
      <c r="H287" s="13"/>
    </row>
    <row r="288" spans="8:8" s="8" customFormat="1" ht="15" customHeight="1" x14ac:dyDescent="0.25">
      <c r="H288" s="13"/>
    </row>
    <row r="289" spans="8:8" s="8" customFormat="1" ht="15" customHeight="1" x14ac:dyDescent="0.25">
      <c r="H289" s="13"/>
    </row>
    <row r="290" spans="8:8" s="8" customFormat="1" ht="15" customHeight="1" x14ac:dyDescent="0.25">
      <c r="H290" s="13"/>
    </row>
    <row r="291" spans="8:8" s="8" customFormat="1" ht="15" customHeight="1" x14ac:dyDescent="0.25">
      <c r="H291" s="13"/>
    </row>
    <row r="292" spans="8:8" s="8" customFormat="1" ht="15" customHeight="1" x14ac:dyDescent="0.25">
      <c r="H292" s="13"/>
    </row>
    <row r="293" spans="8:8" s="8" customFormat="1" ht="15" customHeight="1" x14ac:dyDescent="0.25">
      <c r="H293" s="13"/>
    </row>
    <row r="294" spans="8:8" s="8" customFormat="1" ht="15" customHeight="1" x14ac:dyDescent="0.25">
      <c r="H294" s="13"/>
    </row>
    <row r="295" spans="8:8" s="8" customFormat="1" ht="15" customHeight="1" x14ac:dyDescent="0.25">
      <c r="H295" s="13"/>
    </row>
    <row r="296" spans="8:8" s="8" customFormat="1" ht="15" customHeight="1" x14ac:dyDescent="0.25">
      <c r="H296" s="13"/>
    </row>
    <row r="297" spans="8:8" s="8" customFormat="1" ht="15" customHeight="1" x14ac:dyDescent="0.25">
      <c r="H297" s="13"/>
    </row>
    <row r="298" spans="8:8" s="8" customFormat="1" ht="15" customHeight="1" x14ac:dyDescent="0.25">
      <c r="H298" s="13"/>
    </row>
    <row r="299" spans="8:8" s="8" customFormat="1" ht="15" customHeight="1" x14ac:dyDescent="0.25">
      <c r="H299" s="13"/>
    </row>
    <row r="300" spans="8:8" s="8" customFormat="1" ht="15" customHeight="1" x14ac:dyDescent="0.25">
      <c r="H300" s="13"/>
    </row>
    <row r="301" spans="8:8" s="8" customFormat="1" ht="15" customHeight="1" x14ac:dyDescent="0.25">
      <c r="H301" s="13"/>
    </row>
    <row r="302" spans="8:8" s="8" customFormat="1" ht="15" customHeight="1" x14ac:dyDescent="0.25">
      <c r="H302" s="13"/>
    </row>
    <row r="303" spans="8:8" s="8" customFormat="1" ht="15" customHeight="1" x14ac:dyDescent="0.25">
      <c r="H303" s="13"/>
    </row>
    <row r="304" spans="8:8" s="8" customFormat="1" ht="15" customHeight="1" x14ac:dyDescent="0.25">
      <c r="H304" s="13"/>
    </row>
    <row r="305" spans="8:8" s="8" customFormat="1" ht="15" customHeight="1" x14ac:dyDescent="0.25">
      <c r="H305" s="13"/>
    </row>
    <row r="306" spans="8:8" s="8" customFormat="1" ht="15" customHeight="1" x14ac:dyDescent="0.25">
      <c r="H306" s="13"/>
    </row>
    <row r="307" spans="8:8" s="8" customFormat="1" ht="15" customHeight="1" x14ac:dyDescent="0.25">
      <c r="H307" s="13"/>
    </row>
    <row r="308" spans="8:8" s="8" customFormat="1" ht="15" customHeight="1" x14ac:dyDescent="0.25">
      <c r="H308" s="13"/>
    </row>
    <row r="309" spans="8:8" s="8" customFormat="1" ht="15" customHeight="1" x14ac:dyDescent="0.25">
      <c r="H309" s="13"/>
    </row>
    <row r="310" spans="8:8" s="8" customFormat="1" ht="15" customHeight="1" x14ac:dyDescent="0.25">
      <c r="H310" s="13"/>
    </row>
    <row r="311" spans="8:8" s="8" customFormat="1" ht="15" customHeight="1" x14ac:dyDescent="0.25">
      <c r="H311" s="13"/>
    </row>
    <row r="312" spans="8:8" s="8" customFormat="1" ht="15" customHeight="1" x14ac:dyDescent="0.25">
      <c r="H312" s="13"/>
    </row>
    <row r="313" spans="8:8" s="8" customFormat="1" ht="15" customHeight="1" x14ac:dyDescent="0.25">
      <c r="H313" s="13"/>
    </row>
    <row r="314" spans="8:8" s="8" customFormat="1" ht="15" customHeight="1" x14ac:dyDescent="0.25">
      <c r="H314" s="13"/>
    </row>
    <row r="315" spans="8:8" s="8" customFormat="1" ht="15" customHeight="1" x14ac:dyDescent="0.25">
      <c r="H315" s="13"/>
    </row>
    <row r="316" spans="8:8" s="8" customFormat="1" ht="15" customHeight="1" x14ac:dyDescent="0.25">
      <c r="H316" s="13"/>
    </row>
    <row r="317" spans="8:8" s="8" customFormat="1" ht="15" customHeight="1" x14ac:dyDescent="0.25">
      <c r="H317" s="13"/>
    </row>
    <row r="318" spans="8:8" s="8" customFormat="1" ht="15" customHeight="1" x14ac:dyDescent="0.25">
      <c r="H318" s="13"/>
    </row>
    <row r="319" spans="8:8" s="8" customFormat="1" ht="15" customHeight="1" x14ac:dyDescent="0.25">
      <c r="H319" s="13"/>
    </row>
    <row r="320" spans="8:8" s="8" customFormat="1" ht="15" customHeight="1" x14ac:dyDescent="0.25">
      <c r="H320" s="13"/>
    </row>
    <row r="321" spans="8:8" s="8" customFormat="1" ht="15" customHeight="1" x14ac:dyDescent="0.25">
      <c r="H321" s="13"/>
    </row>
    <row r="322" spans="8:8" s="8" customFormat="1" ht="15" customHeight="1" x14ac:dyDescent="0.25">
      <c r="H322" s="13"/>
    </row>
    <row r="323" spans="8:8" s="8" customFormat="1" ht="15" customHeight="1" x14ac:dyDescent="0.25">
      <c r="H323" s="13"/>
    </row>
    <row r="324" spans="8:8" s="8" customFormat="1" ht="15" customHeight="1" x14ac:dyDescent="0.25">
      <c r="H324" s="13"/>
    </row>
    <row r="325" spans="8:8" s="8" customFormat="1" ht="15" customHeight="1" x14ac:dyDescent="0.25">
      <c r="H325" s="13"/>
    </row>
    <row r="326" spans="8:8" s="8" customFormat="1" ht="15" customHeight="1" x14ac:dyDescent="0.25">
      <c r="H326" s="13"/>
    </row>
    <row r="327" spans="8:8" s="8" customFormat="1" ht="15" customHeight="1" x14ac:dyDescent="0.25">
      <c r="H327" s="13"/>
    </row>
    <row r="328" spans="8:8" s="8" customFormat="1" ht="15" customHeight="1" x14ac:dyDescent="0.25">
      <c r="H328" s="13"/>
    </row>
    <row r="329" spans="8:8" s="8" customFormat="1" ht="15" customHeight="1" x14ac:dyDescent="0.25">
      <c r="H329" s="13"/>
    </row>
    <row r="330" spans="8:8" s="8" customFormat="1" ht="15" customHeight="1" x14ac:dyDescent="0.25">
      <c r="H330" s="13"/>
    </row>
    <row r="331" spans="8:8" s="8" customFormat="1" ht="15" customHeight="1" x14ac:dyDescent="0.25">
      <c r="H331" s="13"/>
    </row>
    <row r="332" spans="8:8" s="8" customFormat="1" ht="15" customHeight="1" x14ac:dyDescent="0.25">
      <c r="H332" s="13"/>
    </row>
    <row r="333" spans="8:8" s="8" customFormat="1" ht="15" customHeight="1" x14ac:dyDescent="0.25">
      <c r="H333" s="13"/>
    </row>
    <row r="334" spans="8:8" s="8" customFormat="1" ht="15" customHeight="1" x14ac:dyDescent="0.25">
      <c r="H334" s="13"/>
    </row>
    <row r="335" spans="8:8" s="8" customFormat="1" ht="15" customHeight="1" x14ac:dyDescent="0.25">
      <c r="H335" s="13"/>
    </row>
    <row r="336" spans="8:8" s="8" customFormat="1" ht="15" customHeight="1" x14ac:dyDescent="0.25">
      <c r="H336" s="13"/>
    </row>
    <row r="337" spans="8:8" s="8" customFormat="1" ht="15" customHeight="1" x14ac:dyDescent="0.25">
      <c r="H337" s="13"/>
    </row>
    <row r="338" spans="8:8" s="8" customFormat="1" ht="15" customHeight="1" x14ac:dyDescent="0.25">
      <c r="H338" s="13"/>
    </row>
    <row r="339" spans="8:8" s="8" customFormat="1" ht="15" customHeight="1" x14ac:dyDescent="0.25">
      <c r="H339" s="13"/>
    </row>
    <row r="340" spans="8:8" s="8" customFormat="1" ht="15" customHeight="1" x14ac:dyDescent="0.25">
      <c r="H340" s="13"/>
    </row>
    <row r="341" spans="8:8" s="8" customFormat="1" ht="15" customHeight="1" x14ac:dyDescent="0.25">
      <c r="H341" s="13"/>
    </row>
    <row r="342" spans="8:8" s="8" customFormat="1" ht="15" customHeight="1" x14ac:dyDescent="0.25">
      <c r="H342" s="13"/>
    </row>
    <row r="343" spans="8:8" s="8" customFormat="1" ht="15" customHeight="1" x14ac:dyDescent="0.25">
      <c r="H343" s="13"/>
    </row>
    <row r="344" spans="8:8" s="8" customFormat="1" ht="15" customHeight="1" x14ac:dyDescent="0.25">
      <c r="H344" s="13"/>
    </row>
    <row r="345" spans="8:8" s="8" customFormat="1" ht="15" customHeight="1" x14ac:dyDescent="0.25">
      <c r="H345" s="13"/>
    </row>
    <row r="346" spans="8:8" s="8" customFormat="1" ht="15" customHeight="1" x14ac:dyDescent="0.25">
      <c r="H346" s="13"/>
    </row>
    <row r="347" spans="8:8" s="8" customFormat="1" ht="15" customHeight="1" x14ac:dyDescent="0.25">
      <c r="H347" s="13"/>
    </row>
    <row r="348" spans="8:8" s="8" customFormat="1" ht="15" customHeight="1" x14ac:dyDescent="0.25">
      <c r="H348" s="13"/>
    </row>
    <row r="349" spans="8:8" s="8" customFormat="1" ht="15" customHeight="1" x14ac:dyDescent="0.25">
      <c r="H349" s="13"/>
    </row>
    <row r="350" spans="8:8" s="8" customFormat="1" ht="15" customHeight="1" x14ac:dyDescent="0.25">
      <c r="H350" s="13"/>
    </row>
    <row r="351" spans="8:8" s="8" customFormat="1" ht="15" customHeight="1" x14ac:dyDescent="0.25">
      <c r="H351" s="13"/>
    </row>
    <row r="352" spans="8:8" s="8" customFormat="1" ht="15" customHeight="1" x14ac:dyDescent="0.25">
      <c r="H352" s="13"/>
    </row>
    <row r="353" spans="8:8" s="8" customFormat="1" ht="15" customHeight="1" x14ac:dyDescent="0.25">
      <c r="H353" s="13"/>
    </row>
    <row r="354" spans="8:8" s="8" customFormat="1" ht="15" customHeight="1" x14ac:dyDescent="0.25">
      <c r="H354" s="13"/>
    </row>
    <row r="355" spans="8:8" s="8" customFormat="1" ht="15" customHeight="1" x14ac:dyDescent="0.25">
      <c r="H355" s="13"/>
    </row>
    <row r="356" spans="8:8" s="8" customFormat="1" ht="15" customHeight="1" x14ac:dyDescent="0.25">
      <c r="H356" s="13"/>
    </row>
    <row r="357" spans="8:8" s="8" customFormat="1" ht="15" customHeight="1" x14ac:dyDescent="0.25">
      <c r="H357" s="13"/>
    </row>
    <row r="358" spans="8:8" s="8" customFormat="1" ht="15" customHeight="1" x14ac:dyDescent="0.25">
      <c r="H358" s="13"/>
    </row>
    <row r="359" spans="8:8" s="8" customFormat="1" ht="15" customHeight="1" x14ac:dyDescent="0.25">
      <c r="H359" s="13"/>
    </row>
    <row r="360" spans="8:8" s="8" customFormat="1" ht="15" customHeight="1" x14ac:dyDescent="0.25">
      <c r="H360" s="13"/>
    </row>
    <row r="361" spans="8:8" s="8" customFormat="1" ht="15" customHeight="1" x14ac:dyDescent="0.25">
      <c r="H361" s="13"/>
    </row>
    <row r="362" spans="8:8" s="8" customFormat="1" ht="15" customHeight="1" x14ac:dyDescent="0.25">
      <c r="H362" s="13"/>
    </row>
    <row r="363" spans="8:8" s="8" customFormat="1" ht="15" customHeight="1" x14ac:dyDescent="0.25">
      <c r="H363" s="13"/>
    </row>
    <row r="364" spans="8:8" s="8" customFormat="1" ht="15" customHeight="1" x14ac:dyDescent="0.25">
      <c r="H364" s="13"/>
    </row>
    <row r="365" spans="8:8" s="8" customFormat="1" ht="15" customHeight="1" x14ac:dyDescent="0.25">
      <c r="H365" s="13"/>
    </row>
    <row r="366" spans="8:8" s="8" customFormat="1" ht="15" customHeight="1" x14ac:dyDescent="0.25">
      <c r="H366" s="13"/>
    </row>
    <row r="367" spans="8:8" s="8" customFormat="1" ht="15" customHeight="1" x14ac:dyDescent="0.25">
      <c r="H367" s="13"/>
    </row>
    <row r="368" spans="8:8" s="8" customFormat="1" ht="15" customHeight="1" x14ac:dyDescent="0.25">
      <c r="H368" s="13"/>
    </row>
    <row r="369" spans="8:8" s="8" customFormat="1" ht="15" customHeight="1" x14ac:dyDescent="0.25">
      <c r="H369" s="13"/>
    </row>
    <row r="370" spans="8:8" s="8" customFormat="1" ht="15" customHeight="1" x14ac:dyDescent="0.25">
      <c r="H370" s="13"/>
    </row>
    <row r="371" spans="8:8" s="8" customFormat="1" ht="15" customHeight="1" x14ac:dyDescent="0.25">
      <c r="H371" s="13"/>
    </row>
    <row r="372" spans="8:8" s="8" customFormat="1" ht="15" customHeight="1" x14ac:dyDescent="0.25">
      <c r="H372" s="13"/>
    </row>
    <row r="373" spans="8:8" s="8" customFormat="1" ht="15" customHeight="1" x14ac:dyDescent="0.25">
      <c r="H373" s="13"/>
    </row>
    <row r="374" spans="8:8" s="8" customFormat="1" ht="15" customHeight="1" x14ac:dyDescent="0.25">
      <c r="H374" s="13"/>
    </row>
    <row r="375" spans="8:8" s="8" customFormat="1" ht="15" customHeight="1" x14ac:dyDescent="0.25">
      <c r="H375" s="13"/>
    </row>
    <row r="376" spans="8:8" s="8" customFormat="1" ht="15" customHeight="1" x14ac:dyDescent="0.25">
      <c r="H376" s="13"/>
    </row>
    <row r="377" spans="8:8" s="8" customFormat="1" ht="15" customHeight="1" x14ac:dyDescent="0.25">
      <c r="H377" s="13"/>
    </row>
    <row r="378" spans="8:8" s="8" customFormat="1" ht="15" customHeight="1" x14ac:dyDescent="0.25">
      <c r="H378" s="13"/>
    </row>
    <row r="379" spans="8:8" s="8" customFormat="1" ht="15" customHeight="1" x14ac:dyDescent="0.25">
      <c r="H379" s="13"/>
    </row>
    <row r="380" spans="8:8" s="8" customFormat="1" ht="15" customHeight="1" x14ac:dyDescent="0.25">
      <c r="H380" s="13"/>
    </row>
    <row r="381" spans="8:8" s="8" customFormat="1" ht="15" customHeight="1" x14ac:dyDescent="0.25">
      <c r="H381" s="13"/>
    </row>
    <row r="382" spans="8:8" s="8" customFormat="1" ht="15" customHeight="1" x14ac:dyDescent="0.25">
      <c r="H382" s="13"/>
    </row>
    <row r="383" spans="8:8" s="8" customFormat="1" ht="15" customHeight="1" x14ac:dyDescent="0.25">
      <c r="H383" s="13"/>
    </row>
    <row r="384" spans="8:8" s="8" customFormat="1" ht="15" customHeight="1" x14ac:dyDescent="0.25">
      <c r="H384" s="13"/>
    </row>
    <row r="385" spans="8:8" s="8" customFormat="1" ht="15" customHeight="1" x14ac:dyDescent="0.25">
      <c r="H385" s="13"/>
    </row>
    <row r="386" spans="8:8" s="8" customFormat="1" ht="15" customHeight="1" x14ac:dyDescent="0.25">
      <c r="H386" s="13"/>
    </row>
    <row r="387" spans="8:8" s="8" customFormat="1" ht="15" customHeight="1" x14ac:dyDescent="0.25">
      <c r="H387" s="13"/>
    </row>
    <row r="388" spans="8:8" s="8" customFormat="1" ht="15" customHeight="1" x14ac:dyDescent="0.25">
      <c r="H388" s="13"/>
    </row>
    <row r="389" spans="8:8" s="8" customFormat="1" ht="15" customHeight="1" x14ac:dyDescent="0.25">
      <c r="H389" s="13"/>
    </row>
    <row r="390" spans="8:8" s="8" customFormat="1" ht="15" customHeight="1" x14ac:dyDescent="0.25">
      <c r="H390" s="13"/>
    </row>
    <row r="391" spans="8:8" s="8" customFormat="1" ht="15" customHeight="1" x14ac:dyDescent="0.25">
      <c r="H391" s="13"/>
    </row>
    <row r="392" spans="8:8" s="8" customFormat="1" ht="15" customHeight="1" x14ac:dyDescent="0.25">
      <c r="H392" s="13"/>
    </row>
    <row r="393" spans="8:8" s="8" customFormat="1" ht="15" customHeight="1" x14ac:dyDescent="0.25">
      <c r="H393" s="13"/>
    </row>
    <row r="394" spans="8:8" s="8" customFormat="1" ht="15" customHeight="1" x14ac:dyDescent="0.25">
      <c r="H394" s="13"/>
    </row>
    <row r="395" spans="8:8" s="8" customFormat="1" ht="15" customHeight="1" x14ac:dyDescent="0.25">
      <c r="H395" s="13"/>
    </row>
    <row r="396" spans="8:8" s="8" customFormat="1" ht="15" customHeight="1" x14ac:dyDescent="0.25">
      <c r="H396" s="13"/>
    </row>
    <row r="397" spans="8:8" s="8" customFormat="1" ht="15" customHeight="1" x14ac:dyDescent="0.25">
      <c r="H397" s="13"/>
    </row>
    <row r="398" spans="8:8" s="8" customFormat="1" ht="15" customHeight="1" x14ac:dyDescent="0.25">
      <c r="H398" s="13"/>
    </row>
    <row r="399" spans="8:8" s="8" customFormat="1" ht="15" customHeight="1" x14ac:dyDescent="0.25">
      <c r="H399" s="13"/>
    </row>
    <row r="400" spans="8:8" s="8" customFormat="1" ht="15" customHeight="1" x14ac:dyDescent="0.25">
      <c r="H400" s="13"/>
    </row>
    <row r="401" spans="8:8" s="8" customFormat="1" ht="15" customHeight="1" x14ac:dyDescent="0.25">
      <c r="H401" s="13"/>
    </row>
    <row r="402" spans="8:8" s="8" customFormat="1" ht="15" customHeight="1" x14ac:dyDescent="0.25">
      <c r="H402" s="13"/>
    </row>
    <row r="403" spans="8:8" s="8" customFormat="1" ht="15" customHeight="1" x14ac:dyDescent="0.25">
      <c r="H403" s="13"/>
    </row>
    <row r="404" spans="8:8" s="8" customFormat="1" ht="15" customHeight="1" x14ac:dyDescent="0.25">
      <c r="H404" s="13"/>
    </row>
    <row r="405" spans="8:8" s="8" customFormat="1" ht="15" customHeight="1" x14ac:dyDescent="0.25">
      <c r="H405" s="13"/>
    </row>
    <row r="406" spans="8:8" s="8" customFormat="1" ht="15" customHeight="1" x14ac:dyDescent="0.25">
      <c r="H406" s="13"/>
    </row>
    <row r="407" spans="8:8" s="8" customFormat="1" ht="15" customHeight="1" x14ac:dyDescent="0.25">
      <c r="H407" s="13"/>
    </row>
    <row r="408" spans="8:8" s="8" customFormat="1" ht="15" customHeight="1" x14ac:dyDescent="0.25">
      <c r="H408" s="13"/>
    </row>
    <row r="409" spans="8:8" s="8" customFormat="1" ht="15" customHeight="1" x14ac:dyDescent="0.25">
      <c r="H409" s="13"/>
    </row>
    <row r="410" spans="8:8" s="8" customFormat="1" ht="15" customHeight="1" x14ac:dyDescent="0.25">
      <c r="H410" s="13"/>
    </row>
    <row r="411" spans="8:8" s="8" customFormat="1" ht="15" customHeight="1" x14ac:dyDescent="0.25">
      <c r="H411" s="13"/>
    </row>
    <row r="412" spans="8:8" s="8" customFormat="1" ht="15" customHeight="1" x14ac:dyDescent="0.25">
      <c r="H412" s="13"/>
    </row>
    <row r="413" spans="8:8" s="8" customFormat="1" ht="15" customHeight="1" x14ac:dyDescent="0.25">
      <c r="H413" s="13"/>
    </row>
    <row r="414" spans="8:8" s="8" customFormat="1" ht="15" customHeight="1" x14ac:dyDescent="0.25">
      <c r="H414" s="13"/>
    </row>
    <row r="415" spans="8:8" s="8" customFormat="1" ht="15" customHeight="1" x14ac:dyDescent="0.25">
      <c r="H415" s="13"/>
    </row>
    <row r="416" spans="8:8" s="8" customFormat="1" ht="15" customHeight="1" x14ac:dyDescent="0.25">
      <c r="H416" s="13"/>
    </row>
    <row r="417" spans="8:8" s="8" customFormat="1" ht="15" customHeight="1" x14ac:dyDescent="0.25">
      <c r="H417" s="13"/>
    </row>
    <row r="418" spans="8:8" s="8" customFormat="1" ht="15" customHeight="1" x14ac:dyDescent="0.25">
      <c r="H418" s="13"/>
    </row>
    <row r="419" spans="8:8" s="8" customFormat="1" ht="15" customHeight="1" x14ac:dyDescent="0.25">
      <c r="H419" s="13"/>
    </row>
    <row r="420" spans="8:8" s="8" customFormat="1" ht="15" customHeight="1" x14ac:dyDescent="0.25">
      <c r="H420" s="13"/>
    </row>
    <row r="421" spans="8:8" s="8" customFormat="1" ht="15" customHeight="1" x14ac:dyDescent="0.25">
      <c r="H421" s="13"/>
    </row>
    <row r="422" spans="8:8" s="8" customFormat="1" ht="15" customHeight="1" x14ac:dyDescent="0.25">
      <c r="H422" s="13"/>
    </row>
    <row r="423" spans="8:8" s="8" customFormat="1" ht="15" customHeight="1" x14ac:dyDescent="0.25">
      <c r="H423" s="13"/>
    </row>
    <row r="424" spans="8:8" s="8" customFormat="1" ht="15" customHeight="1" x14ac:dyDescent="0.25">
      <c r="H424" s="13"/>
    </row>
    <row r="425" spans="8:8" s="8" customFormat="1" ht="15" customHeight="1" x14ac:dyDescent="0.25">
      <c r="H425" s="13"/>
    </row>
    <row r="426" spans="8:8" s="8" customFormat="1" ht="15" customHeight="1" x14ac:dyDescent="0.25">
      <c r="H426" s="13"/>
    </row>
    <row r="427" spans="8:8" s="8" customFormat="1" ht="15" customHeight="1" x14ac:dyDescent="0.25">
      <c r="H427" s="13"/>
    </row>
    <row r="428" spans="8:8" s="8" customFormat="1" ht="15" customHeight="1" x14ac:dyDescent="0.25">
      <c r="H428" s="13"/>
    </row>
    <row r="429" spans="8:8" s="8" customFormat="1" ht="15" customHeight="1" x14ac:dyDescent="0.25">
      <c r="H429" s="13"/>
    </row>
    <row r="430" spans="8:8" s="8" customFormat="1" ht="15" customHeight="1" x14ac:dyDescent="0.25">
      <c r="H430" s="13"/>
    </row>
    <row r="431" spans="8:8" s="8" customFormat="1" ht="15" customHeight="1" x14ac:dyDescent="0.25">
      <c r="H431" s="13"/>
    </row>
    <row r="432" spans="8:8" s="8" customFormat="1" ht="15" customHeight="1" x14ac:dyDescent="0.25">
      <c r="H432" s="13"/>
    </row>
    <row r="433" spans="8:8" s="8" customFormat="1" ht="15" customHeight="1" x14ac:dyDescent="0.25">
      <c r="H433" s="13"/>
    </row>
    <row r="434" spans="8:8" s="8" customFormat="1" ht="15" customHeight="1" x14ac:dyDescent="0.25">
      <c r="H434" s="13"/>
    </row>
    <row r="435" spans="8:8" s="8" customFormat="1" ht="15" customHeight="1" x14ac:dyDescent="0.25">
      <c r="H435" s="13"/>
    </row>
    <row r="436" spans="8:8" s="8" customFormat="1" ht="15" customHeight="1" x14ac:dyDescent="0.25">
      <c r="H436" s="13"/>
    </row>
    <row r="437" spans="8:8" s="8" customFormat="1" ht="15" customHeight="1" x14ac:dyDescent="0.25">
      <c r="H437" s="13"/>
    </row>
    <row r="438" spans="8:8" s="8" customFormat="1" ht="15" customHeight="1" x14ac:dyDescent="0.25">
      <c r="H438" s="13"/>
    </row>
    <row r="439" spans="8:8" s="8" customFormat="1" ht="15" customHeight="1" x14ac:dyDescent="0.25">
      <c r="H439" s="13"/>
    </row>
    <row r="440" spans="8:8" s="8" customFormat="1" ht="15" customHeight="1" x14ac:dyDescent="0.25">
      <c r="H440" s="13"/>
    </row>
    <row r="441" spans="8:8" s="8" customFormat="1" ht="15" customHeight="1" x14ac:dyDescent="0.25">
      <c r="H441" s="13"/>
    </row>
    <row r="442" spans="8:8" s="8" customFormat="1" ht="15" customHeight="1" x14ac:dyDescent="0.25">
      <c r="H442" s="13"/>
    </row>
    <row r="443" spans="8:8" s="8" customFormat="1" ht="15" customHeight="1" x14ac:dyDescent="0.25">
      <c r="H443" s="13"/>
    </row>
    <row r="444" spans="8:8" s="8" customFormat="1" ht="15" customHeight="1" x14ac:dyDescent="0.25">
      <c r="H444" s="13"/>
    </row>
    <row r="445" spans="8:8" s="8" customFormat="1" ht="15" customHeight="1" x14ac:dyDescent="0.25">
      <c r="H445" s="13"/>
    </row>
    <row r="446" spans="8:8" s="8" customFormat="1" ht="15" customHeight="1" x14ac:dyDescent="0.25">
      <c r="H446" s="13"/>
    </row>
    <row r="447" spans="8:8" s="8" customFormat="1" ht="15" customHeight="1" x14ac:dyDescent="0.25">
      <c r="H447" s="13"/>
    </row>
    <row r="448" spans="8:8" s="8" customFormat="1" ht="15" customHeight="1" x14ac:dyDescent="0.25">
      <c r="H448" s="13"/>
    </row>
    <row r="449" spans="8:8" s="8" customFormat="1" ht="15" customHeight="1" x14ac:dyDescent="0.25">
      <c r="H449" s="13"/>
    </row>
    <row r="450" spans="8:8" s="8" customFormat="1" ht="15" customHeight="1" x14ac:dyDescent="0.25">
      <c r="H450" s="13"/>
    </row>
    <row r="451" spans="8:8" s="8" customFormat="1" ht="15" customHeight="1" x14ac:dyDescent="0.25">
      <c r="H451" s="13"/>
    </row>
    <row r="452" spans="8:8" s="8" customFormat="1" ht="15" customHeight="1" x14ac:dyDescent="0.25">
      <c r="H452" s="13"/>
    </row>
    <row r="453" spans="8:8" s="8" customFormat="1" ht="15" customHeight="1" x14ac:dyDescent="0.25">
      <c r="H453" s="13"/>
    </row>
    <row r="454" spans="8:8" s="8" customFormat="1" ht="15" customHeight="1" x14ac:dyDescent="0.25">
      <c r="H454" s="13"/>
    </row>
    <row r="455" spans="8:8" s="8" customFormat="1" ht="15" customHeight="1" x14ac:dyDescent="0.25">
      <c r="H455" s="13"/>
    </row>
    <row r="456" spans="8:8" s="8" customFormat="1" ht="15" customHeight="1" x14ac:dyDescent="0.25">
      <c r="H456" s="13"/>
    </row>
    <row r="457" spans="8:8" s="8" customFormat="1" ht="15" customHeight="1" x14ac:dyDescent="0.25">
      <c r="H457" s="13"/>
    </row>
    <row r="458" spans="8:8" s="8" customFormat="1" ht="15" customHeight="1" x14ac:dyDescent="0.25">
      <c r="H458" s="13"/>
    </row>
    <row r="459" spans="8:8" s="8" customFormat="1" ht="15" customHeight="1" x14ac:dyDescent="0.25">
      <c r="H459" s="13"/>
    </row>
    <row r="460" spans="8:8" s="8" customFormat="1" ht="15" customHeight="1" x14ac:dyDescent="0.25">
      <c r="H460" s="13"/>
    </row>
    <row r="461" spans="8:8" s="8" customFormat="1" ht="15" customHeight="1" x14ac:dyDescent="0.25">
      <c r="H461" s="13"/>
    </row>
    <row r="462" spans="8:8" s="8" customFormat="1" ht="15" customHeight="1" x14ac:dyDescent="0.25">
      <c r="H462" s="13"/>
    </row>
    <row r="463" spans="8:8" s="8" customFormat="1" ht="15" customHeight="1" x14ac:dyDescent="0.25">
      <c r="H463" s="13"/>
    </row>
    <row r="464" spans="8:8" s="8" customFormat="1" ht="15" customHeight="1" x14ac:dyDescent="0.25">
      <c r="H464" s="13"/>
    </row>
    <row r="465" spans="8:8" s="8" customFormat="1" ht="15" customHeight="1" x14ac:dyDescent="0.25">
      <c r="H465" s="13"/>
    </row>
    <row r="466" spans="8:8" s="8" customFormat="1" ht="15" customHeight="1" x14ac:dyDescent="0.25">
      <c r="H466" s="13"/>
    </row>
    <row r="467" spans="8:8" s="8" customFormat="1" ht="15" customHeight="1" x14ac:dyDescent="0.25">
      <c r="H467" s="13"/>
    </row>
    <row r="468" spans="8:8" s="8" customFormat="1" ht="15" customHeight="1" x14ac:dyDescent="0.25">
      <c r="H468" s="13"/>
    </row>
    <row r="469" spans="8:8" s="8" customFormat="1" ht="15" customHeight="1" x14ac:dyDescent="0.25">
      <c r="H469" s="13"/>
    </row>
    <row r="470" spans="8:8" s="8" customFormat="1" ht="15" customHeight="1" x14ac:dyDescent="0.25">
      <c r="H470" s="13"/>
    </row>
    <row r="471" spans="8:8" s="8" customFormat="1" ht="15" customHeight="1" x14ac:dyDescent="0.25">
      <c r="H471" s="13"/>
    </row>
    <row r="472" spans="8:8" s="8" customFormat="1" ht="15" customHeight="1" x14ac:dyDescent="0.25">
      <c r="H472" s="13"/>
    </row>
    <row r="473" spans="8:8" s="8" customFormat="1" ht="15" customHeight="1" x14ac:dyDescent="0.25">
      <c r="H473" s="13"/>
    </row>
    <row r="474" spans="8:8" s="8" customFormat="1" ht="15" customHeight="1" x14ac:dyDescent="0.25">
      <c r="H474" s="13"/>
    </row>
    <row r="475" spans="8:8" s="8" customFormat="1" ht="15" customHeight="1" x14ac:dyDescent="0.25">
      <c r="H475" s="13"/>
    </row>
    <row r="476" spans="8:8" s="8" customFormat="1" ht="15" customHeight="1" x14ac:dyDescent="0.25">
      <c r="H476" s="13"/>
    </row>
    <row r="477" spans="8:8" s="8" customFormat="1" ht="15" customHeight="1" x14ac:dyDescent="0.25">
      <c r="H477" s="13"/>
    </row>
    <row r="478" spans="8:8" s="8" customFormat="1" ht="15" customHeight="1" x14ac:dyDescent="0.25">
      <c r="H478" s="13"/>
    </row>
    <row r="479" spans="8:8" s="8" customFormat="1" ht="15" customHeight="1" x14ac:dyDescent="0.25">
      <c r="H479" s="13"/>
    </row>
    <row r="480" spans="8:8" s="8" customFormat="1" ht="15" customHeight="1" x14ac:dyDescent="0.25">
      <c r="H480" s="13"/>
    </row>
    <row r="481" spans="8:8" s="8" customFormat="1" ht="15" customHeight="1" x14ac:dyDescent="0.25">
      <c r="H481" s="13"/>
    </row>
    <row r="482" spans="8:8" s="8" customFormat="1" ht="15" customHeight="1" x14ac:dyDescent="0.25">
      <c r="H482" s="13"/>
    </row>
    <row r="483" spans="8:8" s="8" customFormat="1" ht="15" customHeight="1" x14ac:dyDescent="0.25">
      <c r="H483" s="13"/>
    </row>
    <row r="484" spans="8:8" s="8" customFormat="1" ht="15" customHeight="1" x14ac:dyDescent="0.25">
      <c r="H484" s="13"/>
    </row>
    <row r="485" spans="8:8" s="8" customFormat="1" ht="15" customHeight="1" x14ac:dyDescent="0.25">
      <c r="H485" s="13"/>
    </row>
    <row r="486" spans="8:8" s="8" customFormat="1" ht="15" customHeight="1" x14ac:dyDescent="0.25">
      <c r="H486" s="13"/>
    </row>
    <row r="487" spans="8:8" s="8" customFormat="1" ht="15" customHeight="1" x14ac:dyDescent="0.25">
      <c r="H487" s="13"/>
    </row>
    <row r="488" spans="8:8" s="8" customFormat="1" ht="15" customHeight="1" x14ac:dyDescent="0.25">
      <c r="H488" s="13"/>
    </row>
    <row r="489" spans="8:8" s="8" customFormat="1" ht="15" customHeight="1" x14ac:dyDescent="0.25">
      <c r="H489" s="13"/>
    </row>
    <row r="490" spans="8:8" s="8" customFormat="1" ht="15" customHeight="1" x14ac:dyDescent="0.25">
      <c r="H490" s="13"/>
    </row>
    <row r="491" spans="8:8" s="8" customFormat="1" ht="15" customHeight="1" x14ac:dyDescent="0.25">
      <c r="H491" s="13"/>
    </row>
    <row r="492" spans="8:8" s="8" customFormat="1" ht="15" customHeight="1" x14ac:dyDescent="0.25">
      <c r="H492" s="13"/>
    </row>
    <row r="493" spans="8:8" s="8" customFormat="1" ht="15" customHeight="1" x14ac:dyDescent="0.25">
      <c r="H493" s="13"/>
    </row>
    <row r="494" spans="8:8" s="8" customFormat="1" ht="15" customHeight="1" x14ac:dyDescent="0.25">
      <c r="H494" s="13"/>
    </row>
    <row r="495" spans="8:8" s="8" customFormat="1" ht="15" customHeight="1" x14ac:dyDescent="0.25">
      <c r="H495" s="13"/>
    </row>
    <row r="496" spans="8:8" s="8" customFormat="1" ht="15" customHeight="1" x14ac:dyDescent="0.25">
      <c r="H496" s="13"/>
    </row>
    <row r="497" spans="8:8" s="8" customFormat="1" ht="15" customHeight="1" x14ac:dyDescent="0.25">
      <c r="H497" s="13"/>
    </row>
    <row r="498" spans="8:8" s="8" customFormat="1" ht="15" customHeight="1" x14ac:dyDescent="0.25">
      <c r="H498" s="13"/>
    </row>
    <row r="499" spans="8:8" s="8" customFormat="1" ht="15" customHeight="1" x14ac:dyDescent="0.25">
      <c r="H499" s="13"/>
    </row>
  </sheetData>
  <mergeCells count="20">
    <mergeCell ref="BE8:BH8"/>
    <mergeCell ref="BI8:BL8"/>
    <mergeCell ref="BM8:BR8"/>
    <mergeCell ref="BE7:BH7"/>
    <mergeCell ref="BI7:BR7"/>
    <mergeCell ref="AA8:AF8"/>
    <mergeCell ref="AG8:AR8"/>
    <mergeCell ref="AS8:BB8"/>
    <mergeCell ref="A5:B5"/>
    <mergeCell ref="A7:H7"/>
    <mergeCell ref="I7:N7"/>
    <mergeCell ref="O7:AF7"/>
    <mergeCell ref="AG7:AR7"/>
    <mergeCell ref="AS7:BD7"/>
    <mergeCell ref="A8:D8"/>
    <mergeCell ref="E8:H8"/>
    <mergeCell ref="I8:N8"/>
    <mergeCell ref="O8:Q8"/>
    <mergeCell ref="R8:Z8"/>
    <mergeCell ref="BC8:BD8"/>
  </mergeCells>
  <dataValidations count="2">
    <dataValidation type="list" allowBlank="1" showInputMessage="1" showErrorMessage="1" sqref="J10:J11">
      <formula1>"30%"</formula1>
    </dataValidation>
    <dataValidation type="list" allowBlank="1" showInputMessage="1" showErrorMessage="1" sqref="L10:L11">
      <formula1>"10%, 20%, 40%"</formula1>
    </dataValidation>
  </dataValidations>
  <pageMargins left="0.59055118110236227" right="0.59055118110236227" top="0.19685039370078741" bottom="0.19685039370078741" header="0" footer="0"/>
  <pageSetup paperSize="9" scale="82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67"/>
  <sheetViews>
    <sheetView showGridLines="0" zoomScaleNormal="100" workbookViewId="0">
      <selection activeCell="M58" sqref="M58"/>
    </sheetView>
  </sheetViews>
  <sheetFormatPr defaultColWidth="9.140625" defaultRowHeight="15" x14ac:dyDescent="0.25"/>
  <cols>
    <col min="1" max="1" width="13.7109375" style="2" customWidth="1"/>
    <col min="2" max="2" width="18.42578125" style="2" customWidth="1"/>
    <col min="3" max="3" width="26.140625" style="2" customWidth="1"/>
    <col min="4" max="4" width="36.140625" style="2" bestFit="1" customWidth="1"/>
    <col min="5" max="8" width="18" style="2" customWidth="1"/>
    <col min="9" max="9" width="4.85546875" style="2" customWidth="1"/>
    <col min="10" max="10" width="4.85546875" style="50" customWidth="1"/>
    <col min="11" max="11" width="20.140625" style="50" customWidth="1"/>
    <col min="12" max="15" width="4.85546875" style="50" customWidth="1"/>
    <col min="16" max="18" width="4.85546875" style="7" customWidth="1"/>
    <col min="19" max="28" width="4.85546875" style="2" customWidth="1"/>
    <col min="29" max="39" width="15.28515625" style="2" customWidth="1"/>
    <col min="40" max="53" width="4.140625" style="2" customWidth="1"/>
    <col min="54" max="16384" width="9.140625" style="2"/>
  </cols>
  <sheetData>
    <row r="1" spans="1:18" s="25" customFormat="1" ht="18.75" x14ac:dyDescent="0.25">
      <c r="A1" s="130" t="s">
        <v>16</v>
      </c>
      <c r="B1" s="24"/>
      <c r="C1" s="24"/>
      <c r="D1" s="24"/>
      <c r="E1" s="24"/>
    </row>
    <row r="2" spans="1:18" s="1" customFormat="1" ht="16.5" customHeight="1" x14ac:dyDescent="0.25">
      <c r="A2" s="26" t="s">
        <v>17</v>
      </c>
      <c r="B2" s="26"/>
      <c r="C2" s="26"/>
      <c r="D2" s="26"/>
      <c r="E2" s="26"/>
      <c r="F2" s="25"/>
      <c r="G2" s="25"/>
      <c r="H2" s="25"/>
      <c r="I2" s="25"/>
      <c r="J2" s="25"/>
      <c r="K2" s="25"/>
    </row>
    <row r="3" spans="1:18" s="74" customFormat="1" ht="20.25" customHeight="1" x14ac:dyDescent="0.25">
      <c r="A3" s="26" t="s">
        <v>138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73"/>
      <c r="M3" s="73"/>
      <c r="N3" s="73"/>
    </row>
    <row r="4" spans="1:18" s="48" customFormat="1" ht="12.75" x14ac:dyDescent="0.25">
      <c r="A4" s="46"/>
      <c r="B4" s="47"/>
      <c r="C4" s="47"/>
      <c r="D4" s="47"/>
      <c r="E4" s="47"/>
    </row>
    <row r="5" spans="1:18" s="8" customFormat="1" ht="12.75" hidden="1" x14ac:dyDescent="0.25">
      <c r="A5" s="249" t="s">
        <v>139</v>
      </c>
      <c r="B5" s="249"/>
      <c r="C5" s="249"/>
      <c r="D5" s="249"/>
      <c r="E5" s="249"/>
      <c r="F5" s="249"/>
      <c r="G5" s="249"/>
      <c r="H5" s="249"/>
      <c r="J5" s="75"/>
      <c r="K5" s="75"/>
      <c r="L5" s="75"/>
      <c r="M5" s="75"/>
      <c r="N5" s="75"/>
      <c r="O5" s="75"/>
      <c r="P5" s="45"/>
      <c r="Q5" s="45"/>
      <c r="R5" s="45"/>
    </row>
    <row r="6" spans="1:18" s="8" customFormat="1" ht="12.75" hidden="1" x14ac:dyDescent="0.25">
      <c r="A6" s="76">
        <v>1</v>
      </c>
      <c r="B6" s="77" t="s">
        <v>140</v>
      </c>
      <c r="C6" s="250"/>
      <c r="D6" s="250"/>
      <c r="E6" s="250"/>
      <c r="F6" s="250"/>
      <c r="G6" s="250"/>
      <c r="H6" s="250"/>
      <c r="J6" s="75"/>
      <c r="K6" s="75"/>
      <c r="L6" s="75"/>
      <c r="M6" s="75"/>
      <c r="N6" s="75"/>
      <c r="O6" s="75"/>
      <c r="P6" s="45"/>
      <c r="Q6" s="45"/>
      <c r="R6" s="45"/>
    </row>
    <row r="7" spans="1:18" s="8" customFormat="1" ht="12.75" hidden="1" x14ac:dyDescent="0.25">
      <c r="A7" s="76">
        <v>2</v>
      </c>
      <c r="B7" s="77" t="s">
        <v>141</v>
      </c>
      <c r="C7" s="250"/>
      <c r="D7" s="250"/>
      <c r="E7" s="250"/>
      <c r="F7" s="250"/>
      <c r="G7" s="250"/>
      <c r="H7" s="250"/>
      <c r="J7" s="75"/>
      <c r="K7" s="75"/>
      <c r="L7" s="75"/>
      <c r="M7" s="75"/>
      <c r="N7" s="75"/>
      <c r="O7" s="75"/>
      <c r="P7" s="45"/>
      <c r="Q7" s="45"/>
      <c r="R7" s="45"/>
    </row>
    <row r="8" spans="1:18" s="8" customFormat="1" ht="12.75" hidden="1" x14ac:dyDescent="0.25">
      <c r="A8" s="76">
        <v>3</v>
      </c>
      <c r="B8" s="77" t="s">
        <v>142</v>
      </c>
      <c r="C8" s="250"/>
      <c r="D8" s="250"/>
      <c r="E8" s="250"/>
      <c r="F8" s="250"/>
      <c r="G8" s="250"/>
      <c r="H8" s="250"/>
      <c r="J8" s="75"/>
      <c r="K8" s="75"/>
      <c r="L8" s="75"/>
      <c r="M8" s="75"/>
      <c r="N8" s="75"/>
      <c r="O8" s="75"/>
      <c r="P8" s="45"/>
      <c r="Q8" s="45"/>
      <c r="R8" s="45"/>
    </row>
    <row r="9" spans="1:18" s="8" customFormat="1" ht="12.75" hidden="1" x14ac:dyDescent="0.25">
      <c r="A9" s="76">
        <v>4</v>
      </c>
      <c r="B9" s="77" t="s">
        <v>143</v>
      </c>
      <c r="C9" s="250"/>
      <c r="D9" s="250"/>
      <c r="E9" s="250"/>
      <c r="F9" s="250"/>
      <c r="G9" s="250"/>
      <c r="H9" s="250"/>
      <c r="J9" s="75"/>
      <c r="K9" s="75"/>
      <c r="L9" s="75"/>
      <c r="M9" s="75"/>
      <c r="N9" s="75"/>
      <c r="O9" s="75"/>
      <c r="P9" s="45"/>
      <c r="Q9" s="45"/>
      <c r="R9" s="45"/>
    </row>
    <row r="10" spans="1:18" s="8" customFormat="1" ht="12.75" hidden="1" x14ac:dyDescent="0.25">
      <c r="A10" s="76">
        <v>5</v>
      </c>
      <c r="B10" s="77" t="s">
        <v>144</v>
      </c>
      <c r="C10" s="250"/>
      <c r="D10" s="250"/>
      <c r="E10" s="250"/>
      <c r="F10" s="250"/>
      <c r="G10" s="250"/>
      <c r="H10" s="250"/>
      <c r="J10" s="75"/>
      <c r="K10" s="75"/>
      <c r="L10" s="75"/>
      <c r="M10" s="75"/>
      <c r="N10" s="75"/>
      <c r="O10" s="75"/>
      <c r="P10" s="45"/>
      <c r="Q10" s="45"/>
      <c r="R10" s="45"/>
    </row>
    <row r="11" spans="1:18" s="8" customFormat="1" ht="12.75" hidden="1" x14ac:dyDescent="0.25">
      <c r="A11" s="76">
        <v>6</v>
      </c>
      <c r="B11" s="77" t="s">
        <v>145</v>
      </c>
      <c r="C11" s="250"/>
      <c r="D11" s="250"/>
      <c r="E11" s="250"/>
      <c r="F11" s="250"/>
      <c r="G11" s="250"/>
      <c r="H11" s="250"/>
      <c r="J11" s="75"/>
      <c r="K11" s="75"/>
      <c r="L11" s="75"/>
      <c r="M11" s="75"/>
      <c r="N11" s="75"/>
      <c r="O11" s="75"/>
      <c r="P11" s="45"/>
      <c r="Q11" s="45"/>
      <c r="R11" s="45"/>
    </row>
    <row r="12" spans="1:18" s="8" customFormat="1" ht="15" customHeight="1" x14ac:dyDescent="0.25">
      <c r="A12" s="249" t="s">
        <v>146</v>
      </c>
      <c r="B12" s="249"/>
      <c r="C12" s="249"/>
      <c r="D12" s="249"/>
      <c r="E12" s="249"/>
      <c r="F12" s="249"/>
      <c r="G12" s="249"/>
      <c r="H12" s="249"/>
      <c r="J12" s="78" t="s">
        <v>147</v>
      </c>
      <c r="K12" s="78"/>
      <c r="L12" s="78"/>
      <c r="M12" s="78"/>
      <c r="N12" s="78"/>
      <c r="O12" s="78"/>
      <c r="P12" s="45"/>
      <c r="Q12" s="45"/>
      <c r="R12" s="45"/>
    </row>
    <row r="13" spans="1:18" s="8" customFormat="1" ht="15" customHeight="1" x14ac:dyDescent="0.25">
      <c r="A13" s="79">
        <v>1</v>
      </c>
      <c r="B13" s="251" t="s">
        <v>147</v>
      </c>
      <c r="C13" s="251"/>
      <c r="D13" s="251"/>
      <c r="E13" s="251"/>
      <c r="F13" s="251"/>
      <c r="G13" s="251"/>
      <c r="H13" s="251"/>
      <c r="J13" s="78" t="s">
        <v>148</v>
      </c>
      <c r="K13" s="78"/>
      <c r="L13" s="78"/>
      <c r="M13" s="78"/>
      <c r="N13" s="78"/>
      <c r="O13" s="78"/>
      <c r="P13" s="45"/>
      <c r="Q13" s="45"/>
      <c r="R13" s="45"/>
    </row>
    <row r="14" spans="1:18" s="8" customFormat="1" ht="15.6" customHeight="1" x14ac:dyDescent="0.25">
      <c r="A14" s="79">
        <v>2</v>
      </c>
      <c r="B14" s="251" t="s">
        <v>149</v>
      </c>
      <c r="C14" s="251"/>
      <c r="D14" s="251"/>
      <c r="E14" s="251"/>
      <c r="F14" s="251"/>
      <c r="G14" s="251"/>
      <c r="H14" s="251"/>
      <c r="J14" s="78" t="s">
        <v>150</v>
      </c>
      <c r="K14" s="78"/>
      <c r="L14" s="78"/>
      <c r="M14" s="78"/>
      <c r="N14" s="78"/>
      <c r="O14" s="78"/>
      <c r="P14" s="45"/>
      <c r="Q14" s="45"/>
      <c r="R14" s="45"/>
    </row>
    <row r="15" spans="1:18" s="8" customFormat="1" ht="12.75" x14ac:dyDescent="0.25">
      <c r="A15" s="249" t="s">
        <v>151</v>
      </c>
      <c r="B15" s="249"/>
      <c r="C15" s="249"/>
      <c r="D15" s="249"/>
      <c r="E15" s="249"/>
      <c r="F15" s="249"/>
      <c r="G15" s="249"/>
      <c r="H15" s="249"/>
      <c r="J15" s="75"/>
      <c r="K15" s="75"/>
      <c r="L15" s="75"/>
      <c r="M15" s="75"/>
      <c r="N15" s="75"/>
      <c r="O15" s="75"/>
      <c r="P15" s="45"/>
      <c r="Q15" s="45"/>
      <c r="R15" s="45"/>
    </row>
    <row r="16" spans="1:18" s="8" customFormat="1" ht="33" customHeight="1" x14ac:dyDescent="0.25">
      <c r="A16" s="80" t="s">
        <v>152</v>
      </c>
      <c r="B16" s="80" t="s">
        <v>153</v>
      </c>
      <c r="C16" s="81" t="s">
        <v>154</v>
      </c>
      <c r="D16" s="81" t="s">
        <v>155</v>
      </c>
      <c r="E16" s="80" t="s">
        <v>156</v>
      </c>
      <c r="F16" s="80" t="s">
        <v>157</v>
      </c>
      <c r="G16" s="80" t="s">
        <v>158</v>
      </c>
      <c r="H16" s="80" t="s">
        <v>159</v>
      </c>
      <c r="J16" s="75"/>
      <c r="K16" s="75"/>
      <c r="L16" s="75"/>
      <c r="M16" s="75"/>
      <c r="N16" s="75"/>
      <c r="O16" s="75"/>
      <c r="P16" s="45"/>
      <c r="Q16" s="45"/>
      <c r="R16" s="45"/>
    </row>
    <row r="17" spans="1:18" s="8" customFormat="1" ht="15" hidden="1" customHeight="1" x14ac:dyDescent="0.25">
      <c r="A17" s="79"/>
      <c r="B17" s="82" t="s">
        <v>160</v>
      </c>
      <c r="C17" s="83" t="s">
        <v>161</v>
      </c>
      <c r="D17" s="83" t="s">
        <v>162</v>
      </c>
      <c r="E17" s="84">
        <v>0</v>
      </c>
      <c r="F17" s="85">
        <f>('calculo - eng.clinica'!I10+'calculo - eng.clinica'!K10+'calculo - eng.clinica'!M10+'calculo - eng.clinica'!O10+'calculo - eng.clinica'!P10+'calculo - eng.clinica'!Q10+'calculo - eng.clinica'!R10+'calculo - eng.clinica'!S10+'calculo - eng.clinica'!U10+'calculo - eng.clinica'!V10+'calculo - eng.clinica'!W10+'calculo - eng.clinica'!X10+'calculo - eng.clinica'!Y10+'calculo - eng.clinica'!Z10+'calculo - eng.clinica'!AA10+'calculo - eng.clinica'!AB10+'calculo - eng.clinica'!AC10+'calculo - eng.clinica'!AD10+'calculo - eng.clinica'!AE10+'calculo - eng.clinica'!AF10+'calculo - eng.clinica'!AH10+'calculo - eng.clinica'!AJ10+'calculo - eng.clinica'!AL10+'calculo - eng.clinica'!AN10+'calculo - eng.clinica'!AP10+'calculo - eng.clinica'!AR10+'calculo - eng.clinica'!AT10+'calculo - eng.clinica'!AV10+'calculo - eng.clinica'!AX10+'calculo - eng.clinica'!AZ10+'calculo - eng.clinica'!BB10+'calculo - eng.clinica'!BD10+'calculo - eng.clinica'!BE10+'calculo - eng.clinica'!BF10+'calculo - eng.clinica'!BG10+'calculo - eng.clinica'!BH10+'calculo - eng.clinica'!BJ10+'calculo - eng.clinica'!BL10+'calculo - eng.clinica'!BN10+'calculo - eng.clinica'!BP10+'calculo - eng.clinica'!BR10)</f>
        <v>0</v>
      </c>
      <c r="G17" s="86">
        <f>F17*E17</f>
        <v>0</v>
      </c>
      <c r="H17" s="87">
        <f>G17*12</f>
        <v>0</v>
      </c>
      <c r="J17" s="75"/>
      <c r="K17" s="75"/>
      <c r="L17" s="75"/>
      <c r="M17" s="75"/>
      <c r="N17" s="75"/>
      <c r="O17" s="75"/>
      <c r="P17" s="45"/>
      <c r="Q17" s="45"/>
      <c r="R17" s="45"/>
    </row>
    <row r="18" spans="1:18" s="8" customFormat="1" ht="15" customHeight="1" x14ac:dyDescent="0.25">
      <c r="A18" s="79" t="s">
        <v>108</v>
      </c>
      <c r="B18" s="82" t="s">
        <v>160</v>
      </c>
      <c r="C18" s="83" t="s">
        <v>161</v>
      </c>
      <c r="D18" s="119" t="s">
        <v>163</v>
      </c>
      <c r="E18" s="84">
        <v>1</v>
      </c>
      <c r="F18" s="85">
        <f>'calculo - eng.clinica'!BS11</f>
        <v>7409.1709605383703</v>
      </c>
      <c r="G18" s="86">
        <f t="shared" ref="G18:G62" si="0">F18*E18</f>
        <v>7409.1709605383703</v>
      </c>
      <c r="H18" s="87">
        <f t="shared" ref="H18:H62" si="1">G18*12</f>
        <v>88910.051526460447</v>
      </c>
      <c r="J18" s="75"/>
      <c r="K18" s="75"/>
      <c r="L18" s="75"/>
      <c r="M18" s="75"/>
      <c r="N18" s="75"/>
      <c r="O18" s="75"/>
      <c r="P18" s="45"/>
      <c r="Q18" s="45"/>
      <c r="R18" s="45"/>
    </row>
    <row r="19" spans="1:18" s="8" customFormat="1" ht="15" customHeight="1" x14ac:dyDescent="0.25">
      <c r="A19" s="79" t="s">
        <v>110</v>
      </c>
      <c r="B19" s="82" t="s">
        <v>164</v>
      </c>
      <c r="C19" s="83" t="s">
        <v>165</v>
      </c>
      <c r="D19" s="119" t="s">
        <v>166</v>
      </c>
      <c r="E19" s="84">
        <v>2</v>
      </c>
      <c r="F19" s="122">
        <f>'calculo - eng.clinica'!BS12</f>
        <v>7376.5327015270959</v>
      </c>
      <c r="G19" s="123">
        <f t="shared" si="0"/>
        <v>14753.065403054192</v>
      </c>
      <c r="H19" s="124">
        <f t="shared" si="1"/>
        <v>177036.7848366503</v>
      </c>
      <c r="J19" s="75"/>
      <c r="K19" s="75"/>
      <c r="L19" s="75"/>
      <c r="M19" s="75"/>
      <c r="N19" s="75"/>
      <c r="O19" s="75"/>
      <c r="P19" s="45"/>
      <c r="Q19" s="45"/>
      <c r="R19" s="45"/>
    </row>
    <row r="20" spans="1:18" s="8" customFormat="1" ht="15" customHeight="1" x14ac:dyDescent="0.25">
      <c r="A20" s="79" t="s">
        <v>111</v>
      </c>
      <c r="B20" s="82" t="s">
        <v>164</v>
      </c>
      <c r="C20" s="83" t="s">
        <v>165</v>
      </c>
      <c r="D20" s="119" t="s">
        <v>167</v>
      </c>
      <c r="E20" s="84">
        <v>2</v>
      </c>
      <c r="F20" s="122">
        <f>'calculo - eng.clinica'!BS13</f>
        <v>9073.555490009101</v>
      </c>
      <c r="G20" s="123">
        <f t="shared" si="0"/>
        <v>18147.110980018202</v>
      </c>
      <c r="H20" s="124">
        <f t="shared" si="1"/>
        <v>217765.33176021843</v>
      </c>
      <c r="J20" s="75"/>
      <c r="K20" s="120"/>
      <c r="L20" s="75"/>
      <c r="M20" s="75"/>
      <c r="N20" s="75"/>
      <c r="O20" s="75"/>
      <c r="P20" s="45"/>
      <c r="Q20" s="45"/>
      <c r="R20" s="45"/>
    </row>
    <row r="21" spans="1:18" s="8" customFormat="1" ht="15" customHeight="1" x14ac:dyDescent="0.25">
      <c r="A21" s="79" t="s">
        <v>113</v>
      </c>
      <c r="B21" s="82" t="s">
        <v>164</v>
      </c>
      <c r="C21" s="83" t="s">
        <v>165</v>
      </c>
      <c r="D21" s="119" t="s">
        <v>168</v>
      </c>
      <c r="E21" s="84">
        <v>2</v>
      </c>
      <c r="F21" s="122">
        <f>'calculo - eng.clinica'!BS14</f>
        <v>7428.9252382267759</v>
      </c>
      <c r="G21" s="123">
        <f t="shared" si="0"/>
        <v>14857.850476453552</v>
      </c>
      <c r="H21" s="124">
        <f t="shared" si="1"/>
        <v>178294.20571744262</v>
      </c>
      <c r="J21" s="75"/>
      <c r="K21" s="120"/>
      <c r="L21" s="75"/>
      <c r="M21" s="75"/>
      <c r="N21" s="75"/>
      <c r="O21" s="75"/>
      <c r="P21" s="45"/>
      <c r="Q21" s="45"/>
      <c r="R21" s="45"/>
    </row>
    <row r="22" spans="1:18" s="8" customFormat="1" ht="15" customHeight="1" x14ac:dyDescent="0.25">
      <c r="A22" s="79" t="s">
        <v>114</v>
      </c>
      <c r="B22" s="82" t="s">
        <v>169</v>
      </c>
      <c r="C22" s="83" t="s">
        <v>170</v>
      </c>
      <c r="D22" s="119" t="s">
        <v>171</v>
      </c>
      <c r="E22" s="84">
        <v>10</v>
      </c>
      <c r="F22" s="122">
        <f>'calculo - nutricao'!BS10</f>
        <v>3204.0928826763966</v>
      </c>
      <c r="G22" s="123">
        <f t="shared" si="0"/>
        <v>32040.928826763964</v>
      </c>
      <c r="H22" s="124">
        <f t="shared" si="1"/>
        <v>384491.14592116757</v>
      </c>
      <c r="J22" s="75"/>
      <c r="K22" s="120"/>
      <c r="L22" s="75"/>
      <c r="M22" s="75"/>
      <c r="N22" s="75"/>
      <c r="O22" s="75"/>
      <c r="P22" s="45"/>
      <c r="Q22" s="45"/>
      <c r="R22" s="45"/>
    </row>
    <row r="23" spans="1:18" s="8" customFormat="1" ht="15" customHeight="1" x14ac:dyDescent="0.25">
      <c r="A23" s="79" t="s">
        <v>115</v>
      </c>
      <c r="B23" s="82" t="s">
        <v>169</v>
      </c>
      <c r="C23" s="83" t="s">
        <v>170</v>
      </c>
      <c r="D23" s="119" t="s">
        <v>172</v>
      </c>
      <c r="E23" s="84">
        <v>2</v>
      </c>
      <c r="F23" s="122">
        <f>'calculo - nutricao'!BS11</f>
        <v>3799.0246072769651</v>
      </c>
      <c r="G23" s="123">
        <f t="shared" si="0"/>
        <v>7598.0492145539301</v>
      </c>
      <c r="H23" s="124">
        <f t="shared" si="1"/>
        <v>91176.590574647154</v>
      </c>
      <c r="J23" s="75"/>
      <c r="K23" s="120"/>
      <c r="L23" s="75"/>
      <c r="M23" s="75"/>
      <c r="N23" s="75"/>
      <c r="O23" s="75"/>
      <c r="P23" s="45"/>
      <c r="Q23" s="45"/>
      <c r="R23" s="45"/>
    </row>
    <row r="24" spans="1:18" s="8" customFormat="1" ht="15" customHeight="1" x14ac:dyDescent="0.25">
      <c r="A24" s="79" t="s">
        <v>116</v>
      </c>
      <c r="B24" s="82" t="s">
        <v>169</v>
      </c>
      <c r="C24" s="83" t="s">
        <v>170</v>
      </c>
      <c r="D24" s="119" t="s">
        <v>173</v>
      </c>
      <c r="E24" s="84">
        <v>2</v>
      </c>
      <c r="F24" s="122">
        <f>'calculo - nutricao'!BS12</f>
        <v>3324.6167616268349</v>
      </c>
      <c r="G24" s="123">
        <f t="shared" si="0"/>
        <v>6649.2335232536698</v>
      </c>
      <c r="H24" s="124">
        <f t="shared" si="1"/>
        <v>79790.80227904403</v>
      </c>
      <c r="J24" s="75"/>
      <c r="K24" s="120"/>
      <c r="L24" s="75"/>
      <c r="M24" s="75"/>
      <c r="N24" s="75"/>
      <c r="O24" s="75"/>
      <c r="P24" s="45"/>
      <c r="Q24" s="45"/>
      <c r="R24" s="45"/>
    </row>
    <row r="25" spans="1:18" s="8" customFormat="1" ht="15" customHeight="1" x14ac:dyDescent="0.25">
      <c r="A25" s="79" t="s">
        <v>118</v>
      </c>
      <c r="B25" s="82" t="s">
        <v>174</v>
      </c>
      <c r="C25" s="83" t="s">
        <v>175</v>
      </c>
      <c r="D25" s="119" t="s">
        <v>176</v>
      </c>
      <c r="E25" s="84">
        <v>6</v>
      </c>
      <c r="F25" s="122">
        <f>'calculo - nutricao'!BS13</f>
        <v>3969.8233493026078</v>
      </c>
      <c r="G25" s="123">
        <f t="shared" si="0"/>
        <v>23818.940095815648</v>
      </c>
      <c r="H25" s="124">
        <f t="shared" si="1"/>
        <v>285827.28114978777</v>
      </c>
      <c r="J25" s="75"/>
      <c r="K25" s="120"/>
      <c r="L25" s="75"/>
      <c r="M25" s="75"/>
      <c r="N25" s="75"/>
      <c r="O25" s="75"/>
      <c r="P25" s="45"/>
      <c r="Q25" s="45"/>
      <c r="R25" s="45"/>
    </row>
    <row r="26" spans="1:18" s="8" customFormat="1" ht="15" customHeight="1" x14ac:dyDescent="0.25">
      <c r="A26" s="79" t="s">
        <v>121</v>
      </c>
      <c r="B26" s="82" t="s">
        <v>174</v>
      </c>
      <c r="C26" s="83" t="s">
        <v>175</v>
      </c>
      <c r="D26" s="119" t="s">
        <v>177</v>
      </c>
      <c r="E26" s="84">
        <v>2</v>
      </c>
      <c r="F26" s="122">
        <f>'calculo - nutricao'!BS14</f>
        <v>4760.7529890048199</v>
      </c>
      <c r="G26" s="123">
        <f t="shared" si="0"/>
        <v>9521.5059780096399</v>
      </c>
      <c r="H26" s="124">
        <f t="shared" si="1"/>
        <v>114258.07173611567</v>
      </c>
      <c r="J26" s="75"/>
      <c r="K26" s="120"/>
      <c r="L26" s="75"/>
      <c r="M26" s="75"/>
      <c r="N26" s="75"/>
      <c r="O26" s="75"/>
      <c r="P26" s="45"/>
      <c r="Q26" s="45"/>
      <c r="R26" s="45"/>
    </row>
    <row r="27" spans="1:18" s="8" customFormat="1" ht="15" hidden="1" customHeight="1" x14ac:dyDescent="0.25">
      <c r="A27" s="79"/>
      <c r="B27" s="82" t="s">
        <v>174</v>
      </c>
      <c r="C27" s="83" t="s">
        <v>175</v>
      </c>
      <c r="D27" s="119" t="s">
        <v>178</v>
      </c>
      <c r="E27" s="84">
        <v>0</v>
      </c>
      <c r="F27" s="122">
        <f>'calculo - nutricao'!BS15</f>
        <v>140.93076300000004</v>
      </c>
      <c r="G27" s="123">
        <f t="shared" si="0"/>
        <v>0</v>
      </c>
      <c r="H27" s="124">
        <f t="shared" si="1"/>
        <v>0</v>
      </c>
      <c r="J27" s="75"/>
      <c r="K27" s="120"/>
      <c r="L27" s="75"/>
      <c r="M27" s="75"/>
      <c r="N27" s="75"/>
      <c r="O27" s="75"/>
      <c r="P27" s="45"/>
      <c r="Q27" s="45"/>
      <c r="R27" s="45"/>
    </row>
    <row r="28" spans="1:18" s="8" customFormat="1" ht="15" hidden="1" customHeight="1" x14ac:dyDescent="0.25">
      <c r="A28" s="79"/>
      <c r="B28" s="82" t="s">
        <v>179</v>
      </c>
      <c r="C28" s="83" t="s">
        <v>180</v>
      </c>
      <c r="D28" s="119" t="s">
        <v>181</v>
      </c>
      <c r="E28" s="84">
        <v>0</v>
      </c>
      <c r="F28" s="122">
        <f>'calculo - nutricao'!BS16</f>
        <v>140.93076300000004</v>
      </c>
      <c r="G28" s="123">
        <f t="shared" si="0"/>
        <v>0</v>
      </c>
      <c r="H28" s="124">
        <f t="shared" si="1"/>
        <v>0</v>
      </c>
      <c r="J28" s="75"/>
      <c r="K28" s="75"/>
      <c r="L28" s="75"/>
      <c r="M28" s="75"/>
      <c r="N28" s="75"/>
      <c r="O28" s="75"/>
      <c r="P28" s="45"/>
      <c r="Q28" s="45"/>
      <c r="R28" s="45"/>
    </row>
    <row r="29" spans="1:18" s="8" customFormat="1" ht="15" customHeight="1" x14ac:dyDescent="0.25">
      <c r="A29" s="79" t="s">
        <v>125</v>
      </c>
      <c r="B29" s="82" t="s">
        <v>179</v>
      </c>
      <c r="C29" s="83" t="s">
        <v>180</v>
      </c>
      <c r="D29" s="119" t="s">
        <v>182</v>
      </c>
      <c r="E29" s="84">
        <v>1</v>
      </c>
      <c r="F29" s="122">
        <f>'calculo - nutricao'!BS17</f>
        <v>3708.474896977255</v>
      </c>
      <c r="G29" s="123">
        <f t="shared" si="0"/>
        <v>3708.474896977255</v>
      </c>
      <c r="H29" s="124">
        <f t="shared" si="1"/>
        <v>44501.698763727058</v>
      </c>
      <c r="J29" s="75"/>
      <c r="K29" s="75"/>
      <c r="L29" s="75"/>
      <c r="M29" s="75"/>
      <c r="N29" s="75"/>
      <c r="O29" s="75"/>
      <c r="P29" s="45"/>
      <c r="Q29" s="45"/>
      <c r="R29" s="45"/>
    </row>
    <row r="30" spans="1:18" s="8" customFormat="1" ht="15" customHeight="1" x14ac:dyDescent="0.25">
      <c r="A30" s="79" t="s">
        <v>127</v>
      </c>
      <c r="B30" s="82" t="s">
        <v>183</v>
      </c>
      <c r="C30" s="83" t="s">
        <v>184</v>
      </c>
      <c r="D30" s="119" t="s">
        <v>185</v>
      </c>
      <c r="E30" s="84">
        <v>10</v>
      </c>
      <c r="F30" s="122">
        <f>'calculo - lavanderia'!BS10</f>
        <v>3626.7998364775904</v>
      </c>
      <c r="G30" s="123">
        <f t="shared" si="0"/>
        <v>36267.998364775907</v>
      </c>
      <c r="H30" s="124">
        <f t="shared" si="1"/>
        <v>435215.98037731089</v>
      </c>
      <c r="J30" s="75"/>
      <c r="K30" s="75"/>
      <c r="L30" s="75"/>
      <c r="M30" s="75"/>
      <c r="N30" s="75"/>
      <c r="O30" s="75"/>
      <c r="P30" s="45"/>
      <c r="Q30" s="45"/>
      <c r="R30" s="45"/>
    </row>
    <row r="31" spans="1:18" s="8" customFormat="1" ht="15" customHeight="1" x14ac:dyDescent="0.25">
      <c r="A31" s="79" t="s">
        <v>129</v>
      </c>
      <c r="B31" s="82" t="s">
        <v>183</v>
      </c>
      <c r="C31" s="83" t="s">
        <v>184</v>
      </c>
      <c r="D31" s="119" t="s">
        <v>186</v>
      </c>
      <c r="E31" s="84">
        <v>4</v>
      </c>
      <c r="F31" s="122">
        <f>'calculo - lavanderia'!BS11</f>
        <v>4321.7461622048913</v>
      </c>
      <c r="G31" s="123">
        <f t="shared" si="0"/>
        <v>17286.984648819565</v>
      </c>
      <c r="H31" s="124">
        <f t="shared" si="1"/>
        <v>207443.8157858348</v>
      </c>
      <c r="J31" s="75"/>
      <c r="K31" s="75"/>
      <c r="L31" s="75"/>
      <c r="M31" s="75"/>
      <c r="N31" s="75"/>
      <c r="O31" s="75"/>
      <c r="P31" s="45"/>
      <c r="Q31" s="45"/>
      <c r="R31" s="45"/>
    </row>
    <row r="32" spans="1:18" s="8" customFormat="1" ht="15" customHeight="1" x14ac:dyDescent="0.25">
      <c r="A32" s="79" t="s">
        <v>131</v>
      </c>
      <c r="B32" s="82" t="s">
        <v>183</v>
      </c>
      <c r="C32" s="83" t="s">
        <v>184</v>
      </c>
      <c r="D32" s="119" t="s">
        <v>187</v>
      </c>
      <c r="E32" s="84">
        <v>1</v>
      </c>
      <c r="F32" s="122">
        <f>'calculo - lavanderia'!BS12</f>
        <v>8997.075060753943</v>
      </c>
      <c r="G32" s="123">
        <f t="shared" si="0"/>
        <v>8997.075060753943</v>
      </c>
      <c r="H32" s="124">
        <f t="shared" si="1"/>
        <v>107964.90072904731</v>
      </c>
      <c r="J32" s="75"/>
      <c r="K32" s="75"/>
      <c r="L32" s="75"/>
      <c r="M32" s="75"/>
      <c r="N32" s="75"/>
      <c r="O32" s="75"/>
      <c r="P32" s="45"/>
      <c r="Q32" s="45"/>
      <c r="R32" s="45"/>
    </row>
    <row r="33" spans="1:18" s="8" customFormat="1" ht="15" customHeight="1" x14ac:dyDescent="0.25">
      <c r="A33" s="79" t="s">
        <v>188</v>
      </c>
      <c r="B33" s="82" t="s">
        <v>189</v>
      </c>
      <c r="C33" s="83" t="s">
        <v>190</v>
      </c>
      <c r="D33" s="119" t="s">
        <v>191</v>
      </c>
      <c r="E33" s="84">
        <v>22</v>
      </c>
      <c r="F33" s="122">
        <f>'calculo - hotelaria'!BS10</f>
        <v>3389.3549671716742</v>
      </c>
      <c r="G33" s="123">
        <f t="shared" si="0"/>
        <v>74565.809277776832</v>
      </c>
      <c r="H33" s="124">
        <f t="shared" si="1"/>
        <v>894789.71133332199</v>
      </c>
      <c r="J33" s="75"/>
      <c r="K33" s="75"/>
      <c r="L33" s="75"/>
      <c r="M33" s="75"/>
      <c r="N33" s="75"/>
      <c r="O33" s="75"/>
      <c r="P33" s="45"/>
      <c r="Q33" s="45"/>
      <c r="R33" s="45"/>
    </row>
    <row r="34" spans="1:18" s="8" customFormat="1" ht="15" customHeight="1" x14ac:dyDescent="0.25">
      <c r="A34" s="79" t="s">
        <v>192</v>
      </c>
      <c r="B34" s="82" t="s">
        <v>189</v>
      </c>
      <c r="C34" s="83" t="s">
        <v>190</v>
      </c>
      <c r="D34" s="119" t="s">
        <v>193</v>
      </c>
      <c r="E34" s="84">
        <v>8</v>
      </c>
      <c r="F34" s="122">
        <f>'calculo - hotelaria'!BS11</f>
        <v>4025.3291421301046</v>
      </c>
      <c r="G34" s="123">
        <f t="shared" si="0"/>
        <v>32202.633137040837</v>
      </c>
      <c r="H34" s="124">
        <f t="shared" si="1"/>
        <v>386431.59764449007</v>
      </c>
      <c r="J34" s="75"/>
      <c r="K34" s="75"/>
      <c r="L34" s="75"/>
      <c r="M34" s="75"/>
      <c r="N34" s="75"/>
      <c r="O34" s="75"/>
      <c r="P34" s="45"/>
      <c r="Q34" s="45"/>
      <c r="R34" s="45"/>
    </row>
    <row r="35" spans="1:18" s="8" customFormat="1" ht="15" hidden="1" customHeight="1" x14ac:dyDescent="0.25">
      <c r="A35" s="79"/>
      <c r="B35" s="82" t="s">
        <v>189</v>
      </c>
      <c r="C35" s="83" t="s">
        <v>190</v>
      </c>
      <c r="D35" s="119" t="s">
        <v>194</v>
      </c>
      <c r="E35" s="84">
        <v>0</v>
      </c>
      <c r="F35" s="122">
        <f>'calculo - hotelaria'!BS12</f>
        <v>0</v>
      </c>
      <c r="G35" s="123">
        <f t="shared" si="0"/>
        <v>0</v>
      </c>
      <c r="H35" s="124">
        <f t="shared" si="1"/>
        <v>0</v>
      </c>
      <c r="J35" s="75"/>
      <c r="K35" s="75"/>
      <c r="L35" s="75"/>
      <c r="M35" s="75"/>
      <c r="N35" s="75"/>
      <c r="O35" s="75"/>
      <c r="P35" s="45"/>
      <c r="Q35" s="45"/>
      <c r="R35" s="45"/>
    </row>
    <row r="36" spans="1:18" s="8" customFormat="1" ht="15" customHeight="1" x14ac:dyDescent="0.25">
      <c r="A36" s="79" t="s">
        <v>195</v>
      </c>
      <c r="B36" s="82" t="s">
        <v>196</v>
      </c>
      <c r="C36" s="83" t="s">
        <v>197</v>
      </c>
      <c r="D36" s="119" t="s">
        <v>198</v>
      </c>
      <c r="E36" s="84">
        <v>2</v>
      </c>
      <c r="F36" s="122">
        <f>'calculo - lavanderia'!BS13</f>
        <v>4585.1348640580218</v>
      </c>
      <c r="G36" s="123">
        <f t="shared" si="0"/>
        <v>9170.2697281160436</v>
      </c>
      <c r="H36" s="124">
        <f t="shared" si="1"/>
        <v>110043.23673739252</v>
      </c>
      <c r="J36" s="75"/>
      <c r="K36" s="75"/>
      <c r="L36" s="75"/>
      <c r="M36" s="75"/>
      <c r="N36" s="75"/>
      <c r="O36" s="75"/>
      <c r="P36" s="45"/>
      <c r="Q36" s="45"/>
      <c r="R36" s="45"/>
    </row>
    <row r="37" spans="1:18" s="8" customFormat="1" ht="15" customHeight="1" x14ac:dyDescent="0.25">
      <c r="A37" s="79" t="s">
        <v>199</v>
      </c>
      <c r="B37" s="82" t="s">
        <v>200</v>
      </c>
      <c r="C37" s="83" t="s">
        <v>201</v>
      </c>
      <c r="D37" s="119" t="s">
        <v>202</v>
      </c>
      <c r="E37" s="84">
        <v>12</v>
      </c>
      <c r="F37" s="122">
        <f>'calculo - nutricao'!BS18</f>
        <v>3579.3132533543194</v>
      </c>
      <c r="G37" s="123">
        <f t="shared" si="0"/>
        <v>42951.759040251833</v>
      </c>
      <c r="H37" s="124">
        <f t="shared" si="1"/>
        <v>515421.10848302196</v>
      </c>
      <c r="J37" s="75"/>
      <c r="K37" s="75"/>
      <c r="L37" s="75"/>
      <c r="M37" s="75"/>
      <c r="N37" s="75"/>
      <c r="O37" s="75"/>
      <c r="P37" s="45"/>
      <c r="Q37" s="45"/>
      <c r="R37" s="45"/>
    </row>
    <row r="38" spans="1:18" s="8" customFormat="1" ht="15" customHeight="1" x14ac:dyDescent="0.25">
      <c r="A38" s="79" t="s">
        <v>203</v>
      </c>
      <c r="B38" s="82" t="s">
        <v>200</v>
      </c>
      <c r="C38" s="83" t="s">
        <v>201</v>
      </c>
      <c r="D38" s="119" t="s">
        <v>204</v>
      </c>
      <c r="E38" s="84">
        <v>2</v>
      </c>
      <c r="F38" s="122">
        <f>'calculo - nutricao'!BS19</f>
        <v>4271.3766880937555</v>
      </c>
      <c r="G38" s="123">
        <f t="shared" si="0"/>
        <v>8542.7533761875111</v>
      </c>
      <c r="H38" s="124">
        <f t="shared" si="1"/>
        <v>102513.04051425014</v>
      </c>
      <c r="J38" s="75"/>
      <c r="K38" s="75"/>
      <c r="L38" s="75"/>
      <c r="M38" s="75"/>
      <c r="N38" s="75"/>
      <c r="O38" s="75"/>
      <c r="P38" s="45"/>
      <c r="Q38" s="45"/>
      <c r="R38" s="45"/>
    </row>
    <row r="39" spans="1:18" s="8" customFormat="1" ht="15" hidden="1" customHeight="1" x14ac:dyDescent="0.25">
      <c r="A39" s="79"/>
      <c r="B39" s="82" t="s">
        <v>200</v>
      </c>
      <c r="C39" s="83" t="s">
        <v>201</v>
      </c>
      <c r="D39" s="119" t="s">
        <v>205</v>
      </c>
      <c r="E39" s="84">
        <v>0</v>
      </c>
      <c r="F39" s="122">
        <f>'calculo - nutricao'!BS20</f>
        <v>0</v>
      </c>
      <c r="G39" s="123">
        <f t="shared" si="0"/>
        <v>0</v>
      </c>
      <c r="H39" s="124">
        <f t="shared" si="1"/>
        <v>0</v>
      </c>
      <c r="J39" s="75"/>
      <c r="K39" s="75"/>
      <c r="L39" s="75"/>
      <c r="M39" s="75"/>
      <c r="N39" s="75"/>
      <c r="O39" s="75"/>
      <c r="P39" s="45"/>
      <c r="Q39" s="45"/>
      <c r="R39" s="45"/>
    </row>
    <row r="40" spans="1:18" s="8" customFormat="1" ht="15" customHeight="1" x14ac:dyDescent="0.25">
      <c r="A40" s="79" t="s">
        <v>203</v>
      </c>
      <c r="B40" s="82" t="s">
        <v>206</v>
      </c>
      <c r="C40" s="83" t="s">
        <v>207</v>
      </c>
      <c r="D40" s="119" t="s">
        <v>208</v>
      </c>
      <c r="E40" s="84">
        <v>2</v>
      </c>
      <c r="F40" s="122">
        <f>'calculo - nutricao'!BS21</f>
        <v>3578.2829289034075</v>
      </c>
      <c r="G40" s="123">
        <f t="shared" si="0"/>
        <v>7156.5658578068151</v>
      </c>
      <c r="H40" s="124">
        <f t="shared" si="1"/>
        <v>85878.790293681785</v>
      </c>
      <c r="J40" s="75"/>
      <c r="K40" s="75"/>
      <c r="L40" s="75"/>
      <c r="M40" s="75"/>
      <c r="N40" s="75"/>
      <c r="O40" s="75"/>
      <c r="P40" s="45"/>
      <c r="Q40" s="45"/>
      <c r="R40" s="45"/>
    </row>
    <row r="41" spans="1:18" s="8" customFormat="1" ht="15" hidden="1" customHeight="1" x14ac:dyDescent="0.25">
      <c r="A41" s="79"/>
      <c r="B41" s="82" t="s">
        <v>206</v>
      </c>
      <c r="C41" s="83" t="s">
        <v>207</v>
      </c>
      <c r="D41" s="119" t="s">
        <v>209</v>
      </c>
      <c r="E41" s="84">
        <v>0</v>
      </c>
      <c r="F41" s="122">
        <f>'calculo - nutricao'!BS22</f>
        <v>0</v>
      </c>
      <c r="G41" s="123">
        <f t="shared" si="0"/>
        <v>0</v>
      </c>
      <c r="H41" s="124">
        <f t="shared" si="1"/>
        <v>0</v>
      </c>
      <c r="J41" s="75"/>
      <c r="K41" s="75"/>
      <c r="L41" s="75"/>
      <c r="M41" s="75"/>
      <c r="N41" s="75"/>
      <c r="O41" s="75"/>
      <c r="P41" s="45"/>
      <c r="Q41" s="45"/>
      <c r="R41" s="45"/>
    </row>
    <row r="42" spans="1:18" s="8" customFormat="1" ht="15" hidden="1" customHeight="1" x14ac:dyDescent="0.25">
      <c r="A42" s="79"/>
      <c r="B42" s="82" t="s">
        <v>206</v>
      </c>
      <c r="C42" s="83" t="s">
        <v>207</v>
      </c>
      <c r="D42" s="119" t="s">
        <v>210</v>
      </c>
      <c r="E42" s="84">
        <v>0</v>
      </c>
      <c r="F42" s="122">
        <f>'calculo - nutricao'!BS23</f>
        <v>0</v>
      </c>
      <c r="G42" s="123">
        <f t="shared" si="0"/>
        <v>0</v>
      </c>
      <c r="H42" s="124">
        <f t="shared" si="1"/>
        <v>0</v>
      </c>
      <c r="J42" s="75"/>
      <c r="K42" s="75"/>
      <c r="L42" s="75"/>
      <c r="M42" s="75"/>
      <c r="N42" s="75"/>
      <c r="O42" s="75"/>
      <c r="P42" s="45"/>
      <c r="Q42" s="45"/>
      <c r="R42" s="45"/>
    </row>
    <row r="43" spans="1:18" s="8" customFormat="1" ht="15" customHeight="1" x14ac:dyDescent="0.25">
      <c r="A43" s="79" t="s">
        <v>211</v>
      </c>
      <c r="B43" s="82" t="s">
        <v>212</v>
      </c>
      <c r="C43" s="83" t="s">
        <v>213</v>
      </c>
      <c r="D43" s="119" t="s">
        <v>214</v>
      </c>
      <c r="E43" s="84">
        <v>2</v>
      </c>
      <c r="F43" s="122">
        <f>'calculo - nutricao'!BS24</f>
        <v>3570.2744053659922</v>
      </c>
      <c r="G43" s="123">
        <f t="shared" si="0"/>
        <v>7140.5488107319843</v>
      </c>
      <c r="H43" s="124">
        <f t="shared" si="1"/>
        <v>85686.585728783815</v>
      </c>
      <c r="J43" s="75"/>
      <c r="K43" s="75"/>
      <c r="L43" s="75"/>
      <c r="M43" s="75"/>
      <c r="N43" s="75"/>
      <c r="O43" s="75"/>
      <c r="P43" s="45"/>
      <c r="Q43" s="45"/>
      <c r="R43" s="45"/>
    </row>
    <row r="44" spans="1:18" s="8" customFormat="1" ht="15" customHeight="1" x14ac:dyDescent="0.25">
      <c r="A44" s="79" t="s">
        <v>215</v>
      </c>
      <c r="B44" s="82" t="s">
        <v>216</v>
      </c>
      <c r="C44" s="83" t="s">
        <v>217</v>
      </c>
      <c r="D44" s="119" t="s">
        <v>218</v>
      </c>
      <c r="E44" s="84">
        <v>2</v>
      </c>
      <c r="F44" s="122">
        <f>'calculo - hotelaria'!BS13</f>
        <v>4435.3788288148198</v>
      </c>
      <c r="G44" s="123">
        <f t="shared" si="0"/>
        <v>8870.7576576296397</v>
      </c>
      <c r="H44" s="124">
        <f t="shared" si="1"/>
        <v>106449.09189155567</v>
      </c>
      <c r="J44" s="75"/>
      <c r="K44" s="75"/>
      <c r="L44" s="75"/>
      <c r="M44" s="75"/>
      <c r="N44" s="75"/>
      <c r="O44" s="75"/>
      <c r="P44" s="45"/>
      <c r="Q44" s="45"/>
      <c r="R44" s="45"/>
    </row>
    <row r="45" spans="1:18" s="8" customFormat="1" ht="15" hidden="1" customHeight="1" x14ac:dyDescent="0.25">
      <c r="A45" s="79"/>
      <c r="B45" s="82" t="s">
        <v>216</v>
      </c>
      <c r="C45" s="83" t="s">
        <v>217</v>
      </c>
      <c r="D45" s="119" t="s">
        <v>219</v>
      </c>
      <c r="E45" s="84">
        <v>0</v>
      </c>
      <c r="F45" s="122">
        <f>'calculo - hotelaria'!BS14</f>
        <v>14.631050228310501</v>
      </c>
      <c r="G45" s="123">
        <f t="shared" si="0"/>
        <v>0</v>
      </c>
      <c r="H45" s="124">
        <f t="shared" si="1"/>
        <v>0</v>
      </c>
      <c r="J45" s="75"/>
      <c r="K45" s="75"/>
      <c r="L45" s="75"/>
      <c r="M45" s="75"/>
      <c r="N45" s="75"/>
      <c r="O45" s="75"/>
      <c r="P45" s="45"/>
      <c r="Q45" s="45"/>
      <c r="R45" s="45"/>
    </row>
    <row r="46" spans="1:18" s="8" customFormat="1" ht="15" customHeight="1" x14ac:dyDescent="0.25">
      <c r="A46" s="79" t="s">
        <v>220</v>
      </c>
      <c r="B46" s="82" t="s">
        <v>216</v>
      </c>
      <c r="C46" s="83" t="s">
        <v>217</v>
      </c>
      <c r="D46" s="119" t="s">
        <v>221</v>
      </c>
      <c r="E46" s="84">
        <v>2</v>
      </c>
      <c r="F46" s="122">
        <f>'calculo - hotelaria'!BS15</f>
        <v>4555.9027077652563</v>
      </c>
      <c r="G46" s="123">
        <f t="shared" si="0"/>
        <v>9111.8054155305126</v>
      </c>
      <c r="H46" s="124">
        <f t="shared" si="1"/>
        <v>109341.66498636614</v>
      </c>
      <c r="J46" s="75"/>
      <c r="K46" s="75"/>
      <c r="L46" s="75"/>
      <c r="M46" s="75"/>
      <c r="N46" s="75"/>
      <c r="O46" s="75"/>
      <c r="P46" s="45"/>
      <c r="Q46" s="45"/>
      <c r="R46" s="45"/>
    </row>
    <row r="47" spans="1:18" s="8" customFormat="1" ht="15" customHeight="1" x14ac:dyDescent="0.25">
      <c r="A47" s="79" t="s">
        <v>222</v>
      </c>
      <c r="B47" s="82" t="s">
        <v>223</v>
      </c>
      <c r="C47" s="83" t="s">
        <v>224</v>
      </c>
      <c r="D47" s="119" t="s">
        <v>225</v>
      </c>
      <c r="E47" s="84">
        <v>14</v>
      </c>
      <c r="F47" s="122">
        <f>'calculo - lavanderia'!BS14</f>
        <v>3391.3278743375995</v>
      </c>
      <c r="G47" s="123">
        <f t="shared" si="0"/>
        <v>47478.590240726393</v>
      </c>
      <c r="H47" s="124">
        <f t="shared" si="1"/>
        <v>569743.08288871672</v>
      </c>
      <c r="J47" s="75"/>
      <c r="K47" s="75"/>
      <c r="L47" s="75"/>
      <c r="M47" s="75"/>
      <c r="N47" s="75"/>
      <c r="O47" s="75"/>
      <c r="P47" s="45"/>
      <c r="Q47" s="45"/>
      <c r="R47" s="45"/>
    </row>
    <row r="48" spans="1:18" s="8" customFormat="1" ht="15" customHeight="1" x14ac:dyDescent="0.25">
      <c r="A48" s="79" t="s">
        <v>226</v>
      </c>
      <c r="B48" s="82" t="s">
        <v>223</v>
      </c>
      <c r="C48" s="83" t="s">
        <v>224</v>
      </c>
      <c r="D48" s="119" t="s">
        <v>227</v>
      </c>
      <c r="E48" s="84">
        <v>6</v>
      </c>
      <c r="F48" s="122">
        <f>'calculo - lavanderia'!BS15</f>
        <v>4027.3020492960295</v>
      </c>
      <c r="G48" s="123">
        <f t="shared" si="0"/>
        <v>24163.812295776177</v>
      </c>
      <c r="H48" s="124">
        <f t="shared" si="1"/>
        <v>289965.74754931411</v>
      </c>
      <c r="J48" s="75"/>
      <c r="K48" s="75"/>
      <c r="L48" s="75"/>
      <c r="M48" s="75"/>
      <c r="N48" s="75"/>
      <c r="O48" s="75"/>
      <c r="P48" s="45"/>
      <c r="Q48" s="45"/>
      <c r="R48" s="45"/>
    </row>
    <row r="49" spans="1:18" s="8" customFormat="1" ht="15" customHeight="1" x14ac:dyDescent="0.25">
      <c r="A49" s="79" t="s">
        <v>228</v>
      </c>
      <c r="B49" s="82" t="s">
        <v>223</v>
      </c>
      <c r="C49" s="83" t="s">
        <v>224</v>
      </c>
      <c r="D49" s="119" t="s">
        <v>229</v>
      </c>
      <c r="E49" s="84">
        <v>3</v>
      </c>
      <c r="F49" s="122">
        <f>'calculo - lavanderia'!BS16</f>
        <v>3511.8517532880373</v>
      </c>
      <c r="G49" s="123">
        <f t="shared" si="0"/>
        <v>10535.555259864112</v>
      </c>
      <c r="H49" s="124">
        <f t="shared" si="1"/>
        <v>126426.66311836934</v>
      </c>
      <c r="J49" s="75"/>
      <c r="K49" s="75"/>
      <c r="L49" s="75"/>
      <c r="M49" s="75"/>
      <c r="N49" s="75"/>
      <c r="O49" s="75"/>
      <c r="P49" s="45"/>
      <c r="Q49" s="45"/>
      <c r="R49" s="45"/>
    </row>
    <row r="50" spans="1:18" s="8" customFormat="1" ht="15" customHeight="1" x14ac:dyDescent="0.25">
      <c r="A50" s="79" t="s">
        <v>230</v>
      </c>
      <c r="B50" s="82" t="s">
        <v>231</v>
      </c>
      <c r="C50" s="83" t="s">
        <v>232</v>
      </c>
      <c r="D50" s="119" t="s">
        <v>233</v>
      </c>
      <c r="E50" s="84">
        <v>12</v>
      </c>
      <c r="F50" s="122">
        <f>'calculo - nutricao'!BS25</f>
        <v>4637.5980134613292</v>
      </c>
      <c r="G50" s="123">
        <f t="shared" si="0"/>
        <v>55651.17616153595</v>
      </c>
      <c r="H50" s="124">
        <f t="shared" si="1"/>
        <v>667814.11393843137</v>
      </c>
      <c r="J50" s="75"/>
      <c r="K50" s="75"/>
      <c r="L50" s="75"/>
      <c r="M50" s="75"/>
      <c r="N50" s="75"/>
      <c r="O50" s="75"/>
      <c r="P50" s="45"/>
      <c r="Q50" s="45"/>
      <c r="R50" s="45"/>
    </row>
    <row r="51" spans="1:18" s="8" customFormat="1" ht="15" customHeight="1" x14ac:dyDescent="0.25">
      <c r="A51" s="79" t="s">
        <v>234</v>
      </c>
      <c r="B51" s="82" t="s">
        <v>231</v>
      </c>
      <c r="C51" s="83" t="s">
        <v>232</v>
      </c>
      <c r="D51" s="119" t="s">
        <v>235</v>
      </c>
      <c r="E51" s="84">
        <v>4</v>
      </c>
      <c r="F51" s="122">
        <f>'calculo - nutricao'!BS26</f>
        <v>5645.2007465661745</v>
      </c>
      <c r="G51" s="123">
        <f t="shared" si="0"/>
        <v>22580.802986264698</v>
      </c>
      <c r="H51" s="124">
        <f t="shared" si="1"/>
        <v>270969.63583517639</v>
      </c>
      <c r="J51" s="75"/>
      <c r="K51" s="75"/>
      <c r="L51" s="75"/>
      <c r="M51" s="75"/>
      <c r="N51" s="75"/>
      <c r="O51" s="75"/>
      <c r="P51" s="45"/>
      <c r="Q51" s="45"/>
      <c r="R51" s="45"/>
    </row>
    <row r="52" spans="1:18" s="8" customFormat="1" ht="15" customHeight="1" x14ac:dyDescent="0.25">
      <c r="A52" s="79" t="s">
        <v>236</v>
      </c>
      <c r="B52" s="82" t="s">
        <v>231</v>
      </c>
      <c r="C52" s="83" t="s">
        <v>232</v>
      </c>
      <c r="D52" s="119" t="s">
        <v>237</v>
      </c>
      <c r="E52" s="84">
        <v>1</v>
      </c>
      <c r="F52" s="122">
        <f>'calculo - nutricao'!BS27</f>
        <v>4758.1218924117657</v>
      </c>
      <c r="G52" s="123">
        <f t="shared" si="0"/>
        <v>4758.1218924117657</v>
      </c>
      <c r="H52" s="124">
        <f t="shared" si="1"/>
        <v>57097.462708941188</v>
      </c>
      <c r="J52" s="75"/>
      <c r="K52" s="75"/>
      <c r="L52" s="75"/>
      <c r="M52" s="75"/>
      <c r="N52" s="75"/>
      <c r="O52" s="75"/>
      <c r="P52" s="45"/>
      <c r="Q52" s="45"/>
      <c r="R52" s="45"/>
    </row>
    <row r="53" spans="1:18" s="8" customFormat="1" ht="15" customHeight="1" x14ac:dyDescent="0.25">
      <c r="A53" s="79" t="s">
        <v>238</v>
      </c>
      <c r="B53" s="82" t="s">
        <v>239</v>
      </c>
      <c r="C53" s="83" t="s">
        <v>240</v>
      </c>
      <c r="D53" s="119" t="s">
        <v>241</v>
      </c>
      <c r="E53" s="84">
        <v>1</v>
      </c>
      <c r="F53" s="122">
        <f>'calculo - lavanderia'!BS17</f>
        <v>3785.1305024241456</v>
      </c>
      <c r="G53" s="123">
        <f t="shared" si="0"/>
        <v>3785.1305024241456</v>
      </c>
      <c r="H53" s="124">
        <f t="shared" si="1"/>
        <v>45421.56602908975</v>
      </c>
      <c r="J53" s="75"/>
      <c r="K53" s="75"/>
      <c r="L53" s="75"/>
      <c r="M53" s="75"/>
      <c r="N53" s="75"/>
      <c r="O53" s="75"/>
      <c r="P53" s="45"/>
      <c r="Q53" s="45"/>
      <c r="R53" s="45"/>
    </row>
    <row r="54" spans="1:18" s="8" customFormat="1" ht="15" customHeight="1" x14ac:dyDescent="0.25">
      <c r="A54" s="79" t="s">
        <v>242</v>
      </c>
      <c r="B54" s="82" t="s">
        <v>243</v>
      </c>
      <c r="C54" s="83" t="s">
        <v>244</v>
      </c>
      <c r="D54" s="119" t="s">
        <v>245</v>
      </c>
      <c r="E54" s="84">
        <v>1</v>
      </c>
      <c r="F54" s="122">
        <f>'calculo - hotelaria'!BS16</f>
        <v>4555.9517124844415</v>
      </c>
      <c r="G54" s="123">
        <f t="shared" si="0"/>
        <v>4555.9517124844415</v>
      </c>
      <c r="H54" s="124">
        <f t="shared" si="1"/>
        <v>54671.420549813294</v>
      </c>
      <c r="J54" s="75"/>
      <c r="K54" s="75"/>
      <c r="L54" s="75"/>
      <c r="M54" s="75"/>
      <c r="N54" s="75"/>
      <c r="O54" s="75"/>
      <c r="P54" s="45"/>
      <c r="Q54" s="45"/>
      <c r="R54" s="45"/>
    </row>
    <row r="55" spans="1:18" s="8" customFormat="1" ht="15" customHeight="1" x14ac:dyDescent="0.25">
      <c r="A55" s="79" t="s">
        <v>246</v>
      </c>
      <c r="B55" s="82" t="s">
        <v>247</v>
      </c>
      <c r="C55" s="83" t="s">
        <v>248</v>
      </c>
      <c r="D55" s="119" t="s">
        <v>249</v>
      </c>
      <c r="E55" s="84">
        <v>10</v>
      </c>
      <c r="F55" s="122">
        <f>'calculo - serv.geral'!BS10</f>
        <v>3342.2081318291375</v>
      </c>
      <c r="G55" s="123">
        <f t="shared" si="0"/>
        <v>33422.081318291377</v>
      </c>
      <c r="H55" s="124">
        <f t="shared" si="1"/>
        <v>401064.97581949655</v>
      </c>
      <c r="J55" s="75"/>
      <c r="K55" s="75"/>
      <c r="L55" s="75"/>
      <c r="M55" s="75"/>
      <c r="N55" s="75"/>
      <c r="O55" s="75"/>
      <c r="P55" s="45"/>
      <c r="Q55" s="45"/>
      <c r="R55" s="45"/>
    </row>
    <row r="56" spans="1:18" s="8" customFormat="1" ht="15" customHeight="1" x14ac:dyDescent="0.25">
      <c r="A56" s="79" t="s">
        <v>250</v>
      </c>
      <c r="B56" s="82" t="s">
        <v>247</v>
      </c>
      <c r="C56" s="83" t="s">
        <v>248</v>
      </c>
      <c r="D56" s="119" t="s">
        <v>251</v>
      </c>
      <c r="E56" s="84">
        <v>6</v>
      </c>
      <c r="F56" s="122">
        <f>'calculo - serv.geral'!BS11</f>
        <v>3428.6577821454848</v>
      </c>
      <c r="G56" s="123">
        <f t="shared" si="0"/>
        <v>20571.946692872909</v>
      </c>
      <c r="H56" s="124">
        <f t="shared" si="1"/>
        <v>246863.36031447491</v>
      </c>
      <c r="J56" s="75"/>
      <c r="K56" s="75"/>
      <c r="L56" s="75"/>
      <c r="M56" s="75"/>
      <c r="N56" s="75"/>
      <c r="O56" s="75"/>
      <c r="P56" s="45"/>
      <c r="Q56" s="45"/>
      <c r="R56" s="45"/>
    </row>
    <row r="57" spans="1:18" s="8" customFormat="1" ht="15" customHeight="1" x14ac:dyDescent="0.25">
      <c r="A57" s="79" t="s">
        <v>252</v>
      </c>
      <c r="B57" s="82" t="s">
        <v>247</v>
      </c>
      <c r="C57" s="83" t="s">
        <v>248</v>
      </c>
      <c r="D57" s="119" t="s">
        <v>253</v>
      </c>
      <c r="E57" s="84">
        <v>5</v>
      </c>
      <c r="F57" s="122">
        <f>'calculo - serv.geral'!BS12</f>
        <v>3462.7320107795754</v>
      </c>
      <c r="G57" s="123">
        <f t="shared" si="0"/>
        <v>17313.660053897878</v>
      </c>
      <c r="H57" s="124">
        <f t="shared" si="1"/>
        <v>207763.92064677452</v>
      </c>
      <c r="J57" s="75"/>
      <c r="K57" s="75"/>
      <c r="L57" s="75"/>
      <c r="M57" s="75"/>
      <c r="N57" s="75"/>
      <c r="O57" s="75"/>
      <c r="P57" s="45"/>
      <c r="Q57" s="45"/>
      <c r="R57" s="45"/>
    </row>
    <row r="58" spans="1:18" s="8" customFormat="1" ht="15" customHeight="1" x14ac:dyDescent="0.25">
      <c r="A58" s="79" t="s">
        <v>254</v>
      </c>
      <c r="B58" s="82" t="s">
        <v>255</v>
      </c>
      <c r="C58" s="83" t="s">
        <v>256</v>
      </c>
      <c r="D58" s="119" t="s">
        <v>257</v>
      </c>
      <c r="E58" s="84">
        <v>1</v>
      </c>
      <c r="F58" s="122">
        <f>'calculo - serv.geral'!BS13</f>
        <v>5087.7623504368767</v>
      </c>
      <c r="G58" s="123">
        <f t="shared" si="0"/>
        <v>5087.7623504368767</v>
      </c>
      <c r="H58" s="124">
        <f t="shared" si="1"/>
        <v>61053.14820524252</v>
      </c>
      <c r="J58" s="75"/>
      <c r="K58" s="75"/>
      <c r="L58" s="75"/>
      <c r="M58" s="75"/>
      <c r="N58" s="75"/>
      <c r="O58" s="75"/>
      <c r="P58" s="45"/>
      <c r="Q58" s="45"/>
      <c r="R58" s="45"/>
    </row>
    <row r="59" spans="1:18" s="8" customFormat="1" ht="15" customHeight="1" x14ac:dyDescent="0.25">
      <c r="A59" s="79" t="s">
        <v>258</v>
      </c>
      <c r="B59" s="82" t="s">
        <v>259</v>
      </c>
      <c r="C59" s="83" t="s">
        <v>260</v>
      </c>
      <c r="D59" s="119" t="s">
        <v>261</v>
      </c>
      <c r="E59" s="84">
        <v>6</v>
      </c>
      <c r="F59" s="122">
        <f>'calculo - serv.geral'!BS14</f>
        <v>6573.3151303714367</v>
      </c>
      <c r="G59" s="123">
        <f t="shared" si="0"/>
        <v>39439.89078222862</v>
      </c>
      <c r="H59" s="124">
        <f t="shared" si="1"/>
        <v>473278.68938674347</v>
      </c>
      <c r="J59" s="75"/>
      <c r="K59" s="75"/>
      <c r="L59" s="75"/>
      <c r="M59" s="75"/>
      <c r="N59" s="75"/>
      <c r="O59" s="75"/>
      <c r="P59" s="45"/>
      <c r="Q59" s="45"/>
      <c r="R59" s="45"/>
    </row>
    <row r="60" spans="1:18" s="8" customFormat="1" ht="15" hidden="1" customHeight="1" x14ac:dyDescent="0.25">
      <c r="A60" s="79"/>
      <c r="B60" s="82" t="s">
        <v>259</v>
      </c>
      <c r="C60" s="83" t="s">
        <v>260</v>
      </c>
      <c r="D60" s="119" t="s">
        <v>262</v>
      </c>
      <c r="E60" s="84">
        <v>0</v>
      </c>
      <c r="F60" s="122">
        <f>'calculo - serv.geral'!BS15</f>
        <v>0</v>
      </c>
      <c r="G60" s="123">
        <f t="shared" si="0"/>
        <v>0</v>
      </c>
      <c r="H60" s="124">
        <f t="shared" si="1"/>
        <v>0</v>
      </c>
      <c r="J60" s="75"/>
      <c r="K60" s="75"/>
      <c r="L60" s="75"/>
      <c r="M60" s="75"/>
      <c r="N60" s="75"/>
      <c r="O60" s="75"/>
      <c r="P60" s="45"/>
      <c r="Q60" s="45"/>
      <c r="R60" s="45"/>
    </row>
    <row r="61" spans="1:18" s="8" customFormat="1" ht="15" customHeight="1" x14ac:dyDescent="0.25">
      <c r="A61" s="79" t="s">
        <v>263</v>
      </c>
      <c r="B61" s="82" t="s">
        <v>264</v>
      </c>
      <c r="C61" s="83" t="s">
        <v>265</v>
      </c>
      <c r="D61" s="119" t="s">
        <v>266</v>
      </c>
      <c r="E61" s="84">
        <v>4</v>
      </c>
      <c r="F61" s="122">
        <f>'calculo - sost'!BS10</f>
        <v>5957.7917998186631</v>
      </c>
      <c r="G61" s="123">
        <f t="shared" si="0"/>
        <v>23831.167199274652</v>
      </c>
      <c r="H61" s="124">
        <f t="shared" si="1"/>
        <v>285974.00639129581</v>
      </c>
      <c r="J61" s="75"/>
      <c r="K61" s="75"/>
      <c r="L61" s="75"/>
      <c r="M61" s="75"/>
      <c r="N61" s="75"/>
      <c r="O61" s="75"/>
      <c r="P61" s="45"/>
      <c r="Q61" s="45"/>
      <c r="R61" s="45"/>
    </row>
    <row r="62" spans="1:18" s="8" customFormat="1" ht="15" customHeight="1" x14ac:dyDescent="0.25">
      <c r="A62" s="79" t="s">
        <v>267</v>
      </c>
      <c r="B62" s="82" t="s">
        <v>264</v>
      </c>
      <c r="C62" s="83" t="s">
        <v>265</v>
      </c>
      <c r="D62" s="119" t="s">
        <v>268</v>
      </c>
      <c r="E62" s="84">
        <v>4</v>
      </c>
      <c r="F62" s="122">
        <f>'calculo - sost'!BS11</f>
        <v>6950.2355106945024</v>
      </c>
      <c r="G62" s="123">
        <f t="shared" si="0"/>
        <v>27800.94204277801</v>
      </c>
      <c r="H62" s="124">
        <f t="shared" si="1"/>
        <v>333611.3045133361</v>
      </c>
      <c r="J62" s="75"/>
      <c r="K62" s="75"/>
      <c r="L62" s="75"/>
      <c r="M62" s="75"/>
      <c r="N62" s="75"/>
      <c r="O62" s="75"/>
      <c r="P62" s="45"/>
      <c r="Q62" s="45"/>
      <c r="R62" s="45"/>
    </row>
    <row r="63" spans="1:18" s="8" customFormat="1" ht="15" customHeight="1" x14ac:dyDescent="0.25">
      <c r="A63" s="252" t="s">
        <v>269</v>
      </c>
      <c r="B63" s="252"/>
      <c r="C63" s="252"/>
      <c r="D63" s="252"/>
      <c r="E63" s="80">
        <f>SUM(E17:E62)</f>
        <v>177</v>
      </c>
      <c r="F63" s="88">
        <f>SUBTOTAL(9,F18:F62)</f>
        <v>176402.61855883355</v>
      </c>
      <c r="G63" s="88">
        <f>SUBTOTAL(9,G18:G62)</f>
        <v>741745.88222212787</v>
      </c>
      <c r="H63" s="88">
        <f>SUBTOTAL(9,H18:H62)</f>
        <v>8900950.5866655316</v>
      </c>
      <c r="J63" s="75"/>
      <c r="K63" s="75"/>
      <c r="L63" s="75"/>
      <c r="M63" s="75"/>
      <c r="N63" s="75"/>
      <c r="O63" s="75"/>
      <c r="P63" s="45"/>
      <c r="Q63" s="45"/>
      <c r="R63" s="45"/>
    </row>
    <row r="64" spans="1:18" s="28" customFormat="1" ht="15" customHeight="1" x14ac:dyDescent="0.25">
      <c r="A64" s="89"/>
      <c r="B64" s="90"/>
      <c r="C64" s="90"/>
      <c r="D64" s="90"/>
      <c r="E64" s="91"/>
      <c r="F64" s="91"/>
      <c r="G64" s="92" t="s">
        <v>270</v>
      </c>
      <c r="H64" s="93">
        <f>H63</f>
        <v>8900950.5866655316</v>
      </c>
      <c r="I64" s="94"/>
      <c r="J64" s="95"/>
      <c r="K64" s="95"/>
      <c r="L64" s="95"/>
      <c r="M64" s="75"/>
      <c r="N64" s="75"/>
      <c r="O64" s="75"/>
      <c r="P64" s="45"/>
      <c r="Q64" s="45"/>
      <c r="R64" s="45"/>
    </row>
    <row r="65" spans="1:18" s="28" customFormat="1" ht="15" customHeight="1" x14ac:dyDescent="0.25">
      <c r="A65" s="96"/>
      <c r="B65" s="97"/>
      <c r="C65" s="97"/>
      <c r="D65" s="97"/>
      <c r="E65" s="98"/>
      <c r="F65" s="91"/>
      <c r="G65" s="92" t="s">
        <v>271</v>
      </c>
      <c r="H65" s="93">
        <f>H64*5</f>
        <v>44504752.93332766</v>
      </c>
      <c r="I65" s="94"/>
      <c r="J65" s="95"/>
      <c r="K65" s="95"/>
      <c r="L65" s="95"/>
      <c r="M65" s="75"/>
      <c r="N65" s="75"/>
      <c r="O65" s="75"/>
      <c r="P65" s="45"/>
      <c r="Q65" s="45"/>
      <c r="R65" s="45"/>
    </row>
    <row r="67" spans="1:18" x14ac:dyDescent="0.25">
      <c r="G67" s="138"/>
    </row>
  </sheetData>
  <mergeCells count="12">
    <mergeCell ref="A5:H5"/>
    <mergeCell ref="C11:H11"/>
    <mergeCell ref="B13:H13"/>
    <mergeCell ref="B14:H14"/>
    <mergeCell ref="A63:D63"/>
    <mergeCell ref="C6:H6"/>
    <mergeCell ref="C8:H8"/>
    <mergeCell ref="C7:H7"/>
    <mergeCell ref="C9:H9"/>
    <mergeCell ref="C10:H10"/>
    <mergeCell ref="A12:H12"/>
    <mergeCell ref="A15:H15"/>
  </mergeCells>
  <phoneticPr fontId="9" type="noConversion"/>
  <dataValidations count="1">
    <dataValidation type="list" allowBlank="1" showInputMessage="1" showErrorMessage="1" sqref="B13:H13">
      <formula1>$J$12:$J$14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8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508"/>
  <sheetViews>
    <sheetView tabSelected="1" workbookViewId="0">
      <selection activeCell="E8" sqref="E8:E16"/>
    </sheetView>
  </sheetViews>
  <sheetFormatPr defaultRowHeight="15" x14ac:dyDescent="0.25"/>
  <cols>
    <col min="1" max="1" width="9.140625" style="227"/>
    <col min="2" max="2" width="85.5703125" style="220" customWidth="1"/>
    <col min="3" max="3" width="17.7109375" style="220" customWidth="1"/>
    <col min="4" max="4" width="17.7109375" style="227" hidden="1" customWidth="1"/>
    <col min="5" max="5" width="17.7109375" style="227" customWidth="1"/>
    <col min="6" max="6" width="17.7109375" style="227" hidden="1" customWidth="1"/>
    <col min="7" max="16384" width="9.140625" style="227"/>
  </cols>
  <sheetData>
    <row r="1" spans="1:6" ht="18.75" x14ac:dyDescent="0.25">
      <c r="A1" s="130" t="s">
        <v>17</v>
      </c>
    </row>
    <row r="2" spans="1:6" ht="15.75" x14ac:dyDescent="0.25">
      <c r="A2" s="4" t="s">
        <v>17</v>
      </c>
    </row>
    <row r="3" spans="1:6" ht="15.75" x14ac:dyDescent="0.25">
      <c r="A3" s="150" t="s">
        <v>272</v>
      </c>
    </row>
    <row r="5" spans="1:6" x14ac:dyDescent="0.25">
      <c r="A5" s="225" t="s">
        <v>392</v>
      </c>
      <c r="B5" s="225" t="s">
        <v>393</v>
      </c>
      <c r="C5" s="225" t="s">
        <v>387</v>
      </c>
      <c r="D5" s="226" t="s">
        <v>388</v>
      </c>
      <c r="E5" s="226" t="s">
        <v>389</v>
      </c>
      <c r="F5" s="226" t="s">
        <v>390</v>
      </c>
    </row>
    <row r="6" spans="1:6" x14ac:dyDescent="0.25">
      <c r="A6" s="68">
        <v>1</v>
      </c>
      <c r="B6" s="68" t="s">
        <v>311</v>
      </c>
      <c r="C6" s="68" t="s">
        <v>298</v>
      </c>
      <c r="D6" s="228"/>
      <c r="E6" s="237"/>
      <c r="F6" s="229">
        <f>SUMIF(custoEPI_huol!$B$5:$B$505,custoEPI!B6,custoEPI_huol!$K$5:$K$505)</f>
        <v>0</v>
      </c>
    </row>
    <row r="7" spans="1:6" x14ac:dyDescent="0.25">
      <c r="A7" s="68">
        <v>2</v>
      </c>
      <c r="B7" s="68" t="s">
        <v>312</v>
      </c>
      <c r="C7" s="68" t="s">
        <v>300</v>
      </c>
      <c r="D7" s="228"/>
      <c r="E7" s="237"/>
      <c r="F7" s="229">
        <f>SUMIF(custoEPI_huol!$B$5:$B$505,custoEPI!B7,custoEPI_huol!$K$5:$K$505)</f>
        <v>0</v>
      </c>
    </row>
    <row r="8" spans="1:6" x14ac:dyDescent="0.25">
      <c r="A8" s="68">
        <v>3</v>
      </c>
      <c r="B8" s="68" t="s">
        <v>324</v>
      </c>
      <c r="C8" s="68" t="s">
        <v>298</v>
      </c>
      <c r="D8" s="228"/>
      <c r="E8" s="237"/>
      <c r="F8" s="229">
        <f>SUMIF(custoEPI_huol!$B$5:$B$505,custoEPI!B8,custoEPI_huol!$K$5:$K$505)</f>
        <v>0</v>
      </c>
    </row>
    <row r="9" spans="1:6" x14ac:dyDescent="0.25">
      <c r="A9" s="68">
        <v>4</v>
      </c>
      <c r="B9" s="68" t="s">
        <v>325</v>
      </c>
      <c r="C9" s="68" t="s">
        <v>298</v>
      </c>
      <c r="D9" s="228"/>
      <c r="E9" s="237"/>
      <c r="F9" s="229">
        <f>SUMIF(custoEPI_huol!$B$5:$B$505,custoEPI!B9,custoEPI_huol!$K$5:$K$505)</f>
        <v>0</v>
      </c>
    </row>
    <row r="10" spans="1:6" x14ac:dyDescent="0.25">
      <c r="A10" s="68">
        <v>5</v>
      </c>
      <c r="B10" s="68" t="s">
        <v>329</v>
      </c>
      <c r="C10" s="68" t="s">
        <v>288</v>
      </c>
      <c r="D10" s="228"/>
      <c r="E10" s="237"/>
      <c r="F10" s="229">
        <f>SUMIF(custoEPI_huol!$B$5:$B$505,custoEPI!B10,custoEPI_huol!$K$5:$K$505)</f>
        <v>0</v>
      </c>
    </row>
    <row r="11" spans="1:6" x14ac:dyDescent="0.25">
      <c r="A11" s="68">
        <v>6</v>
      </c>
      <c r="B11" s="68" t="s">
        <v>299</v>
      </c>
      <c r="C11" s="68" t="s">
        <v>300</v>
      </c>
      <c r="D11" s="228"/>
      <c r="E11" s="237"/>
      <c r="F11" s="229">
        <f>SUMIF(custoEPI_huol!$B$5:$B$505,custoEPI!B11,custoEPI_huol!$K$5:$K$505)</f>
        <v>0</v>
      </c>
    </row>
    <row r="12" spans="1:6" x14ac:dyDescent="0.25">
      <c r="A12" s="71">
        <v>7</v>
      </c>
      <c r="B12" s="71" t="s">
        <v>326</v>
      </c>
      <c r="C12" s="68" t="s">
        <v>298</v>
      </c>
      <c r="D12" s="228"/>
      <c r="E12" s="237"/>
      <c r="F12" s="229">
        <f>SUMIF(custoEPI_huol!$B$5:$B$505,custoEPI!B12,custoEPI_huol!$K$5:$K$505)</f>
        <v>0</v>
      </c>
    </row>
    <row r="13" spans="1:6" x14ac:dyDescent="0.25">
      <c r="A13" s="68">
        <v>8</v>
      </c>
      <c r="B13" s="68" t="s">
        <v>322</v>
      </c>
      <c r="C13" s="68" t="s">
        <v>300</v>
      </c>
      <c r="D13" s="228"/>
      <c r="E13" s="237"/>
      <c r="F13" s="229">
        <f>SUMIF(custoEPI_huol!$B$5:$B$505,custoEPI!B13,custoEPI_huol!$K$5:$K$505)</f>
        <v>0</v>
      </c>
    </row>
    <row r="14" spans="1:6" x14ac:dyDescent="0.25">
      <c r="A14" s="68">
        <v>9</v>
      </c>
      <c r="B14" s="68" t="s">
        <v>331</v>
      </c>
      <c r="C14" s="68" t="s">
        <v>298</v>
      </c>
      <c r="D14" s="228"/>
      <c r="E14" s="237"/>
      <c r="F14" s="229">
        <f>SUMIF(custoEPI_huol!$B$5:$B$505,custoEPI!B14,custoEPI_huol!$K$5:$K$505)</f>
        <v>0</v>
      </c>
    </row>
    <row r="15" spans="1:6" x14ac:dyDescent="0.25">
      <c r="A15" s="71">
        <v>10</v>
      </c>
      <c r="B15" s="71" t="s">
        <v>316</v>
      </c>
      <c r="C15" s="68" t="s">
        <v>300</v>
      </c>
      <c r="D15" s="228"/>
      <c r="E15" s="237"/>
      <c r="F15" s="229">
        <f>SUMIF(custoEPI_huol!$B$5:$B$505,custoEPI!B15,custoEPI_huol!$K$5:$K$505)</f>
        <v>0</v>
      </c>
    </row>
    <row r="16" spans="1:6" x14ac:dyDescent="0.25">
      <c r="A16" s="68">
        <v>11</v>
      </c>
      <c r="B16" s="68" t="s">
        <v>323</v>
      </c>
      <c r="C16" s="68" t="s">
        <v>296</v>
      </c>
      <c r="D16" s="228"/>
      <c r="E16" s="237"/>
      <c r="F16" s="229">
        <f>SUMIF(custoEPI_huol!$B$5:$B$505,custoEPI!B16,custoEPI_huol!$K$5:$K$505)</f>
        <v>0</v>
      </c>
    </row>
    <row r="17" spans="1:6" x14ac:dyDescent="0.25">
      <c r="A17" s="68">
        <v>12</v>
      </c>
      <c r="B17" s="68" t="s">
        <v>327</v>
      </c>
      <c r="C17" s="68" t="s">
        <v>288</v>
      </c>
      <c r="D17" s="228"/>
      <c r="E17" s="237"/>
      <c r="F17" s="229">
        <f>SUMIF(custoEPI_huol!$B$5:$B$505,custoEPI!B17,custoEPI_huol!$K$5:$K$505)</f>
        <v>0</v>
      </c>
    </row>
    <row r="18" spans="1:6" x14ac:dyDescent="0.25">
      <c r="A18" s="68">
        <v>13</v>
      </c>
      <c r="B18" s="68" t="s">
        <v>391</v>
      </c>
      <c r="C18" s="68" t="s">
        <v>298</v>
      </c>
      <c r="D18" s="228"/>
      <c r="E18" s="237"/>
      <c r="F18" s="229">
        <f>SUMIF(custoEPI_huol!$B$5:$B$505,custoEPI!B18,custoEPI_huol!$K$5:$K$505)</f>
        <v>0</v>
      </c>
    </row>
    <row r="19" spans="1:6" x14ac:dyDescent="0.25">
      <c r="A19" s="68">
        <v>14</v>
      </c>
      <c r="B19" s="68" t="s">
        <v>293</v>
      </c>
      <c r="C19" s="68" t="s">
        <v>288</v>
      </c>
      <c r="D19" s="228"/>
      <c r="E19" s="237"/>
      <c r="F19" s="229">
        <f>SUMIF(custoEPI_huol!$B$5:$B$505,custoEPI!B19,custoEPI_huol!$K$5:$K$505)</f>
        <v>0</v>
      </c>
    </row>
    <row r="20" spans="1:6" x14ac:dyDescent="0.25">
      <c r="A20" s="71">
        <v>15</v>
      </c>
      <c r="B20" s="71" t="s">
        <v>332</v>
      </c>
      <c r="C20" s="68" t="s">
        <v>298</v>
      </c>
      <c r="D20" s="228"/>
      <c r="E20" s="237"/>
      <c r="F20" s="229">
        <f>SUMIF(custoEPI_huol!$B$5:$B$505,custoEPI!B20,custoEPI_huol!$K$5:$K$505)</f>
        <v>0</v>
      </c>
    </row>
    <row r="21" spans="1:6" x14ac:dyDescent="0.25">
      <c r="A21" s="68">
        <v>16</v>
      </c>
      <c r="B21" s="68" t="s">
        <v>313</v>
      </c>
      <c r="C21" s="68" t="s">
        <v>288</v>
      </c>
      <c r="D21" s="228"/>
      <c r="E21" s="237"/>
      <c r="F21" s="229">
        <f>SUMIF(custoEPI_huol!$B$5:$B$505,custoEPI!B21,custoEPI_huol!$K$5:$K$505)</f>
        <v>0</v>
      </c>
    </row>
    <row r="22" spans="1:6" x14ac:dyDescent="0.25">
      <c r="A22" s="68">
        <v>17</v>
      </c>
      <c r="B22" s="68" t="s">
        <v>287</v>
      </c>
      <c r="C22" s="68" t="s">
        <v>288</v>
      </c>
      <c r="D22" s="228"/>
      <c r="E22" s="237"/>
      <c r="F22" s="229">
        <f>SUMIF(custoEPI_huol!$B$5:$B$505,custoEPI!B22,custoEPI_huol!$K$5:$K$505)</f>
        <v>0</v>
      </c>
    </row>
    <row r="23" spans="1:6" x14ac:dyDescent="0.25">
      <c r="A23" s="68">
        <v>18</v>
      </c>
      <c r="B23" s="68" t="s">
        <v>291</v>
      </c>
      <c r="C23" s="68" t="s">
        <v>288</v>
      </c>
      <c r="D23" s="228"/>
      <c r="E23" s="237"/>
      <c r="F23" s="229">
        <f>SUMIF(custoEPI_huol!$B$5:$B$505,custoEPI!B23,custoEPI_huol!$K$5:$K$505)</f>
        <v>0</v>
      </c>
    </row>
    <row r="24" spans="1:6" x14ac:dyDescent="0.25">
      <c r="A24" s="68">
        <v>19</v>
      </c>
      <c r="B24" s="68" t="s">
        <v>307</v>
      </c>
      <c r="C24" s="68" t="s">
        <v>300</v>
      </c>
      <c r="D24" s="228"/>
      <c r="E24" s="237"/>
      <c r="F24" s="229">
        <f>SUMIF(custoEPI_huol!$B$5:$B$505,custoEPI!B24,custoEPI_huol!$K$5:$K$505)</f>
        <v>0</v>
      </c>
    </row>
    <row r="25" spans="1:6" x14ac:dyDescent="0.25">
      <c r="A25" s="68">
        <v>20</v>
      </c>
      <c r="B25" s="68" t="s">
        <v>319</v>
      </c>
      <c r="C25" s="68" t="s">
        <v>288</v>
      </c>
      <c r="D25" s="228"/>
      <c r="E25" s="237"/>
      <c r="F25" s="229">
        <f>SUMIF(custoEPI_huol!$B$5:$B$505,custoEPI!B25,custoEPI_huol!$K$5:$K$505)</f>
        <v>0</v>
      </c>
    </row>
    <row r="26" spans="1:6" x14ac:dyDescent="0.25">
      <c r="A26" s="68">
        <v>21</v>
      </c>
      <c r="B26" s="68" t="s">
        <v>314</v>
      </c>
      <c r="C26" s="68" t="s">
        <v>288</v>
      </c>
      <c r="D26" s="228"/>
      <c r="E26" s="237"/>
      <c r="F26" s="229">
        <f>SUMIF(custoEPI_huol!$B$5:$B$505,custoEPI!B26,custoEPI_huol!$K$5:$K$505)</f>
        <v>0</v>
      </c>
    </row>
    <row r="27" spans="1:6" x14ac:dyDescent="0.25">
      <c r="A27" s="68">
        <v>22</v>
      </c>
      <c r="B27" s="68" t="s">
        <v>295</v>
      </c>
      <c r="C27" s="68" t="s">
        <v>296</v>
      </c>
      <c r="D27" s="228"/>
      <c r="E27" s="237"/>
      <c r="F27" s="229">
        <f>SUMIF(custoEPI_huol!$B$5:$B$505,custoEPI!B27,custoEPI_huol!$K$5:$K$505)</f>
        <v>0</v>
      </c>
    </row>
    <row r="28" spans="1:6" x14ac:dyDescent="0.25">
      <c r="A28" s="68">
        <v>23</v>
      </c>
      <c r="B28" s="68" t="s">
        <v>297</v>
      </c>
      <c r="C28" s="68" t="s">
        <v>298</v>
      </c>
      <c r="D28" s="228"/>
      <c r="E28" s="237"/>
      <c r="F28" s="229">
        <f>SUMIF(custoEPI_huol!$B$5:$B$505,custoEPI!B28,custoEPI_huol!$K$5:$K$505)</f>
        <v>0</v>
      </c>
    </row>
    <row r="29" spans="1:6" x14ac:dyDescent="0.25">
      <c r="A29" s="68">
        <v>24</v>
      </c>
      <c r="B29" s="68" t="s">
        <v>294</v>
      </c>
      <c r="C29" s="68" t="s">
        <v>288</v>
      </c>
      <c r="D29" s="228"/>
      <c r="E29" s="237"/>
      <c r="F29" s="229">
        <f>SUMIF(custoEPI_huol!$B$5:$B$505,custoEPI!B29,custoEPI_huol!$K$5:$K$505)</f>
        <v>0</v>
      </c>
    </row>
    <row r="30" spans="1:6" x14ac:dyDescent="0.25">
      <c r="B30" s="227"/>
      <c r="C30" s="227"/>
      <c r="E30" s="230"/>
      <c r="F30" s="231">
        <f>SUM(F6:F29)</f>
        <v>0</v>
      </c>
    </row>
    <row r="31" spans="1:6" x14ac:dyDescent="0.25">
      <c r="B31" s="227"/>
      <c r="C31" s="227"/>
    </row>
    <row r="32" spans="1:6" x14ac:dyDescent="0.25">
      <c r="B32" s="227"/>
      <c r="C32" s="227"/>
    </row>
    <row r="33" spans="2:3" x14ac:dyDescent="0.25">
      <c r="B33" s="227"/>
      <c r="C33" s="227"/>
    </row>
    <row r="34" spans="2:3" x14ac:dyDescent="0.25">
      <c r="B34" s="227"/>
      <c r="C34" s="227"/>
    </row>
    <row r="35" spans="2:3" x14ac:dyDescent="0.25">
      <c r="B35" s="227"/>
      <c r="C35" s="227"/>
    </row>
    <row r="36" spans="2:3" x14ac:dyDescent="0.25">
      <c r="B36" s="227"/>
      <c r="C36" s="227"/>
    </row>
    <row r="37" spans="2:3" x14ac:dyDescent="0.25">
      <c r="B37" s="227"/>
      <c r="C37" s="227"/>
    </row>
    <row r="38" spans="2:3" x14ac:dyDescent="0.25">
      <c r="B38" s="227"/>
      <c r="C38" s="227"/>
    </row>
    <row r="39" spans="2:3" x14ac:dyDescent="0.25">
      <c r="B39" s="227"/>
      <c r="C39" s="227"/>
    </row>
    <row r="40" spans="2:3" x14ac:dyDescent="0.25">
      <c r="B40" s="227"/>
      <c r="C40" s="227"/>
    </row>
    <row r="41" spans="2:3" x14ac:dyDescent="0.25">
      <c r="B41" s="227"/>
      <c r="C41" s="227"/>
    </row>
    <row r="42" spans="2:3" x14ac:dyDescent="0.25">
      <c r="B42" s="227"/>
      <c r="C42" s="227"/>
    </row>
    <row r="43" spans="2:3" x14ac:dyDescent="0.25">
      <c r="B43" s="227"/>
      <c r="C43" s="227"/>
    </row>
    <row r="44" spans="2:3" x14ac:dyDescent="0.25">
      <c r="B44" s="227"/>
      <c r="C44" s="227"/>
    </row>
    <row r="45" spans="2:3" x14ac:dyDescent="0.25">
      <c r="B45" s="227"/>
      <c r="C45" s="227"/>
    </row>
    <row r="46" spans="2:3" x14ac:dyDescent="0.25">
      <c r="B46" s="227"/>
      <c r="C46" s="227"/>
    </row>
    <row r="47" spans="2:3" x14ac:dyDescent="0.25">
      <c r="B47" s="227"/>
      <c r="C47" s="227"/>
    </row>
    <row r="48" spans="2:3" x14ac:dyDescent="0.25">
      <c r="B48" s="227"/>
      <c r="C48" s="227"/>
    </row>
    <row r="49" spans="2:3" x14ac:dyDescent="0.25">
      <c r="B49" s="227"/>
      <c r="C49" s="227"/>
    </row>
    <row r="50" spans="2:3" x14ac:dyDescent="0.25">
      <c r="B50" s="227"/>
      <c r="C50" s="227"/>
    </row>
    <row r="51" spans="2:3" x14ac:dyDescent="0.25">
      <c r="B51" s="227"/>
      <c r="C51" s="227"/>
    </row>
    <row r="52" spans="2:3" x14ac:dyDescent="0.25">
      <c r="B52" s="227"/>
      <c r="C52" s="227"/>
    </row>
    <row r="53" spans="2:3" x14ac:dyDescent="0.25">
      <c r="B53" s="227"/>
      <c r="C53" s="227"/>
    </row>
    <row r="54" spans="2:3" x14ac:dyDescent="0.25">
      <c r="B54" s="227"/>
      <c r="C54" s="227"/>
    </row>
    <row r="55" spans="2:3" x14ac:dyDescent="0.25">
      <c r="B55" s="227"/>
      <c r="C55" s="227"/>
    </row>
    <row r="56" spans="2:3" x14ac:dyDescent="0.25">
      <c r="B56" s="227"/>
      <c r="C56" s="227"/>
    </row>
    <row r="57" spans="2:3" x14ac:dyDescent="0.25">
      <c r="B57" s="227"/>
      <c r="C57" s="227"/>
    </row>
    <row r="58" spans="2:3" x14ac:dyDescent="0.25">
      <c r="B58" s="227"/>
      <c r="C58" s="227"/>
    </row>
    <row r="59" spans="2:3" x14ac:dyDescent="0.25">
      <c r="B59" s="227"/>
      <c r="C59" s="227"/>
    </row>
    <row r="60" spans="2:3" x14ac:dyDescent="0.25">
      <c r="B60" s="227"/>
      <c r="C60" s="227"/>
    </row>
    <row r="61" spans="2:3" x14ac:dyDescent="0.25">
      <c r="B61" s="227"/>
      <c r="C61" s="227"/>
    </row>
    <row r="62" spans="2:3" x14ac:dyDescent="0.25">
      <c r="B62" s="227"/>
      <c r="C62" s="227"/>
    </row>
    <row r="63" spans="2:3" x14ac:dyDescent="0.25">
      <c r="B63" s="227"/>
      <c r="C63" s="227"/>
    </row>
    <row r="64" spans="2:3" x14ac:dyDescent="0.25">
      <c r="B64" s="227"/>
      <c r="C64" s="227"/>
    </row>
    <row r="65" spans="2:3" x14ac:dyDescent="0.25">
      <c r="B65" s="227"/>
      <c r="C65" s="227"/>
    </row>
    <row r="66" spans="2:3" x14ac:dyDescent="0.25">
      <c r="B66" s="227"/>
      <c r="C66" s="227"/>
    </row>
    <row r="67" spans="2:3" x14ac:dyDescent="0.25">
      <c r="B67" s="227"/>
      <c r="C67" s="227"/>
    </row>
    <row r="68" spans="2:3" x14ac:dyDescent="0.25">
      <c r="B68" s="227"/>
      <c r="C68" s="227"/>
    </row>
    <row r="69" spans="2:3" x14ac:dyDescent="0.25">
      <c r="B69" s="227"/>
      <c r="C69" s="227"/>
    </row>
    <row r="70" spans="2:3" x14ac:dyDescent="0.25">
      <c r="B70" s="227"/>
      <c r="C70" s="227"/>
    </row>
    <row r="71" spans="2:3" x14ac:dyDescent="0.25">
      <c r="B71" s="227"/>
      <c r="C71" s="227"/>
    </row>
    <row r="72" spans="2:3" x14ac:dyDescent="0.25">
      <c r="B72" s="227"/>
      <c r="C72" s="227"/>
    </row>
    <row r="73" spans="2:3" x14ac:dyDescent="0.25">
      <c r="B73" s="227"/>
      <c r="C73" s="227"/>
    </row>
    <row r="74" spans="2:3" x14ac:dyDescent="0.25">
      <c r="B74" s="227"/>
      <c r="C74" s="227"/>
    </row>
    <row r="75" spans="2:3" x14ac:dyDescent="0.25">
      <c r="B75" s="227"/>
      <c r="C75" s="227"/>
    </row>
    <row r="76" spans="2:3" x14ac:dyDescent="0.25">
      <c r="B76" s="227"/>
      <c r="C76" s="227"/>
    </row>
    <row r="77" spans="2:3" x14ac:dyDescent="0.25">
      <c r="B77" s="227"/>
      <c r="C77" s="227"/>
    </row>
    <row r="78" spans="2:3" x14ac:dyDescent="0.25">
      <c r="B78" s="227"/>
      <c r="C78" s="227"/>
    </row>
    <row r="79" spans="2:3" x14ac:dyDescent="0.25">
      <c r="B79" s="227"/>
      <c r="C79" s="227"/>
    </row>
    <row r="80" spans="2:3" x14ac:dyDescent="0.25">
      <c r="B80" s="227"/>
      <c r="C80" s="227"/>
    </row>
    <row r="81" spans="2:3" x14ac:dyDescent="0.25">
      <c r="B81" s="227"/>
      <c r="C81" s="227"/>
    </row>
    <row r="82" spans="2:3" x14ac:dyDescent="0.25">
      <c r="B82" s="227"/>
      <c r="C82" s="227"/>
    </row>
    <row r="83" spans="2:3" x14ac:dyDescent="0.25">
      <c r="B83" s="227"/>
      <c r="C83" s="227"/>
    </row>
    <row r="84" spans="2:3" x14ac:dyDescent="0.25">
      <c r="B84" s="227"/>
      <c r="C84" s="227"/>
    </row>
    <row r="85" spans="2:3" x14ac:dyDescent="0.25">
      <c r="B85" s="227"/>
      <c r="C85" s="227"/>
    </row>
    <row r="86" spans="2:3" x14ac:dyDescent="0.25">
      <c r="B86" s="227"/>
      <c r="C86" s="227"/>
    </row>
    <row r="87" spans="2:3" x14ac:dyDescent="0.25">
      <c r="B87" s="227"/>
      <c r="C87" s="227"/>
    </row>
    <row r="88" spans="2:3" x14ac:dyDescent="0.25">
      <c r="B88" s="227"/>
      <c r="C88" s="227"/>
    </row>
    <row r="89" spans="2:3" x14ac:dyDescent="0.25">
      <c r="B89" s="227"/>
      <c r="C89" s="227"/>
    </row>
    <row r="90" spans="2:3" x14ac:dyDescent="0.25">
      <c r="B90" s="227"/>
      <c r="C90" s="227"/>
    </row>
    <row r="91" spans="2:3" x14ac:dyDescent="0.25">
      <c r="B91" s="227"/>
      <c r="C91" s="227"/>
    </row>
    <row r="92" spans="2:3" x14ac:dyDescent="0.25">
      <c r="B92" s="227"/>
      <c r="C92" s="227"/>
    </row>
    <row r="93" spans="2:3" x14ac:dyDescent="0.25">
      <c r="B93" s="227"/>
      <c r="C93" s="227"/>
    </row>
    <row r="94" spans="2:3" x14ac:dyDescent="0.25">
      <c r="B94" s="227"/>
      <c r="C94" s="227"/>
    </row>
    <row r="95" spans="2:3" x14ac:dyDescent="0.25">
      <c r="B95" s="227"/>
      <c r="C95" s="227"/>
    </row>
    <row r="96" spans="2:3" x14ac:dyDescent="0.25">
      <c r="B96" s="227"/>
      <c r="C96" s="227"/>
    </row>
    <row r="97" spans="2:3" x14ac:dyDescent="0.25">
      <c r="B97" s="227"/>
      <c r="C97" s="227"/>
    </row>
    <row r="98" spans="2:3" x14ac:dyDescent="0.25">
      <c r="B98" s="227"/>
      <c r="C98" s="227"/>
    </row>
    <row r="99" spans="2:3" x14ac:dyDescent="0.25">
      <c r="B99" s="227"/>
      <c r="C99" s="227"/>
    </row>
    <row r="100" spans="2:3" x14ac:dyDescent="0.25">
      <c r="B100" s="227"/>
      <c r="C100" s="227"/>
    </row>
    <row r="101" spans="2:3" x14ac:dyDescent="0.25">
      <c r="B101" s="227"/>
      <c r="C101" s="227"/>
    </row>
    <row r="102" spans="2:3" x14ac:dyDescent="0.25">
      <c r="B102" s="227"/>
      <c r="C102" s="227"/>
    </row>
    <row r="103" spans="2:3" x14ac:dyDescent="0.25">
      <c r="B103" s="227"/>
      <c r="C103" s="227"/>
    </row>
    <row r="104" spans="2:3" x14ac:dyDescent="0.25">
      <c r="B104" s="227"/>
      <c r="C104" s="227"/>
    </row>
    <row r="105" spans="2:3" x14ac:dyDescent="0.25">
      <c r="B105" s="227"/>
      <c r="C105" s="227"/>
    </row>
    <row r="106" spans="2:3" x14ac:dyDescent="0.25">
      <c r="B106" s="227"/>
      <c r="C106" s="227"/>
    </row>
    <row r="107" spans="2:3" x14ac:dyDescent="0.25">
      <c r="B107" s="227"/>
      <c r="C107" s="227"/>
    </row>
    <row r="108" spans="2:3" x14ac:dyDescent="0.25">
      <c r="B108" s="227"/>
      <c r="C108" s="227"/>
    </row>
    <row r="109" spans="2:3" x14ac:dyDescent="0.25">
      <c r="B109" s="227"/>
      <c r="C109" s="227"/>
    </row>
    <row r="110" spans="2:3" x14ac:dyDescent="0.25">
      <c r="B110" s="227"/>
      <c r="C110" s="227"/>
    </row>
    <row r="111" spans="2:3" x14ac:dyDescent="0.25">
      <c r="B111" s="227"/>
      <c r="C111" s="227"/>
    </row>
    <row r="112" spans="2:3" x14ac:dyDescent="0.25">
      <c r="B112" s="227"/>
      <c r="C112" s="227"/>
    </row>
    <row r="113" spans="2:3" x14ac:dyDescent="0.25">
      <c r="B113" s="227"/>
      <c r="C113" s="227"/>
    </row>
    <row r="114" spans="2:3" x14ac:dyDescent="0.25">
      <c r="B114" s="227"/>
      <c r="C114" s="227"/>
    </row>
    <row r="115" spans="2:3" x14ac:dyDescent="0.25">
      <c r="B115" s="227"/>
      <c r="C115" s="227"/>
    </row>
    <row r="116" spans="2:3" x14ac:dyDescent="0.25">
      <c r="B116" s="227"/>
      <c r="C116" s="227"/>
    </row>
    <row r="117" spans="2:3" x14ac:dyDescent="0.25">
      <c r="B117" s="227"/>
      <c r="C117" s="227"/>
    </row>
    <row r="118" spans="2:3" x14ac:dyDescent="0.25">
      <c r="B118" s="227"/>
      <c r="C118" s="227"/>
    </row>
    <row r="119" spans="2:3" x14ac:dyDescent="0.25">
      <c r="B119" s="227"/>
      <c r="C119" s="227"/>
    </row>
    <row r="120" spans="2:3" x14ac:dyDescent="0.25">
      <c r="B120" s="227"/>
      <c r="C120" s="227"/>
    </row>
    <row r="121" spans="2:3" x14ac:dyDescent="0.25">
      <c r="B121" s="227"/>
      <c r="C121" s="227"/>
    </row>
    <row r="122" spans="2:3" x14ac:dyDescent="0.25">
      <c r="B122" s="227"/>
      <c r="C122" s="227"/>
    </row>
    <row r="123" spans="2:3" x14ac:dyDescent="0.25">
      <c r="B123" s="227"/>
      <c r="C123" s="227"/>
    </row>
    <row r="124" spans="2:3" x14ac:dyDescent="0.25">
      <c r="B124" s="227"/>
      <c r="C124" s="227"/>
    </row>
    <row r="125" spans="2:3" x14ac:dyDescent="0.25">
      <c r="B125" s="227"/>
      <c r="C125" s="227"/>
    </row>
    <row r="126" spans="2:3" x14ac:dyDescent="0.25">
      <c r="B126" s="227"/>
      <c r="C126" s="227"/>
    </row>
    <row r="127" spans="2:3" x14ac:dyDescent="0.25">
      <c r="B127" s="227"/>
      <c r="C127" s="227"/>
    </row>
    <row r="128" spans="2:3" x14ac:dyDescent="0.25">
      <c r="B128" s="227"/>
      <c r="C128" s="227"/>
    </row>
    <row r="129" spans="2:3" x14ac:dyDescent="0.25">
      <c r="B129" s="227"/>
      <c r="C129" s="227"/>
    </row>
    <row r="130" spans="2:3" x14ac:dyDescent="0.25">
      <c r="B130" s="227"/>
      <c r="C130" s="227"/>
    </row>
    <row r="131" spans="2:3" x14ac:dyDescent="0.25">
      <c r="B131" s="227"/>
      <c r="C131" s="227"/>
    </row>
    <row r="132" spans="2:3" x14ac:dyDescent="0.25">
      <c r="B132" s="227"/>
      <c r="C132" s="227"/>
    </row>
    <row r="133" spans="2:3" x14ac:dyDescent="0.25">
      <c r="B133" s="227"/>
      <c r="C133" s="227"/>
    </row>
    <row r="134" spans="2:3" x14ac:dyDescent="0.25">
      <c r="B134" s="227"/>
      <c r="C134" s="227"/>
    </row>
    <row r="135" spans="2:3" x14ac:dyDescent="0.25">
      <c r="B135" s="227"/>
      <c r="C135" s="227"/>
    </row>
    <row r="136" spans="2:3" x14ac:dyDescent="0.25">
      <c r="B136" s="227"/>
      <c r="C136" s="227"/>
    </row>
    <row r="137" spans="2:3" x14ac:dyDescent="0.25">
      <c r="B137" s="227"/>
      <c r="C137" s="227"/>
    </row>
    <row r="138" spans="2:3" x14ac:dyDescent="0.25">
      <c r="B138" s="227"/>
      <c r="C138" s="227"/>
    </row>
    <row r="139" spans="2:3" x14ac:dyDescent="0.25">
      <c r="B139" s="227"/>
      <c r="C139" s="227"/>
    </row>
    <row r="140" spans="2:3" x14ac:dyDescent="0.25">
      <c r="B140" s="227"/>
      <c r="C140" s="227"/>
    </row>
    <row r="141" spans="2:3" x14ac:dyDescent="0.25">
      <c r="B141" s="227"/>
      <c r="C141" s="227"/>
    </row>
    <row r="142" spans="2:3" x14ac:dyDescent="0.25">
      <c r="B142" s="227"/>
      <c r="C142" s="227"/>
    </row>
    <row r="143" spans="2:3" x14ac:dyDescent="0.25">
      <c r="B143" s="227"/>
      <c r="C143" s="227"/>
    </row>
    <row r="144" spans="2:3" x14ac:dyDescent="0.25">
      <c r="B144" s="227"/>
      <c r="C144" s="227"/>
    </row>
    <row r="145" spans="2:3" x14ac:dyDescent="0.25">
      <c r="B145" s="227"/>
      <c r="C145" s="227"/>
    </row>
    <row r="146" spans="2:3" x14ac:dyDescent="0.25">
      <c r="B146" s="227"/>
      <c r="C146" s="227"/>
    </row>
    <row r="147" spans="2:3" x14ac:dyDescent="0.25">
      <c r="B147" s="227"/>
      <c r="C147" s="227"/>
    </row>
    <row r="148" spans="2:3" x14ac:dyDescent="0.25">
      <c r="B148" s="227"/>
      <c r="C148" s="227"/>
    </row>
    <row r="149" spans="2:3" x14ac:dyDescent="0.25">
      <c r="B149" s="227"/>
      <c r="C149" s="227"/>
    </row>
    <row r="150" spans="2:3" x14ac:dyDescent="0.25">
      <c r="B150" s="227"/>
      <c r="C150" s="227"/>
    </row>
    <row r="151" spans="2:3" x14ac:dyDescent="0.25">
      <c r="B151" s="227"/>
      <c r="C151" s="227"/>
    </row>
    <row r="152" spans="2:3" x14ac:dyDescent="0.25">
      <c r="B152" s="227"/>
      <c r="C152" s="227"/>
    </row>
    <row r="153" spans="2:3" x14ac:dyDescent="0.25">
      <c r="B153" s="227"/>
      <c r="C153" s="227"/>
    </row>
    <row r="154" spans="2:3" x14ac:dyDescent="0.25">
      <c r="B154" s="227"/>
      <c r="C154" s="227"/>
    </row>
    <row r="155" spans="2:3" x14ac:dyDescent="0.25">
      <c r="B155" s="227"/>
      <c r="C155" s="227"/>
    </row>
    <row r="156" spans="2:3" x14ac:dyDescent="0.25">
      <c r="B156" s="227"/>
      <c r="C156" s="227"/>
    </row>
    <row r="157" spans="2:3" x14ac:dyDescent="0.25">
      <c r="B157" s="227"/>
      <c r="C157" s="227"/>
    </row>
    <row r="158" spans="2:3" x14ac:dyDescent="0.25">
      <c r="B158" s="227"/>
      <c r="C158" s="227"/>
    </row>
    <row r="159" spans="2:3" x14ac:dyDescent="0.25">
      <c r="B159" s="227"/>
      <c r="C159" s="227"/>
    </row>
    <row r="160" spans="2:3" x14ac:dyDescent="0.25">
      <c r="B160" s="227"/>
      <c r="C160" s="227"/>
    </row>
    <row r="161" spans="2:3" x14ac:dyDescent="0.25">
      <c r="B161" s="227"/>
      <c r="C161" s="227"/>
    </row>
    <row r="162" spans="2:3" x14ac:dyDescent="0.25">
      <c r="B162" s="227"/>
      <c r="C162" s="227"/>
    </row>
    <row r="163" spans="2:3" x14ac:dyDescent="0.25">
      <c r="B163" s="227"/>
      <c r="C163" s="227"/>
    </row>
    <row r="164" spans="2:3" x14ac:dyDescent="0.25">
      <c r="B164" s="227"/>
      <c r="C164" s="227"/>
    </row>
    <row r="165" spans="2:3" x14ac:dyDescent="0.25">
      <c r="B165" s="227"/>
      <c r="C165" s="227"/>
    </row>
    <row r="166" spans="2:3" x14ac:dyDescent="0.25">
      <c r="B166" s="227"/>
      <c r="C166" s="227"/>
    </row>
    <row r="167" spans="2:3" x14ac:dyDescent="0.25">
      <c r="B167" s="227"/>
      <c r="C167" s="227"/>
    </row>
    <row r="168" spans="2:3" x14ac:dyDescent="0.25">
      <c r="B168" s="227"/>
      <c r="C168" s="227"/>
    </row>
    <row r="169" spans="2:3" x14ac:dyDescent="0.25">
      <c r="B169" s="227"/>
      <c r="C169" s="227"/>
    </row>
    <row r="170" spans="2:3" x14ac:dyDescent="0.25">
      <c r="B170" s="227"/>
      <c r="C170" s="227"/>
    </row>
    <row r="171" spans="2:3" x14ac:dyDescent="0.25">
      <c r="B171" s="227"/>
      <c r="C171" s="227"/>
    </row>
    <row r="172" spans="2:3" x14ac:dyDescent="0.25">
      <c r="B172" s="227"/>
      <c r="C172" s="227"/>
    </row>
    <row r="173" spans="2:3" x14ac:dyDescent="0.25">
      <c r="B173" s="227"/>
      <c r="C173" s="227"/>
    </row>
    <row r="174" spans="2:3" x14ac:dyDescent="0.25">
      <c r="B174" s="227"/>
      <c r="C174" s="227"/>
    </row>
    <row r="175" spans="2:3" x14ac:dyDescent="0.25">
      <c r="B175" s="227"/>
      <c r="C175" s="227"/>
    </row>
    <row r="176" spans="2:3" x14ac:dyDescent="0.25">
      <c r="B176" s="227"/>
      <c r="C176" s="227"/>
    </row>
    <row r="177" spans="2:3" x14ac:dyDescent="0.25">
      <c r="B177" s="227"/>
      <c r="C177" s="227"/>
    </row>
    <row r="178" spans="2:3" x14ac:dyDescent="0.25">
      <c r="B178" s="227"/>
      <c r="C178" s="227"/>
    </row>
    <row r="179" spans="2:3" x14ac:dyDescent="0.25">
      <c r="B179" s="227"/>
      <c r="C179" s="227"/>
    </row>
    <row r="180" spans="2:3" x14ac:dyDescent="0.25">
      <c r="B180" s="227"/>
      <c r="C180" s="227"/>
    </row>
    <row r="181" spans="2:3" x14ac:dyDescent="0.25">
      <c r="B181" s="227"/>
      <c r="C181" s="227"/>
    </row>
    <row r="182" spans="2:3" x14ac:dyDescent="0.25">
      <c r="B182" s="227"/>
      <c r="C182" s="227"/>
    </row>
    <row r="183" spans="2:3" x14ac:dyDescent="0.25">
      <c r="B183" s="227"/>
      <c r="C183" s="227"/>
    </row>
    <row r="184" spans="2:3" x14ac:dyDescent="0.25">
      <c r="B184" s="227"/>
      <c r="C184" s="227"/>
    </row>
    <row r="185" spans="2:3" x14ac:dyDescent="0.25">
      <c r="B185" s="227"/>
      <c r="C185" s="227"/>
    </row>
    <row r="186" spans="2:3" x14ac:dyDescent="0.25">
      <c r="B186" s="227"/>
      <c r="C186" s="227"/>
    </row>
    <row r="187" spans="2:3" x14ac:dyDescent="0.25">
      <c r="B187" s="227"/>
      <c r="C187" s="227"/>
    </row>
    <row r="188" spans="2:3" x14ac:dyDescent="0.25">
      <c r="B188" s="227"/>
      <c r="C188" s="227"/>
    </row>
    <row r="189" spans="2:3" x14ac:dyDescent="0.25">
      <c r="B189" s="227"/>
      <c r="C189" s="227"/>
    </row>
    <row r="190" spans="2:3" x14ac:dyDescent="0.25">
      <c r="B190" s="227"/>
      <c r="C190" s="227"/>
    </row>
    <row r="191" spans="2:3" x14ac:dyDescent="0.25">
      <c r="B191" s="227"/>
      <c r="C191" s="227"/>
    </row>
    <row r="192" spans="2:3" x14ac:dyDescent="0.25">
      <c r="B192" s="227"/>
      <c r="C192" s="227"/>
    </row>
    <row r="193" spans="2:3" x14ac:dyDescent="0.25">
      <c r="B193" s="227"/>
      <c r="C193" s="227"/>
    </row>
    <row r="194" spans="2:3" x14ac:dyDescent="0.25">
      <c r="B194" s="227"/>
      <c r="C194" s="227"/>
    </row>
    <row r="195" spans="2:3" x14ac:dyDescent="0.25">
      <c r="B195" s="227"/>
      <c r="C195" s="227"/>
    </row>
    <row r="196" spans="2:3" x14ac:dyDescent="0.25">
      <c r="B196" s="227"/>
      <c r="C196" s="227"/>
    </row>
    <row r="197" spans="2:3" x14ac:dyDescent="0.25">
      <c r="B197" s="227"/>
      <c r="C197" s="227"/>
    </row>
    <row r="198" spans="2:3" x14ac:dyDescent="0.25">
      <c r="B198" s="227"/>
      <c r="C198" s="227"/>
    </row>
    <row r="199" spans="2:3" x14ac:dyDescent="0.25">
      <c r="B199" s="227"/>
      <c r="C199" s="227"/>
    </row>
    <row r="200" spans="2:3" x14ac:dyDescent="0.25">
      <c r="B200" s="227"/>
      <c r="C200" s="227"/>
    </row>
    <row r="201" spans="2:3" x14ac:dyDescent="0.25">
      <c r="B201" s="227"/>
      <c r="C201" s="227"/>
    </row>
    <row r="202" spans="2:3" x14ac:dyDescent="0.25">
      <c r="B202" s="227"/>
      <c r="C202" s="227"/>
    </row>
    <row r="203" spans="2:3" x14ac:dyDescent="0.25">
      <c r="B203" s="227"/>
      <c r="C203" s="227"/>
    </row>
    <row r="204" spans="2:3" x14ac:dyDescent="0.25">
      <c r="B204" s="227"/>
      <c r="C204" s="227"/>
    </row>
    <row r="205" spans="2:3" x14ac:dyDescent="0.25">
      <c r="B205" s="227"/>
      <c r="C205" s="227"/>
    </row>
    <row r="206" spans="2:3" x14ac:dyDescent="0.25">
      <c r="B206" s="227"/>
      <c r="C206" s="227"/>
    </row>
    <row r="207" spans="2:3" x14ac:dyDescent="0.25">
      <c r="B207" s="227"/>
      <c r="C207" s="227"/>
    </row>
    <row r="208" spans="2:3" x14ac:dyDescent="0.25">
      <c r="B208" s="227"/>
      <c r="C208" s="227"/>
    </row>
    <row r="209" spans="2:3" x14ac:dyDescent="0.25">
      <c r="B209" s="227"/>
      <c r="C209" s="227"/>
    </row>
    <row r="210" spans="2:3" x14ac:dyDescent="0.25">
      <c r="B210" s="227"/>
      <c r="C210" s="227"/>
    </row>
    <row r="211" spans="2:3" x14ac:dyDescent="0.25">
      <c r="B211" s="227"/>
      <c r="C211" s="227"/>
    </row>
    <row r="212" spans="2:3" x14ac:dyDescent="0.25">
      <c r="B212" s="227"/>
      <c r="C212" s="227"/>
    </row>
    <row r="213" spans="2:3" x14ac:dyDescent="0.25">
      <c r="B213" s="227"/>
      <c r="C213" s="227"/>
    </row>
    <row r="214" spans="2:3" x14ac:dyDescent="0.25">
      <c r="B214" s="227"/>
      <c r="C214" s="227"/>
    </row>
    <row r="215" spans="2:3" x14ac:dyDescent="0.25">
      <c r="B215" s="227"/>
      <c r="C215" s="227"/>
    </row>
    <row r="216" spans="2:3" x14ac:dyDescent="0.25">
      <c r="B216" s="227"/>
      <c r="C216" s="227"/>
    </row>
    <row r="217" spans="2:3" x14ac:dyDescent="0.25">
      <c r="B217" s="227"/>
      <c r="C217" s="227"/>
    </row>
    <row r="218" spans="2:3" x14ac:dyDescent="0.25">
      <c r="B218" s="227"/>
      <c r="C218" s="227"/>
    </row>
    <row r="219" spans="2:3" x14ac:dyDescent="0.25">
      <c r="B219" s="227"/>
      <c r="C219" s="227"/>
    </row>
    <row r="220" spans="2:3" x14ac:dyDescent="0.25">
      <c r="B220" s="227"/>
      <c r="C220" s="227"/>
    </row>
    <row r="221" spans="2:3" x14ac:dyDescent="0.25">
      <c r="B221" s="227"/>
      <c r="C221" s="227"/>
    </row>
    <row r="222" spans="2:3" x14ac:dyDescent="0.25">
      <c r="B222" s="227"/>
      <c r="C222" s="227"/>
    </row>
    <row r="223" spans="2:3" x14ac:dyDescent="0.25">
      <c r="B223" s="227"/>
      <c r="C223" s="227"/>
    </row>
    <row r="224" spans="2:3" x14ac:dyDescent="0.25">
      <c r="B224" s="227"/>
      <c r="C224" s="227"/>
    </row>
    <row r="225" spans="2:3" x14ac:dyDescent="0.25">
      <c r="B225" s="227"/>
      <c r="C225" s="227"/>
    </row>
    <row r="226" spans="2:3" x14ac:dyDescent="0.25">
      <c r="B226" s="227"/>
      <c r="C226" s="227"/>
    </row>
    <row r="227" spans="2:3" x14ac:dyDescent="0.25">
      <c r="B227" s="227"/>
      <c r="C227" s="227"/>
    </row>
    <row r="228" spans="2:3" x14ac:dyDescent="0.25">
      <c r="B228" s="227"/>
      <c r="C228" s="227"/>
    </row>
    <row r="229" spans="2:3" x14ac:dyDescent="0.25">
      <c r="B229" s="227"/>
      <c r="C229" s="227"/>
    </row>
    <row r="230" spans="2:3" x14ac:dyDescent="0.25">
      <c r="B230" s="227"/>
      <c r="C230" s="227"/>
    </row>
    <row r="231" spans="2:3" x14ac:dyDescent="0.25">
      <c r="B231" s="227"/>
      <c r="C231" s="227"/>
    </row>
    <row r="232" spans="2:3" x14ac:dyDescent="0.25">
      <c r="B232" s="227"/>
      <c r="C232" s="227"/>
    </row>
    <row r="233" spans="2:3" x14ac:dyDescent="0.25">
      <c r="B233" s="227"/>
      <c r="C233" s="227"/>
    </row>
    <row r="234" spans="2:3" x14ac:dyDescent="0.25">
      <c r="B234" s="227"/>
      <c r="C234" s="227"/>
    </row>
    <row r="235" spans="2:3" x14ac:dyDescent="0.25">
      <c r="B235" s="227"/>
      <c r="C235" s="227"/>
    </row>
    <row r="236" spans="2:3" x14ac:dyDescent="0.25">
      <c r="B236" s="227"/>
      <c r="C236" s="227"/>
    </row>
    <row r="237" spans="2:3" x14ac:dyDescent="0.25">
      <c r="B237" s="227"/>
      <c r="C237" s="227"/>
    </row>
    <row r="238" spans="2:3" x14ac:dyDescent="0.25">
      <c r="B238" s="227"/>
      <c r="C238" s="227"/>
    </row>
    <row r="239" spans="2:3" x14ac:dyDescent="0.25">
      <c r="B239" s="227"/>
      <c r="C239" s="227"/>
    </row>
    <row r="240" spans="2:3" x14ac:dyDescent="0.25">
      <c r="B240" s="227"/>
      <c r="C240" s="227"/>
    </row>
    <row r="241" spans="2:3" x14ac:dyDescent="0.25">
      <c r="B241" s="227"/>
      <c r="C241" s="227"/>
    </row>
    <row r="242" spans="2:3" x14ac:dyDescent="0.25">
      <c r="B242" s="227"/>
      <c r="C242" s="227"/>
    </row>
    <row r="243" spans="2:3" x14ac:dyDescent="0.25">
      <c r="B243" s="227"/>
      <c r="C243" s="227"/>
    </row>
    <row r="244" spans="2:3" x14ac:dyDescent="0.25">
      <c r="B244" s="227"/>
      <c r="C244" s="227"/>
    </row>
    <row r="245" spans="2:3" x14ac:dyDescent="0.25">
      <c r="B245" s="227"/>
      <c r="C245" s="227"/>
    </row>
    <row r="246" spans="2:3" x14ac:dyDescent="0.25">
      <c r="B246" s="227"/>
      <c r="C246" s="227"/>
    </row>
    <row r="247" spans="2:3" x14ac:dyDescent="0.25">
      <c r="B247" s="227"/>
      <c r="C247" s="227"/>
    </row>
    <row r="248" spans="2:3" x14ac:dyDescent="0.25">
      <c r="B248" s="227"/>
      <c r="C248" s="227"/>
    </row>
    <row r="249" spans="2:3" x14ac:dyDescent="0.25">
      <c r="B249" s="227"/>
      <c r="C249" s="227"/>
    </row>
    <row r="250" spans="2:3" x14ac:dyDescent="0.25">
      <c r="B250" s="227"/>
      <c r="C250" s="227"/>
    </row>
    <row r="251" spans="2:3" x14ac:dyDescent="0.25">
      <c r="B251" s="227"/>
      <c r="C251" s="227"/>
    </row>
    <row r="252" spans="2:3" x14ac:dyDescent="0.25">
      <c r="B252" s="227"/>
      <c r="C252" s="227"/>
    </row>
    <row r="253" spans="2:3" x14ac:dyDescent="0.25">
      <c r="B253" s="227"/>
      <c r="C253" s="227"/>
    </row>
    <row r="254" spans="2:3" x14ac:dyDescent="0.25">
      <c r="B254" s="227"/>
      <c r="C254" s="227"/>
    </row>
    <row r="255" spans="2:3" x14ac:dyDescent="0.25">
      <c r="B255" s="227"/>
      <c r="C255" s="227"/>
    </row>
    <row r="256" spans="2:3" x14ac:dyDescent="0.25">
      <c r="B256" s="227"/>
      <c r="C256" s="227"/>
    </row>
    <row r="257" spans="2:3" x14ac:dyDescent="0.25">
      <c r="B257" s="227"/>
      <c r="C257" s="227"/>
    </row>
    <row r="258" spans="2:3" x14ac:dyDescent="0.25">
      <c r="B258" s="227"/>
      <c r="C258" s="227"/>
    </row>
    <row r="259" spans="2:3" x14ac:dyDescent="0.25">
      <c r="B259" s="227"/>
      <c r="C259" s="227"/>
    </row>
    <row r="260" spans="2:3" x14ac:dyDescent="0.25">
      <c r="B260" s="227"/>
      <c r="C260" s="227"/>
    </row>
    <row r="261" spans="2:3" x14ac:dyDescent="0.25">
      <c r="B261" s="227"/>
      <c r="C261" s="227"/>
    </row>
    <row r="262" spans="2:3" x14ac:dyDescent="0.25">
      <c r="B262" s="227"/>
      <c r="C262" s="227"/>
    </row>
    <row r="263" spans="2:3" x14ac:dyDescent="0.25">
      <c r="B263" s="227"/>
      <c r="C263" s="227"/>
    </row>
    <row r="264" spans="2:3" x14ac:dyDescent="0.25">
      <c r="B264" s="227"/>
      <c r="C264" s="227"/>
    </row>
    <row r="265" spans="2:3" x14ac:dyDescent="0.25">
      <c r="B265" s="227"/>
      <c r="C265" s="227"/>
    </row>
    <row r="266" spans="2:3" x14ac:dyDescent="0.25">
      <c r="B266" s="227"/>
      <c r="C266" s="227"/>
    </row>
    <row r="267" spans="2:3" x14ac:dyDescent="0.25">
      <c r="B267" s="227"/>
      <c r="C267" s="227"/>
    </row>
    <row r="268" spans="2:3" x14ac:dyDescent="0.25">
      <c r="B268" s="227"/>
      <c r="C268" s="227"/>
    </row>
    <row r="269" spans="2:3" x14ac:dyDescent="0.25">
      <c r="B269" s="227"/>
      <c r="C269" s="227"/>
    </row>
    <row r="270" spans="2:3" x14ac:dyDescent="0.25">
      <c r="B270" s="227"/>
      <c r="C270" s="227"/>
    </row>
    <row r="271" spans="2:3" x14ac:dyDescent="0.25">
      <c r="B271" s="227"/>
      <c r="C271" s="227"/>
    </row>
    <row r="272" spans="2:3" x14ac:dyDescent="0.25">
      <c r="B272" s="227"/>
      <c r="C272" s="227"/>
    </row>
    <row r="273" spans="2:3" x14ac:dyDescent="0.25">
      <c r="B273" s="227"/>
      <c r="C273" s="227"/>
    </row>
    <row r="274" spans="2:3" x14ac:dyDescent="0.25">
      <c r="B274" s="227"/>
      <c r="C274" s="227"/>
    </row>
    <row r="275" spans="2:3" x14ac:dyDescent="0.25">
      <c r="B275" s="227"/>
      <c r="C275" s="227"/>
    </row>
    <row r="276" spans="2:3" x14ac:dyDescent="0.25">
      <c r="B276" s="227"/>
      <c r="C276" s="227"/>
    </row>
    <row r="277" spans="2:3" x14ac:dyDescent="0.25">
      <c r="B277" s="227"/>
      <c r="C277" s="227"/>
    </row>
    <row r="278" spans="2:3" x14ac:dyDescent="0.25">
      <c r="B278" s="227"/>
      <c r="C278" s="227"/>
    </row>
    <row r="279" spans="2:3" x14ac:dyDescent="0.25">
      <c r="B279" s="227"/>
      <c r="C279" s="227"/>
    </row>
    <row r="280" spans="2:3" x14ac:dyDescent="0.25">
      <c r="B280" s="227"/>
      <c r="C280" s="227"/>
    </row>
    <row r="281" spans="2:3" x14ac:dyDescent="0.25">
      <c r="B281" s="227"/>
      <c r="C281" s="227"/>
    </row>
    <row r="282" spans="2:3" x14ac:dyDescent="0.25">
      <c r="B282" s="227"/>
      <c r="C282" s="227"/>
    </row>
    <row r="283" spans="2:3" x14ac:dyDescent="0.25">
      <c r="B283" s="227"/>
      <c r="C283" s="227"/>
    </row>
    <row r="284" spans="2:3" x14ac:dyDescent="0.25">
      <c r="B284" s="227"/>
      <c r="C284" s="227"/>
    </row>
    <row r="285" spans="2:3" x14ac:dyDescent="0.25">
      <c r="B285" s="227"/>
      <c r="C285" s="227"/>
    </row>
    <row r="286" spans="2:3" x14ac:dyDescent="0.25">
      <c r="B286" s="227"/>
      <c r="C286" s="227"/>
    </row>
    <row r="287" spans="2:3" x14ac:dyDescent="0.25">
      <c r="B287" s="227"/>
      <c r="C287" s="227"/>
    </row>
    <row r="288" spans="2:3" x14ac:dyDescent="0.25">
      <c r="B288" s="227"/>
      <c r="C288" s="227"/>
    </row>
    <row r="289" spans="2:3" x14ac:dyDescent="0.25">
      <c r="B289" s="227"/>
      <c r="C289" s="227"/>
    </row>
    <row r="290" spans="2:3" x14ac:dyDescent="0.25">
      <c r="B290" s="227"/>
      <c r="C290" s="227"/>
    </row>
    <row r="291" spans="2:3" x14ac:dyDescent="0.25">
      <c r="B291" s="227"/>
      <c r="C291" s="227"/>
    </row>
    <row r="292" spans="2:3" x14ac:dyDescent="0.25">
      <c r="B292" s="227"/>
      <c r="C292" s="227"/>
    </row>
    <row r="293" spans="2:3" x14ac:dyDescent="0.25">
      <c r="B293" s="227"/>
      <c r="C293" s="227"/>
    </row>
    <row r="294" spans="2:3" x14ac:dyDescent="0.25">
      <c r="B294" s="227"/>
      <c r="C294" s="227"/>
    </row>
    <row r="295" spans="2:3" x14ac:dyDescent="0.25">
      <c r="B295" s="227"/>
      <c r="C295" s="227"/>
    </row>
    <row r="296" spans="2:3" x14ac:dyDescent="0.25">
      <c r="B296" s="227"/>
      <c r="C296" s="227"/>
    </row>
    <row r="297" spans="2:3" x14ac:dyDescent="0.25">
      <c r="B297" s="227"/>
      <c r="C297" s="227"/>
    </row>
    <row r="298" spans="2:3" x14ac:dyDescent="0.25">
      <c r="B298" s="227"/>
      <c r="C298" s="227"/>
    </row>
    <row r="299" spans="2:3" x14ac:dyDescent="0.25">
      <c r="B299" s="227"/>
      <c r="C299" s="227"/>
    </row>
    <row r="300" spans="2:3" x14ac:dyDescent="0.25">
      <c r="B300" s="227"/>
      <c r="C300" s="227"/>
    </row>
    <row r="301" spans="2:3" x14ac:dyDescent="0.25">
      <c r="B301" s="227"/>
      <c r="C301" s="227"/>
    </row>
    <row r="302" spans="2:3" x14ac:dyDescent="0.25">
      <c r="B302" s="227"/>
      <c r="C302" s="227"/>
    </row>
    <row r="303" spans="2:3" x14ac:dyDescent="0.25">
      <c r="B303" s="227"/>
      <c r="C303" s="227"/>
    </row>
    <row r="304" spans="2:3" x14ac:dyDescent="0.25">
      <c r="B304" s="227"/>
      <c r="C304" s="227"/>
    </row>
    <row r="305" spans="2:3" x14ac:dyDescent="0.25">
      <c r="B305" s="227"/>
      <c r="C305" s="227"/>
    </row>
    <row r="306" spans="2:3" x14ac:dyDescent="0.25">
      <c r="B306" s="227"/>
      <c r="C306" s="227"/>
    </row>
    <row r="307" spans="2:3" x14ac:dyDescent="0.25">
      <c r="B307" s="227"/>
      <c r="C307" s="227"/>
    </row>
    <row r="308" spans="2:3" x14ac:dyDescent="0.25">
      <c r="B308" s="227"/>
      <c r="C308" s="227"/>
    </row>
    <row r="309" spans="2:3" x14ac:dyDescent="0.25">
      <c r="B309" s="227"/>
      <c r="C309" s="227"/>
    </row>
    <row r="310" spans="2:3" x14ac:dyDescent="0.25">
      <c r="B310" s="227"/>
      <c r="C310" s="227"/>
    </row>
    <row r="311" spans="2:3" x14ac:dyDescent="0.25">
      <c r="B311" s="227"/>
      <c r="C311" s="227"/>
    </row>
    <row r="312" spans="2:3" x14ac:dyDescent="0.25">
      <c r="B312" s="227"/>
      <c r="C312" s="227"/>
    </row>
    <row r="313" spans="2:3" x14ac:dyDescent="0.25">
      <c r="B313" s="227"/>
      <c r="C313" s="227"/>
    </row>
    <row r="314" spans="2:3" x14ac:dyDescent="0.25">
      <c r="B314" s="227"/>
      <c r="C314" s="227"/>
    </row>
    <row r="315" spans="2:3" x14ac:dyDescent="0.25">
      <c r="B315" s="227"/>
      <c r="C315" s="227"/>
    </row>
    <row r="316" spans="2:3" x14ac:dyDescent="0.25">
      <c r="B316" s="227"/>
      <c r="C316" s="227"/>
    </row>
    <row r="317" spans="2:3" x14ac:dyDescent="0.25">
      <c r="B317" s="227"/>
      <c r="C317" s="227"/>
    </row>
    <row r="318" spans="2:3" x14ac:dyDescent="0.25">
      <c r="B318" s="227"/>
      <c r="C318" s="227"/>
    </row>
    <row r="319" spans="2:3" x14ac:dyDescent="0.25">
      <c r="B319" s="227"/>
      <c r="C319" s="227"/>
    </row>
    <row r="320" spans="2:3" x14ac:dyDescent="0.25">
      <c r="B320" s="227"/>
      <c r="C320" s="227"/>
    </row>
    <row r="321" spans="2:3" x14ac:dyDescent="0.25">
      <c r="B321" s="227"/>
      <c r="C321" s="227"/>
    </row>
    <row r="322" spans="2:3" x14ac:dyDescent="0.25">
      <c r="B322" s="227"/>
      <c r="C322" s="227"/>
    </row>
    <row r="323" spans="2:3" x14ac:dyDescent="0.25">
      <c r="B323" s="227"/>
      <c r="C323" s="227"/>
    </row>
    <row r="324" spans="2:3" x14ac:dyDescent="0.25">
      <c r="B324" s="227"/>
      <c r="C324" s="227"/>
    </row>
    <row r="325" spans="2:3" x14ac:dyDescent="0.25">
      <c r="B325" s="227"/>
      <c r="C325" s="227"/>
    </row>
    <row r="326" spans="2:3" x14ac:dyDescent="0.25">
      <c r="B326" s="227"/>
      <c r="C326" s="227"/>
    </row>
    <row r="327" spans="2:3" x14ac:dyDescent="0.25">
      <c r="B327" s="227"/>
      <c r="C327" s="227"/>
    </row>
    <row r="328" spans="2:3" x14ac:dyDescent="0.25">
      <c r="B328" s="227"/>
      <c r="C328" s="227"/>
    </row>
    <row r="329" spans="2:3" x14ac:dyDescent="0.25">
      <c r="B329" s="227"/>
      <c r="C329" s="227"/>
    </row>
    <row r="330" spans="2:3" x14ac:dyDescent="0.25">
      <c r="B330" s="227"/>
      <c r="C330" s="227"/>
    </row>
    <row r="331" spans="2:3" x14ac:dyDescent="0.25">
      <c r="B331" s="227"/>
      <c r="C331" s="227"/>
    </row>
    <row r="332" spans="2:3" x14ac:dyDescent="0.25">
      <c r="B332" s="227"/>
      <c r="C332" s="227"/>
    </row>
    <row r="333" spans="2:3" x14ac:dyDescent="0.25">
      <c r="B333" s="227"/>
      <c r="C333" s="227"/>
    </row>
    <row r="334" spans="2:3" x14ac:dyDescent="0.25">
      <c r="B334" s="227"/>
      <c r="C334" s="227"/>
    </row>
    <row r="335" spans="2:3" x14ac:dyDescent="0.25">
      <c r="B335" s="227"/>
      <c r="C335" s="227"/>
    </row>
    <row r="336" spans="2:3" x14ac:dyDescent="0.25">
      <c r="B336" s="227"/>
      <c r="C336" s="227"/>
    </row>
    <row r="337" spans="2:3" x14ac:dyDescent="0.25">
      <c r="B337" s="227"/>
      <c r="C337" s="227"/>
    </row>
    <row r="338" spans="2:3" x14ac:dyDescent="0.25">
      <c r="B338" s="227"/>
      <c r="C338" s="227"/>
    </row>
    <row r="339" spans="2:3" x14ac:dyDescent="0.25">
      <c r="B339" s="227"/>
      <c r="C339" s="227"/>
    </row>
    <row r="340" spans="2:3" x14ac:dyDescent="0.25">
      <c r="B340" s="227"/>
      <c r="C340" s="227"/>
    </row>
    <row r="341" spans="2:3" x14ac:dyDescent="0.25">
      <c r="B341" s="227"/>
      <c r="C341" s="227"/>
    </row>
    <row r="342" spans="2:3" x14ac:dyDescent="0.25">
      <c r="B342" s="227"/>
      <c r="C342" s="227"/>
    </row>
    <row r="343" spans="2:3" x14ac:dyDescent="0.25">
      <c r="B343" s="227"/>
      <c r="C343" s="227"/>
    </row>
    <row r="344" spans="2:3" x14ac:dyDescent="0.25">
      <c r="B344" s="227"/>
      <c r="C344" s="227"/>
    </row>
    <row r="345" spans="2:3" x14ac:dyDescent="0.25">
      <c r="B345" s="227"/>
      <c r="C345" s="227"/>
    </row>
    <row r="346" spans="2:3" x14ac:dyDescent="0.25">
      <c r="B346" s="227"/>
      <c r="C346" s="227"/>
    </row>
    <row r="347" spans="2:3" x14ac:dyDescent="0.25">
      <c r="B347" s="227"/>
      <c r="C347" s="227"/>
    </row>
    <row r="348" spans="2:3" x14ac:dyDescent="0.25">
      <c r="B348" s="227"/>
      <c r="C348" s="227"/>
    </row>
    <row r="349" spans="2:3" x14ac:dyDescent="0.25">
      <c r="B349" s="227"/>
      <c r="C349" s="227"/>
    </row>
    <row r="350" spans="2:3" x14ac:dyDescent="0.25">
      <c r="B350" s="227"/>
      <c r="C350" s="227"/>
    </row>
    <row r="351" spans="2:3" x14ac:dyDescent="0.25">
      <c r="B351" s="227"/>
      <c r="C351" s="227"/>
    </row>
    <row r="352" spans="2:3" x14ac:dyDescent="0.25">
      <c r="B352" s="227"/>
      <c r="C352" s="227"/>
    </row>
    <row r="353" spans="2:3" x14ac:dyDescent="0.25">
      <c r="B353" s="227"/>
      <c r="C353" s="227"/>
    </row>
    <row r="354" spans="2:3" x14ac:dyDescent="0.25">
      <c r="B354" s="227"/>
      <c r="C354" s="227"/>
    </row>
    <row r="355" spans="2:3" x14ac:dyDescent="0.25">
      <c r="B355" s="227"/>
      <c r="C355" s="227"/>
    </row>
    <row r="356" spans="2:3" x14ac:dyDescent="0.25">
      <c r="B356" s="227"/>
      <c r="C356" s="227"/>
    </row>
    <row r="357" spans="2:3" x14ac:dyDescent="0.25">
      <c r="B357" s="227"/>
      <c r="C357" s="227"/>
    </row>
    <row r="358" spans="2:3" x14ac:dyDescent="0.25">
      <c r="B358" s="227"/>
      <c r="C358" s="227"/>
    </row>
    <row r="359" spans="2:3" x14ac:dyDescent="0.25">
      <c r="B359" s="227"/>
      <c r="C359" s="227"/>
    </row>
    <row r="360" spans="2:3" x14ac:dyDescent="0.25">
      <c r="B360" s="227"/>
      <c r="C360" s="227"/>
    </row>
    <row r="361" spans="2:3" x14ac:dyDescent="0.25">
      <c r="B361" s="227"/>
      <c r="C361" s="227"/>
    </row>
    <row r="362" spans="2:3" x14ac:dyDescent="0.25">
      <c r="B362" s="227"/>
      <c r="C362" s="227"/>
    </row>
    <row r="363" spans="2:3" x14ac:dyDescent="0.25">
      <c r="B363" s="227"/>
      <c r="C363" s="227"/>
    </row>
    <row r="364" spans="2:3" x14ac:dyDescent="0.25">
      <c r="B364" s="227"/>
      <c r="C364" s="227"/>
    </row>
    <row r="365" spans="2:3" x14ac:dyDescent="0.25">
      <c r="B365" s="227"/>
      <c r="C365" s="227"/>
    </row>
    <row r="366" spans="2:3" x14ac:dyDescent="0.25">
      <c r="B366" s="227"/>
      <c r="C366" s="227"/>
    </row>
    <row r="367" spans="2:3" x14ac:dyDescent="0.25">
      <c r="B367" s="227"/>
      <c r="C367" s="227"/>
    </row>
    <row r="368" spans="2:3" x14ac:dyDescent="0.25">
      <c r="B368" s="227"/>
      <c r="C368" s="227"/>
    </row>
    <row r="369" spans="2:3" x14ac:dyDescent="0.25">
      <c r="B369" s="227"/>
      <c r="C369" s="227"/>
    </row>
    <row r="370" spans="2:3" x14ac:dyDescent="0.25">
      <c r="B370" s="227"/>
      <c r="C370" s="227"/>
    </row>
    <row r="371" spans="2:3" x14ac:dyDescent="0.25">
      <c r="B371" s="227"/>
      <c r="C371" s="227"/>
    </row>
    <row r="372" spans="2:3" x14ac:dyDescent="0.25">
      <c r="B372" s="227"/>
      <c r="C372" s="227"/>
    </row>
    <row r="373" spans="2:3" x14ac:dyDescent="0.25">
      <c r="B373" s="227"/>
      <c r="C373" s="227"/>
    </row>
    <row r="374" spans="2:3" x14ac:dyDescent="0.25">
      <c r="B374" s="227"/>
      <c r="C374" s="227"/>
    </row>
    <row r="375" spans="2:3" x14ac:dyDescent="0.25">
      <c r="B375" s="227"/>
      <c r="C375" s="227"/>
    </row>
    <row r="376" spans="2:3" x14ac:dyDescent="0.25">
      <c r="B376" s="227"/>
      <c r="C376" s="227"/>
    </row>
    <row r="377" spans="2:3" x14ac:dyDescent="0.25">
      <c r="B377" s="227"/>
      <c r="C377" s="227"/>
    </row>
    <row r="378" spans="2:3" x14ac:dyDescent="0.25">
      <c r="B378" s="227"/>
      <c r="C378" s="227"/>
    </row>
    <row r="379" spans="2:3" x14ac:dyDescent="0.25">
      <c r="B379" s="227"/>
      <c r="C379" s="227"/>
    </row>
    <row r="380" spans="2:3" x14ac:dyDescent="0.25">
      <c r="B380" s="227"/>
      <c r="C380" s="227"/>
    </row>
    <row r="381" spans="2:3" x14ac:dyDescent="0.25">
      <c r="B381" s="227"/>
      <c r="C381" s="227"/>
    </row>
    <row r="382" spans="2:3" x14ac:dyDescent="0.25">
      <c r="B382" s="227"/>
      <c r="C382" s="227"/>
    </row>
    <row r="383" spans="2:3" x14ac:dyDescent="0.25">
      <c r="B383" s="227"/>
      <c r="C383" s="227"/>
    </row>
    <row r="384" spans="2:3" x14ac:dyDescent="0.25">
      <c r="B384" s="227"/>
      <c r="C384" s="227"/>
    </row>
    <row r="385" spans="2:3" x14ac:dyDescent="0.25">
      <c r="B385" s="227"/>
      <c r="C385" s="227"/>
    </row>
    <row r="386" spans="2:3" x14ac:dyDescent="0.25">
      <c r="B386" s="227"/>
      <c r="C386" s="227"/>
    </row>
    <row r="387" spans="2:3" x14ac:dyDescent="0.25">
      <c r="B387" s="227"/>
      <c r="C387" s="227"/>
    </row>
    <row r="388" spans="2:3" x14ac:dyDescent="0.25">
      <c r="B388" s="227"/>
      <c r="C388" s="227"/>
    </row>
    <row r="389" spans="2:3" x14ac:dyDescent="0.25">
      <c r="B389" s="227"/>
      <c r="C389" s="227"/>
    </row>
    <row r="390" spans="2:3" x14ac:dyDescent="0.25">
      <c r="B390" s="227"/>
      <c r="C390" s="227"/>
    </row>
    <row r="391" spans="2:3" x14ac:dyDescent="0.25">
      <c r="B391" s="227"/>
      <c r="C391" s="227"/>
    </row>
    <row r="392" spans="2:3" x14ac:dyDescent="0.25">
      <c r="B392" s="227"/>
      <c r="C392" s="227"/>
    </row>
    <row r="393" spans="2:3" x14ac:dyDescent="0.25">
      <c r="B393" s="227"/>
      <c r="C393" s="227"/>
    </row>
    <row r="394" spans="2:3" x14ac:dyDescent="0.25">
      <c r="B394" s="227"/>
      <c r="C394" s="227"/>
    </row>
    <row r="395" spans="2:3" x14ac:dyDescent="0.25">
      <c r="B395" s="227"/>
      <c r="C395" s="227"/>
    </row>
    <row r="396" spans="2:3" x14ac:dyDescent="0.25">
      <c r="B396" s="227"/>
      <c r="C396" s="227"/>
    </row>
    <row r="397" spans="2:3" x14ac:dyDescent="0.25">
      <c r="B397" s="227"/>
      <c r="C397" s="227"/>
    </row>
    <row r="398" spans="2:3" x14ac:dyDescent="0.25">
      <c r="B398" s="227"/>
      <c r="C398" s="227"/>
    </row>
    <row r="399" spans="2:3" x14ac:dyDescent="0.25">
      <c r="B399" s="227"/>
      <c r="C399" s="227"/>
    </row>
    <row r="400" spans="2:3" x14ac:dyDescent="0.25">
      <c r="B400" s="227"/>
      <c r="C400" s="227"/>
    </row>
    <row r="401" spans="2:3" x14ac:dyDescent="0.25">
      <c r="B401" s="227"/>
      <c r="C401" s="227"/>
    </row>
    <row r="402" spans="2:3" x14ac:dyDescent="0.25">
      <c r="B402" s="227"/>
      <c r="C402" s="227"/>
    </row>
    <row r="403" spans="2:3" x14ac:dyDescent="0.25">
      <c r="B403" s="227"/>
      <c r="C403" s="227"/>
    </row>
    <row r="404" spans="2:3" x14ac:dyDescent="0.25">
      <c r="B404" s="227"/>
      <c r="C404" s="227"/>
    </row>
    <row r="405" spans="2:3" x14ac:dyDescent="0.25">
      <c r="B405" s="227"/>
      <c r="C405" s="227"/>
    </row>
    <row r="406" spans="2:3" x14ac:dyDescent="0.25">
      <c r="B406" s="227"/>
      <c r="C406" s="227"/>
    </row>
    <row r="407" spans="2:3" x14ac:dyDescent="0.25">
      <c r="B407" s="227"/>
      <c r="C407" s="227"/>
    </row>
    <row r="408" spans="2:3" x14ac:dyDescent="0.25">
      <c r="B408" s="227"/>
      <c r="C408" s="227"/>
    </row>
    <row r="409" spans="2:3" x14ac:dyDescent="0.25">
      <c r="B409" s="227"/>
      <c r="C409" s="227"/>
    </row>
    <row r="410" spans="2:3" x14ac:dyDescent="0.25">
      <c r="B410" s="227"/>
      <c r="C410" s="227"/>
    </row>
    <row r="411" spans="2:3" x14ac:dyDescent="0.25">
      <c r="B411" s="227"/>
      <c r="C411" s="227"/>
    </row>
    <row r="412" spans="2:3" x14ac:dyDescent="0.25">
      <c r="B412" s="227"/>
      <c r="C412" s="227"/>
    </row>
    <row r="413" spans="2:3" x14ac:dyDescent="0.25">
      <c r="B413" s="227"/>
      <c r="C413" s="227"/>
    </row>
    <row r="414" spans="2:3" x14ac:dyDescent="0.25">
      <c r="B414" s="227"/>
      <c r="C414" s="227"/>
    </row>
    <row r="415" spans="2:3" x14ac:dyDescent="0.25">
      <c r="B415" s="227"/>
      <c r="C415" s="227"/>
    </row>
    <row r="416" spans="2:3" x14ac:dyDescent="0.25">
      <c r="B416" s="227"/>
      <c r="C416" s="227"/>
    </row>
    <row r="417" spans="2:3" x14ac:dyDescent="0.25">
      <c r="B417" s="227"/>
      <c r="C417" s="227"/>
    </row>
    <row r="418" spans="2:3" x14ac:dyDescent="0.25">
      <c r="B418" s="227"/>
      <c r="C418" s="227"/>
    </row>
    <row r="419" spans="2:3" x14ac:dyDescent="0.25">
      <c r="B419" s="227"/>
      <c r="C419" s="227"/>
    </row>
    <row r="420" spans="2:3" x14ac:dyDescent="0.25">
      <c r="B420" s="227"/>
      <c r="C420" s="227"/>
    </row>
    <row r="421" spans="2:3" x14ac:dyDescent="0.25">
      <c r="B421" s="227"/>
      <c r="C421" s="227"/>
    </row>
    <row r="422" spans="2:3" x14ac:dyDescent="0.25">
      <c r="B422" s="227"/>
      <c r="C422" s="227"/>
    </row>
    <row r="423" spans="2:3" x14ac:dyDescent="0.25">
      <c r="B423" s="227"/>
      <c r="C423" s="227"/>
    </row>
    <row r="424" spans="2:3" x14ac:dyDescent="0.25">
      <c r="B424" s="227"/>
      <c r="C424" s="227"/>
    </row>
    <row r="425" spans="2:3" x14ac:dyDescent="0.25">
      <c r="B425" s="227"/>
      <c r="C425" s="227"/>
    </row>
    <row r="426" spans="2:3" x14ac:dyDescent="0.25">
      <c r="B426" s="227"/>
      <c r="C426" s="227"/>
    </row>
    <row r="427" spans="2:3" x14ac:dyDescent="0.25">
      <c r="B427" s="227"/>
      <c r="C427" s="227"/>
    </row>
    <row r="428" spans="2:3" x14ac:dyDescent="0.25">
      <c r="B428" s="227"/>
      <c r="C428" s="227"/>
    </row>
    <row r="429" spans="2:3" x14ac:dyDescent="0.25">
      <c r="B429" s="227"/>
      <c r="C429" s="227"/>
    </row>
    <row r="430" spans="2:3" x14ac:dyDescent="0.25">
      <c r="B430" s="227"/>
      <c r="C430" s="227"/>
    </row>
    <row r="431" spans="2:3" x14ac:dyDescent="0.25">
      <c r="B431" s="227"/>
      <c r="C431" s="227"/>
    </row>
    <row r="432" spans="2:3" x14ac:dyDescent="0.25">
      <c r="B432" s="227"/>
      <c r="C432" s="227"/>
    </row>
    <row r="433" spans="2:3" x14ac:dyDescent="0.25">
      <c r="B433" s="227"/>
      <c r="C433" s="227"/>
    </row>
    <row r="434" spans="2:3" x14ac:dyDescent="0.25">
      <c r="B434" s="227"/>
      <c r="C434" s="227"/>
    </row>
    <row r="435" spans="2:3" x14ac:dyDescent="0.25">
      <c r="B435" s="227"/>
      <c r="C435" s="227"/>
    </row>
    <row r="436" spans="2:3" x14ac:dyDescent="0.25">
      <c r="B436" s="227"/>
      <c r="C436" s="227"/>
    </row>
    <row r="437" spans="2:3" x14ac:dyDescent="0.25">
      <c r="B437" s="227"/>
      <c r="C437" s="227"/>
    </row>
    <row r="438" spans="2:3" x14ac:dyDescent="0.25">
      <c r="B438" s="227"/>
      <c r="C438" s="227"/>
    </row>
    <row r="439" spans="2:3" x14ac:dyDescent="0.25">
      <c r="B439" s="227"/>
      <c r="C439" s="227"/>
    </row>
    <row r="440" spans="2:3" x14ac:dyDescent="0.25">
      <c r="B440" s="227"/>
      <c r="C440" s="227"/>
    </row>
    <row r="441" spans="2:3" x14ac:dyDescent="0.25">
      <c r="B441" s="227"/>
      <c r="C441" s="227"/>
    </row>
    <row r="442" spans="2:3" x14ac:dyDescent="0.25">
      <c r="B442" s="227"/>
      <c r="C442" s="227"/>
    </row>
    <row r="443" spans="2:3" x14ac:dyDescent="0.25">
      <c r="B443" s="227"/>
      <c r="C443" s="227"/>
    </row>
    <row r="444" spans="2:3" x14ac:dyDescent="0.25">
      <c r="B444" s="227"/>
      <c r="C444" s="227"/>
    </row>
    <row r="445" spans="2:3" x14ac:dyDescent="0.25">
      <c r="B445" s="227"/>
      <c r="C445" s="227"/>
    </row>
    <row r="446" spans="2:3" x14ac:dyDescent="0.25">
      <c r="B446" s="227"/>
      <c r="C446" s="227"/>
    </row>
    <row r="447" spans="2:3" x14ac:dyDescent="0.25">
      <c r="B447" s="227"/>
      <c r="C447" s="227"/>
    </row>
    <row r="448" spans="2:3" x14ac:dyDescent="0.25">
      <c r="B448" s="227"/>
      <c r="C448" s="227"/>
    </row>
    <row r="449" spans="2:3" x14ac:dyDescent="0.25">
      <c r="B449" s="227"/>
      <c r="C449" s="227"/>
    </row>
    <row r="450" spans="2:3" x14ac:dyDescent="0.25">
      <c r="B450" s="227"/>
      <c r="C450" s="227"/>
    </row>
    <row r="451" spans="2:3" x14ac:dyDescent="0.25">
      <c r="B451" s="227"/>
      <c r="C451" s="227"/>
    </row>
    <row r="452" spans="2:3" x14ac:dyDescent="0.25">
      <c r="B452" s="227"/>
      <c r="C452" s="227"/>
    </row>
    <row r="453" spans="2:3" x14ac:dyDescent="0.25">
      <c r="B453" s="227"/>
      <c r="C453" s="227"/>
    </row>
    <row r="454" spans="2:3" x14ac:dyDescent="0.25">
      <c r="B454" s="227"/>
      <c r="C454" s="227"/>
    </row>
    <row r="455" spans="2:3" x14ac:dyDescent="0.25">
      <c r="B455" s="227"/>
      <c r="C455" s="227"/>
    </row>
    <row r="456" spans="2:3" x14ac:dyDescent="0.25">
      <c r="B456" s="227"/>
      <c r="C456" s="227"/>
    </row>
    <row r="457" spans="2:3" x14ac:dyDescent="0.25">
      <c r="B457" s="227"/>
      <c r="C457" s="227"/>
    </row>
    <row r="458" spans="2:3" x14ac:dyDescent="0.25">
      <c r="B458" s="227"/>
      <c r="C458" s="227"/>
    </row>
    <row r="459" spans="2:3" x14ac:dyDescent="0.25">
      <c r="B459" s="227"/>
      <c r="C459" s="227"/>
    </row>
    <row r="460" spans="2:3" x14ac:dyDescent="0.25">
      <c r="B460" s="227"/>
      <c r="C460" s="227"/>
    </row>
    <row r="461" spans="2:3" x14ac:dyDescent="0.25">
      <c r="B461" s="227"/>
      <c r="C461" s="227"/>
    </row>
    <row r="462" spans="2:3" x14ac:dyDescent="0.25">
      <c r="B462" s="227"/>
      <c r="C462" s="227"/>
    </row>
    <row r="463" spans="2:3" x14ac:dyDescent="0.25">
      <c r="B463" s="227"/>
      <c r="C463" s="227"/>
    </row>
    <row r="464" spans="2:3" x14ac:dyDescent="0.25">
      <c r="B464" s="227"/>
      <c r="C464" s="227"/>
    </row>
    <row r="465" spans="2:3" x14ac:dyDescent="0.25">
      <c r="B465" s="227"/>
      <c r="C465" s="227"/>
    </row>
    <row r="466" spans="2:3" x14ac:dyDescent="0.25">
      <c r="B466" s="227"/>
      <c r="C466" s="227"/>
    </row>
    <row r="467" spans="2:3" x14ac:dyDescent="0.25">
      <c r="B467" s="227"/>
      <c r="C467" s="227"/>
    </row>
    <row r="468" spans="2:3" x14ac:dyDescent="0.25">
      <c r="B468" s="227"/>
      <c r="C468" s="227"/>
    </row>
    <row r="469" spans="2:3" x14ac:dyDescent="0.25">
      <c r="B469" s="227"/>
      <c r="C469" s="227"/>
    </row>
    <row r="470" spans="2:3" x14ac:dyDescent="0.25">
      <c r="B470" s="227"/>
      <c r="C470" s="227"/>
    </row>
    <row r="471" spans="2:3" x14ac:dyDescent="0.25">
      <c r="B471" s="227"/>
      <c r="C471" s="227"/>
    </row>
    <row r="472" spans="2:3" x14ac:dyDescent="0.25">
      <c r="B472" s="227"/>
      <c r="C472" s="227"/>
    </row>
    <row r="473" spans="2:3" x14ac:dyDescent="0.25">
      <c r="B473" s="227"/>
      <c r="C473" s="227"/>
    </row>
    <row r="474" spans="2:3" x14ac:dyDescent="0.25">
      <c r="B474" s="227"/>
      <c r="C474" s="227"/>
    </row>
    <row r="475" spans="2:3" x14ac:dyDescent="0.25">
      <c r="B475" s="227"/>
      <c r="C475" s="227"/>
    </row>
    <row r="476" spans="2:3" x14ac:dyDescent="0.25">
      <c r="B476" s="227"/>
      <c r="C476" s="227"/>
    </row>
    <row r="477" spans="2:3" x14ac:dyDescent="0.25">
      <c r="B477" s="227"/>
      <c r="C477" s="227"/>
    </row>
    <row r="478" spans="2:3" x14ac:dyDescent="0.25">
      <c r="B478" s="227"/>
      <c r="C478" s="227"/>
    </row>
    <row r="479" spans="2:3" x14ac:dyDescent="0.25">
      <c r="B479" s="227"/>
      <c r="C479" s="227"/>
    </row>
    <row r="480" spans="2:3" x14ac:dyDescent="0.25">
      <c r="B480" s="227"/>
      <c r="C480" s="227"/>
    </row>
    <row r="481" spans="2:3" x14ac:dyDescent="0.25">
      <c r="B481" s="227"/>
      <c r="C481" s="227"/>
    </row>
    <row r="482" spans="2:3" x14ac:dyDescent="0.25">
      <c r="B482" s="227"/>
      <c r="C482" s="227"/>
    </row>
    <row r="483" spans="2:3" x14ac:dyDescent="0.25">
      <c r="B483" s="227"/>
      <c r="C483" s="227"/>
    </row>
    <row r="484" spans="2:3" x14ac:dyDescent="0.25">
      <c r="B484" s="227"/>
      <c r="C484" s="227"/>
    </row>
    <row r="485" spans="2:3" x14ac:dyDescent="0.25">
      <c r="B485" s="227"/>
      <c r="C485" s="227"/>
    </row>
    <row r="486" spans="2:3" x14ac:dyDescent="0.25">
      <c r="B486" s="227"/>
      <c r="C486" s="227"/>
    </row>
    <row r="487" spans="2:3" x14ac:dyDescent="0.25">
      <c r="B487" s="227"/>
      <c r="C487" s="227"/>
    </row>
    <row r="488" spans="2:3" x14ac:dyDescent="0.25">
      <c r="B488" s="227"/>
      <c r="C488" s="227"/>
    </row>
    <row r="489" spans="2:3" x14ac:dyDescent="0.25">
      <c r="B489" s="227"/>
      <c r="C489" s="227"/>
    </row>
    <row r="490" spans="2:3" x14ac:dyDescent="0.25">
      <c r="B490" s="227"/>
      <c r="C490" s="227"/>
    </row>
    <row r="491" spans="2:3" x14ac:dyDescent="0.25">
      <c r="B491" s="227"/>
      <c r="C491" s="227"/>
    </row>
    <row r="492" spans="2:3" x14ac:dyDescent="0.25">
      <c r="B492" s="227"/>
      <c r="C492" s="227"/>
    </row>
    <row r="493" spans="2:3" x14ac:dyDescent="0.25">
      <c r="B493" s="227"/>
      <c r="C493" s="227"/>
    </row>
    <row r="494" spans="2:3" x14ac:dyDescent="0.25">
      <c r="B494" s="227"/>
      <c r="C494" s="227"/>
    </row>
    <row r="495" spans="2:3" x14ac:dyDescent="0.25">
      <c r="B495" s="227"/>
      <c r="C495" s="227"/>
    </row>
    <row r="496" spans="2:3" x14ac:dyDescent="0.25">
      <c r="B496" s="227"/>
      <c r="C496" s="227"/>
    </row>
    <row r="497" spans="2:3" x14ac:dyDescent="0.25">
      <c r="B497" s="227"/>
      <c r="C497" s="227"/>
    </row>
    <row r="498" spans="2:3" x14ac:dyDescent="0.25">
      <c r="B498" s="227"/>
      <c r="C498" s="227"/>
    </row>
    <row r="499" spans="2:3" x14ac:dyDescent="0.25">
      <c r="B499" s="227"/>
      <c r="C499" s="227"/>
    </row>
    <row r="500" spans="2:3" x14ac:dyDescent="0.25">
      <c r="B500" s="227"/>
      <c r="C500" s="227"/>
    </row>
    <row r="501" spans="2:3" x14ac:dyDescent="0.25">
      <c r="B501" s="227"/>
      <c r="C501" s="227"/>
    </row>
    <row r="502" spans="2:3" x14ac:dyDescent="0.25">
      <c r="B502" s="227"/>
      <c r="C502" s="227"/>
    </row>
    <row r="503" spans="2:3" x14ac:dyDescent="0.25">
      <c r="B503" s="227"/>
      <c r="C503" s="227"/>
    </row>
    <row r="504" spans="2:3" x14ac:dyDescent="0.25">
      <c r="B504" s="227"/>
      <c r="C504" s="227"/>
    </row>
    <row r="505" spans="2:3" x14ac:dyDescent="0.25">
      <c r="B505" s="227"/>
      <c r="C505" s="227"/>
    </row>
    <row r="506" spans="2:3" x14ac:dyDescent="0.25">
      <c r="B506" s="227"/>
      <c r="C506" s="227"/>
    </row>
    <row r="507" spans="2:3" x14ac:dyDescent="0.25">
      <c r="B507" s="227"/>
      <c r="C507" s="227"/>
    </row>
    <row r="508" spans="2:3" x14ac:dyDescent="0.25">
      <c r="B508" s="227"/>
      <c r="C508" s="227"/>
    </row>
  </sheetData>
  <sortState ref="B1:B505">
    <sortCondition ref="B124"/>
  </sortState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C77F39B02CBD74F86D12C66AC4450F2" ma:contentTypeVersion="6" ma:contentTypeDescription="Crie um novo documento." ma:contentTypeScope="" ma:versionID="6ca587ec81551f9bb964f58d0f09b719">
  <xsd:schema xmlns:xsd="http://www.w3.org/2001/XMLSchema" xmlns:xs="http://www.w3.org/2001/XMLSchema" xmlns:p="http://schemas.microsoft.com/office/2006/metadata/properties" xmlns:ns2="02b56a4a-5d71-4cdb-a4fc-58687012eabb" targetNamespace="http://schemas.microsoft.com/office/2006/metadata/properties" ma:root="true" ma:fieldsID="ba6abb34c19e9d540b3e4221c65122da" ns2:_="">
    <xsd:import namespace="02b56a4a-5d71-4cdb-a4fc-58687012e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56a4a-5d71-4cdb-a4fc-58687012ea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995ADC-00CF-4A60-9077-4EE69B3B9F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F6DD341-2966-4FAB-A5FA-DC5AEEEC2F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CDE9C3-0B32-4BB6-AEC3-BBB92A822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56a4a-5d71-4cdb-a4fc-58687012ea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passo-a-passo</vt:lpstr>
      <vt:lpstr>calculo - hotelaria</vt:lpstr>
      <vt:lpstr>calculo - nutricao</vt:lpstr>
      <vt:lpstr>calculo - lavanderia</vt:lpstr>
      <vt:lpstr>calculo - eng.clinica</vt:lpstr>
      <vt:lpstr>calculo - serv.geral</vt:lpstr>
      <vt:lpstr>calculo - sost</vt:lpstr>
      <vt:lpstr>planilha - proposta</vt:lpstr>
      <vt:lpstr>custoEPI</vt:lpstr>
      <vt:lpstr>custoEPI_huol</vt:lpstr>
      <vt:lpstr>custoEPI_mejc</vt:lpstr>
      <vt:lpstr>custoEPI_huab</vt:lpstr>
      <vt:lpstr>Uniformes </vt:lpstr>
      <vt:lpstr>Radios</vt:lpstr>
      <vt:lpstr>ResumoFardamento</vt:lpstr>
      <vt:lpstr>'calculo - eng.clinica'!Area_de_impressao</vt:lpstr>
      <vt:lpstr>'calculo - hotelaria'!Area_de_impressao</vt:lpstr>
      <vt:lpstr>'calculo - lavanderia'!Area_de_impressao</vt:lpstr>
      <vt:lpstr>'calculo - nutricao'!Area_de_impressao</vt:lpstr>
      <vt:lpstr>'calculo - serv.geral'!Area_de_impressao</vt:lpstr>
      <vt:lpstr>'calculo - sost'!Area_de_impressao</vt:lpstr>
      <vt:lpstr>custoEPI_huab!Area_de_impressao</vt:lpstr>
      <vt:lpstr>custoEPI_huol!Area_de_impressao</vt:lpstr>
      <vt:lpstr>custoEPI_mejc!Area_de_impressao</vt:lpstr>
      <vt:lpstr>'planilha - proposta'!Area_de_impressao</vt:lpstr>
      <vt:lpstr>Radios!Area_de_impressao</vt:lpstr>
      <vt:lpstr>'Uniformes '!Area_de_impressao</vt:lpstr>
    </vt:vector>
  </TitlesOfParts>
  <Manager/>
  <Company>Ministério da Educação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Alipio Paulino de Aguiar</dc:creator>
  <cp:keywords/>
  <dc:description/>
  <cp:lastModifiedBy>Rafael Wagner Alves De Amorim</cp:lastModifiedBy>
  <cp:revision/>
  <cp:lastPrinted>2020-09-15T12:10:10Z</cp:lastPrinted>
  <dcterms:created xsi:type="dcterms:W3CDTF">2014-01-21T12:35:32Z</dcterms:created>
  <dcterms:modified xsi:type="dcterms:W3CDTF">2020-09-15T12:15:21Z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0x0101005C77F39B02CBD74F86D12C66AC4450F2</vt:lpwstr>
  </property>
</Properties>
</file>