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inaide.santos\Documents\"/>
    </mc:Choice>
  </mc:AlternateContent>
  <xr:revisionPtr revIDLastSave="0" documentId="8_{A11E4D18-ADF2-4E10-A4EF-20BA89BF96C9}" xr6:coauthVersionLast="47" xr6:coauthVersionMax="47" xr10:uidLastSave="{00000000-0000-0000-0000-000000000000}"/>
  <bookViews>
    <workbookView xWindow="1305" yWindow="1080" windowWidth="15765" windowHeight="12885" xr2:uid="{1B4CA021-89D9-485E-9B38-6659FB68ACA3}"/>
  </bookViews>
  <sheets>
    <sheet name="ATEND POR ACIDENTE TERR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7" i="1" l="1"/>
  <c r="L117" i="1"/>
  <c r="K117" i="1"/>
  <c r="J117" i="1"/>
  <c r="I117" i="1"/>
  <c r="H117" i="1"/>
  <c r="G117" i="1"/>
  <c r="F117" i="1"/>
  <c r="E117" i="1"/>
  <c r="D117" i="1"/>
  <c r="C117" i="1"/>
  <c r="B117" i="1"/>
  <c r="N116" i="1"/>
  <c r="N115" i="1"/>
  <c r="N114" i="1"/>
  <c r="N113" i="1"/>
  <c r="N112" i="1"/>
  <c r="N111" i="1"/>
  <c r="N110" i="1"/>
  <c r="N109" i="1"/>
  <c r="N108" i="1"/>
  <c r="N107" i="1"/>
  <c r="N106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N102" i="1"/>
  <c r="N101" i="1"/>
  <c r="O101" i="1" s="1"/>
  <c r="N100" i="1"/>
  <c r="N99" i="1"/>
  <c r="N98" i="1"/>
  <c r="N97" i="1"/>
  <c r="N96" i="1"/>
  <c r="N95" i="1"/>
  <c r="N94" i="1"/>
  <c r="N93" i="1"/>
  <c r="N92" i="1"/>
  <c r="N91" i="1"/>
  <c r="N103" i="1" s="1"/>
  <c r="M88" i="1"/>
  <c r="L88" i="1"/>
  <c r="K88" i="1"/>
  <c r="J88" i="1"/>
  <c r="I88" i="1"/>
  <c r="H88" i="1"/>
  <c r="G88" i="1"/>
  <c r="F88" i="1"/>
  <c r="E88" i="1"/>
  <c r="D88" i="1"/>
  <c r="C88" i="1"/>
  <c r="B88" i="1"/>
  <c r="N87" i="1"/>
  <c r="N86" i="1"/>
  <c r="N85" i="1"/>
  <c r="N84" i="1"/>
  <c r="N83" i="1"/>
  <c r="N82" i="1"/>
  <c r="N81" i="1"/>
  <c r="N80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N75" i="1"/>
  <c r="N74" i="1"/>
  <c r="N73" i="1"/>
  <c r="N72" i="1"/>
  <c r="N71" i="1"/>
  <c r="N70" i="1"/>
  <c r="N69" i="1"/>
  <c r="N68" i="1"/>
  <c r="N67" i="1"/>
  <c r="N66" i="1"/>
  <c r="N65" i="1"/>
  <c r="N77" i="1" s="1"/>
  <c r="N62" i="1"/>
  <c r="O58" i="1" s="1"/>
  <c r="M62" i="1"/>
  <c r="K62" i="1"/>
  <c r="J62" i="1"/>
  <c r="I62" i="1"/>
  <c r="H62" i="1"/>
  <c r="G62" i="1"/>
  <c r="F62" i="1"/>
  <c r="E62" i="1"/>
  <c r="D62" i="1"/>
  <c r="C62" i="1"/>
  <c r="B62" i="1"/>
  <c r="N61" i="1"/>
  <c r="O61" i="1" s="1"/>
  <c r="N60" i="1"/>
  <c r="O60" i="1" s="1"/>
  <c r="L60" i="1"/>
  <c r="L62" i="1" s="1"/>
  <c r="O59" i="1"/>
  <c r="N59" i="1"/>
  <c r="N58" i="1"/>
  <c r="N57" i="1"/>
  <c r="O56" i="1"/>
  <c r="N56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O52" i="1" s="1"/>
  <c r="N51" i="1"/>
  <c r="O51" i="1" s="1"/>
  <c r="N50" i="1"/>
  <c r="O50" i="1" s="1"/>
  <c r="N49" i="1"/>
  <c r="N48" i="1"/>
  <c r="N53" i="1" s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N43" i="1"/>
  <c r="N42" i="1"/>
  <c r="N41" i="1"/>
  <c r="O41" i="1" s="1"/>
  <c r="N40" i="1"/>
  <c r="N39" i="1"/>
  <c r="N38" i="1"/>
  <c r="N37" i="1"/>
  <c r="N45" i="1" s="1"/>
  <c r="M34" i="1"/>
  <c r="K34" i="1"/>
  <c r="J34" i="1"/>
  <c r="I34" i="1"/>
  <c r="H34" i="1"/>
  <c r="G34" i="1"/>
  <c r="F34" i="1"/>
  <c r="E34" i="1"/>
  <c r="D34" i="1"/>
  <c r="C34" i="1"/>
  <c r="B34" i="1"/>
  <c r="N33" i="1"/>
  <c r="N32" i="1"/>
  <c r="L32" i="1"/>
  <c r="L31" i="1"/>
  <c r="N31" i="1" s="1"/>
  <c r="N30" i="1"/>
  <c r="N29" i="1"/>
  <c r="L29" i="1"/>
  <c r="L34" i="1" s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N21" i="1"/>
  <c r="N26" i="1" s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N16" i="1"/>
  <c r="O16" i="1" s="1"/>
  <c r="N15" i="1"/>
  <c r="O15" i="1" s="1"/>
  <c r="N14" i="1"/>
  <c r="N13" i="1"/>
  <c r="N12" i="1"/>
  <c r="N11" i="1"/>
  <c r="N18" i="1" s="1"/>
  <c r="M8" i="1"/>
  <c r="L8" i="1"/>
  <c r="K8" i="1"/>
  <c r="J8" i="1"/>
  <c r="I8" i="1"/>
  <c r="H8" i="1"/>
  <c r="G8" i="1"/>
  <c r="F8" i="1"/>
  <c r="E8" i="1"/>
  <c r="D8" i="1"/>
  <c r="C8" i="1"/>
  <c r="B8" i="1"/>
  <c r="N7" i="1"/>
  <c r="N6" i="1"/>
  <c r="O6" i="1" s="1"/>
  <c r="N5" i="1"/>
  <c r="N8" i="1" s="1"/>
  <c r="N2" i="1"/>
  <c r="O71" i="1" l="1"/>
  <c r="O69" i="1"/>
  <c r="O66" i="1"/>
  <c r="O68" i="1"/>
  <c r="O76" i="1"/>
  <c r="O67" i="1"/>
  <c r="O74" i="1"/>
  <c r="O65" i="1"/>
  <c r="O70" i="1"/>
  <c r="O73" i="1"/>
  <c r="O80" i="1"/>
  <c r="O86" i="1"/>
  <c r="O72" i="1"/>
  <c r="O17" i="1"/>
  <c r="O33" i="1"/>
  <c r="O42" i="1"/>
  <c r="O43" i="1"/>
  <c r="O40" i="1"/>
  <c r="O37" i="1"/>
  <c r="O39" i="1"/>
  <c r="O82" i="1"/>
  <c r="O94" i="1"/>
  <c r="O98" i="1"/>
  <c r="O95" i="1"/>
  <c r="O92" i="1"/>
  <c r="O100" i="1"/>
  <c r="O91" i="1"/>
  <c r="O97" i="1"/>
  <c r="O102" i="1"/>
  <c r="O99" i="1"/>
  <c r="O96" i="1"/>
  <c r="O93" i="1"/>
  <c r="O106" i="1"/>
  <c r="O112" i="1"/>
  <c r="O12" i="1"/>
  <c r="O38" i="1"/>
  <c r="O44" i="1"/>
  <c r="O83" i="1"/>
  <c r="O13" i="1"/>
  <c r="O75" i="1"/>
  <c r="O114" i="1"/>
  <c r="O5" i="1"/>
  <c r="O7" i="1"/>
  <c r="O14" i="1"/>
  <c r="O49" i="1"/>
  <c r="O85" i="1"/>
  <c r="O109" i="1"/>
  <c r="O115" i="1"/>
  <c r="N34" i="1"/>
  <c r="O32" i="1" s="1"/>
  <c r="N88" i="1"/>
  <c r="N117" i="1"/>
  <c r="O48" i="1"/>
  <c r="O11" i="1"/>
  <c r="O57" i="1"/>
  <c r="O116" i="1" l="1"/>
  <c r="O113" i="1"/>
  <c r="O110" i="1"/>
  <c r="O107" i="1"/>
  <c r="O87" i="1"/>
  <c r="O84" i="1"/>
  <c r="O81" i="1"/>
  <c r="O31" i="1"/>
  <c r="O29" i="1"/>
  <c r="O108" i="1"/>
  <c r="O111" i="1"/>
  <c r="O30" i="1"/>
</calcChain>
</file>

<file path=xl/sharedStrings.xml><?xml version="1.0" encoding="utf-8"?>
<sst xmlns="http://schemas.openxmlformats.org/spreadsheetml/2006/main" count="272" uniqueCount="97">
  <si>
    <t>ATT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</si>
  <si>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</si>
  <si>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</si>
  <si>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</si>
  <si>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</si>
  <si>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</si>
  <si>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</si>
  <si>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</si>
  <si>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</si>
  <si>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</si>
  <si>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</si>
  <si>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</si>
  <si>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</si>
  <si>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2024</t>
  </si>
  <si>
    <t>Nº de ATT's</t>
  </si>
  <si>
    <t>SEXO</t>
  </si>
  <si>
    <t>2024 [%]</t>
  </si>
  <si>
    <t>Masculino</t>
  </si>
  <si>
    <t>Feminino</t>
  </si>
  <si>
    <t>Ignorado</t>
  </si>
  <si>
    <t>NATUREZA DO ACIDENTE</t>
  </si>
  <si>
    <t>Colisão/Abalroamento</t>
  </si>
  <si>
    <t>Atropelamento</t>
  </si>
  <si>
    <t>Tombamento/Capotamento</t>
  </si>
  <si>
    <t>Queda em/do Veículo</t>
  </si>
  <si>
    <t>Choque com objeto fixo</t>
  </si>
  <si>
    <t xml:space="preserve">Ignorado </t>
  </si>
  <si>
    <t>Outro</t>
  </si>
  <si>
    <t>FATORES RELACIONADOS AO ACIDENTE (* Mais de um fator pode estar envolvido em um mesmo acidente)</t>
  </si>
  <si>
    <t>FATORES RELACIONADOS AO ACIDENTE</t>
  </si>
  <si>
    <t>Excesso de Velocidade</t>
  </si>
  <si>
    <t>Condutor sem habilitação</t>
  </si>
  <si>
    <t>Vítima sem cinto de segurança</t>
  </si>
  <si>
    <t>Vítima sem capacete</t>
  </si>
  <si>
    <t>Uso de bebida alcoolica pelo condutor</t>
  </si>
  <si>
    <t>FAIXA ETÁRIA (ANOS)</t>
  </si>
  <si>
    <t>00 - 09</t>
  </si>
  <si>
    <t>10 - 19</t>
  </si>
  <si>
    <t>20 - 39</t>
  </si>
  <si>
    <t>40 - 59</t>
  </si>
  <si>
    <r>
      <rPr>
        <sz val="8"/>
        <rFont val="Calibri"/>
        <family val="2"/>
      </rPr>
      <t xml:space="preserve">≥ </t>
    </r>
    <r>
      <rPr>
        <sz val="8"/>
        <rFont val="Aptos Narrow"/>
        <family val="2"/>
        <scheme val="minor"/>
      </rPr>
      <t>60</t>
    </r>
  </si>
  <si>
    <t>DIA DA SEMANA DO ACIDENTE</t>
  </si>
  <si>
    <t>Segunda</t>
  </si>
  <si>
    <t>Terça</t>
  </si>
  <si>
    <t>Quarta</t>
  </si>
  <si>
    <t>Quinta</t>
  </si>
  <si>
    <t>Sexta</t>
  </si>
  <si>
    <t>Sabado</t>
  </si>
  <si>
    <t>Domingo</t>
  </si>
  <si>
    <t>ACIDENTE RELACIONADO AO TRABALHO</t>
  </si>
  <si>
    <t>Durante o Serviço/Trabalho</t>
  </si>
  <si>
    <t>Indo/Voltando do Trabalho</t>
  </si>
  <si>
    <t>Não Relacionado</t>
  </si>
  <si>
    <t>Não se Aplica</t>
  </si>
  <si>
    <t>MEIO DE LOCOMOÇÃO</t>
  </si>
  <si>
    <t>A pé</t>
  </si>
  <si>
    <t>Automovel</t>
  </si>
  <si>
    <t>Motocicleta</t>
  </si>
  <si>
    <t>Bicicleta</t>
  </si>
  <si>
    <t>Outros</t>
  </si>
  <si>
    <t>OUTRA PARTE ENVOLVIDA NO ACIDENTE</t>
  </si>
  <si>
    <t>Onibus/Similar</t>
  </si>
  <si>
    <t>Objeto Fixo</t>
  </si>
  <si>
    <t>Animal</t>
  </si>
  <si>
    <t>Veiculo Pesado</t>
  </si>
  <si>
    <t>Veiculo de Tração/Animal Montado</t>
  </si>
  <si>
    <t>Pedestre</t>
  </si>
  <si>
    <t>Outra</t>
  </si>
  <si>
    <t>EVOLUÇÃO EM 72 HORAS DO ATENDIMENTO NO SERVIÇO</t>
  </si>
  <si>
    <t>EVOLUÇÃO EM ATÉ 72 HORAS DO ATENDIMENTO</t>
  </si>
  <si>
    <t>Alta Hospitalar</t>
  </si>
  <si>
    <t>Alta com Encaminhamento Ambulatorial</t>
  </si>
  <si>
    <t>Internação Hospitalar</t>
  </si>
  <si>
    <t>Transferência para outra unidade de saúde</t>
  </si>
  <si>
    <t>Evasão / fuga</t>
  </si>
  <si>
    <t>Óbito</t>
  </si>
  <si>
    <t>PARTE/REGIÃO DO CORPO ATINGIDA</t>
  </si>
  <si>
    <t>Cabeça</t>
  </si>
  <si>
    <t>Face</t>
  </si>
  <si>
    <t>Pescoço</t>
  </si>
  <si>
    <t>Coluna/medula</t>
  </si>
  <si>
    <t>Tórax/Dorso</t>
  </si>
  <si>
    <t>Abdome</t>
  </si>
  <si>
    <t>Quadril</t>
  </si>
  <si>
    <t>Membros superiores</t>
  </si>
  <si>
    <t>Membros inferiores</t>
  </si>
  <si>
    <t>Múltiplos órgãos</t>
  </si>
  <si>
    <t>Em branco</t>
  </si>
  <si>
    <t>NATUREZA DA LESÃO</t>
  </si>
  <si>
    <t>Fratura</t>
  </si>
  <si>
    <t>Amputação Traumatica</t>
  </si>
  <si>
    <t>Traumatismo cranioencefálico</t>
  </si>
  <si>
    <t>Lesões de orgãos internos</t>
  </si>
  <si>
    <t>Politraumatismo</t>
  </si>
  <si>
    <t>Queimadura</t>
  </si>
  <si>
    <t>Corte/Laceração</t>
  </si>
  <si>
    <t>Torção/Luxação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</si>
</sst>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%_-;\-* #,##0.0%_-;_-* &quot;-&quot;??_-;_-@_-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165" fontId="5" fillId="0" borderId="0" xfId="0" applyNumberFormat="1" applyFont="1"/>
    <xf numFmtId="165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3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4" xfId="0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9" fontId="5" fillId="0" borderId="0" xfId="0" applyNumberFormat="1" applyFont="1"/>
    <xf numFmtId="0" fontId="1" fillId="0" borderId="0" xfId="0" applyFont="1"/>
    <xf numFmtId="165" fontId="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</cellXfs>
  <cellStyles count="1">
    <cellStyle name="Normal" xfId="0" builtinId="0"/>
  </cellStyles>
  <dxfs count="377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4" formatCode="_-* #,##0.0%_-;\-* #,##0.0%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4" formatCode="_-* #,##0.0%_-;\-* #,##0.0%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color theme="0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ptos Narrow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151096-97D2-43EA-9D81-0AC7482BC6FD}" name="ATT" displayName="ATT" ref="A1:N2" totalsRowShown="0" headerRowDxfId="376" dataDxfId="375">
  <autoFilter ref="A1:N2" xr:uid="{76151096-97D2-43EA-9D81-0AC7482BC6FD}"/>
  <tableColumns count="14">
    <tableColumn id="1" xr3:uid="{F110F202-2CB7-4726-B427-F79CC6B49F87}" name="ATT" dataDxfId="374"/>
    <tableColumn id="2" xr3:uid="{D8E7BC7C-E841-48A7-917F-A3E579FFD35E}" name="Jan" dataDxfId="373"/>
    <tableColumn id="3" xr3:uid="{66C82A08-6390-4D4B-A860-0E83742B4848}" name="Fev" dataDxfId="372"/>
    <tableColumn id="4" xr3:uid="{B222295F-4329-48A0-8E1E-4CAC31762D2F}" name="Mar" dataDxfId="371"/>
    <tableColumn id="5" xr3:uid="{522C58B0-F759-41DA-A3DF-007C16F48502}" name="Abr" dataDxfId="370"/>
    <tableColumn id="6" xr3:uid="{97A1A4A0-3A9E-42CC-833D-BACA0ADB87C1}" name="Mai" dataDxfId="369"/>
    <tableColumn id="7" xr3:uid="{829BE3F7-C7B4-455B-91B2-8181ED7E6BC6}" name="Jun" dataDxfId="368"/>
    <tableColumn id="8" xr3:uid="{A37DC33C-59FD-4188-BAF4-CCD4A9588C14}" name="Jul" dataDxfId="367"/>
    <tableColumn id="9" xr3:uid="{53EE43FD-E039-4884-B854-DC461CD2F1CF}" name="Ago" dataDxfId="366"/>
    <tableColumn id="10" xr3:uid="{2F6CD15D-69EF-44E8-A2D8-A3F18DBCE682}" name="Set" dataDxfId="365"/>
    <tableColumn id="11" xr3:uid="{350C337A-4101-475C-A733-DA7E7885E6C0}" name="Out" dataDxfId="364"/>
    <tableColumn id="12" xr3:uid="{3219E9B4-5C63-4B0E-A5CC-0C816A0AFD72}" name="Nov" dataDxfId="363"/>
    <tableColumn id="13" xr3:uid="{66F635F6-2F1C-43BE-B45E-A976D1ACD722}" name="Dez" dataDxfId="362"/>
    <tableColumn id="14" xr3:uid="{5FCB443A-184A-4376-B170-6B78E2D33093}" name="2024" dataDxfId="361">
      <calculatedColumnFormula>SUM(ATT[[Jan]:[Dez]])</calculatedColumnFormula>
    </tableColumn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D33D172-F0B4-4603-9886-CB1907423ACF}" name="EVO_2" displayName="EVO_2" ref="A79:O88" totalsRowCount="1" headerRowDxfId="98" dataDxfId="97" totalsRowDxfId="96" tableBorderDxfId="95">
  <autoFilter ref="A79:O87" xr:uid="{FD33D172-F0B4-4603-9886-CB1907423ACF}"/>
  <tableColumns count="15">
    <tableColumn id="1" xr3:uid="{75E8FF87-CCA1-40B5-BCF9-72C44A009E4E}" name="EVOLUÇÃO EM ATÉ 72 HORAS DO ATENDIMENTO" dataDxfId="93" totalsRowDxfId="94"/>
    <tableColumn id="2" xr3:uid="{B2D92488-648C-4690-A12E-5E8028780BA0}" name="Jan" totalsRowFunction="sum" dataDxfId="91" totalsRowDxfId="92"/>
    <tableColumn id="3" xr3:uid="{A710B69F-EE89-4D9B-BA18-8AE9DF53B416}" name="Fev" totalsRowFunction="sum" dataDxfId="89" totalsRowDxfId="90"/>
    <tableColumn id="4" xr3:uid="{D5FA8261-EB18-4A4E-90E2-3D1E3BC66A24}" name="Mar" totalsRowFunction="sum" dataDxfId="87" totalsRowDxfId="88"/>
    <tableColumn id="5" xr3:uid="{F521DBAB-C740-4DA5-9C12-434300B5BEE7}" name="Abr" totalsRowFunction="sum" dataDxfId="85" totalsRowDxfId="86"/>
    <tableColumn id="6" xr3:uid="{AB7BDA79-BC02-4D3B-A2F1-164C3107A8A8}" name="Mai" totalsRowFunction="sum" dataDxfId="83" totalsRowDxfId="84"/>
    <tableColumn id="7" xr3:uid="{6057D4E6-064F-4F29-BF64-7674C09219B2}" name="Jun" totalsRowFunction="sum" dataDxfId="81" totalsRowDxfId="82"/>
    <tableColumn id="8" xr3:uid="{53F86654-FC67-46FF-9450-F0B62584457C}" name="Jul" totalsRowFunction="sum" dataDxfId="79" totalsRowDxfId="80"/>
    <tableColumn id="9" xr3:uid="{13FA40D2-3F0F-44DC-8A04-42793C427B98}" name="Ago" totalsRowFunction="sum" dataDxfId="77" totalsRowDxfId="78"/>
    <tableColumn id="10" xr3:uid="{D2FC5A5C-2EDF-4F62-A85A-AC075C6B3F18}" name="Set" totalsRowFunction="sum" dataDxfId="75" totalsRowDxfId="76"/>
    <tableColumn id="11" xr3:uid="{F3D32E4D-84A6-403C-8DA7-32A73122A16D}" name="Out" totalsRowFunction="sum" dataDxfId="73" totalsRowDxfId="74"/>
    <tableColumn id="12" xr3:uid="{9256CF5E-5DEA-457B-AECD-9C97200A5D0B}" name="Nov" totalsRowFunction="sum" dataDxfId="71" totalsRowDxfId="72"/>
    <tableColumn id="13" xr3:uid="{7364288D-6032-4CD3-8847-E200CAADF559}" name="Dez" totalsRowFunction="sum" dataDxfId="69" totalsRowDxfId="70"/>
    <tableColumn id="14" xr3:uid="{F497537A-D71B-4C19-B1CC-973C44AF0303}" name="2024" totalsRowFunction="sum" totalsRowDxfId="68">
      <calculatedColumnFormula>SUM(EVO_2[[#This Row],[Jan]:[Dez]])</calculatedColumnFormula>
    </tableColumn>
    <tableColumn id="15" xr3:uid="{81EC8E40-72DE-4CA6-A900-A9A66B3062D8}" name="2024 [%]" dataDxfId="66" totalsRowDxfId="67">
      <calculatedColumnFormula>EVO_2[[#This Row],[2024]]/EVO_2[[#Totals],[2024]]</calculatedColumnFormula>
    </tableColumn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ED1C88A-FEBD-4868-8910-5AFC1B026BFA}" name="OPA_20" displayName="OPA_20" ref="A90:O103" totalsRowCount="1" headerRowDxfId="65" dataDxfId="64" totalsRowDxfId="63" tableBorderDxfId="62">
  <autoFilter ref="A90:O102" xr:uid="{9ED1C88A-FEBD-4868-8910-5AFC1B026BFA}"/>
  <tableColumns count="15">
    <tableColumn id="1" xr3:uid="{37B05583-FD76-4F90-8205-39DA21D9AA52}" name="PARTE/REGIÃO DO CORPO ATINGIDA" dataDxfId="60" totalsRowDxfId="61"/>
    <tableColumn id="2" xr3:uid="{6D0B42ED-0FD9-4B59-91E4-F1B3AA0F21D4}" name="Jan" totalsRowFunction="sum" dataDxfId="58" totalsRowDxfId="59"/>
    <tableColumn id="3" xr3:uid="{91ABFA9F-EB92-4E9D-ABD9-AB407D6B3B16}" name="Fev" totalsRowFunction="sum" dataDxfId="56" totalsRowDxfId="57"/>
    <tableColumn id="4" xr3:uid="{12678E9E-C50B-482F-B884-FD13856ED3BB}" name="Mar" totalsRowFunction="sum" dataDxfId="54" totalsRowDxfId="55"/>
    <tableColumn id="5" xr3:uid="{5A84D27C-5ED1-43D5-BA2C-A11415E2916A}" name="Abr" totalsRowFunction="sum" dataDxfId="52" totalsRowDxfId="53"/>
    <tableColumn id="6" xr3:uid="{9142C967-D13D-47F1-986F-FCD84655AB7A}" name="Mai" totalsRowFunction="sum" dataDxfId="50" totalsRowDxfId="51"/>
    <tableColumn id="7" xr3:uid="{24BD518B-9DF0-41F9-9384-7042C3B0BD53}" name="Jun" totalsRowFunction="sum" dataDxfId="48" totalsRowDxfId="49"/>
    <tableColumn id="8" xr3:uid="{6EAA75F0-DBE5-459E-88BE-12AEEE65A303}" name="Jul" totalsRowFunction="sum" dataDxfId="46" totalsRowDxfId="47"/>
    <tableColumn id="9" xr3:uid="{89CCE87A-65B9-414A-885D-92532A98EC49}" name="Ago" totalsRowFunction="sum" dataDxfId="44" totalsRowDxfId="45"/>
    <tableColumn id="10" xr3:uid="{4B865DB5-DDD1-4C46-B591-CDE9AC1CAD1F}" name="Set" totalsRowFunction="sum" dataDxfId="42" totalsRowDxfId="43"/>
    <tableColumn id="11" xr3:uid="{771AE115-DC83-4C60-ABE2-C6B618C1804A}" name="Out" totalsRowFunction="sum" dataDxfId="40" totalsRowDxfId="41"/>
    <tableColumn id="12" xr3:uid="{1467A16C-D134-4643-9D89-25CA2108D950}" name="Nov" totalsRowFunction="sum" dataDxfId="38" totalsRowDxfId="39"/>
    <tableColumn id="13" xr3:uid="{3459FF6D-FA9F-4BB3-9435-1280F3A7C298}" name="Dez" totalsRowFunction="sum" dataDxfId="36" totalsRowDxfId="37"/>
    <tableColumn id="14" xr3:uid="{B3CA3405-241A-4F11-845E-AD10F0C74730}" name="2024" totalsRowFunction="sum" totalsRowDxfId="35">
      <calculatedColumnFormula>SUM(OPA_20[[#This Row],[Jan]:[Dez]])</calculatedColumnFormula>
    </tableColumn>
    <tableColumn id="15" xr3:uid="{05AD193A-DED6-4615-B1E6-EBF6FA7CD9FC}" name="2024 [%]" dataDxfId="33" totalsRowDxfId="34">
      <calculatedColumnFormula>OPA_20[[#This Row],[2024]]/OPA_20[[#Totals],[2024]]</calculatedColumnFormula>
    </tableColumn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5183ECC-E485-4ECB-A570-F6827A5A8BE1}" name="NPT_LEZ" displayName="NPT_LEZ" ref="A105:O117" totalsRowCount="1" headerRowDxfId="32" dataDxfId="31" totalsRowDxfId="30" tableBorderDxfId="29">
  <autoFilter ref="A105:O116" xr:uid="{65183ECC-E485-4ECB-A570-F6827A5A8BE1}"/>
  <tableColumns count="15">
    <tableColumn id="1" xr3:uid="{A196138A-9C18-4889-9A5E-FFDA625B1708}" name="NATUREZA DA LESÃO" dataDxfId="27" totalsRowDxfId="28"/>
    <tableColumn id="2" xr3:uid="{6A8DB6C5-DF2A-422E-854F-0FAEA5AA002F}" name="Jan" totalsRowFunction="sum" dataDxfId="25" totalsRowDxfId="26"/>
    <tableColumn id="3" xr3:uid="{F0346A7C-A154-45C9-8686-7B013ACD2827}" name="Fev" totalsRowFunction="sum" dataDxfId="23" totalsRowDxfId="24"/>
    <tableColumn id="4" xr3:uid="{39D0A3AE-6D35-4DDD-B29E-EE1CDBE2A965}" name="Mar" totalsRowFunction="sum" dataDxfId="21" totalsRowDxfId="22"/>
    <tableColumn id="5" xr3:uid="{8DFFE7A6-E932-40CF-AD4E-3BB96D6D08C8}" name="Abr" totalsRowFunction="sum" dataDxfId="19" totalsRowDxfId="20"/>
    <tableColumn id="6" xr3:uid="{D5F086FC-AF24-4D3A-925B-3C96726C43FD}" name="Mai" totalsRowFunction="sum" dataDxfId="17" totalsRowDxfId="18"/>
    <tableColumn id="7" xr3:uid="{62CBF84E-280D-4ACD-832F-4669AEE8B183}" name="Jun" totalsRowFunction="sum" dataDxfId="15" totalsRowDxfId="16"/>
    <tableColumn id="8" xr3:uid="{EB383CD4-67D8-4E25-905A-4C6BBB1F93BF}" name="Jul" totalsRowFunction="sum" dataDxfId="13" totalsRowDxfId="14"/>
    <tableColumn id="9" xr3:uid="{F65E0103-A041-43BA-867B-76CCCAD8017C}" name="Ago" totalsRowFunction="sum" dataDxfId="11" totalsRowDxfId="12"/>
    <tableColumn id="10" xr3:uid="{0236350E-926F-4F1D-9F90-7D91CAAC395B}" name="Set" totalsRowFunction="sum" dataDxfId="9" totalsRowDxfId="10"/>
    <tableColumn id="11" xr3:uid="{FDA77AE3-C6AA-4AD2-A60F-4C07A42B2666}" name="Out" totalsRowFunction="sum" dataDxfId="7" totalsRowDxfId="8"/>
    <tableColumn id="12" xr3:uid="{E3859D86-2B12-419E-AFD5-4C253F925C3C}" name="Nov" totalsRowFunction="sum" dataDxfId="5" totalsRowDxfId="6"/>
    <tableColumn id="13" xr3:uid="{E5C87113-5DCC-4FD4-9023-2FFD34758ABE}" name="Dez" totalsRowFunction="sum" dataDxfId="3" totalsRowDxfId="4"/>
    <tableColumn id="14" xr3:uid="{2382A958-84F1-4BA7-A18B-EBC39FC2C4A7}" name="2024" totalsRowFunction="sum" totalsRowDxfId="2">
      <calculatedColumnFormula>SUM(NPT_LEZ[[#This Row],[Jan]:[Dez]])</calculatedColumnFormula>
    </tableColumn>
    <tableColumn id="15" xr3:uid="{5E247156-9F85-4D13-9B1F-88FB295CBABC}" name="2024 [%]" dataDxfId="0" totalsRowDxfId="1">
      <calculatedColumnFormula>NPT_LEZ[[#This Row],[2024]]/NPT_LEZ[[#Totals],[2024]]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022DCB-4A5D-4B39-822C-C7B806778378}" name="SEXO22" displayName="SEXO22" ref="A4:O8" totalsRowCount="1" headerRowDxfId="360" dataDxfId="359" totalsRowDxfId="358">
  <autoFilter ref="A4:O7" xr:uid="{5C022DCB-4A5D-4B39-822C-C7B806778378}"/>
  <tableColumns count="15">
    <tableColumn id="1" xr3:uid="{7C679871-5D27-4555-8219-C048144454C6}" name="SEXO" dataDxfId="356" totalsRowDxfId="357"/>
    <tableColumn id="2" xr3:uid="{334254C9-2F5E-46C1-B2A9-B9A97306239E}" name="Jan" totalsRowFunction="sum" dataDxfId="354" totalsRowDxfId="355"/>
    <tableColumn id="3" xr3:uid="{C1C2A4AD-A5BB-4F98-991D-08F4769D2774}" name="Fev" totalsRowFunction="sum" dataDxfId="352" totalsRowDxfId="353"/>
    <tableColumn id="4" xr3:uid="{4F7141CE-0E88-494A-9AA4-F443D85F9D99}" name="Mar" totalsRowFunction="sum" dataDxfId="350" totalsRowDxfId="351"/>
    <tableColumn id="5" xr3:uid="{C0D25E71-B1FB-4712-8661-2EC23B668B25}" name="Abr" totalsRowFunction="sum" dataDxfId="348" totalsRowDxfId="349"/>
    <tableColumn id="6" xr3:uid="{319CD054-D5F2-4369-8BEF-B02E09FCF376}" name="Mai" totalsRowFunction="sum" dataDxfId="346" totalsRowDxfId="347"/>
    <tableColumn id="7" xr3:uid="{909F861F-228F-4E1F-B209-FCB282BCBD8B}" name="Jun" totalsRowFunction="sum" dataDxfId="344" totalsRowDxfId="345"/>
    <tableColumn id="8" xr3:uid="{7AD0AD81-BA0A-4F23-81D4-D14A92F854CF}" name="Jul" totalsRowFunction="sum" dataDxfId="342" totalsRowDxfId="343"/>
    <tableColumn id="9" xr3:uid="{DFEEEBD9-BCFD-4B39-9013-C529DE8C3AAA}" name="Ago" totalsRowFunction="sum" dataDxfId="340" totalsRowDxfId="341"/>
    <tableColumn id="10" xr3:uid="{3D89DFD0-3790-4045-831C-02F4B7BD86E8}" name="Set" totalsRowFunction="sum" dataDxfId="338" totalsRowDxfId="339"/>
    <tableColumn id="11" xr3:uid="{92DC856E-3D4B-4E9C-889E-9F39955CDAA2}" name="Out" totalsRowFunction="sum" dataDxfId="336" totalsRowDxfId="337"/>
    <tableColumn id="12" xr3:uid="{080B2C78-E33A-48A7-8840-4F00AB31F64B}" name="Nov" totalsRowFunction="sum" dataDxfId="334" totalsRowDxfId="335"/>
    <tableColumn id="13" xr3:uid="{392A63E4-AD41-450B-A4DE-70985D8556C0}" name="Dez" totalsRowFunction="sum" dataDxfId="332" totalsRowDxfId="333"/>
    <tableColumn id="14" xr3:uid="{AF2C8F87-CFBE-410C-94F5-E4FDCF806874}" name="2024" totalsRowFunction="sum" totalsRowDxfId="331">
      <calculatedColumnFormula>SUM(SEXO22[[#This Row],[Jan]:[Dez]])</calculatedColumnFormula>
    </tableColumn>
    <tableColumn id="15" xr3:uid="{A05C8398-6AFA-49DD-932A-493E058B5712}" name="2024 [%]" dataDxfId="329" totalsRowDxfId="330">
      <calculatedColumnFormula>SEXO22[[#This Row],[2024]]/SEXO22[[#Totals],[2024]]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3FFACA-484A-4AD5-B807-7979722C31C3}" name="NA" displayName="NA" ref="A10:O18" totalsRowCount="1" headerRowDxfId="328" dataDxfId="327" totalsRowDxfId="326" tableBorderDxfId="325">
  <autoFilter ref="A10:O17" xr:uid="{6F3FFACA-484A-4AD5-B807-7979722C31C3}"/>
  <tableColumns count="15">
    <tableColumn id="1" xr3:uid="{C378F6F3-3F76-4F14-9C7B-E15430DF0EE3}" name="NATUREZA DO ACIDENTE" dataDxfId="323" totalsRowDxfId="324"/>
    <tableColumn id="2" xr3:uid="{4318BC82-4CDD-4057-B39B-B58A7BE07907}" name="Jan" totalsRowFunction="sum" dataDxfId="321" totalsRowDxfId="322"/>
    <tableColumn id="3" xr3:uid="{7FC2FA33-AFB2-401E-8F43-AC3FB99D028C}" name="Fev" totalsRowFunction="sum" dataDxfId="319" totalsRowDxfId="320"/>
    <tableColumn id="4" xr3:uid="{1B6AE689-CD2C-4B05-8751-28D970D72EEE}" name="Mar" totalsRowFunction="sum" dataDxfId="317" totalsRowDxfId="318"/>
    <tableColumn id="5" xr3:uid="{732F926B-E39B-459D-8C3F-FD302E0C6302}" name="Abr" totalsRowFunction="sum" dataDxfId="315" totalsRowDxfId="316"/>
    <tableColumn id="6" xr3:uid="{C7ECCDE6-15E0-41D9-AA46-004032A0D259}" name="Mai" totalsRowFunction="sum" dataDxfId="313" totalsRowDxfId="314"/>
    <tableColumn id="7" xr3:uid="{0E0B1573-F6D0-42D5-AAA2-941B1757AF5D}" name="Jun" totalsRowFunction="sum" dataDxfId="311" totalsRowDxfId="312"/>
    <tableColumn id="8" xr3:uid="{3AFC7FF6-9673-40A0-8C9F-52FC2F6AD7C7}" name="Jul" totalsRowFunction="sum" dataDxfId="309" totalsRowDxfId="310"/>
    <tableColumn id="9" xr3:uid="{84044B56-0657-41AE-970D-B1C20AAC0FF7}" name="Ago" totalsRowFunction="sum" dataDxfId="307" totalsRowDxfId="308"/>
    <tableColumn id="10" xr3:uid="{FEA722EA-BBD6-4FE1-8D5F-6234CE05C4CD}" name="Set" totalsRowFunction="sum" dataDxfId="305" totalsRowDxfId="306"/>
    <tableColumn id="11" xr3:uid="{C223DAEE-284B-4670-92AC-72043146B022}" name="Out" totalsRowFunction="sum" dataDxfId="303" totalsRowDxfId="304"/>
    <tableColumn id="12" xr3:uid="{64B4CABE-FDF3-4922-8128-DBC37208E471}" name="Nov" totalsRowFunction="sum" dataDxfId="301" totalsRowDxfId="302"/>
    <tableColumn id="13" xr3:uid="{DFBACCBC-206D-4518-9633-E3D29A3AB0E6}" name="Dez" totalsRowFunction="sum" dataDxfId="299" totalsRowDxfId="300"/>
    <tableColumn id="14" xr3:uid="{0AAB20E8-369C-4658-91D5-7895DFCA7E8A}" name="2024" totalsRowFunction="sum" totalsRowDxfId="298">
      <calculatedColumnFormula>SUM(NA[[#This Row],[Jan]:[Dez]])</calculatedColumnFormula>
    </tableColumn>
    <tableColumn id="15" xr3:uid="{6DA92777-B891-475A-A6E6-35298A7BEDC1}" name="2024 [%]" dataDxfId="296" totalsRowDxfId="297">
      <calculatedColumnFormula>NA[[#This Row],[2024]]/NA[[#Totals],[2024]]</calculatedColumnFormula>
    </tableColumn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38DD41-F615-46FA-B02F-95DE013EA5B6}" name="FRA" displayName="FRA" ref="A20:N26" totalsRowCount="1" headerRowDxfId="295" dataDxfId="294" totalsRowDxfId="293" tableBorderDxfId="292">
  <autoFilter ref="A20:N25" xr:uid="{E438DD41-F615-46FA-B02F-95DE013EA5B6}"/>
  <tableColumns count="14">
    <tableColumn id="1" xr3:uid="{2B56E291-06CC-425B-8E15-D046387CFCC9}" name="FATORES RELACIONADOS AO ACIDENTE" dataDxfId="290" totalsRowDxfId="291"/>
    <tableColumn id="2" xr3:uid="{9E8C6575-E0C4-4FB4-9924-1D60414EA808}" name="Jan" totalsRowFunction="sum" dataDxfId="288" totalsRowDxfId="289"/>
    <tableColumn id="3" xr3:uid="{589CEDF8-265B-4AAD-8E1A-A9CC56EBEAB6}" name="Fev" totalsRowFunction="sum" dataDxfId="286" totalsRowDxfId="287"/>
    <tableColumn id="4" xr3:uid="{A83FD5E1-3295-43E6-B5F4-060F3A319F91}" name="Mar" totalsRowFunction="sum" dataDxfId="284" totalsRowDxfId="285"/>
    <tableColumn id="5" xr3:uid="{5442F363-6BEA-4ECC-9503-28976EACA89D}" name="Abr" totalsRowFunction="sum" dataDxfId="282" totalsRowDxfId="283"/>
    <tableColumn id="6" xr3:uid="{03BDC46C-E013-4327-B73D-6A0A15D7E8F7}" name="Mai" totalsRowFunction="sum" dataDxfId="280" totalsRowDxfId="281"/>
    <tableColumn id="7" xr3:uid="{340E785A-DBAC-4637-83F7-5C721EA1DB41}" name="Jun" totalsRowFunction="sum" dataDxfId="278" totalsRowDxfId="279"/>
    <tableColumn id="8" xr3:uid="{C0565A32-629B-4EE0-A883-BF15051D87F3}" name="Jul" totalsRowFunction="sum" dataDxfId="276" totalsRowDxfId="277"/>
    <tableColumn id="9" xr3:uid="{11DB6DE2-E1AA-4D22-9187-5A42E7624978}" name="Ago" totalsRowFunction="sum" dataDxfId="274" totalsRowDxfId="275"/>
    <tableColumn id="10" xr3:uid="{28E4A094-05BE-4141-A35E-88F4105299C5}" name="Set" totalsRowFunction="sum" dataDxfId="272" totalsRowDxfId="273"/>
    <tableColumn id="11" xr3:uid="{8E05B278-B15D-468A-B49E-8E4210661DAC}" name="Out" totalsRowFunction="sum" dataDxfId="270" totalsRowDxfId="271"/>
    <tableColumn id="12" xr3:uid="{464C4FC0-23FB-4972-B63E-47E02207C967}" name="Nov" totalsRowFunction="sum" dataDxfId="268" totalsRowDxfId="269"/>
    <tableColumn id="13" xr3:uid="{20803402-8508-4927-93DF-3283EB2E5AA3}" name="Dez" totalsRowFunction="sum" dataDxfId="266" totalsRowDxfId="267"/>
    <tableColumn id="14" xr3:uid="{89D9DE34-7317-4FBB-B515-7DC7C8B65C76}" name="2024" totalsRowFunction="sum" totalsRowDxfId="265">
      <calculatedColumnFormula>SUM(FRA[[#This Row],[Jan]:[Dez]])</calculatedColumn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921120-A71D-4C70-9638-7B757F1D6117}" name="FE" displayName="FE" ref="A28:O34" totalsRowCount="1" headerRowDxfId="264" dataDxfId="263" totalsRowDxfId="262" tableBorderDxfId="261">
  <autoFilter ref="A28:O33" xr:uid="{0B921120-A71D-4C70-9638-7B757F1D6117}"/>
  <tableColumns count="15">
    <tableColumn id="1" xr3:uid="{4E71AAC7-ACF1-478B-A1F2-2C4014CD6401}" name="FAIXA ETÁRIA (ANOS)" dataDxfId="259" totalsRowDxfId="260"/>
    <tableColumn id="2" xr3:uid="{E1ADA7ED-6AFC-4E23-8DAC-8720C5B2AFE4}" name="Jan" totalsRowFunction="sum" dataDxfId="257" totalsRowDxfId="258"/>
    <tableColumn id="3" xr3:uid="{60537976-583C-4AA0-A981-6F0F14C494A4}" name="Fev" totalsRowFunction="sum" dataDxfId="255" totalsRowDxfId="256"/>
    <tableColumn id="4" xr3:uid="{90DC6449-987B-4137-9E94-1C6EBC681351}" name="Mar" totalsRowFunction="sum" dataDxfId="253" totalsRowDxfId="254"/>
    <tableColumn id="5" xr3:uid="{9C50E6AD-6D98-4155-93D8-7573523D39DB}" name="Abr" totalsRowFunction="sum" dataDxfId="251" totalsRowDxfId="252"/>
    <tableColumn id="6" xr3:uid="{58E83DAB-38F2-4F10-A3C5-ACE9616A130B}" name="Mai" totalsRowFunction="sum" dataDxfId="249" totalsRowDxfId="250"/>
    <tableColumn id="7" xr3:uid="{25D90CC0-EB7F-4F2F-B8B9-67C2E92E4B83}" name="Jun" totalsRowFunction="sum" dataDxfId="247" totalsRowDxfId="248"/>
    <tableColumn id="8" xr3:uid="{7FDC26CD-0C8D-44F4-BD19-00C63A481376}" name="Jul" totalsRowFunction="sum" dataDxfId="245" totalsRowDxfId="246"/>
    <tableColumn id="9" xr3:uid="{B6CD650D-B0A7-4BB0-8B7B-BF027A7FD953}" name="Ago" totalsRowFunction="sum" dataDxfId="243" totalsRowDxfId="244"/>
    <tableColumn id="10" xr3:uid="{E14E81F9-65A2-47D6-A297-178C1AEE8EED}" name="Set" totalsRowFunction="sum" dataDxfId="241" totalsRowDxfId="242"/>
    <tableColumn id="11" xr3:uid="{13B954A3-D3F7-4E6A-B940-D1D9B76223E8}" name="Out" totalsRowFunction="sum" dataDxfId="239" totalsRowDxfId="240"/>
    <tableColumn id="12" xr3:uid="{41D59C5B-749A-4B48-999B-E00AC391CA13}" name="Nov" totalsRowFunction="sum" dataDxfId="237" totalsRowDxfId="238"/>
    <tableColumn id="13" xr3:uid="{C89A938A-46E5-443C-9F5B-BE97DAACEE42}" name="Dez" totalsRowFunction="sum" dataDxfId="235" totalsRowDxfId="236"/>
    <tableColumn id="14" xr3:uid="{B5DA3769-D448-4C05-AEA9-560B9B2E3636}" name="2024" totalsRowFunction="sum" dataDxfId="233" totalsRowDxfId="234">
      <calculatedColumnFormula>SUM(FE[[#This Row],[Jan]:[Dez]])</calculatedColumnFormula>
    </tableColumn>
    <tableColumn id="15" xr3:uid="{FCF1ACFE-8EFB-49CC-AD30-2F9EBC69B026}" name="2024 [%]" dataDxfId="231" totalsRowDxfId="232">
      <calculatedColumnFormula>FE[[#This Row],[2024]]/FE[[#Totals],[2024]]</calculatedColumn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B3AD91E-C8F1-469F-8E1A-BF84F2E6FB25}" name="DSA" displayName="DSA" ref="A36:O45" totalsRowCount="1" headerRowDxfId="230" dataDxfId="229" totalsRowDxfId="228" tableBorderDxfId="227">
  <autoFilter ref="A36:O44" xr:uid="{6B3AD91E-C8F1-469F-8E1A-BF84F2E6FB25}"/>
  <tableColumns count="15">
    <tableColumn id="1" xr3:uid="{CD6F4F88-BF83-437A-A308-64A80E9BF720}" name="DIA DA SEMANA DO ACIDENTE" dataDxfId="225" totalsRowDxfId="226"/>
    <tableColumn id="2" xr3:uid="{B5598FF5-1C93-417A-97E1-24ECB3C6A14E}" name="Jan" totalsRowFunction="sum" dataDxfId="223" totalsRowDxfId="224"/>
    <tableColumn id="3" xr3:uid="{2B7FA836-81F4-4F90-87DE-4C82D4EE3EF2}" name="Fev" totalsRowFunction="sum" dataDxfId="221" totalsRowDxfId="222"/>
    <tableColumn id="4" xr3:uid="{9740E672-D6C1-4216-BA69-97FB027C2B18}" name="Mar" totalsRowFunction="sum" dataDxfId="219" totalsRowDxfId="220"/>
    <tableColumn id="5" xr3:uid="{51BFF795-BF39-4FFD-8900-040441258395}" name="Abr" totalsRowFunction="sum" dataDxfId="217" totalsRowDxfId="218"/>
    <tableColumn id="6" xr3:uid="{115338D1-8E18-4A52-9EC3-D0BE37163894}" name="Mai" totalsRowFunction="sum" dataDxfId="215" totalsRowDxfId="216"/>
    <tableColumn id="7" xr3:uid="{6E92B2CE-AC79-44E0-979D-3DE94D86145F}" name="Jun" totalsRowFunction="sum" dataDxfId="213" totalsRowDxfId="214"/>
    <tableColumn id="8" xr3:uid="{2E7D705F-0469-4929-AEBA-8FF9962823CA}" name="Jul" totalsRowFunction="sum" dataDxfId="211" totalsRowDxfId="212"/>
    <tableColumn id="9" xr3:uid="{982B9E2E-62DC-447B-8DE8-F5CB027105DD}" name="Ago" totalsRowFunction="sum" dataDxfId="209" totalsRowDxfId="210"/>
    <tableColumn id="10" xr3:uid="{509AC767-2401-494C-B640-920834CCB21B}" name="Set" totalsRowFunction="sum" dataDxfId="207" totalsRowDxfId="208"/>
    <tableColumn id="11" xr3:uid="{816C7E88-4892-43D3-A901-75B93705887D}" name="Out" totalsRowFunction="sum" dataDxfId="205" totalsRowDxfId="206"/>
    <tableColumn id="12" xr3:uid="{133EB6FA-72E3-46DA-810E-25887FD2614A}" name="Nov" totalsRowFunction="sum" dataDxfId="203" totalsRowDxfId="204"/>
    <tableColumn id="13" xr3:uid="{DD410BCF-D943-4998-8ACF-639D588280AD}" name="Dez" totalsRowFunction="sum" dataDxfId="201" totalsRowDxfId="202"/>
    <tableColumn id="14" xr3:uid="{1BE50A5A-4AA8-47F3-9837-68CA1C1AAC02}" name="2024" totalsRowFunction="sum" totalsRowDxfId="200">
      <calculatedColumnFormula>SUM(DSA[[#This Row],[Jan]:[Dez]])</calculatedColumnFormula>
    </tableColumn>
    <tableColumn id="15" xr3:uid="{01406B4F-EEFC-4250-8C6B-65396E5ACCEB}" name="2024 [%]" dataDxfId="198" totalsRowDxfId="199">
      <calculatedColumnFormula>DSA[[#This Row],[2024]]/DSA[[#Totals],[2024]]</calculatedColumn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1FAF3D5-C31C-4F54-8B67-E16FA291F56A}" name="ART" displayName="ART" ref="A47:O53" totalsRowCount="1" headerRowDxfId="197" dataDxfId="196" totalsRowDxfId="195" tableBorderDxfId="194">
  <autoFilter ref="A47:O52" xr:uid="{A1FAF3D5-C31C-4F54-8B67-E16FA291F56A}"/>
  <tableColumns count="15">
    <tableColumn id="1" xr3:uid="{4753D6E4-4476-4FA1-9ECB-AF0A903133B0}" name="ACIDENTE RELACIONADO AO TRABALHO" dataDxfId="192" totalsRowDxfId="193"/>
    <tableColumn id="2" xr3:uid="{2EB25E07-86CA-4F02-8F80-3C411BF13435}" name="Jan" totalsRowFunction="sum" dataDxfId="190" totalsRowDxfId="191"/>
    <tableColumn id="3" xr3:uid="{B4867144-DE4B-4377-A02E-F718D7E7F150}" name="Fev" totalsRowFunction="sum" dataDxfId="188" totalsRowDxfId="189"/>
    <tableColumn id="4" xr3:uid="{57144A76-A96F-41ED-9006-8B37A53253CD}" name="Mar" totalsRowFunction="sum" dataDxfId="186" totalsRowDxfId="187"/>
    <tableColumn id="5" xr3:uid="{7751946E-E221-4D31-8928-340713607FFF}" name="Abr" totalsRowFunction="sum" dataDxfId="184" totalsRowDxfId="185"/>
    <tableColumn id="6" xr3:uid="{2E45B786-AB1A-46E0-88AA-12D83B11B1F1}" name="Mai" totalsRowFunction="sum" dataDxfId="182" totalsRowDxfId="183"/>
    <tableColumn id="7" xr3:uid="{6DEDE22F-C4F4-4E0C-943F-1FBB5C384695}" name="Jun" totalsRowFunction="sum" dataDxfId="180" totalsRowDxfId="181"/>
    <tableColumn id="8" xr3:uid="{F919987A-3077-4239-AD80-C1B88B4CF6EF}" name="Jul" totalsRowFunction="sum" dataDxfId="178" totalsRowDxfId="179"/>
    <tableColumn id="9" xr3:uid="{121397E4-C698-4B6D-9D42-202E684690DE}" name="Ago" totalsRowFunction="sum" dataDxfId="176" totalsRowDxfId="177"/>
    <tableColumn id="10" xr3:uid="{FF613B70-E754-4B71-9958-64297A705E79}" name="Set" totalsRowFunction="sum" dataDxfId="174" totalsRowDxfId="175"/>
    <tableColumn id="11" xr3:uid="{81051407-47FF-491B-9352-B8FD79BDE25B}" name="Out" totalsRowFunction="sum" dataDxfId="172" totalsRowDxfId="173"/>
    <tableColumn id="12" xr3:uid="{15B32852-FA05-4775-8472-F4C21934B377}" name="Nov" totalsRowFunction="sum" dataDxfId="170" totalsRowDxfId="171"/>
    <tableColumn id="13" xr3:uid="{D28CFBBC-9A73-44BD-92D9-BB7887D5BDDF}" name="Dez" totalsRowFunction="sum" dataDxfId="168" totalsRowDxfId="169"/>
    <tableColumn id="14" xr3:uid="{1634014C-D96B-47C5-81A7-1DB6C8DE7D25}" name="2024" totalsRowFunction="sum" totalsRowDxfId="167">
      <calculatedColumnFormula>SUM(ART[[#This Row],[Jan]:[Dez]])</calculatedColumnFormula>
    </tableColumn>
    <tableColumn id="15" xr3:uid="{6368CE10-4570-438F-9085-DB34C9E1D310}" name="2024 [%]" dataDxfId="165" totalsRowDxfId="166">
      <calculatedColumnFormula>ART[[#This Row],[2024]]/ART[[#Totals],[2024]]</calculatedColumnFormula>
    </tableColumn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8E0D2DA-9E98-4776-ACF9-6AFACAA9658B}" name="ML" displayName="ML" ref="A55:O62" totalsRowCount="1" headerRowDxfId="164" dataDxfId="163" totalsRowDxfId="162" tableBorderDxfId="161">
  <autoFilter ref="A55:O61" xr:uid="{C8E0D2DA-9E98-4776-ACF9-6AFACAA9658B}"/>
  <tableColumns count="15">
    <tableColumn id="1" xr3:uid="{04E67BCC-C75C-4A2E-852B-392ECB4BD0B3}" name="MEIO DE LOCOMOÇÃO" dataDxfId="159" totalsRowDxfId="160"/>
    <tableColumn id="2" xr3:uid="{71C0EF78-28DF-4D4F-8357-E1D6F19F56B8}" name="Jan" totalsRowFunction="sum" dataDxfId="157" totalsRowDxfId="158"/>
    <tableColumn id="3" xr3:uid="{E348CD51-A3E1-42A4-ACE2-B3DF7F7EAEC1}" name="Fev" totalsRowFunction="sum" dataDxfId="155" totalsRowDxfId="156"/>
    <tableColumn id="4" xr3:uid="{010D0707-B8E9-4E5B-8EC1-D98EA70519C9}" name="Mar" totalsRowFunction="sum" dataDxfId="153" totalsRowDxfId="154"/>
    <tableColumn id="5" xr3:uid="{8458837C-A83B-439F-9607-4D92D3170735}" name="Abr" totalsRowFunction="sum" dataDxfId="151" totalsRowDxfId="152"/>
    <tableColumn id="6" xr3:uid="{B33D0434-41E2-47DB-951E-F8C24E155EB0}" name="Mai" totalsRowFunction="sum" dataDxfId="149" totalsRowDxfId="150"/>
    <tableColumn id="7" xr3:uid="{DE79BDED-D477-417F-B9BD-0C5EB7A90C74}" name="Jun" totalsRowFunction="sum" dataDxfId="147" totalsRowDxfId="148"/>
    <tableColumn id="8" xr3:uid="{35AD1F08-34E3-4124-BF53-291E5358DFEF}" name="Jul" totalsRowFunction="sum" dataDxfId="145" totalsRowDxfId="146"/>
    <tableColumn id="9" xr3:uid="{17861BE6-7E3A-4AB9-B16B-4C97CD783A1B}" name="Ago" totalsRowFunction="sum" dataDxfId="143" totalsRowDxfId="144"/>
    <tableColumn id="10" xr3:uid="{F33E0ADB-4BA5-42C6-A25F-AB2D8A229B05}" name="Set" totalsRowFunction="sum" dataDxfId="141" totalsRowDxfId="142"/>
    <tableColumn id="11" xr3:uid="{A131328E-5433-4D61-927D-4B9F1A5C8755}" name="Out" totalsRowFunction="sum" dataDxfId="139" totalsRowDxfId="140"/>
    <tableColumn id="12" xr3:uid="{E59EEC5C-3D9E-4507-80FC-C52DCCEC4B71}" name="Nov" totalsRowFunction="sum" dataDxfId="137" totalsRowDxfId="138"/>
    <tableColumn id="13" xr3:uid="{F1696F66-6C42-4584-AFBF-A43781E3955C}" name="Dez" totalsRowFunction="sum" dataDxfId="135" totalsRowDxfId="136"/>
    <tableColumn id="14" xr3:uid="{3C061451-9A28-4AD4-9E15-92527325AA45}" name="2024" totalsRowFunction="sum" totalsRowDxfId="134">
      <calculatedColumnFormula>SUM(ML[[#This Row],[Jan]:[Dez]])</calculatedColumnFormula>
    </tableColumn>
    <tableColumn id="15" xr3:uid="{E7A38DA7-2719-4683-9AEA-44D8D3263D1C}" name="2024 [%]" dataDxfId="132" totalsRowDxfId="133">
      <calculatedColumnFormula>ML[[#This Row],[2024]]/ML[[#Totals],[2024]]</calculatedColumnFormula>
    </tableColumn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8A3B0E4-7A72-412E-B91A-18BD29F2D753}" name="OPA" displayName="OPA" ref="A64:O77" totalsRowCount="1" headerRowDxfId="131" dataDxfId="130" totalsRowDxfId="129" tableBorderDxfId="128">
  <autoFilter ref="A64:O76" xr:uid="{B8A3B0E4-7A72-412E-B91A-18BD29F2D753}"/>
  <tableColumns count="15">
    <tableColumn id="1" xr3:uid="{DEC50864-906A-402E-BCCC-1F3A5702C593}" name="OUTRA PARTE ENVOLVIDA NO ACIDENTE" dataDxfId="126" totalsRowDxfId="127"/>
    <tableColumn id="2" xr3:uid="{875AD0AB-7F1D-45A1-8C88-A5E49E3A8087}" name="Jan" totalsRowFunction="sum" dataDxfId="124" totalsRowDxfId="125"/>
    <tableColumn id="3" xr3:uid="{7FA54628-01F1-4B37-9962-5EC0966840E8}" name="Fev" totalsRowFunction="sum" dataDxfId="122" totalsRowDxfId="123"/>
    <tableColumn id="4" xr3:uid="{3577726C-9EE4-4557-AE9A-4E7303287BDC}" name="Mar" totalsRowFunction="sum" dataDxfId="120" totalsRowDxfId="121"/>
    <tableColumn id="5" xr3:uid="{0F64ADDF-E155-4509-9F6E-889101B81252}" name="Abr" totalsRowFunction="sum" dataDxfId="118" totalsRowDxfId="119"/>
    <tableColumn id="6" xr3:uid="{E9E618C1-0984-405A-B144-144C5C120506}" name="Mai" totalsRowFunction="sum" dataDxfId="116" totalsRowDxfId="117"/>
    <tableColumn id="7" xr3:uid="{BBD949A0-F582-4697-9047-8303625F16A0}" name="Jun" totalsRowFunction="sum" dataDxfId="114" totalsRowDxfId="115"/>
    <tableColumn id="8" xr3:uid="{7DC20C6D-544A-4C2E-A0FC-F503CCDF4A38}" name="Jul" totalsRowFunction="sum" dataDxfId="112" totalsRowDxfId="113"/>
    <tableColumn id="9" xr3:uid="{F705B1D2-0524-4B48-A9D2-4B221D72E2F3}" name="Ago" totalsRowFunction="sum" dataDxfId="110" totalsRowDxfId="111"/>
    <tableColumn id="10" xr3:uid="{6C68211F-4716-43A3-8EE2-4628BBB16641}" name="Set" totalsRowFunction="sum" dataDxfId="108" totalsRowDxfId="109"/>
    <tableColumn id="11" xr3:uid="{672F68EB-9002-4193-B58D-7EC3707CF3C3}" name="Out" totalsRowFunction="sum" dataDxfId="106" totalsRowDxfId="107"/>
    <tableColumn id="12" xr3:uid="{F1E61F56-639A-4558-A150-EF06E8B9B3D8}" name="Nov" totalsRowFunction="sum" dataDxfId="104" totalsRowDxfId="105"/>
    <tableColumn id="13" xr3:uid="{925CF42F-BDC5-4790-A92F-E99BE83ECEDF}" name="Dez" totalsRowFunction="sum" dataDxfId="102" totalsRowDxfId="103"/>
    <tableColumn id="14" xr3:uid="{9888295D-A79A-4DD7-A124-E148A79A5254}" name="2024" totalsRowFunction="sum" totalsRowDxfId="101">
      <calculatedColumnFormula>SUM(OPA[[#This Row],[Jan]:[Dez]])</calculatedColumnFormula>
    </tableColumn>
    <tableColumn id="15" xr3:uid="{4FDDE9DF-F8E7-4DAC-996D-5B4A01E87287}" name="2024 [%]" dataDxfId="99" totalsRowDxfId="100">
      <calculatedColumnFormula>OPA[[#This Row],[2024]]/OPA[[#Totals],[2024]]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F7A0-A33B-484D-98A5-160CA32939A8}">
  <dimension ref="A1:O117"/>
  <sheetViews>
    <sheetView tabSelected="1" topLeftCell="A9" workbookViewId="0">
      <selection sqref="A1:O117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3"/>
    </row>
    <row r="2" spans="1:15" ht="15.75" thickBot="1" x14ac:dyDescent="0.3">
      <c r="A2" s="4" t="s">
        <v>14</v>
      </c>
      <c r="B2" s="5">
        <v>666</v>
      </c>
      <c r="C2" s="5">
        <v>662</v>
      </c>
      <c r="D2" s="5">
        <v>823</v>
      </c>
      <c r="E2" s="5">
        <v>792</v>
      </c>
      <c r="F2" s="5">
        <v>866</v>
      </c>
      <c r="G2" s="5">
        <v>916</v>
      </c>
      <c r="H2" s="5">
        <v>842</v>
      </c>
      <c r="I2" s="5">
        <v>887</v>
      </c>
      <c r="J2" s="5">
        <v>953</v>
      </c>
      <c r="K2" s="5">
        <v>946</v>
      </c>
      <c r="L2" s="5">
        <v>914</v>
      </c>
      <c r="M2" s="5"/>
      <c r="N2" s="6">
        <f>SUM(ATT[[Jan]:[Dez]])</f>
        <v>9267</v>
      </c>
      <c r="O2" s="3"/>
    </row>
    <row r="3" spans="1:15" ht="16.5" thickTop="1" thickBot="1" x14ac:dyDescent="0.3">
      <c r="A3" s="7" t="s">
        <v>15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5.75" thickTop="1" x14ac:dyDescent="0.25">
      <c r="A4" s="1" t="s">
        <v>15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2" t="s">
        <v>13</v>
      </c>
      <c r="O4" s="9" t="s">
        <v>16</v>
      </c>
    </row>
    <row r="5" spans="1:15" x14ac:dyDescent="0.25">
      <c r="A5" s="4" t="s">
        <v>17</v>
      </c>
      <c r="B5" s="5">
        <v>499</v>
      </c>
      <c r="C5" s="5">
        <v>526</v>
      </c>
      <c r="D5" s="5">
        <v>616</v>
      </c>
      <c r="E5" s="5">
        <v>581</v>
      </c>
      <c r="F5" s="5">
        <v>634</v>
      </c>
      <c r="G5" s="5">
        <v>714</v>
      </c>
      <c r="H5" s="5">
        <v>621</v>
      </c>
      <c r="I5" s="5">
        <v>669</v>
      </c>
      <c r="J5" s="5">
        <v>716</v>
      </c>
      <c r="K5" s="5">
        <v>688</v>
      </c>
      <c r="L5" s="5">
        <v>710</v>
      </c>
      <c r="M5" s="5"/>
      <c r="N5" s="6">
        <f>SUM(SEXO22[[#This Row],[Jan]:[Dez]])</f>
        <v>6974</v>
      </c>
      <c r="O5" s="3">
        <f>SEXO22[[#This Row],[2024]]/SEXO22[[#Totals],[2024]]</f>
        <v>0.75264407511331755</v>
      </c>
    </row>
    <row r="6" spans="1:15" x14ac:dyDescent="0.25">
      <c r="A6" s="4" t="s">
        <v>18</v>
      </c>
      <c r="B6" s="5">
        <v>167</v>
      </c>
      <c r="C6" s="5">
        <v>136</v>
      </c>
      <c r="D6" s="5">
        <v>207</v>
      </c>
      <c r="E6" s="5">
        <v>210</v>
      </c>
      <c r="F6" s="5">
        <v>232</v>
      </c>
      <c r="G6" s="5">
        <v>202</v>
      </c>
      <c r="H6" s="5">
        <v>221</v>
      </c>
      <c r="I6" s="5">
        <v>218</v>
      </c>
      <c r="J6" s="5">
        <v>236</v>
      </c>
      <c r="K6" s="5">
        <v>258</v>
      </c>
      <c r="L6" s="5">
        <v>204</v>
      </c>
      <c r="M6" s="5"/>
      <c r="N6" s="6">
        <f>SUM(SEXO22[[#This Row],[Jan]:[Dez]])</f>
        <v>2291</v>
      </c>
      <c r="O6" s="3">
        <f>SEXO22[[#This Row],[2024]]/SEXO22[[#Totals],[2024]]</f>
        <v>0.24724800345348585</v>
      </c>
    </row>
    <row r="7" spans="1:15" x14ac:dyDescent="0.25">
      <c r="A7" s="4" t="s">
        <v>19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1</v>
      </c>
      <c r="K7" s="5">
        <v>0</v>
      </c>
      <c r="L7" s="5">
        <v>0</v>
      </c>
      <c r="M7" s="5"/>
      <c r="N7" s="6">
        <f>SUM(SEXO22[[#This Row],[Jan]:[Dez]])</f>
        <v>1</v>
      </c>
      <c r="O7" s="3">
        <f>SEXO22[[#This Row],[2024]]/SEXO22[[#Totals],[2024]]</f>
        <v>1.0792143319663285E-4</v>
      </c>
    </row>
    <row r="8" spans="1:15" ht="15.75" thickBot="1" x14ac:dyDescent="0.3">
      <c r="A8" s="1"/>
      <c r="B8" s="10">
        <f>SUBTOTAL(109,SEXO22[Jan])</f>
        <v>666</v>
      </c>
      <c r="C8" s="10">
        <f>SUBTOTAL(109,SEXO22[Fev])</f>
        <v>662</v>
      </c>
      <c r="D8" s="10">
        <f>SUBTOTAL(109,SEXO22[Mar])</f>
        <v>823</v>
      </c>
      <c r="E8" s="10">
        <f>SUBTOTAL(109,SEXO22[Abr])</f>
        <v>791</v>
      </c>
      <c r="F8" s="10">
        <f>SUBTOTAL(109,SEXO22[Mai])</f>
        <v>866</v>
      </c>
      <c r="G8" s="10">
        <f>SUBTOTAL(109,SEXO22[Jun])</f>
        <v>916</v>
      </c>
      <c r="H8" s="10">
        <f>SUBTOTAL(109,SEXO22[Jul])</f>
        <v>842</v>
      </c>
      <c r="I8" s="10">
        <f>SUBTOTAL(109,SEXO22[Ago])</f>
        <v>887</v>
      </c>
      <c r="J8" s="10">
        <f>SUBTOTAL(109,SEXO22[Set])</f>
        <v>953</v>
      </c>
      <c r="K8" s="10">
        <f>SUBTOTAL(109,SEXO22[Out])</f>
        <v>946</v>
      </c>
      <c r="L8" s="10">
        <f>SUBTOTAL(109,SEXO22[Nov])</f>
        <v>914</v>
      </c>
      <c r="M8" s="10">
        <f>SUBTOTAL(109,SEXO22[Dez])</f>
        <v>0</v>
      </c>
      <c r="N8" s="11">
        <f>SUBTOTAL(109,SEXO22[2024])</f>
        <v>9266</v>
      </c>
      <c r="O8" s="9"/>
    </row>
    <row r="9" spans="1:15" ht="16.5" thickTop="1" thickBot="1" x14ac:dyDescent="0.3">
      <c r="A9" s="12" t="s">
        <v>20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thickTop="1" x14ac:dyDescent="0.25">
      <c r="A10" s="14" t="s">
        <v>20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5" t="s">
        <v>13</v>
      </c>
      <c r="O10" s="16" t="s">
        <v>16</v>
      </c>
    </row>
    <row r="11" spans="1:15" x14ac:dyDescent="0.25">
      <c r="A11" s="17" t="s">
        <v>21</v>
      </c>
      <c r="B11" s="5">
        <v>182</v>
      </c>
      <c r="C11" s="5">
        <v>198</v>
      </c>
      <c r="D11" s="5">
        <v>204</v>
      </c>
      <c r="E11" s="5">
        <v>202</v>
      </c>
      <c r="F11" s="5">
        <v>294</v>
      </c>
      <c r="G11" s="5">
        <v>292</v>
      </c>
      <c r="H11" s="5">
        <v>235</v>
      </c>
      <c r="I11" s="5">
        <v>270</v>
      </c>
      <c r="J11" s="5">
        <v>300</v>
      </c>
      <c r="K11" s="5">
        <v>294</v>
      </c>
      <c r="L11" s="5">
        <v>281</v>
      </c>
      <c r="M11" s="5"/>
      <c r="N11" s="6">
        <f>SUM(NA[[#This Row],[Jan]:[Dez]])</f>
        <v>2752</v>
      </c>
      <c r="O11" s="3">
        <f>NA[[#This Row],[2024]]/NA[[#Totals],[2024]]</f>
        <v>0.2969677349735621</v>
      </c>
    </row>
    <row r="12" spans="1:15" x14ac:dyDescent="0.25">
      <c r="A12" s="17" t="s">
        <v>22</v>
      </c>
      <c r="B12" s="5">
        <v>59</v>
      </c>
      <c r="C12" s="5">
        <v>62</v>
      </c>
      <c r="D12" s="5">
        <v>67</v>
      </c>
      <c r="E12" s="5">
        <v>84</v>
      </c>
      <c r="F12" s="5">
        <v>81</v>
      </c>
      <c r="G12" s="5">
        <v>72</v>
      </c>
      <c r="H12" s="5">
        <v>62</v>
      </c>
      <c r="I12" s="5">
        <v>59</v>
      </c>
      <c r="J12" s="5">
        <v>83</v>
      </c>
      <c r="K12" s="5">
        <v>62</v>
      </c>
      <c r="L12" s="5">
        <v>68</v>
      </c>
      <c r="M12" s="5"/>
      <c r="N12" s="6">
        <f>SUM(NA[[#This Row],[Jan]:[Dez]])</f>
        <v>759</v>
      </c>
      <c r="O12" s="3">
        <f>NA[[#This Row],[2024]]/NA[[#Totals],[2024]]</f>
        <v>8.190352865004856E-2</v>
      </c>
    </row>
    <row r="13" spans="1:15" ht="33.75" x14ac:dyDescent="0.25">
      <c r="A13" s="18" t="s">
        <v>23</v>
      </c>
      <c r="B13" s="5">
        <v>373</v>
      </c>
      <c r="C13" s="5">
        <v>360</v>
      </c>
      <c r="D13" s="5">
        <v>484</v>
      </c>
      <c r="E13" s="5">
        <v>407</v>
      </c>
      <c r="F13" s="5">
        <v>402</v>
      </c>
      <c r="G13" s="5">
        <v>464</v>
      </c>
      <c r="H13" s="5">
        <v>463</v>
      </c>
      <c r="I13" s="5">
        <v>499</v>
      </c>
      <c r="J13" s="5">
        <v>495</v>
      </c>
      <c r="K13" s="5">
        <v>539</v>
      </c>
      <c r="L13" s="5">
        <v>495</v>
      </c>
      <c r="M13" s="5"/>
      <c r="N13" s="6">
        <f>SUM(NA[[#This Row],[Jan]:[Dez]])</f>
        <v>4981</v>
      </c>
      <c r="O13" s="3">
        <f>NA[[#This Row],[2024]]/NA[[#Totals],[2024]]</f>
        <v>0.53749865112765727</v>
      </c>
    </row>
    <row r="14" spans="1:15" x14ac:dyDescent="0.25">
      <c r="A14" s="17" t="s">
        <v>24</v>
      </c>
      <c r="B14" s="5">
        <v>32</v>
      </c>
      <c r="C14" s="5">
        <v>18</v>
      </c>
      <c r="D14" s="5">
        <v>43</v>
      </c>
      <c r="E14" s="5">
        <v>84</v>
      </c>
      <c r="F14" s="5">
        <v>67</v>
      </c>
      <c r="G14" s="5">
        <v>64</v>
      </c>
      <c r="H14" s="5">
        <v>53</v>
      </c>
      <c r="I14" s="5">
        <v>36</v>
      </c>
      <c r="J14" s="5">
        <v>33</v>
      </c>
      <c r="K14" s="5">
        <v>30</v>
      </c>
      <c r="L14" s="5">
        <v>41</v>
      </c>
      <c r="M14" s="5"/>
      <c r="N14" s="6">
        <f>SUM(NA[[#This Row],[Jan]:[Dez]])</f>
        <v>501</v>
      </c>
      <c r="O14" s="3">
        <f>NA[[#This Row],[2024]]/NA[[#Totals],[2024]]</f>
        <v>5.4062803496277109E-2</v>
      </c>
    </row>
    <row r="15" spans="1:15" x14ac:dyDescent="0.25">
      <c r="A15" s="17" t="s">
        <v>25</v>
      </c>
      <c r="B15" s="5">
        <v>18</v>
      </c>
      <c r="C15" s="5">
        <v>12</v>
      </c>
      <c r="D15" s="5">
        <v>20</v>
      </c>
      <c r="E15" s="5">
        <v>8</v>
      </c>
      <c r="F15" s="5">
        <v>15</v>
      </c>
      <c r="G15" s="5">
        <v>19</v>
      </c>
      <c r="H15" s="5">
        <v>19</v>
      </c>
      <c r="I15" s="5">
        <v>21</v>
      </c>
      <c r="J15" s="5">
        <v>36</v>
      </c>
      <c r="K15" s="5">
        <v>21</v>
      </c>
      <c r="L15" s="5">
        <v>21</v>
      </c>
      <c r="M15" s="5"/>
      <c r="N15" s="6">
        <f>SUM(NA[[#This Row],[Jan]:[Dez]])</f>
        <v>210</v>
      </c>
      <c r="O15" s="3">
        <f>NA[[#This Row],[2024]]/NA[[#Totals],[2024]]</f>
        <v>2.2661055357720946E-2</v>
      </c>
    </row>
    <row r="16" spans="1:15" x14ac:dyDescent="0.25">
      <c r="A16" s="19" t="s">
        <v>26</v>
      </c>
      <c r="B16" s="5">
        <v>1</v>
      </c>
      <c r="C16" s="5">
        <v>4</v>
      </c>
      <c r="D16" s="5">
        <v>1</v>
      </c>
      <c r="E16" s="5">
        <v>6</v>
      </c>
      <c r="F16" s="5">
        <v>3</v>
      </c>
      <c r="G16" s="5">
        <v>1</v>
      </c>
      <c r="H16" s="5">
        <v>2</v>
      </c>
      <c r="I16" s="5">
        <v>1</v>
      </c>
      <c r="J16" s="5">
        <v>1</v>
      </c>
      <c r="K16" s="5">
        <v>0</v>
      </c>
      <c r="L16" s="5">
        <v>2</v>
      </c>
      <c r="M16" s="5"/>
      <c r="N16" s="6">
        <f>SUM(NA[[#This Row],[Jan]:[Dez]])</f>
        <v>22</v>
      </c>
      <c r="O16" s="3">
        <f>NA[[#This Row],[2024]]/NA[[#Totals],[2024]]</f>
        <v>2.3740153231898132E-3</v>
      </c>
    </row>
    <row r="17" spans="1:15" x14ac:dyDescent="0.25">
      <c r="A17" s="17" t="s">
        <v>27</v>
      </c>
      <c r="B17" s="5">
        <v>1</v>
      </c>
      <c r="C17" s="5">
        <v>8</v>
      </c>
      <c r="D17" s="5">
        <v>4</v>
      </c>
      <c r="E17" s="5">
        <v>1</v>
      </c>
      <c r="F17" s="5">
        <v>4</v>
      </c>
      <c r="G17" s="5">
        <v>4</v>
      </c>
      <c r="H17" s="5">
        <v>8</v>
      </c>
      <c r="I17" s="5">
        <v>1</v>
      </c>
      <c r="J17" s="5">
        <v>5</v>
      </c>
      <c r="K17" s="5">
        <v>0</v>
      </c>
      <c r="L17" s="5">
        <v>6</v>
      </c>
      <c r="M17" s="5"/>
      <c r="N17" s="6">
        <f>SUM(NA[[#This Row],[Jan]:[Dez]])</f>
        <v>42</v>
      </c>
      <c r="O17" s="3">
        <f>NA[[#This Row],[2024]]/NA[[#Totals],[2024]]</f>
        <v>4.5322110715441894E-3</v>
      </c>
    </row>
    <row r="18" spans="1:15" ht="15.75" thickBot="1" x14ac:dyDescent="0.3">
      <c r="A18" s="20"/>
      <c r="B18" s="10">
        <f>SUBTOTAL(109,NA[Jan])</f>
        <v>666</v>
      </c>
      <c r="C18" s="10">
        <f>SUBTOTAL(109,NA[Fev])</f>
        <v>662</v>
      </c>
      <c r="D18" s="10">
        <f>SUBTOTAL(109,NA[Mar])</f>
        <v>823</v>
      </c>
      <c r="E18" s="10">
        <f>SUBTOTAL(109,NA[Abr])</f>
        <v>792</v>
      </c>
      <c r="F18" s="10">
        <f>SUBTOTAL(109,NA[Mai])</f>
        <v>866</v>
      </c>
      <c r="G18" s="10">
        <f>SUBTOTAL(109,NA[Jun])</f>
        <v>916</v>
      </c>
      <c r="H18" s="10">
        <f>SUBTOTAL(109,NA[Jul])</f>
        <v>842</v>
      </c>
      <c r="I18" s="10">
        <f>SUBTOTAL(109,NA[Ago])</f>
        <v>887</v>
      </c>
      <c r="J18" s="10">
        <f>SUBTOTAL(109,NA[Set])</f>
        <v>953</v>
      </c>
      <c r="K18" s="10">
        <f>SUBTOTAL(109,NA[Out])</f>
        <v>946</v>
      </c>
      <c r="L18" s="10">
        <f>SUBTOTAL(109,NA[Nov])</f>
        <v>914</v>
      </c>
      <c r="M18" s="10">
        <f>SUBTOTAL(109,NA[Dez])</f>
        <v>0</v>
      </c>
      <c r="N18" s="11">
        <f>SUBTOTAL(109,NA[2024])</f>
        <v>9267</v>
      </c>
      <c r="O18" s="9"/>
    </row>
    <row r="19" spans="1:15" ht="15.75" thickTop="1" x14ac:dyDescent="0.25">
      <c r="A19" s="12" t="s">
        <v>28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1" t="s">
        <v>29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2" t="s">
        <v>13</v>
      </c>
      <c r="O20" s="3"/>
    </row>
    <row r="21" spans="1:15" ht="23.25" x14ac:dyDescent="0.25">
      <c r="A21" s="21" t="s">
        <v>30</v>
      </c>
      <c r="B21" s="5">
        <v>79</v>
      </c>
      <c r="C21" s="5">
        <v>252</v>
      </c>
      <c r="D21" s="5">
        <v>105</v>
      </c>
      <c r="E21" s="5">
        <v>147</v>
      </c>
      <c r="F21" s="5">
        <v>70</v>
      </c>
      <c r="G21" s="5">
        <v>145</v>
      </c>
      <c r="H21" s="5">
        <v>99</v>
      </c>
      <c r="I21" s="5">
        <v>166</v>
      </c>
      <c r="J21" s="5">
        <v>154</v>
      </c>
      <c r="K21" s="5">
        <v>223</v>
      </c>
      <c r="L21" s="5">
        <v>270</v>
      </c>
      <c r="M21" s="5"/>
      <c r="N21" s="6">
        <f>SUM(FRA[[#This Row],[Jan]:[Dez]])</f>
        <v>1710</v>
      </c>
      <c r="O21" s="3"/>
    </row>
    <row r="22" spans="1:15" ht="34.5" x14ac:dyDescent="0.25">
      <c r="A22" s="21" t="s">
        <v>31</v>
      </c>
      <c r="B22" s="5">
        <v>65</v>
      </c>
      <c r="C22" s="5">
        <v>66</v>
      </c>
      <c r="D22" s="5">
        <v>116</v>
      </c>
      <c r="E22" s="5">
        <v>80</v>
      </c>
      <c r="F22" s="5">
        <v>107</v>
      </c>
      <c r="G22" s="5">
        <v>115</v>
      </c>
      <c r="H22" s="5">
        <v>76</v>
      </c>
      <c r="I22" s="5">
        <v>88</v>
      </c>
      <c r="J22" s="5">
        <v>117</v>
      </c>
      <c r="K22" s="5">
        <v>130</v>
      </c>
      <c r="L22" s="5">
        <v>156</v>
      </c>
      <c r="M22" s="5"/>
      <c r="N22" s="6">
        <f>SUM(FRA[[#This Row],[Jan]:[Dez]])</f>
        <v>1116</v>
      </c>
      <c r="O22" s="3"/>
    </row>
    <row r="23" spans="1:15" ht="33.75" x14ac:dyDescent="0.25">
      <c r="A23" s="22" t="s">
        <v>32</v>
      </c>
      <c r="B23" s="5">
        <v>13</v>
      </c>
      <c r="C23" s="5">
        <v>22</v>
      </c>
      <c r="D23" s="5">
        <v>14</v>
      </c>
      <c r="E23" s="5">
        <v>22</v>
      </c>
      <c r="F23" s="5">
        <v>45</v>
      </c>
      <c r="G23" s="5">
        <v>47</v>
      </c>
      <c r="H23" s="5">
        <v>36</v>
      </c>
      <c r="I23" s="5">
        <v>22</v>
      </c>
      <c r="J23" s="5">
        <v>24</v>
      </c>
      <c r="K23" s="5">
        <v>30</v>
      </c>
      <c r="L23" s="5">
        <v>38</v>
      </c>
      <c r="M23" s="5"/>
      <c r="N23" s="6">
        <f>SUM(FRA[[#This Row],[Jan]:[Dez]])</f>
        <v>313</v>
      </c>
      <c r="O23" s="3"/>
    </row>
    <row r="24" spans="1:15" x14ac:dyDescent="0.25">
      <c r="A24" s="4" t="s">
        <v>33</v>
      </c>
      <c r="B24" s="5">
        <v>112</v>
      </c>
      <c r="C24" s="5">
        <v>250</v>
      </c>
      <c r="D24" s="5">
        <v>168</v>
      </c>
      <c r="E24" s="5">
        <v>182</v>
      </c>
      <c r="F24" s="5">
        <v>217</v>
      </c>
      <c r="G24" s="5">
        <v>289</v>
      </c>
      <c r="H24" s="5">
        <v>244</v>
      </c>
      <c r="I24" s="5">
        <v>283</v>
      </c>
      <c r="J24" s="5">
        <v>320</v>
      </c>
      <c r="K24" s="5">
        <v>328</v>
      </c>
      <c r="L24" s="5">
        <v>329</v>
      </c>
      <c r="M24" s="5"/>
      <c r="N24" s="6">
        <f>SUM(FRA[[#This Row],[Jan]:[Dez]])</f>
        <v>2722</v>
      </c>
      <c r="O24" s="3"/>
    </row>
    <row r="25" spans="1:15" ht="57" x14ac:dyDescent="0.25">
      <c r="A25" s="21" t="s">
        <v>34</v>
      </c>
      <c r="B25" s="5">
        <v>65</v>
      </c>
      <c r="C25" s="5">
        <v>51</v>
      </c>
      <c r="D25" s="5">
        <v>69</v>
      </c>
      <c r="E25" s="5">
        <v>60</v>
      </c>
      <c r="F25" s="5">
        <v>62</v>
      </c>
      <c r="G25" s="5">
        <v>100</v>
      </c>
      <c r="H25" s="5">
        <v>66</v>
      </c>
      <c r="I25" s="5">
        <v>65</v>
      </c>
      <c r="J25" s="5">
        <v>95</v>
      </c>
      <c r="K25" s="5">
        <v>104</v>
      </c>
      <c r="L25" s="5">
        <v>100</v>
      </c>
      <c r="M25" s="5"/>
      <c r="N25" s="6">
        <f>SUM(FRA[[#This Row],[Jan]:[Dez]])</f>
        <v>837</v>
      </c>
      <c r="O25" s="3"/>
    </row>
    <row r="26" spans="1:15" ht="15.75" thickBot="1" x14ac:dyDescent="0.3">
      <c r="A26" s="23"/>
      <c r="B26" s="10">
        <f>SUBTOTAL(109,FRA[Jan])</f>
        <v>334</v>
      </c>
      <c r="C26" s="10">
        <f>SUBTOTAL(109,FRA[Fev])</f>
        <v>641</v>
      </c>
      <c r="D26" s="10">
        <f>SUBTOTAL(109,FRA[Mar])</f>
        <v>472</v>
      </c>
      <c r="E26" s="10">
        <f>SUBTOTAL(109,FRA[Abr])</f>
        <v>491</v>
      </c>
      <c r="F26" s="10">
        <f>SUBTOTAL(109,FRA[Mai])</f>
        <v>501</v>
      </c>
      <c r="G26" s="10">
        <f>SUBTOTAL(109,FRA[Jun])</f>
        <v>696</v>
      </c>
      <c r="H26" s="10">
        <f>SUBTOTAL(109,FRA[Jul])</f>
        <v>521</v>
      </c>
      <c r="I26" s="10">
        <f>SUBTOTAL(109,FRA[Ago])</f>
        <v>624</v>
      </c>
      <c r="J26" s="10">
        <f>SUBTOTAL(109,FRA[Set])</f>
        <v>710</v>
      </c>
      <c r="K26" s="10">
        <f>SUBTOTAL(109,FRA[Out])</f>
        <v>815</v>
      </c>
      <c r="L26" s="10">
        <f>SUBTOTAL(109,FRA[Nov])</f>
        <v>893</v>
      </c>
      <c r="M26" s="10">
        <f>SUBTOTAL(109,FRA[Dez])</f>
        <v>0</v>
      </c>
      <c r="N26" s="11">
        <f>SUBTOTAL(109,FRA[2024])</f>
        <v>6698</v>
      </c>
      <c r="O26" s="3"/>
    </row>
    <row r="27" spans="1:15" ht="15.75" thickTop="1" x14ac:dyDescent="0.25">
      <c r="A27" s="12" t="s">
        <v>35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5">
      <c r="A28" s="1" t="s">
        <v>35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2" t="s">
        <v>13</v>
      </c>
      <c r="O28" s="9" t="s">
        <v>16</v>
      </c>
    </row>
    <row r="29" spans="1:15" x14ac:dyDescent="0.25">
      <c r="A29" s="24" t="s">
        <v>36</v>
      </c>
      <c r="B29" s="5">
        <v>39</v>
      </c>
      <c r="C29" s="5">
        <v>37</v>
      </c>
      <c r="D29" s="5">
        <v>26</v>
      </c>
      <c r="E29" s="5">
        <v>26</v>
      </c>
      <c r="F29" s="5">
        <v>34</v>
      </c>
      <c r="G29" s="5">
        <v>33</v>
      </c>
      <c r="H29" s="5">
        <v>41</v>
      </c>
      <c r="I29" s="5">
        <v>38</v>
      </c>
      <c r="J29" s="5">
        <v>44</v>
      </c>
      <c r="K29" s="5">
        <v>28</v>
      </c>
      <c r="L29" s="5">
        <f>28+1</f>
        <v>29</v>
      </c>
      <c r="M29" s="5"/>
      <c r="N29" s="6">
        <f>SUM(FE[[#This Row],[Jan]:[Dez]])</f>
        <v>375</v>
      </c>
      <c r="O29" s="3">
        <f>FE[[#This Row],[2024]]/FE[[#Totals],[2024]]</f>
        <v>4.0466170281644544E-2</v>
      </c>
    </row>
    <row r="30" spans="1:15" x14ac:dyDescent="0.25">
      <c r="A30" s="24" t="s">
        <v>37</v>
      </c>
      <c r="B30" s="5">
        <v>75</v>
      </c>
      <c r="C30" s="5">
        <v>90</v>
      </c>
      <c r="D30" s="5">
        <v>112</v>
      </c>
      <c r="E30" s="5">
        <v>101</v>
      </c>
      <c r="F30" s="5">
        <v>131</v>
      </c>
      <c r="G30" s="5">
        <v>127</v>
      </c>
      <c r="H30" s="5">
        <v>122</v>
      </c>
      <c r="I30" s="5">
        <v>127</v>
      </c>
      <c r="J30" s="5">
        <v>157</v>
      </c>
      <c r="K30" s="5">
        <v>116</v>
      </c>
      <c r="L30" s="5">
        <v>126</v>
      </c>
      <c r="M30" s="5"/>
      <c r="N30" s="6">
        <f>SUM(FE[[#This Row],[Jan]:[Dez]])</f>
        <v>1284</v>
      </c>
      <c r="O30" s="3">
        <f>FE[[#This Row],[2024]]/FE[[#Totals],[2024]]</f>
        <v>0.13855616704435092</v>
      </c>
    </row>
    <row r="31" spans="1:15" x14ac:dyDescent="0.25">
      <c r="A31" s="24" t="s">
        <v>38</v>
      </c>
      <c r="B31" s="5">
        <v>363</v>
      </c>
      <c r="C31" s="5">
        <v>349</v>
      </c>
      <c r="D31" s="5">
        <v>451</v>
      </c>
      <c r="E31" s="5">
        <v>433</v>
      </c>
      <c r="F31" s="5">
        <v>459</v>
      </c>
      <c r="G31" s="5">
        <v>486</v>
      </c>
      <c r="H31" s="5">
        <v>437</v>
      </c>
      <c r="I31" s="5">
        <v>481</v>
      </c>
      <c r="J31" s="5">
        <v>487</v>
      </c>
      <c r="K31" s="5">
        <v>515</v>
      </c>
      <c r="L31" s="5">
        <f>296+199</f>
        <v>495</v>
      </c>
      <c r="M31" s="5"/>
      <c r="N31" s="6">
        <f>SUM(FE[[#This Row],[Jan]:[Dez]])</f>
        <v>4956</v>
      </c>
      <c r="O31" s="3">
        <f>FE[[#This Row],[2024]]/FE[[#Totals],[2024]]</f>
        <v>0.53480090644221434</v>
      </c>
    </row>
    <row r="32" spans="1:15" x14ac:dyDescent="0.25">
      <c r="A32" s="24" t="s">
        <v>39</v>
      </c>
      <c r="B32" s="5">
        <v>162</v>
      </c>
      <c r="C32" s="5">
        <v>156</v>
      </c>
      <c r="D32" s="5">
        <v>198</v>
      </c>
      <c r="E32" s="5">
        <v>194</v>
      </c>
      <c r="F32" s="5">
        <v>196</v>
      </c>
      <c r="G32" s="5">
        <v>235</v>
      </c>
      <c r="H32" s="5">
        <v>194</v>
      </c>
      <c r="I32" s="5">
        <v>195</v>
      </c>
      <c r="J32" s="5">
        <v>222</v>
      </c>
      <c r="K32" s="5">
        <v>234</v>
      </c>
      <c r="L32" s="5">
        <f>137+81</f>
        <v>218</v>
      </c>
      <c r="M32" s="5"/>
      <c r="N32" s="6">
        <f>SUM(FE[[#This Row],[Jan]:[Dez]])</f>
        <v>2204</v>
      </c>
      <c r="O32" s="3">
        <f>FE[[#This Row],[2024]]/FE[[#Totals],[2024]]</f>
        <v>0.23783317146865221</v>
      </c>
    </row>
    <row r="33" spans="1:15" x14ac:dyDescent="0.25">
      <c r="A33" s="24" t="s">
        <v>40</v>
      </c>
      <c r="B33" s="5">
        <v>27</v>
      </c>
      <c r="C33" s="5">
        <v>30</v>
      </c>
      <c r="D33" s="5">
        <v>36</v>
      </c>
      <c r="E33" s="5">
        <v>38</v>
      </c>
      <c r="F33" s="5">
        <v>46</v>
      </c>
      <c r="G33" s="5">
        <v>35</v>
      </c>
      <c r="H33" s="5">
        <v>48</v>
      </c>
      <c r="I33" s="5">
        <v>46</v>
      </c>
      <c r="J33" s="5">
        <v>43</v>
      </c>
      <c r="K33" s="5">
        <v>53</v>
      </c>
      <c r="L33" s="5">
        <v>46</v>
      </c>
      <c r="M33" s="5"/>
      <c r="N33" s="6">
        <f>SUM(FE[[#This Row],[Jan]:[Dez]])</f>
        <v>448</v>
      </c>
      <c r="O33" s="3">
        <f>FE[[#This Row],[2024]]/FE[[#Totals],[2024]]</f>
        <v>4.834358476313802E-2</v>
      </c>
    </row>
    <row r="34" spans="1:15" ht="15.75" thickBot="1" x14ac:dyDescent="0.3">
      <c r="A34" s="1"/>
      <c r="B34" s="10">
        <f>SUBTOTAL(109,FE[Jan])</f>
        <v>666</v>
      </c>
      <c r="C34" s="10">
        <f>SUBTOTAL(109,FE[Fev])</f>
        <v>662</v>
      </c>
      <c r="D34" s="10">
        <f>SUBTOTAL(109,FE[Mar])</f>
        <v>823</v>
      </c>
      <c r="E34" s="10">
        <f>SUBTOTAL(109,FE[Abr])</f>
        <v>792</v>
      </c>
      <c r="F34" s="10">
        <f>SUBTOTAL(109,FE[Mai])</f>
        <v>866</v>
      </c>
      <c r="G34" s="10">
        <f>SUBTOTAL(109,FE[Jun])</f>
        <v>916</v>
      </c>
      <c r="H34" s="10">
        <f>SUBTOTAL(109,FE[Jul])</f>
        <v>842</v>
      </c>
      <c r="I34" s="10">
        <f>SUBTOTAL(109,FE[Ago])</f>
        <v>887</v>
      </c>
      <c r="J34" s="10">
        <f>SUBTOTAL(109,FE[Set])</f>
        <v>953</v>
      </c>
      <c r="K34" s="10">
        <f>SUBTOTAL(109,FE[Out])</f>
        <v>946</v>
      </c>
      <c r="L34" s="10">
        <f>SUBTOTAL(109,FE[Nov])</f>
        <v>914</v>
      </c>
      <c r="M34" s="10">
        <f>SUBTOTAL(109,FE[Dez])</f>
        <v>0</v>
      </c>
      <c r="N34" s="6">
        <f>SUBTOTAL(109,FE[2024])</f>
        <v>9267</v>
      </c>
      <c r="O34" s="9"/>
    </row>
    <row r="35" spans="1:15" ht="15.75" thickTop="1" x14ac:dyDescent="0.25">
      <c r="A35" s="12" t="s">
        <v>41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x14ac:dyDescent="0.25">
      <c r="A36" s="1" t="s">
        <v>41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2" t="s">
        <v>13</v>
      </c>
      <c r="O36" s="9" t="s">
        <v>16</v>
      </c>
    </row>
    <row r="37" spans="1:15" x14ac:dyDescent="0.25">
      <c r="A37" s="4" t="s">
        <v>42</v>
      </c>
      <c r="B37" s="5">
        <v>123</v>
      </c>
      <c r="C37" s="5">
        <v>90</v>
      </c>
      <c r="D37" s="5">
        <v>112</v>
      </c>
      <c r="E37" s="5">
        <v>143</v>
      </c>
      <c r="F37" s="5">
        <v>116</v>
      </c>
      <c r="G37" s="5">
        <v>118</v>
      </c>
      <c r="H37" s="5">
        <v>129</v>
      </c>
      <c r="I37" s="5">
        <v>119</v>
      </c>
      <c r="J37" s="5">
        <v>131</v>
      </c>
      <c r="K37" s="5">
        <v>135</v>
      </c>
      <c r="L37" s="5">
        <v>127</v>
      </c>
      <c r="M37" s="5"/>
      <c r="N37" s="6">
        <f>SUM(DSA[[#This Row],[Jan]:[Dez]])</f>
        <v>1343</v>
      </c>
      <c r="O37" s="3">
        <f>DSA[[#This Row],[2024]]/DSA[[#Totals],[2024]]</f>
        <v>0.14492284450199633</v>
      </c>
    </row>
    <row r="38" spans="1:15" x14ac:dyDescent="0.25">
      <c r="A38" s="4" t="s">
        <v>43</v>
      </c>
      <c r="B38" s="5">
        <v>81</v>
      </c>
      <c r="C38" s="5">
        <v>70</v>
      </c>
      <c r="D38" s="5">
        <v>93</v>
      </c>
      <c r="E38" s="5">
        <v>103</v>
      </c>
      <c r="F38" s="5">
        <v>97</v>
      </c>
      <c r="G38" s="5">
        <v>105</v>
      </c>
      <c r="H38" s="5">
        <v>104</v>
      </c>
      <c r="I38" s="5">
        <v>91</v>
      </c>
      <c r="J38" s="5">
        <v>115</v>
      </c>
      <c r="K38" s="5">
        <v>120</v>
      </c>
      <c r="L38" s="5">
        <v>96</v>
      </c>
      <c r="M38" s="5"/>
      <c r="N38" s="6">
        <f>SUM(DSA[[#This Row],[Jan]:[Dez]])</f>
        <v>1075</v>
      </c>
      <c r="O38" s="3">
        <f>DSA[[#This Row],[2024]]/DSA[[#Totals],[2024]]</f>
        <v>0.1160030214740477</v>
      </c>
    </row>
    <row r="39" spans="1:15" x14ac:dyDescent="0.25">
      <c r="A39" s="4" t="s">
        <v>44</v>
      </c>
      <c r="B39" s="5">
        <v>87</v>
      </c>
      <c r="C39" s="5">
        <v>82</v>
      </c>
      <c r="D39" s="5">
        <v>93</v>
      </c>
      <c r="E39" s="5">
        <v>98</v>
      </c>
      <c r="F39" s="5">
        <v>112</v>
      </c>
      <c r="G39" s="5">
        <v>97</v>
      </c>
      <c r="H39" s="5">
        <v>100</v>
      </c>
      <c r="I39" s="5">
        <v>86</v>
      </c>
      <c r="J39" s="5">
        <v>99</v>
      </c>
      <c r="K39" s="5">
        <v>135</v>
      </c>
      <c r="L39" s="5">
        <v>93</v>
      </c>
      <c r="M39" s="5"/>
      <c r="N39" s="6">
        <f>SUM(DSA[[#This Row],[Jan]:[Dez]])</f>
        <v>1082</v>
      </c>
      <c r="O39" s="3">
        <f>DSA[[#This Row],[2024]]/DSA[[#Totals],[2024]]</f>
        <v>0.11675838998597173</v>
      </c>
    </row>
    <row r="40" spans="1:15" x14ac:dyDescent="0.25">
      <c r="A40" s="4" t="s">
        <v>45</v>
      </c>
      <c r="B40" s="5">
        <v>70</v>
      </c>
      <c r="C40" s="5">
        <v>93</v>
      </c>
      <c r="D40" s="5">
        <v>88</v>
      </c>
      <c r="E40" s="5">
        <v>85</v>
      </c>
      <c r="F40" s="5">
        <v>121</v>
      </c>
      <c r="G40" s="5">
        <v>103</v>
      </c>
      <c r="H40" s="5">
        <v>90</v>
      </c>
      <c r="I40" s="5">
        <v>110</v>
      </c>
      <c r="J40" s="5">
        <v>117</v>
      </c>
      <c r="K40" s="5">
        <v>129</v>
      </c>
      <c r="L40" s="5">
        <v>105</v>
      </c>
      <c r="M40" s="5"/>
      <c r="N40" s="6">
        <f>SUM(DSA[[#This Row],[Jan]:[Dez]])</f>
        <v>1111</v>
      </c>
      <c r="O40" s="3">
        <f>DSA[[#This Row],[2024]]/DSA[[#Totals],[2024]]</f>
        <v>0.11988777382108558</v>
      </c>
    </row>
    <row r="41" spans="1:15" x14ac:dyDescent="0.25">
      <c r="A41" s="4" t="s">
        <v>46</v>
      </c>
      <c r="B41" s="5">
        <v>86</v>
      </c>
      <c r="C41" s="5">
        <v>97</v>
      </c>
      <c r="D41" s="5">
        <v>126</v>
      </c>
      <c r="E41" s="5">
        <v>100</v>
      </c>
      <c r="F41" s="5">
        <v>126</v>
      </c>
      <c r="G41" s="5">
        <v>103</v>
      </c>
      <c r="H41" s="5">
        <v>116</v>
      </c>
      <c r="I41" s="5">
        <v>155</v>
      </c>
      <c r="J41" s="5">
        <v>117</v>
      </c>
      <c r="K41" s="5">
        <v>105</v>
      </c>
      <c r="L41" s="5">
        <v>140</v>
      </c>
      <c r="M41" s="5"/>
      <c r="N41" s="6">
        <f>SUM(DSA[[#This Row],[Jan]:[Dez]])</f>
        <v>1271</v>
      </c>
      <c r="O41" s="3">
        <f>DSA[[#This Row],[2024]]/DSA[[#Totals],[2024]]</f>
        <v>0.13715333980792058</v>
      </c>
    </row>
    <row r="42" spans="1:15" x14ac:dyDescent="0.25">
      <c r="A42" s="4" t="s">
        <v>47</v>
      </c>
      <c r="B42" s="5">
        <v>101</v>
      </c>
      <c r="C42" s="5">
        <v>117</v>
      </c>
      <c r="D42" s="5">
        <v>142</v>
      </c>
      <c r="E42" s="5">
        <v>126</v>
      </c>
      <c r="F42" s="5">
        <v>149</v>
      </c>
      <c r="G42" s="5">
        <v>171</v>
      </c>
      <c r="H42" s="5">
        <v>141</v>
      </c>
      <c r="I42" s="5">
        <v>173</v>
      </c>
      <c r="J42" s="5">
        <v>190</v>
      </c>
      <c r="K42" s="5">
        <v>139</v>
      </c>
      <c r="L42" s="5">
        <v>174</v>
      </c>
      <c r="M42" s="5"/>
      <c r="N42" s="6">
        <f>SUM(DSA[[#This Row],[Jan]:[Dez]])</f>
        <v>1623</v>
      </c>
      <c r="O42" s="3">
        <f>DSA[[#This Row],[2024]]/DSA[[#Totals],[2024]]</f>
        <v>0.17513758497895759</v>
      </c>
    </row>
    <row r="43" spans="1:15" x14ac:dyDescent="0.25">
      <c r="A43" s="4" t="s">
        <v>48</v>
      </c>
      <c r="B43" s="5">
        <v>117</v>
      </c>
      <c r="C43" s="5">
        <v>113</v>
      </c>
      <c r="D43" s="5">
        <v>169</v>
      </c>
      <c r="E43" s="5">
        <v>137</v>
      </c>
      <c r="F43" s="5">
        <v>145</v>
      </c>
      <c r="G43" s="5">
        <v>219</v>
      </c>
      <c r="H43" s="5">
        <v>162</v>
      </c>
      <c r="I43" s="5">
        <v>153</v>
      </c>
      <c r="J43" s="5">
        <v>184</v>
      </c>
      <c r="K43" s="5">
        <v>183</v>
      </c>
      <c r="L43" s="5">
        <v>175</v>
      </c>
      <c r="M43" s="5"/>
      <c r="N43" s="6">
        <f>SUM(DSA[[#This Row],[Jan]:[Dez]])</f>
        <v>1757</v>
      </c>
      <c r="O43" s="3">
        <f>DSA[[#This Row],[2024]]/DSA[[#Totals],[2024]]</f>
        <v>0.18959749649293192</v>
      </c>
    </row>
    <row r="44" spans="1:15" x14ac:dyDescent="0.25">
      <c r="A44" s="4" t="s">
        <v>19</v>
      </c>
      <c r="B44" s="5">
        <v>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4</v>
      </c>
      <c r="M44" s="5"/>
      <c r="N44" s="6">
        <f>SUM(DSA[[#This Row],[Jan]:[Dez]])</f>
        <v>5</v>
      </c>
      <c r="O44" s="3">
        <f>DSA[[#This Row],[2024]]/DSA[[#Totals],[2024]]</f>
        <v>5.3954893708859394E-4</v>
      </c>
    </row>
    <row r="45" spans="1:15" ht="15.75" thickBot="1" x14ac:dyDescent="0.3">
      <c r="A45" s="1"/>
      <c r="B45" s="10">
        <f>SUBTOTAL(109,DSA[Jan])</f>
        <v>666</v>
      </c>
      <c r="C45" s="10">
        <f>SUBTOTAL(109,DSA[Fev])</f>
        <v>662</v>
      </c>
      <c r="D45" s="10">
        <f>SUBTOTAL(109,DSA[Mar])</f>
        <v>823</v>
      </c>
      <c r="E45" s="10">
        <f>SUBTOTAL(109,DSA[Abr])</f>
        <v>792</v>
      </c>
      <c r="F45" s="10">
        <f>SUBTOTAL(109,DSA[Mai])</f>
        <v>866</v>
      </c>
      <c r="G45" s="10">
        <f>SUBTOTAL(109,DSA[Jun])</f>
        <v>916</v>
      </c>
      <c r="H45" s="10">
        <f>SUBTOTAL(109,DSA[Jul])</f>
        <v>842</v>
      </c>
      <c r="I45" s="10">
        <f>SUBTOTAL(109,DSA[Ago])</f>
        <v>887</v>
      </c>
      <c r="J45" s="10">
        <f>SUBTOTAL(109,DSA[Set])</f>
        <v>953</v>
      </c>
      <c r="K45" s="10">
        <f>SUBTOTAL(109,DSA[Out])</f>
        <v>946</v>
      </c>
      <c r="L45" s="10">
        <f>SUBTOTAL(109,DSA[Nov])</f>
        <v>914</v>
      </c>
      <c r="M45" s="10">
        <f>SUBTOTAL(109,DSA[Dez])</f>
        <v>0</v>
      </c>
      <c r="N45" s="11">
        <f>SUBTOTAL(109,DSA[2024])</f>
        <v>9267</v>
      </c>
      <c r="O45" s="9"/>
    </row>
    <row r="46" spans="1:15" ht="15.75" thickTop="1" x14ac:dyDescent="0.25">
      <c r="A46" s="12" t="s">
        <v>49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x14ac:dyDescent="0.25">
      <c r="A47" s="1" t="s">
        <v>49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2" t="s">
        <v>13</v>
      </c>
      <c r="O47" s="9" t="s">
        <v>16</v>
      </c>
    </row>
    <row r="48" spans="1:15" ht="34.5" x14ac:dyDescent="0.25">
      <c r="A48" s="19" t="s">
        <v>50</v>
      </c>
      <c r="B48" s="5">
        <v>12</v>
      </c>
      <c r="C48" s="5">
        <v>11</v>
      </c>
      <c r="D48" s="5">
        <v>10</v>
      </c>
      <c r="E48" s="5">
        <v>8</v>
      </c>
      <c r="F48" s="5">
        <v>16</v>
      </c>
      <c r="G48" s="5">
        <v>14</v>
      </c>
      <c r="H48" s="5">
        <v>13</v>
      </c>
      <c r="I48" s="5">
        <v>9</v>
      </c>
      <c r="J48" s="5">
        <v>18</v>
      </c>
      <c r="K48" s="5">
        <v>17</v>
      </c>
      <c r="L48" s="5">
        <v>18</v>
      </c>
      <c r="M48" s="5"/>
      <c r="N48" s="6">
        <f>SUM(ART[[#This Row],[Jan]:[Dez]])</f>
        <v>146</v>
      </c>
      <c r="O48" s="3">
        <f>ART[[#This Row],[2024]]/ART[[#Totals],[2024]]</f>
        <v>1.5754828962986942E-2</v>
      </c>
    </row>
    <row r="49" spans="1:15" ht="34.5" x14ac:dyDescent="0.25">
      <c r="A49" s="19" t="s">
        <v>51</v>
      </c>
      <c r="B49" s="5">
        <v>14</v>
      </c>
      <c r="C49" s="5">
        <v>18</v>
      </c>
      <c r="D49" s="5">
        <v>21</v>
      </c>
      <c r="E49" s="5">
        <v>36</v>
      </c>
      <c r="F49" s="5">
        <v>43</v>
      </c>
      <c r="G49" s="5">
        <v>29</v>
      </c>
      <c r="H49" s="5">
        <v>22</v>
      </c>
      <c r="I49" s="5">
        <v>13</v>
      </c>
      <c r="J49" s="5">
        <v>33</v>
      </c>
      <c r="K49" s="5">
        <v>36</v>
      </c>
      <c r="L49" s="5">
        <v>34</v>
      </c>
      <c r="M49" s="5"/>
      <c r="N49" s="6">
        <f>SUM(ART[[#This Row],[Jan]:[Dez]])</f>
        <v>299</v>
      </c>
      <c r="O49" s="3">
        <f>ART[[#This Row],[2024]]/ART[[#Totals],[2024]]</f>
        <v>3.2265026437897915E-2</v>
      </c>
    </row>
    <row r="50" spans="1:15" ht="22.5" x14ac:dyDescent="0.25">
      <c r="A50" s="18" t="s">
        <v>52</v>
      </c>
      <c r="B50" s="5">
        <v>205</v>
      </c>
      <c r="C50" s="5">
        <v>96</v>
      </c>
      <c r="D50" s="5">
        <v>106</v>
      </c>
      <c r="E50" s="5">
        <v>118</v>
      </c>
      <c r="F50" s="5">
        <v>127</v>
      </c>
      <c r="G50" s="5">
        <v>166</v>
      </c>
      <c r="H50" s="5">
        <v>140</v>
      </c>
      <c r="I50" s="5">
        <v>101</v>
      </c>
      <c r="J50" s="5">
        <v>171</v>
      </c>
      <c r="K50" s="5">
        <v>208</v>
      </c>
      <c r="L50" s="5">
        <v>188</v>
      </c>
      <c r="M50" s="5"/>
      <c r="N50" s="6">
        <f>SUM(ART[[#This Row],[Jan]:[Dez]])</f>
        <v>1626</v>
      </c>
      <c r="O50" s="3">
        <f>ART[[#This Row],[2024]]/ART[[#Totals],[2024]]</f>
        <v>0.17546131434121076</v>
      </c>
    </row>
    <row r="51" spans="1:15" x14ac:dyDescent="0.25">
      <c r="A51" s="17" t="s">
        <v>53</v>
      </c>
      <c r="B51" s="5">
        <v>74</v>
      </c>
      <c r="C51" s="5">
        <v>60</v>
      </c>
      <c r="D51" s="5">
        <v>76</v>
      </c>
      <c r="E51" s="5">
        <v>53</v>
      </c>
      <c r="F51" s="5">
        <v>91</v>
      </c>
      <c r="G51" s="5">
        <v>83</v>
      </c>
      <c r="H51" s="5">
        <v>84</v>
      </c>
      <c r="I51" s="5">
        <v>112</v>
      </c>
      <c r="J51" s="5">
        <v>115</v>
      </c>
      <c r="K51" s="5">
        <v>85</v>
      </c>
      <c r="L51" s="5">
        <v>89</v>
      </c>
      <c r="M51" s="5"/>
      <c r="N51" s="6">
        <f>SUM(ART[[#This Row],[Jan]:[Dez]])</f>
        <v>922</v>
      </c>
      <c r="O51" s="3">
        <f>ART[[#This Row],[2024]]/ART[[#Totals],[2024]]</f>
        <v>9.9492823999136726E-2</v>
      </c>
    </row>
    <row r="52" spans="1:15" x14ac:dyDescent="0.25">
      <c r="A52" s="17" t="s">
        <v>26</v>
      </c>
      <c r="B52" s="5">
        <v>361</v>
      </c>
      <c r="C52" s="5">
        <v>477</v>
      </c>
      <c r="D52" s="5">
        <v>610</v>
      </c>
      <c r="E52" s="5">
        <v>577</v>
      </c>
      <c r="F52" s="5">
        <v>589</v>
      </c>
      <c r="G52" s="5">
        <v>624</v>
      </c>
      <c r="H52" s="5">
        <v>583</v>
      </c>
      <c r="I52" s="5">
        <v>652</v>
      </c>
      <c r="J52" s="5">
        <v>616</v>
      </c>
      <c r="K52" s="5">
        <v>600</v>
      </c>
      <c r="L52" s="5">
        <v>585</v>
      </c>
      <c r="M52" s="5"/>
      <c r="N52" s="6">
        <f>SUM(ART[[#This Row],[Jan]:[Dez]])</f>
        <v>6274</v>
      </c>
      <c r="O52" s="3">
        <f>ART[[#This Row],[2024]]/ART[[#Totals],[2024]]</f>
        <v>0.67702600625876763</v>
      </c>
    </row>
    <row r="53" spans="1:15" ht="15.75" thickBot="1" x14ac:dyDescent="0.3">
      <c r="A53" s="25"/>
      <c r="B53" s="26">
        <f>SUBTOTAL(109,ART[Jan])</f>
        <v>666</v>
      </c>
      <c r="C53" s="26">
        <f>SUBTOTAL(109,ART[Fev])</f>
        <v>662</v>
      </c>
      <c r="D53" s="26">
        <f>SUBTOTAL(109,ART[Mar])</f>
        <v>823</v>
      </c>
      <c r="E53" s="26">
        <f>SUBTOTAL(109,ART[Abr])</f>
        <v>792</v>
      </c>
      <c r="F53" s="26">
        <f>SUBTOTAL(109,ART[Mai])</f>
        <v>866</v>
      </c>
      <c r="G53" s="26">
        <f>SUBTOTAL(109,ART[Jun])</f>
        <v>916</v>
      </c>
      <c r="H53" s="26">
        <f>SUBTOTAL(109,ART[Jul])</f>
        <v>842</v>
      </c>
      <c r="I53" s="26">
        <f>SUBTOTAL(109,ART[Ago])</f>
        <v>887</v>
      </c>
      <c r="J53" s="26">
        <f>SUBTOTAL(109,ART[Set])</f>
        <v>953</v>
      </c>
      <c r="K53" s="26">
        <f>SUBTOTAL(109,ART[Out])</f>
        <v>946</v>
      </c>
      <c r="L53" s="26">
        <f>SUBTOTAL(109,ART[Nov])</f>
        <v>914</v>
      </c>
      <c r="M53" s="26">
        <f>SUBTOTAL(109,ART[Dez])</f>
        <v>0</v>
      </c>
      <c r="N53" s="27">
        <f>SUBTOTAL(109,ART[2024])</f>
        <v>9267</v>
      </c>
      <c r="O53" s="28"/>
    </row>
    <row r="54" spans="1:15" ht="15.75" thickTop="1" x14ac:dyDescent="0.25">
      <c r="A54" s="12" t="s">
        <v>54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x14ac:dyDescent="0.25">
      <c r="A55" s="1" t="s">
        <v>54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2" t="s">
        <v>13</v>
      </c>
      <c r="O55" s="9" t="s">
        <v>16</v>
      </c>
    </row>
    <row r="56" spans="1:15" x14ac:dyDescent="0.25">
      <c r="A56" s="4" t="s">
        <v>55</v>
      </c>
      <c r="B56" s="5">
        <v>26</v>
      </c>
      <c r="C56" s="5">
        <v>23</v>
      </c>
      <c r="D56" s="5">
        <v>36</v>
      </c>
      <c r="E56" s="5">
        <v>28</v>
      </c>
      <c r="F56" s="5">
        <v>35</v>
      </c>
      <c r="G56" s="5">
        <v>37</v>
      </c>
      <c r="H56" s="5">
        <v>37</v>
      </c>
      <c r="I56" s="5">
        <v>34</v>
      </c>
      <c r="J56" s="5">
        <v>48</v>
      </c>
      <c r="K56" s="5">
        <v>33</v>
      </c>
      <c r="L56" s="5">
        <v>32</v>
      </c>
      <c r="M56" s="5"/>
      <c r="N56" s="6">
        <f>SUM(ML[[#This Row],[Jan]:[Dez]])</f>
        <v>369</v>
      </c>
      <c r="O56" s="3">
        <f>ML[[#This Row],[2024]]/ML[[#Totals],[2024]]</f>
        <v>3.9818711557138231E-2</v>
      </c>
    </row>
    <row r="57" spans="1:15" x14ac:dyDescent="0.25">
      <c r="A57" s="4" t="s">
        <v>56</v>
      </c>
      <c r="B57" s="5">
        <v>41</v>
      </c>
      <c r="C57" s="5">
        <v>26</v>
      </c>
      <c r="D57" s="5">
        <v>30</v>
      </c>
      <c r="E57" s="5">
        <v>37</v>
      </c>
      <c r="F57" s="5">
        <v>44</v>
      </c>
      <c r="G57" s="5">
        <v>70</v>
      </c>
      <c r="H57" s="5">
        <v>53</v>
      </c>
      <c r="I57" s="5">
        <v>36</v>
      </c>
      <c r="J57" s="5">
        <v>30</v>
      </c>
      <c r="K57" s="5">
        <v>54</v>
      </c>
      <c r="L57" s="5">
        <v>43</v>
      </c>
      <c r="M57" s="5"/>
      <c r="N57" s="6">
        <f>SUM(ML[[#This Row],[Jan]:[Dez]])</f>
        <v>464</v>
      </c>
      <c r="O57" s="3">
        <f>ML[[#This Row],[2024]]/ML[[#Totals],[2024]]</f>
        <v>5.0070141361821516E-2</v>
      </c>
    </row>
    <row r="58" spans="1:15" x14ac:dyDescent="0.25">
      <c r="A58" s="4" t="s">
        <v>57</v>
      </c>
      <c r="B58" s="5">
        <v>494</v>
      </c>
      <c r="C58" s="5">
        <v>498</v>
      </c>
      <c r="D58" s="5">
        <v>649</v>
      </c>
      <c r="E58" s="5">
        <v>604</v>
      </c>
      <c r="F58" s="5">
        <v>642</v>
      </c>
      <c r="G58" s="5">
        <v>673</v>
      </c>
      <c r="H58" s="5">
        <v>616</v>
      </c>
      <c r="I58" s="5">
        <v>681</v>
      </c>
      <c r="J58" s="5">
        <v>725</v>
      </c>
      <c r="K58" s="5">
        <v>746</v>
      </c>
      <c r="L58" s="5">
        <v>718</v>
      </c>
      <c r="M58" s="5"/>
      <c r="N58" s="6">
        <f>SUM(ML[[#This Row],[Jan]:[Dez]])</f>
        <v>7046</v>
      </c>
      <c r="O58" s="3">
        <f>ML[[#This Row],[2024]]/ML[[#Totals],[2024]]</f>
        <v>0.76033236214524658</v>
      </c>
    </row>
    <row r="59" spans="1:15" x14ac:dyDescent="0.25">
      <c r="A59" s="4" t="s">
        <v>58</v>
      </c>
      <c r="B59" s="5">
        <v>62</v>
      </c>
      <c r="C59" s="5">
        <v>83</v>
      </c>
      <c r="D59" s="5">
        <v>77</v>
      </c>
      <c r="E59" s="5">
        <v>83</v>
      </c>
      <c r="F59" s="5">
        <v>85</v>
      </c>
      <c r="G59" s="5">
        <v>92</v>
      </c>
      <c r="H59" s="5">
        <v>94</v>
      </c>
      <c r="I59" s="5">
        <v>90</v>
      </c>
      <c r="J59" s="5">
        <v>114</v>
      </c>
      <c r="K59" s="5">
        <v>86</v>
      </c>
      <c r="L59" s="5">
        <v>83</v>
      </c>
      <c r="M59" s="5"/>
      <c r="N59" s="6">
        <f>SUM(ML[[#This Row],[Jan]:[Dez]])</f>
        <v>949</v>
      </c>
      <c r="O59" s="3">
        <f>ML[[#This Row],[2024]]/ML[[#Totals],[2024]]</f>
        <v>0.10240638825941513</v>
      </c>
    </row>
    <row r="60" spans="1:15" x14ac:dyDescent="0.25">
      <c r="A60" s="4" t="s">
        <v>59</v>
      </c>
      <c r="B60" s="5">
        <v>43</v>
      </c>
      <c r="C60" s="5">
        <v>30</v>
      </c>
      <c r="D60" s="5">
        <v>31</v>
      </c>
      <c r="E60" s="5">
        <v>38</v>
      </c>
      <c r="F60" s="5">
        <v>60</v>
      </c>
      <c r="G60" s="5">
        <v>43</v>
      </c>
      <c r="H60" s="5">
        <v>42</v>
      </c>
      <c r="I60" s="5">
        <v>46</v>
      </c>
      <c r="J60" s="5">
        <v>36</v>
      </c>
      <c r="K60" s="5">
        <v>27</v>
      </c>
      <c r="L60" s="5">
        <f>7+20+10</f>
        <v>37</v>
      </c>
      <c r="M60" s="5"/>
      <c r="N60" s="6">
        <f>SUM(ML[[#This Row],[Jan]:[Dez]])</f>
        <v>433</v>
      </c>
      <c r="O60" s="3">
        <f>ML[[#This Row],[2024]]/ML[[#Totals],[2024]]</f>
        <v>4.6724937951872235E-2</v>
      </c>
    </row>
    <row r="61" spans="1:15" x14ac:dyDescent="0.25">
      <c r="A61" s="4" t="s">
        <v>19</v>
      </c>
      <c r="B61" s="5">
        <v>0</v>
      </c>
      <c r="C61" s="5">
        <v>2</v>
      </c>
      <c r="D61" s="5">
        <v>0</v>
      </c>
      <c r="E61" s="5">
        <v>2</v>
      </c>
      <c r="F61" s="5">
        <v>0</v>
      </c>
      <c r="G61" s="5">
        <v>1</v>
      </c>
      <c r="H61" s="5">
        <v>0</v>
      </c>
      <c r="I61" s="5">
        <v>0</v>
      </c>
      <c r="J61" s="5">
        <v>0</v>
      </c>
      <c r="K61" s="5">
        <v>0</v>
      </c>
      <c r="L61" s="5">
        <v>1</v>
      </c>
      <c r="M61" s="5"/>
      <c r="N61" s="6">
        <f>SUM(ML[[#This Row],[Jan]:[Dez]])</f>
        <v>6</v>
      </c>
      <c r="O61" s="3">
        <f>ML[[#This Row],[2024]]/ML[[#Totals],[2024]]</f>
        <v>6.4745872450631275E-4</v>
      </c>
    </row>
    <row r="62" spans="1:15" ht="15.75" thickBot="1" x14ac:dyDescent="0.3">
      <c r="A62" s="1"/>
      <c r="B62" s="10">
        <f>SUBTOTAL(109,ML[Jan])</f>
        <v>666</v>
      </c>
      <c r="C62" s="10">
        <f>SUBTOTAL(109,ML[Fev])</f>
        <v>662</v>
      </c>
      <c r="D62" s="10">
        <f>SUBTOTAL(109,ML[Mar])</f>
        <v>823</v>
      </c>
      <c r="E62" s="10">
        <f>SUBTOTAL(109,ML[Abr])</f>
        <v>792</v>
      </c>
      <c r="F62" s="10">
        <f>SUBTOTAL(109,ML[Mai])</f>
        <v>866</v>
      </c>
      <c r="G62" s="10">
        <f>SUBTOTAL(109,ML[Jun])</f>
        <v>916</v>
      </c>
      <c r="H62" s="10">
        <f>SUBTOTAL(109,ML[Jul])</f>
        <v>842</v>
      </c>
      <c r="I62" s="10">
        <f>SUBTOTAL(109,ML[Ago])</f>
        <v>887</v>
      </c>
      <c r="J62" s="10">
        <f>SUBTOTAL(109,ML[Set])</f>
        <v>953</v>
      </c>
      <c r="K62" s="10">
        <f>SUBTOTAL(109,ML[Out])</f>
        <v>946</v>
      </c>
      <c r="L62" s="10">
        <f>SUBTOTAL(109,ML[Nov])</f>
        <v>914</v>
      </c>
      <c r="M62" s="10">
        <f>SUBTOTAL(109,ML[Dez])</f>
        <v>0</v>
      </c>
      <c r="N62" s="11">
        <f>SUBTOTAL(109,ML[2024])</f>
        <v>9267</v>
      </c>
      <c r="O62" s="9"/>
    </row>
    <row r="63" spans="1:15" ht="15.75" thickTop="1" x14ac:dyDescent="0.25">
      <c r="A63" s="12" t="s">
        <v>60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x14ac:dyDescent="0.25">
      <c r="A64" s="1" t="s">
        <v>60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2" t="s">
        <v>13</v>
      </c>
      <c r="O64" s="9" t="s">
        <v>16</v>
      </c>
    </row>
    <row r="65" spans="1:15" x14ac:dyDescent="0.25">
      <c r="A65" s="4" t="s">
        <v>56</v>
      </c>
      <c r="B65" s="5">
        <v>101</v>
      </c>
      <c r="C65" s="5">
        <v>132</v>
      </c>
      <c r="D65" s="5">
        <v>141</v>
      </c>
      <c r="E65" s="5">
        <v>138</v>
      </c>
      <c r="F65" s="5">
        <v>170</v>
      </c>
      <c r="G65" s="5">
        <v>184</v>
      </c>
      <c r="H65" s="5">
        <v>165</v>
      </c>
      <c r="I65" s="5">
        <v>191</v>
      </c>
      <c r="J65" s="5">
        <v>190</v>
      </c>
      <c r="K65" s="5">
        <v>183</v>
      </c>
      <c r="L65" s="5">
        <v>156</v>
      </c>
      <c r="M65" s="5"/>
      <c r="N65" s="6">
        <f>SUM(OPA[[#This Row],[Jan]:[Dez]])</f>
        <v>1751</v>
      </c>
      <c r="O65" s="3">
        <f>OPA[[#This Row],[2024]]/OPA[[#Totals],[2024]]</f>
        <v>0.18901122625215888</v>
      </c>
    </row>
    <row r="66" spans="1:15" x14ac:dyDescent="0.25">
      <c r="A66" s="4" t="s">
        <v>57</v>
      </c>
      <c r="B66" s="5">
        <v>69</v>
      </c>
      <c r="C66" s="5">
        <v>63</v>
      </c>
      <c r="D66" s="5">
        <v>71</v>
      </c>
      <c r="E66" s="5">
        <v>61</v>
      </c>
      <c r="F66" s="5">
        <v>94</v>
      </c>
      <c r="G66" s="5">
        <v>111</v>
      </c>
      <c r="H66" s="5">
        <v>73</v>
      </c>
      <c r="I66" s="5">
        <v>88</v>
      </c>
      <c r="J66" s="5">
        <v>118</v>
      </c>
      <c r="K66" s="5">
        <v>97</v>
      </c>
      <c r="L66" s="5">
        <v>119</v>
      </c>
      <c r="M66" s="5"/>
      <c r="N66" s="6">
        <f>SUM(OPA[[#This Row],[Jan]:[Dez]])</f>
        <v>964</v>
      </c>
      <c r="O66" s="3">
        <f>OPA[[#This Row],[2024]]/OPA[[#Totals],[2024]]</f>
        <v>0.1040587219343696</v>
      </c>
    </row>
    <row r="67" spans="1:15" x14ac:dyDescent="0.25">
      <c r="A67" s="4" t="s">
        <v>58</v>
      </c>
      <c r="B67" s="5">
        <v>13</v>
      </c>
      <c r="C67" s="5">
        <v>8</v>
      </c>
      <c r="D67" s="5">
        <v>9</v>
      </c>
      <c r="E67" s="5">
        <v>6</v>
      </c>
      <c r="F67" s="5">
        <v>11</v>
      </c>
      <c r="G67" s="5">
        <v>12</v>
      </c>
      <c r="H67" s="5">
        <v>4</v>
      </c>
      <c r="I67" s="5">
        <v>8</v>
      </c>
      <c r="J67" s="5">
        <v>11</v>
      </c>
      <c r="K67" s="5">
        <v>11</v>
      </c>
      <c r="L67" s="5">
        <v>6</v>
      </c>
      <c r="M67" s="5"/>
      <c r="N67" s="6">
        <f>SUM(OPA[[#This Row],[Jan]:[Dez]])</f>
        <v>99</v>
      </c>
      <c r="O67" s="3">
        <f>OPA[[#This Row],[2024]]/OPA[[#Totals],[2024]]</f>
        <v>1.0686528497409326E-2</v>
      </c>
    </row>
    <row r="68" spans="1:15" x14ac:dyDescent="0.25">
      <c r="A68" s="4" t="s">
        <v>61</v>
      </c>
      <c r="B68" s="5">
        <v>1</v>
      </c>
      <c r="C68" s="5">
        <v>3</v>
      </c>
      <c r="D68" s="5">
        <v>5</v>
      </c>
      <c r="E68" s="5">
        <v>7</v>
      </c>
      <c r="F68" s="5">
        <v>7</v>
      </c>
      <c r="G68" s="5">
        <v>3</v>
      </c>
      <c r="H68" s="5">
        <v>6</v>
      </c>
      <c r="I68" s="5">
        <v>2</v>
      </c>
      <c r="J68" s="5">
        <v>8</v>
      </c>
      <c r="K68" s="5">
        <v>13</v>
      </c>
      <c r="L68" s="5">
        <v>5</v>
      </c>
      <c r="M68" s="5"/>
      <c r="N68" s="6">
        <f>SUM(OPA[[#This Row],[Jan]:[Dez]])</f>
        <v>60</v>
      </c>
      <c r="O68" s="3">
        <f>OPA[[#This Row],[2024]]/OPA[[#Totals],[2024]]</f>
        <v>6.4766839378238338E-3</v>
      </c>
    </row>
    <row r="69" spans="1:15" x14ac:dyDescent="0.25">
      <c r="A69" s="4" t="s">
        <v>62</v>
      </c>
      <c r="B69" s="5">
        <v>17</v>
      </c>
      <c r="C69" s="5">
        <v>12</v>
      </c>
      <c r="D69" s="5">
        <v>19</v>
      </c>
      <c r="E69" s="5">
        <v>8</v>
      </c>
      <c r="F69" s="5">
        <v>15</v>
      </c>
      <c r="G69" s="5">
        <v>19</v>
      </c>
      <c r="H69" s="5">
        <v>18</v>
      </c>
      <c r="I69" s="5">
        <v>21</v>
      </c>
      <c r="J69" s="5">
        <v>35</v>
      </c>
      <c r="K69" s="5">
        <v>21</v>
      </c>
      <c r="L69" s="5">
        <v>20</v>
      </c>
      <c r="M69" s="5"/>
      <c r="N69" s="6">
        <f>SUM(OPA[[#This Row],[Jan]:[Dez]])</f>
        <v>205</v>
      </c>
      <c r="O69" s="3">
        <f>OPA[[#This Row],[2024]]/OPA[[#Totals],[2024]]</f>
        <v>2.21286701208981E-2</v>
      </c>
    </row>
    <row r="70" spans="1:15" x14ac:dyDescent="0.25">
      <c r="A70" s="4" t="s">
        <v>63</v>
      </c>
      <c r="B70" s="5">
        <v>31</v>
      </c>
      <c r="C70" s="5">
        <v>38</v>
      </c>
      <c r="D70" s="5">
        <v>32</v>
      </c>
      <c r="E70" s="5">
        <v>54</v>
      </c>
      <c r="F70" s="5">
        <v>45</v>
      </c>
      <c r="G70" s="5">
        <v>32</v>
      </c>
      <c r="H70" s="5">
        <v>23</v>
      </c>
      <c r="I70" s="5">
        <v>26</v>
      </c>
      <c r="J70" s="5">
        <v>35</v>
      </c>
      <c r="K70" s="5">
        <v>29</v>
      </c>
      <c r="L70" s="5">
        <v>31</v>
      </c>
      <c r="M70" s="5"/>
      <c r="N70" s="6">
        <f>SUM(OPA[[#This Row],[Jan]:[Dez]])</f>
        <v>376</v>
      </c>
      <c r="O70" s="3">
        <f>OPA[[#This Row],[2024]]/OPA[[#Totals],[2024]]</f>
        <v>4.0587219343696031E-2</v>
      </c>
    </row>
    <row r="71" spans="1:15" x14ac:dyDescent="0.25">
      <c r="A71" s="4" t="s">
        <v>64</v>
      </c>
      <c r="B71" s="5">
        <v>7</v>
      </c>
      <c r="C71" s="5">
        <v>6</v>
      </c>
      <c r="D71" s="5">
        <v>9</v>
      </c>
      <c r="E71" s="5">
        <v>11</v>
      </c>
      <c r="F71" s="5">
        <v>36</v>
      </c>
      <c r="G71" s="5">
        <v>15</v>
      </c>
      <c r="H71" s="5">
        <v>17</v>
      </c>
      <c r="I71" s="5">
        <v>15</v>
      </c>
      <c r="J71" s="5">
        <v>12</v>
      </c>
      <c r="K71" s="5">
        <v>20</v>
      </c>
      <c r="L71" s="5">
        <v>17</v>
      </c>
      <c r="M71" s="5"/>
      <c r="N71" s="6">
        <f>SUM(OPA[[#This Row],[Jan]:[Dez]])</f>
        <v>165</v>
      </c>
      <c r="O71" s="3">
        <f>OPA[[#This Row],[2024]]/OPA[[#Totals],[2024]]</f>
        <v>1.7810880829015545E-2</v>
      </c>
    </row>
    <row r="72" spans="1:15" x14ac:dyDescent="0.25">
      <c r="A72" s="4" t="s">
        <v>65</v>
      </c>
      <c r="B72" s="5">
        <v>3</v>
      </c>
      <c r="C72" s="5">
        <v>1</v>
      </c>
      <c r="D72" s="5">
        <v>0</v>
      </c>
      <c r="E72" s="5">
        <v>0</v>
      </c>
      <c r="F72" s="5">
        <v>2</v>
      </c>
      <c r="G72" s="5">
        <v>1</v>
      </c>
      <c r="H72" s="5">
        <v>2</v>
      </c>
      <c r="I72" s="5">
        <v>0</v>
      </c>
      <c r="J72" s="5">
        <v>0</v>
      </c>
      <c r="K72" s="5">
        <v>1</v>
      </c>
      <c r="L72" s="5">
        <v>1</v>
      </c>
      <c r="M72" s="5"/>
      <c r="N72" s="6">
        <f>SUM(OPA[[#This Row],[Jan]:[Dez]])</f>
        <v>11</v>
      </c>
      <c r="O72" s="3">
        <f>OPA[[#This Row],[2024]]/OPA[[#Totals],[2024]]</f>
        <v>1.187392055267703E-3</v>
      </c>
    </row>
    <row r="73" spans="1:15" x14ac:dyDescent="0.25">
      <c r="A73" s="4" t="s">
        <v>66</v>
      </c>
      <c r="B73" s="5">
        <v>2</v>
      </c>
      <c r="C73" s="5">
        <v>3</v>
      </c>
      <c r="D73" s="5">
        <v>1</v>
      </c>
      <c r="E73" s="5">
        <v>1</v>
      </c>
      <c r="F73" s="5">
        <v>2</v>
      </c>
      <c r="G73" s="5">
        <v>3</v>
      </c>
      <c r="H73" s="5">
        <v>1</v>
      </c>
      <c r="I73" s="5">
        <v>0</v>
      </c>
      <c r="J73" s="5">
        <v>0</v>
      </c>
      <c r="K73" s="5">
        <v>0</v>
      </c>
      <c r="L73" s="5">
        <v>3</v>
      </c>
      <c r="M73" s="5"/>
      <c r="N73" s="6">
        <f>SUM(OPA[[#This Row],[Jan]:[Dez]])</f>
        <v>16</v>
      </c>
      <c r="O73" s="3">
        <f>OPA[[#This Row],[2024]]/OPA[[#Totals],[2024]]</f>
        <v>1.7271157167530224E-3</v>
      </c>
    </row>
    <row r="74" spans="1:15" x14ac:dyDescent="0.25">
      <c r="A74" s="4" t="s">
        <v>67</v>
      </c>
      <c r="B74" s="5">
        <v>1</v>
      </c>
      <c r="C74" s="5">
        <v>3</v>
      </c>
      <c r="D74" s="5">
        <v>3</v>
      </c>
      <c r="E74" s="5">
        <v>1</v>
      </c>
      <c r="F74" s="5">
        <v>2</v>
      </c>
      <c r="G74" s="5">
        <v>3</v>
      </c>
      <c r="H74" s="5">
        <v>1</v>
      </c>
      <c r="I74" s="5">
        <v>0</v>
      </c>
      <c r="J74" s="5">
        <v>1</v>
      </c>
      <c r="K74" s="5">
        <v>2</v>
      </c>
      <c r="L74" s="5">
        <v>3</v>
      </c>
      <c r="M74" s="5"/>
      <c r="N74" s="6">
        <f>SUM(OPA[[#This Row],[Jan]:[Dez]])</f>
        <v>20</v>
      </c>
      <c r="O74" s="3">
        <f>OPA[[#This Row],[2024]]/OPA[[#Totals],[2024]]</f>
        <v>2.1588946459412781E-3</v>
      </c>
    </row>
    <row r="75" spans="1:15" x14ac:dyDescent="0.25">
      <c r="A75" s="4" t="s">
        <v>53</v>
      </c>
      <c r="B75" s="5">
        <v>407</v>
      </c>
      <c r="C75" s="5">
        <v>386</v>
      </c>
      <c r="D75" s="5">
        <v>529</v>
      </c>
      <c r="E75" s="5">
        <v>493</v>
      </c>
      <c r="F75" s="5">
        <v>472</v>
      </c>
      <c r="G75" s="5">
        <v>531</v>
      </c>
      <c r="H75" s="5">
        <v>525</v>
      </c>
      <c r="I75" s="5">
        <v>534</v>
      </c>
      <c r="J75" s="5">
        <v>532</v>
      </c>
      <c r="K75" s="5">
        <v>569</v>
      </c>
      <c r="L75" s="5">
        <v>541</v>
      </c>
      <c r="M75" s="5"/>
      <c r="N75" s="6">
        <f>SUM(OPA[[#This Row],[Jan]:[Dez]])</f>
        <v>5519</v>
      </c>
      <c r="O75" s="3">
        <f>OPA[[#This Row],[2024]]/OPA[[#Totals],[2024]]</f>
        <v>0.59574697754749573</v>
      </c>
    </row>
    <row r="76" spans="1:15" x14ac:dyDescent="0.25">
      <c r="A76" s="4" t="s">
        <v>19</v>
      </c>
      <c r="B76" s="5">
        <v>14</v>
      </c>
      <c r="C76" s="5">
        <v>7</v>
      </c>
      <c r="D76" s="5">
        <v>4</v>
      </c>
      <c r="E76" s="5">
        <v>12</v>
      </c>
      <c r="F76" s="5">
        <v>7</v>
      </c>
      <c r="G76" s="5">
        <v>2</v>
      </c>
      <c r="H76" s="5">
        <v>7</v>
      </c>
      <c r="I76" s="5">
        <v>2</v>
      </c>
      <c r="J76" s="5">
        <v>11</v>
      </c>
      <c r="K76" s="5">
        <v>0</v>
      </c>
      <c r="L76" s="5">
        <v>12</v>
      </c>
      <c r="M76" s="5"/>
      <c r="N76" s="6">
        <f>SUM(OPA[[#This Row],[Jan]:[Dez]])</f>
        <v>78</v>
      </c>
      <c r="O76" s="3">
        <f>OPA[[#This Row],[2024]]/OPA[[#Totals],[2024]]</f>
        <v>8.4196891191709849E-3</v>
      </c>
    </row>
    <row r="77" spans="1:15" ht="15.75" thickBot="1" x14ac:dyDescent="0.3">
      <c r="A77" s="1"/>
      <c r="B77" s="10">
        <f>SUBTOTAL(109,OPA[Jan])</f>
        <v>666</v>
      </c>
      <c r="C77" s="10">
        <f>SUBTOTAL(109,OPA[Fev])</f>
        <v>662</v>
      </c>
      <c r="D77" s="10">
        <f>SUBTOTAL(109,OPA[Mar])</f>
        <v>823</v>
      </c>
      <c r="E77" s="10">
        <f>SUBTOTAL(109,OPA[Abr])</f>
        <v>792</v>
      </c>
      <c r="F77" s="10">
        <f>SUBTOTAL(109,OPA[Mai])</f>
        <v>863</v>
      </c>
      <c r="G77" s="10">
        <f>SUBTOTAL(109,OPA[Jun])</f>
        <v>916</v>
      </c>
      <c r="H77" s="10">
        <f>SUBTOTAL(109,OPA[Jul])</f>
        <v>842</v>
      </c>
      <c r="I77" s="10">
        <f>SUBTOTAL(109,OPA[Ago])</f>
        <v>887</v>
      </c>
      <c r="J77" s="10">
        <f>SUBTOTAL(109,OPA[Set])</f>
        <v>953</v>
      </c>
      <c r="K77" s="10">
        <f>SUBTOTAL(109,OPA[Out])</f>
        <v>946</v>
      </c>
      <c r="L77" s="10">
        <f>SUBTOTAL(109,OPA[Nov])</f>
        <v>914</v>
      </c>
      <c r="M77" s="10">
        <f>SUBTOTAL(109,OPA[Dez])</f>
        <v>0</v>
      </c>
      <c r="N77" s="11">
        <f>SUBTOTAL(109,OPA[2024])</f>
        <v>9264</v>
      </c>
      <c r="O77" s="9"/>
    </row>
    <row r="78" spans="1:15" ht="15.75" thickTop="1" x14ac:dyDescent="0.25">
      <c r="A78" s="12" t="s">
        <v>68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 x14ac:dyDescent="0.25">
      <c r="A79" s="1" t="s">
        <v>69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2" t="s">
        <v>13</v>
      </c>
      <c r="O79" s="9" t="s">
        <v>16</v>
      </c>
    </row>
    <row r="80" spans="1:15" x14ac:dyDescent="0.25">
      <c r="A80" s="4" t="s">
        <v>70</v>
      </c>
      <c r="B80" s="5">
        <v>442</v>
      </c>
      <c r="C80" s="5">
        <v>408</v>
      </c>
      <c r="D80" s="5">
        <v>535</v>
      </c>
      <c r="E80" s="5">
        <v>549</v>
      </c>
      <c r="F80" s="5">
        <v>633</v>
      </c>
      <c r="G80" s="5">
        <v>630</v>
      </c>
      <c r="H80" s="5">
        <v>597</v>
      </c>
      <c r="I80" s="5">
        <v>600</v>
      </c>
      <c r="J80" s="5">
        <v>624</v>
      </c>
      <c r="K80" s="5">
        <v>620</v>
      </c>
      <c r="L80" s="5">
        <v>584</v>
      </c>
      <c r="M80" s="5"/>
      <c r="N80" s="6">
        <f>SUM(EVO_2[[#This Row],[Jan]:[Dez]])</f>
        <v>6222</v>
      </c>
      <c r="O80" s="3">
        <f>EVO_2[[#This Row],[2024]]/EVO_2[[#Totals],[2024]]</f>
        <v>0.67141469731304626</v>
      </c>
    </row>
    <row r="81" spans="1:15" x14ac:dyDescent="0.25">
      <c r="A81" s="4" t="s">
        <v>71</v>
      </c>
      <c r="B81" s="5">
        <v>66</v>
      </c>
      <c r="C81" s="5">
        <v>76</v>
      </c>
      <c r="D81" s="5">
        <v>83</v>
      </c>
      <c r="E81" s="5">
        <v>41</v>
      </c>
      <c r="F81" s="5">
        <v>18</v>
      </c>
      <c r="G81" s="5">
        <v>50</v>
      </c>
      <c r="H81" s="5">
        <v>52</v>
      </c>
      <c r="I81" s="5">
        <v>63</v>
      </c>
      <c r="J81" s="5">
        <v>59</v>
      </c>
      <c r="K81" s="5">
        <v>75</v>
      </c>
      <c r="L81" s="5">
        <v>79</v>
      </c>
      <c r="M81" s="5"/>
      <c r="N81" s="6">
        <f>SUM(EVO_2[[#This Row],[Jan]:[Dez]])</f>
        <v>662</v>
      </c>
      <c r="O81" s="3">
        <f>EVO_2[[#This Row],[2024]]/EVO_2[[#Totals],[2024]]</f>
        <v>7.143627927052984E-2</v>
      </c>
    </row>
    <row r="82" spans="1:15" x14ac:dyDescent="0.25">
      <c r="A82" s="4" t="s">
        <v>72</v>
      </c>
      <c r="B82" s="5">
        <v>147</v>
      </c>
      <c r="C82" s="5">
        <v>166</v>
      </c>
      <c r="D82" s="5">
        <v>188</v>
      </c>
      <c r="E82" s="5">
        <v>193</v>
      </c>
      <c r="F82" s="5">
        <v>205</v>
      </c>
      <c r="G82" s="5">
        <v>229</v>
      </c>
      <c r="H82" s="5">
        <v>184</v>
      </c>
      <c r="I82" s="5">
        <v>214</v>
      </c>
      <c r="J82" s="5">
        <v>257</v>
      </c>
      <c r="K82" s="5">
        <v>232</v>
      </c>
      <c r="L82" s="5">
        <v>228</v>
      </c>
      <c r="M82" s="5"/>
      <c r="N82" s="6">
        <f>SUM(EVO_2[[#This Row],[Jan]:[Dez]])</f>
        <v>2243</v>
      </c>
      <c r="O82" s="3">
        <f>EVO_2[[#This Row],[2024]]/EVO_2[[#Totals],[2024]]</f>
        <v>0.24204165317794324</v>
      </c>
    </row>
    <row r="83" spans="1:15" x14ac:dyDescent="0.25">
      <c r="A83" s="4" t="s">
        <v>73</v>
      </c>
      <c r="B83" s="5">
        <v>1</v>
      </c>
      <c r="C83" s="5">
        <v>4</v>
      </c>
      <c r="D83" s="5">
        <v>2</v>
      </c>
      <c r="E83" s="5">
        <v>3</v>
      </c>
      <c r="F83" s="5">
        <v>3</v>
      </c>
      <c r="G83" s="5">
        <v>1</v>
      </c>
      <c r="H83" s="5">
        <v>2</v>
      </c>
      <c r="I83" s="5">
        <v>3</v>
      </c>
      <c r="J83" s="5">
        <v>2</v>
      </c>
      <c r="K83" s="5">
        <v>2</v>
      </c>
      <c r="L83" s="5">
        <v>2</v>
      </c>
      <c r="M83" s="5"/>
      <c r="N83" s="6">
        <f>SUM(EVO_2[[#This Row],[Jan]:[Dez]])</f>
        <v>25</v>
      </c>
      <c r="O83" s="3">
        <f>EVO_2[[#This Row],[2024]]/EVO_2[[#Totals],[2024]]</f>
        <v>2.6977446854429695E-3</v>
      </c>
    </row>
    <row r="84" spans="1:15" x14ac:dyDescent="0.25">
      <c r="A84" s="4" t="s">
        <v>74</v>
      </c>
      <c r="B84" s="5">
        <v>8</v>
      </c>
      <c r="C84" s="5">
        <v>3</v>
      </c>
      <c r="D84" s="5">
        <v>7</v>
      </c>
      <c r="E84" s="5">
        <v>4</v>
      </c>
      <c r="F84" s="5">
        <v>5</v>
      </c>
      <c r="G84" s="5">
        <v>3</v>
      </c>
      <c r="H84" s="5">
        <v>3</v>
      </c>
      <c r="I84" s="5">
        <v>5</v>
      </c>
      <c r="J84" s="5">
        <v>9</v>
      </c>
      <c r="K84" s="5">
        <v>12</v>
      </c>
      <c r="L84" s="5">
        <v>18</v>
      </c>
      <c r="M84" s="5"/>
      <c r="N84" s="6">
        <f>SUM(EVO_2[[#This Row],[Jan]:[Dez]])</f>
        <v>77</v>
      </c>
      <c r="O84" s="3">
        <f>EVO_2[[#This Row],[2024]]/EVO_2[[#Totals],[2024]]</f>
        <v>8.3090536311643468E-3</v>
      </c>
    </row>
    <row r="85" spans="1:15" x14ac:dyDescent="0.25">
      <c r="A85" s="4" t="s">
        <v>75</v>
      </c>
      <c r="B85" s="5">
        <v>0</v>
      </c>
      <c r="C85" s="5">
        <v>1</v>
      </c>
      <c r="D85" s="5">
        <v>0</v>
      </c>
      <c r="E85" s="5">
        <v>0</v>
      </c>
      <c r="F85" s="5">
        <v>0</v>
      </c>
      <c r="G85" s="5">
        <v>1</v>
      </c>
      <c r="H85" s="5">
        <v>2</v>
      </c>
      <c r="I85" s="5">
        <v>2</v>
      </c>
      <c r="J85" s="5">
        <v>2</v>
      </c>
      <c r="K85" s="5">
        <v>5</v>
      </c>
      <c r="L85" s="5">
        <v>2</v>
      </c>
      <c r="M85" s="5"/>
      <c r="N85" s="6">
        <f>SUM(EVO_2[[#This Row],[Jan]:[Dez]])</f>
        <v>15</v>
      </c>
      <c r="O85" s="3">
        <f>EVO_2[[#This Row],[2024]]/EVO_2[[#Totals],[2024]]</f>
        <v>1.6186468112657818E-3</v>
      </c>
    </row>
    <row r="86" spans="1:15" x14ac:dyDescent="0.25">
      <c r="A86" s="4" t="s">
        <v>53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1</v>
      </c>
      <c r="M86" s="5"/>
      <c r="N86" s="6">
        <f>SUM(EVO_2[[#This Row],[Jan]:[Dez]])</f>
        <v>1</v>
      </c>
      <c r="O86" s="3">
        <f>EVO_2[[#This Row],[2024]]/EVO_2[[#Totals],[2024]]</f>
        <v>1.0790978741771878E-4</v>
      </c>
    </row>
    <row r="87" spans="1:15" x14ac:dyDescent="0.25">
      <c r="A87" s="4" t="s">
        <v>19</v>
      </c>
      <c r="B87" s="5">
        <v>2</v>
      </c>
      <c r="C87" s="5">
        <v>4</v>
      </c>
      <c r="D87" s="5">
        <v>8</v>
      </c>
      <c r="E87" s="5">
        <v>2</v>
      </c>
      <c r="F87" s="5">
        <v>2</v>
      </c>
      <c r="G87" s="5">
        <v>2</v>
      </c>
      <c r="H87" s="5">
        <v>2</v>
      </c>
      <c r="I87" s="5">
        <v>0</v>
      </c>
      <c r="J87" s="5">
        <v>0</v>
      </c>
      <c r="K87" s="5">
        <v>0</v>
      </c>
      <c r="L87" s="5">
        <v>0</v>
      </c>
      <c r="M87" s="5"/>
      <c r="N87" s="6">
        <f>SUM(EVO_2[[#This Row],[Jan]:[Dez]])</f>
        <v>22</v>
      </c>
      <c r="O87" s="3">
        <f>EVO_2[[#This Row],[2024]]/EVO_2[[#Totals],[2024]]</f>
        <v>2.3740153231898132E-3</v>
      </c>
    </row>
    <row r="88" spans="1:15" ht="15.75" thickBot="1" x14ac:dyDescent="0.3">
      <c r="A88" s="1"/>
      <c r="B88" s="10">
        <f>SUBTOTAL(109,EVO_2[Jan])</f>
        <v>666</v>
      </c>
      <c r="C88" s="10">
        <f>SUBTOTAL(109,EVO_2[Fev])</f>
        <v>662</v>
      </c>
      <c r="D88" s="10">
        <f>SUBTOTAL(109,EVO_2[Mar])</f>
        <v>823</v>
      </c>
      <c r="E88" s="10">
        <f>SUBTOTAL(109,EVO_2[Abr])</f>
        <v>792</v>
      </c>
      <c r="F88" s="10">
        <f>SUBTOTAL(109,EVO_2[Mai])</f>
        <v>866</v>
      </c>
      <c r="G88" s="10">
        <f>SUBTOTAL(109,EVO_2[Jun])</f>
        <v>916</v>
      </c>
      <c r="H88" s="10">
        <f>SUBTOTAL(109,EVO_2[Jul])</f>
        <v>842</v>
      </c>
      <c r="I88" s="10">
        <f>SUBTOTAL(109,EVO_2[Ago])</f>
        <v>887</v>
      </c>
      <c r="J88" s="10">
        <f>SUBTOTAL(109,EVO_2[Set])</f>
        <v>953</v>
      </c>
      <c r="K88" s="10">
        <f>SUBTOTAL(109,EVO_2[Out])</f>
        <v>946</v>
      </c>
      <c r="L88" s="10">
        <f>SUBTOTAL(109,EVO_2[Nov])</f>
        <v>914</v>
      </c>
      <c r="M88" s="10">
        <f>SUBTOTAL(109,EVO_2[Dez])</f>
        <v>0</v>
      </c>
      <c r="N88" s="11">
        <f>SUBTOTAL(109,EVO_2[2024])</f>
        <v>9267</v>
      </c>
      <c r="O88" s="9"/>
    </row>
    <row r="89" spans="1:15" ht="15.75" thickTop="1" x14ac:dyDescent="0.25">
      <c r="A89" s="12" t="s">
        <v>76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x14ac:dyDescent="0.25">
      <c r="A90" s="1" t="s">
        <v>76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2" t="s">
        <v>13</v>
      </c>
      <c r="O90" s="9" t="s">
        <v>16</v>
      </c>
    </row>
    <row r="91" spans="1:15" x14ac:dyDescent="0.25">
      <c r="A91" s="4" t="s">
        <v>77</v>
      </c>
      <c r="B91" s="5">
        <v>60</v>
      </c>
      <c r="C91" s="5">
        <v>75</v>
      </c>
      <c r="D91" s="5">
        <v>70</v>
      </c>
      <c r="E91" s="5">
        <v>78</v>
      </c>
      <c r="F91" s="5">
        <v>73</v>
      </c>
      <c r="G91" s="5">
        <v>75</v>
      </c>
      <c r="H91" s="5">
        <v>93</v>
      </c>
      <c r="I91" s="5">
        <v>92</v>
      </c>
      <c r="J91" s="5">
        <v>101</v>
      </c>
      <c r="K91" s="5">
        <v>116</v>
      </c>
      <c r="L91" s="5">
        <v>115</v>
      </c>
      <c r="M91" s="5"/>
      <c r="N91" s="6">
        <f>SUM(OPA_20[[#This Row],[Jan]:[Dez]])</f>
        <v>948</v>
      </c>
      <c r="O91" s="3">
        <f>OPA_20[[#This Row],[2024]]/OPA_20[[#Totals],[2024]]</f>
        <v>0.10229847847199741</v>
      </c>
    </row>
    <row r="92" spans="1:15" x14ac:dyDescent="0.25">
      <c r="A92" s="4" t="s">
        <v>78</v>
      </c>
      <c r="B92" s="5">
        <v>38</v>
      </c>
      <c r="C92" s="5">
        <v>42</v>
      </c>
      <c r="D92" s="5">
        <v>65</v>
      </c>
      <c r="E92" s="5">
        <v>43</v>
      </c>
      <c r="F92" s="5">
        <v>71</v>
      </c>
      <c r="G92" s="5">
        <v>83</v>
      </c>
      <c r="H92" s="5">
        <v>66</v>
      </c>
      <c r="I92" s="5">
        <v>66</v>
      </c>
      <c r="J92" s="5">
        <v>84</v>
      </c>
      <c r="K92" s="5">
        <v>75</v>
      </c>
      <c r="L92" s="5">
        <v>78</v>
      </c>
      <c r="M92" s="5"/>
      <c r="N92" s="6">
        <f>SUM(OPA_20[[#This Row],[Jan]:[Dez]])</f>
        <v>711</v>
      </c>
      <c r="O92" s="3">
        <f>OPA_20[[#This Row],[2024]]/OPA_20[[#Totals],[2024]]</f>
        <v>7.6723858853998059E-2</v>
      </c>
    </row>
    <row r="93" spans="1:15" x14ac:dyDescent="0.25">
      <c r="A93" s="4" t="s">
        <v>79</v>
      </c>
      <c r="B93" s="5">
        <v>4</v>
      </c>
      <c r="C93" s="5">
        <v>1</v>
      </c>
      <c r="D93" s="5">
        <v>2</v>
      </c>
      <c r="E93" s="5">
        <v>1</v>
      </c>
      <c r="F93" s="5">
        <v>5</v>
      </c>
      <c r="G93" s="5">
        <v>2</v>
      </c>
      <c r="H93" s="5">
        <v>3</v>
      </c>
      <c r="I93" s="5">
        <v>2</v>
      </c>
      <c r="J93" s="5">
        <v>0</v>
      </c>
      <c r="K93" s="5">
        <v>1</v>
      </c>
      <c r="L93" s="5">
        <v>0</v>
      </c>
      <c r="M93" s="5"/>
      <c r="N93" s="6">
        <f>SUM(OPA_20[[#This Row],[Jan]:[Dez]])</f>
        <v>21</v>
      </c>
      <c r="O93" s="3">
        <f>OPA_20[[#This Row],[2024]]/OPA_20[[#Totals],[2024]]</f>
        <v>2.2661055357720947E-3</v>
      </c>
    </row>
    <row r="94" spans="1:15" x14ac:dyDescent="0.25">
      <c r="A94" s="4" t="s">
        <v>80</v>
      </c>
      <c r="B94" s="5">
        <v>18</v>
      </c>
      <c r="C94" s="5">
        <v>12</v>
      </c>
      <c r="D94" s="5">
        <v>15</v>
      </c>
      <c r="E94" s="5">
        <v>15</v>
      </c>
      <c r="F94" s="5">
        <v>31</v>
      </c>
      <c r="G94" s="5">
        <v>31</v>
      </c>
      <c r="H94" s="5">
        <v>19</v>
      </c>
      <c r="I94" s="5">
        <v>14</v>
      </c>
      <c r="J94" s="5">
        <v>15</v>
      </c>
      <c r="K94" s="5">
        <v>13</v>
      </c>
      <c r="L94" s="5">
        <v>17</v>
      </c>
      <c r="M94" s="5"/>
      <c r="N94" s="6">
        <f>SUM(OPA_20[[#This Row],[Jan]:[Dez]])</f>
        <v>200</v>
      </c>
      <c r="O94" s="3">
        <f>OPA_20[[#This Row],[2024]]/OPA_20[[#Totals],[2024]]</f>
        <v>2.1581957483543756E-2</v>
      </c>
    </row>
    <row r="95" spans="1:15" x14ac:dyDescent="0.25">
      <c r="A95" s="4" t="s">
        <v>81</v>
      </c>
      <c r="B95" s="5">
        <v>44</v>
      </c>
      <c r="C95" s="5">
        <v>55</v>
      </c>
      <c r="D95" s="5">
        <v>69</v>
      </c>
      <c r="E95" s="5">
        <v>55</v>
      </c>
      <c r="F95" s="5">
        <v>82</v>
      </c>
      <c r="G95" s="5">
        <v>76</v>
      </c>
      <c r="H95" s="5">
        <v>63</v>
      </c>
      <c r="I95" s="5">
        <v>57</v>
      </c>
      <c r="J95" s="5">
        <v>63</v>
      </c>
      <c r="K95" s="5">
        <v>66</v>
      </c>
      <c r="L95" s="5">
        <v>62</v>
      </c>
      <c r="M95" s="5"/>
      <c r="N95" s="6">
        <f>SUM(OPA_20[[#This Row],[Jan]:[Dez]])</f>
        <v>692</v>
      </c>
      <c r="O95" s="3">
        <f>OPA_20[[#This Row],[2024]]/OPA_20[[#Totals],[2024]]</f>
        <v>7.4673572893061396E-2</v>
      </c>
    </row>
    <row r="96" spans="1:15" x14ac:dyDescent="0.25">
      <c r="A96" s="4" t="s">
        <v>82</v>
      </c>
      <c r="B96" s="5">
        <v>13</v>
      </c>
      <c r="C96" s="5">
        <v>5</v>
      </c>
      <c r="D96" s="5">
        <v>11</v>
      </c>
      <c r="E96" s="5">
        <v>14</v>
      </c>
      <c r="F96" s="5">
        <v>14</v>
      </c>
      <c r="G96" s="5">
        <v>22</v>
      </c>
      <c r="H96" s="5">
        <v>23</v>
      </c>
      <c r="I96" s="5">
        <v>12</v>
      </c>
      <c r="J96" s="5">
        <v>10</v>
      </c>
      <c r="K96" s="5">
        <v>15</v>
      </c>
      <c r="L96" s="5">
        <v>10</v>
      </c>
      <c r="M96" s="5"/>
      <c r="N96" s="6">
        <f>SUM(OPA_20[[#This Row],[Jan]:[Dez]])</f>
        <v>149</v>
      </c>
      <c r="O96" s="3">
        <f>OPA_20[[#This Row],[2024]]/OPA_20[[#Totals],[2024]]</f>
        <v>1.6078558325240098E-2</v>
      </c>
    </row>
    <row r="97" spans="1:15" x14ac:dyDescent="0.25">
      <c r="A97" s="4" t="s">
        <v>83</v>
      </c>
      <c r="B97" s="5">
        <v>17</v>
      </c>
      <c r="C97" s="5">
        <v>11</v>
      </c>
      <c r="D97" s="5">
        <v>22</v>
      </c>
      <c r="E97" s="5">
        <v>15</v>
      </c>
      <c r="F97" s="5">
        <v>16</v>
      </c>
      <c r="G97" s="5">
        <v>17</v>
      </c>
      <c r="H97" s="5">
        <v>24</v>
      </c>
      <c r="I97" s="5">
        <v>21</v>
      </c>
      <c r="J97" s="5">
        <v>13</v>
      </c>
      <c r="K97" s="5">
        <v>20</v>
      </c>
      <c r="L97" s="5">
        <v>16</v>
      </c>
      <c r="M97" s="5"/>
      <c r="N97" s="6">
        <f>SUM(OPA_20[[#This Row],[Jan]:[Dez]])</f>
        <v>192</v>
      </c>
      <c r="O97" s="3">
        <f>OPA_20[[#This Row],[2024]]/OPA_20[[#Totals],[2024]]</f>
        <v>2.0718679184202008E-2</v>
      </c>
    </row>
    <row r="98" spans="1:15" x14ac:dyDescent="0.25">
      <c r="A98" s="4" t="s">
        <v>84</v>
      </c>
      <c r="B98" s="5">
        <v>217</v>
      </c>
      <c r="C98" s="5">
        <v>208</v>
      </c>
      <c r="D98" s="5">
        <v>286</v>
      </c>
      <c r="E98" s="5">
        <v>270</v>
      </c>
      <c r="F98" s="5">
        <v>263</v>
      </c>
      <c r="G98" s="5">
        <v>293</v>
      </c>
      <c r="H98" s="5">
        <v>256</v>
      </c>
      <c r="I98" s="5">
        <v>276</v>
      </c>
      <c r="J98" s="5">
        <v>345</v>
      </c>
      <c r="K98" s="5">
        <v>336</v>
      </c>
      <c r="L98" s="5">
        <v>302</v>
      </c>
      <c r="M98" s="5"/>
      <c r="N98" s="6">
        <f>SUM(OPA_20[[#This Row],[Jan]:[Dez]])</f>
        <v>3052</v>
      </c>
      <c r="O98" s="3">
        <f>OPA_20[[#This Row],[2024]]/OPA_20[[#Totals],[2024]]</f>
        <v>0.32934067119887772</v>
      </c>
    </row>
    <row r="99" spans="1:15" x14ac:dyDescent="0.25">
      <c r="A99" s="4" t="s">
        <v>85</v>
      </c>
      <c r="B99" s="5">
        <v>253</v>
      </c>
      <c r="C99" s="5">
        <v>248</v>
      </c>
      <c r="D99" s="5">
        <v>282</v>
      </c>
      <c r="E99" s="5">
        <v>295</v>
      </c>
      <c r="F99" s="5">
        <v>307</v>
      </c>
      <c r="G99" s="5">
        <v>312</v>
      </c>
      <c r="H99" s="5">
        <v>291</v>
      </c>
      <c r="I99" s="5">
        <v>342</v>
      </c>
      <c r="J99" s="5">
        <v>319</v>
      </c>
      <c r="K99" s="5">
        <v>302</v>
      </c>
      <c r="L99" s="5">
        <v>312</v>
      </c>
      <c r="M99" s="5"/>
      <c r="N99" s="6">
        <f>SUM(OPA_20[[#This Row],[Jan]:[Dez]])</f>
        <v>3263</v>
      </c>
      <c r="O99" s="3">
        <f>OPA_20[[#This Row],[2024]]/OPA_20[[#Totals],[2024]]</f>
        <v>0.35210963634401637</v>
      </c>
    </row>
    <row r="100" spans="1:15" x14ac:dyDescent="0.25">
      <c r="A100" s="4" t="s">
        <v>86</v>
      </c>
      <c r="B100" s="5">
        <v>1</v>
      </c>
      <c r="C100" s="5">
        <v>0</v>
      </c>
      <c r="D100" s="5">
        <v>0</v>
      </c>
      <c r="E100" s="5">
        <v>0</v>
      </c>
      <c r="F100" s="5">
        <v>1</v>
      </c>
      <c r="G100" s="5">
        <v>0</v>
      </c>
      <c r="H100" s="5">
        <v>2</v>
      </c>
      <c r="I100" s="5">
        <v>3</v>
      </c>
      <c r="J100" s="5">
        <v>1</v>
      </c>
      <c r="K100" s="5">
        <v>1</v>
      </c>
      <c r="L100" s="5">
        <v>2</v>
      </c>
      <c r="M100" s="5"/>
      <c r="N100" s="6">
        <f>SUM(OPA_20[[#This Row],[Jan]:[Dez]])</f>
        <v>11</v>
      </c>
      <c r="O100" s="3">
        <f>OPA_20[[#This Row],[2024]]/OPA_20[[#Totals],[2024]]</f>
        <v>1.1870076615949066E-3</v>
      </c>
    </row>
    <row r="101" spans="1:15" x14ac:dyDescent="0.25">
      <c r="A101" s="4" t="s">
        <v>19</v>
      </c>
      <c r="B101" s="5">
        <v>1</v>
      </c>
      <c r="C101" s="5">
        <v>5</v>
      </c>
      <c r="D101" s="5">
        <v>0</v>
      </c>
      <c r="E101" s="5">
        <v>4</v>
      </c>
      <c r="F101" s="5">
        <v>1</v>
      </c>
      <c r="G101" s="5">
        <v>5</v>
      </c>
      <c r="H101" s="5">
        <v>2</v>
      </c>
      <c r="I101" s="5">
        <v>1</v>
      </c>
      <c r="J101" s="5">
        <v>1</v>
      </c>
      <c r="K101" s="5">
        <v>1</v>
      </c>
      <c r="L101" s="5">
        <v>0</v>
      </c>
      <c r="M101" s="5"/>
      <c r="N101" s="6">
        <f>SUM(OPA_20[[#This Row],[Jan]:[Dez]])</f>
        <v>21</v>
      </c>
      <c r="O101" s="3">
        <f>OPA_20[[#This Row],[2024]]/OPA_20[[#Totals],[2024]]</f>
        <v>2.2661055357720947E-3</v>
      </c>
    </row>
    <row r="102" spans="1:15" x14ac:dyDescent="0.25">
      <c r="A102" s="4" t="s">
        <v>87</v>
      </c>
      <c r="B102" s="5">
        <v>0</v>
      </c>
      <c r="C102" s="5">
        <v>0</v>
      </c>
      <c r="D102" s="5">
        <v>1</v>
      </c>
      <c r="E102" s="5">
        <v>2</v>
      </c>
      <c r="F102" s="5">
        <v>2</v>
      </c>
      <c r="G102" s="5">
        <v>0</v>
      </c>
      <c r="H102" s="5">
        <v>0</v>
      </c>
      <c r="I102" s="5">
        <v>1</v>
      </c>
      <c r="J102" s="5">
        <v>1</v>
      </c>
      <c r="K102" s="5">
        <v>0</v>
      </c>
      <c r="L102" s="5">
        <v>0</v>
      </c>
      <c r="M102" s="5"/>
      <c r="N102" s="6">
        <f>SUM(OPA_20[[#This Row],[Jan]:[Dez]])</f>
        <v>7</v>
      </c>
      <c r="O102" s="3">
        <f>OPA_20[[#This Row],[2024]]/OPA_20[[#Totals],[2024]]</f>
        <v>7.5536851192403156E-4</v>
      </c>
    </row>
    <row r="103" spans="1:15" ht="15.75" thickBot="1" x14ac:dyDescent="0.3">
      <c r="A103" s="1"/>
      <c r="B103" s="10">
        <f>SUBTOTAL(109,OPA_20[Jan])</f>
        <v>666</v>
      </c>
      <c r="C103" s="10">
        <f>SUBTOTAL(109,OPA_20[Fev])</f>
        <v>662</v>
      </c>
      <c r="D103" s="10">
        <f>SUBTOTAL(109,OPA_20[Mar])</f>
        <v>823</v>
      </c>
      <c r="E103" s="10">
        <f>SUBTOTAL(109,OPA_20[Abr])</f>
        <v>792</v>
      </c>
      <c r="F103" s="10">
        <f>SUBTOTAL(109,OPA_20[Mai])</f>
        <v>866</v>
      </c>
      <c r="G103" s="10">
        <f>SUBTOTAL(109,OPA_20[Jun])</f>
        <v>916</v>
      </c>
      <c r="H103" s="10">
        <f>SUBTOTAL(109,OPA_20[Jul])</f>
        <v>842</v>
      </c>
      <c r="I103" s="10">
        <f>SUBTOTAL(109,OPA_20[Ago])</f>
        <v>887</v>
      </c>
      <c r="J103" s="10">
        <f>SUBTOTAL(109,OPA_20[Set])</f>
        <v>953</v>
      </c>
      <c r="K103" s="10">
        <f>SUBTOTAL(109,OPA_20[Out])</f>
        <v>946</v>
      </c>
      <c r="L103" s="10">
        <f>SUBTOTAL(109,OPA_20[Nov])</f>
        <v>914</v>
      </c>
      <c r="M103" s="10">
        <f>SUBTOTAL(109,OPA_20[Dez])</f>
        <v>0</v>
      </c>
      <c r="N103" s="11">
        <f>SUBTOTAL(109,OPA_20[2024])</f>
        <v>9267</v>
      </c>
      <c r="O103" s="9"/>
    </row>
    <row r="104" spans="1:15" ht="15.75" thickTop="1" x14ac:dyDescent="0.25">
      <c r="A104" s="12" t="s">
        <v>88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" t="s">
        <v>88</v>
      </c>
      <c r="B105" s="1" t="s">
        <v>1</v>
      </c>
      <c r="C105" s="1" t="s">
        <v>2</v>
      </c>
      <c r="D105" s="1" t="s">
        <v>3</v>
      </c>
      <c r="E105" s="1" t="s">
        <v>4</v>
      </c>
      <c r="F105" s="1" t="s">
        <v>5</v>
      </c>
      <c r="G105" s="1" t="s">
        <v>6</v>
      </c>
      <c r="H105" s="1" t="s">
        <v>7</v>
      </c>
      <c r="I105" s="1" t="s">
        <v>8</v>
      </c>
      <c r="J105" s="1" t="s">
        <v>9</v>
      </c>
      <c r="K105" s="1" t="s">
        <v>10</v>
      </c>
      <c r="L105" s="1" t="s">
        <v>11</v>
      </c>
      <c r="M105" s="1" t="s">
        <v>12</v>
      </c>
      <c r="N105" s="2" t="s">
        <v>13</v>
      </c>
      <c r="O105" s="9" t="s">
        <v>16</v>
      </c>
    </row>
    <row r="106" spans="1:15" x14ac:dyDescent="0.25">
      <c r="A106" s="4" t="s">
        <v>89</v>
      </c>
      <c r="B106" s="5">
        <v>139</v>
      </c>
      <c r="C106" s="5">
        <v>199</v>
      </c>
      <c r="D106" s="5">
        <v>150</v>
      </c>
      <c r="E106" s="5">
        <v>186</v>
      </c>
      <c r="F106" s="5">
        <v>188</v>
      </c>
      <c r="G106" s="5">
        <v>210</v>
      </c>
      <c r="H106" s="5">
        <v>160</v>
      </c>
      <c r="I106" s="5">
        <v>176</v>
      </c>
      <c r="J106" s="5">
        <v>223</v>
      </c>
      <c r="K106" s="5">
        <v>235</v>
      </c>
      <c r="L106" s="5">
        <v>234</v>
      </c>
      <c r="M106" s="5"/>
      <c r="N106" s="6">
        <f>SUM(NPT_LEZ[[#This Row],[Jan]:[Dez]])</f>
        <v>2100</v>
      </c>
      <c r="O106" s="3">
        <f>NPT_LEZ[[#This Row],[2024]]/NPT_LEZ[[#Totals],[2024]]</f>
        <v>0.22661055357720944</v>
      </c>
    </row>
    <row r="107" spans="1:15" x14ac:dyDescent="0.25">
      <c r="A107" s="4" t="s">
        <v>90</v>
      </c>
      <c r="B107" s="5">
        <v>2</v>
      </c>
      <c r="C107" s="5">
        <v>0</v>
      </c>
      <c r="D107" s="5">
        <v>7</v>
      </c>
      <c r="E107" s="5">
        <v>1</v>
      </c>
      <c r="F107" s="5">
        <v>2</v>
      </c>
      <c r="G107" s="5">
        <v>2</v>
      </c>
      <c r="H107" s="5">
        <v>0</v>
      </c>
      <c r="I107" s="5">
        <v>2</v>
      </c>
      <c r="J107" s="5">
        <v>2</v>
      </c>
      <c r="K107" s="5">
        <v>4</v>
      </c>
      <c r="L107" s="5">
        <v>1</v>
      </c>
      <c r="M107" s="5"/>
      <c r="N107" s="6">
        <f>SUM(NPT_LEZ[[#This Row],[Jan]:[Dez]])</f>
        <v>23</v>
      </c>
      <c r="O107" s="3">
        <f>NPT_LEZ[[#This Row],[2024]]/NPT_LEZ[[#Totals],[2024]]</f>
        <v>2.4819251106075321E-3</v>
      </c>
    </row>
    <row r="108" spans="1:15" x14ac:dyDescent="0.25">
      <c r="A108" s="4" t="s">
        <v>91</v>
      </c>
      <c r="B108" s="5">
        <v>24</v>
      </c>
      <c r="C108" s="5">
        <v>58</v>
      </c>
      <c r="D108" s="5">
        <v>42</v>
      </c>
      <c r="E108" s="5">
        <v>42</v>
      </c>
      <c r="F108" s="5">
        <v>23</v>
      </c>
      <c r="G108" s="5">
        <v>32</v>
      </c>
      <c r="H108" s="5">
        <v>48</v>
      </c>
      <c r="I108" s="5">
        <v>47</v>
      </c>
      <c r="J108" s="5">
        <v>64</v>
      </c>
      <c r="K108" s="5">
        <v>62</v>
      </c>
      <c r="L108" s="5">
        <v>78</v>
      </c>
      <c r="M108" s="5"/>
      <c r="N108" s="6">
        <f>SUM(NPT_LEZ[[#This Row],[Jan]:[Dez]])</f>
        <v>520</v>
      </c>
      <c r="O108" s="3">
        <f>NPT_LEZ[[#This Row],[2024]]/NPT_LEZ[[#Totals],[2024]]</f>
        <v>5.6113089457213772E-2</v>
      </c>
    </row>
    <row r="109" spans="1:15" x14ac:dyDescent="0.25">
      <c r="A109" s="4" t="s">
        <v>92</v>
      </c>
      <c r="B109" s="5">
        <v>3</v>
      </c>
      <c r="C109" s="5">
        <v>4</v>
      </c>
      <c r="D109" s="5">
        <v>3</v>
      </c>
      <c r="E109" s="5">
        <v>0</v>
      </c>
      <c r="F109" s="5">
        <v>3</v>
      </c>
      <c r="G109" s="5">
        <v>10</v>
      </c>
      <c r="H109" s="5">
        <v>2</v>
      </c>
      <c r="I109" s="5">
        <v>2</v>
      </c>
      <c r="J109" s="5">
        <v>9</v>
      </c>
      <c r="K109" s="5">
        <v>4</v>
      </c>
      <c r="L109" s="5">
        <v>5</v>
      </c>
      <c r="M109" s="5"/>
      <c r="N109" s="6">
        <f>SUM(NPT_LEZ[[#This Row],[Jan]:[Dez]])</f>
        <v>45</v>
      </c>
      <c r="O109" s="3">
        <f>NPT_LEZ[[#This Row],[2024]]/NPT_LEZ[[#Totals],[2024]]</f>
        <v>4.8559404337973457E-3</v>
      </c>
    </row>
    <row r="110" spans="1:15" x14ac:dyDescent="0.25">
      <c r="A110" s="4" t="s">
        <v>93</v>
      </c>
      <c r="B110" s="5">
        <v>10</v>
      </c>
      <c r="C110" s="5">
        <v>12</v>
      </c>
      <c r="D110" s="5">
        <v>2</v>
      </c>
      <c r="E110" s="5">
        <v>9</v>
      </c>
      <c r="F110" s="5">
        <v>5</v>
      </c>
      <c r="G110" s="5">
        <v>9</v>
      </c>
      <c r="H110" s="5">
        <v>8</v>
      </c>
      <c r="I110" s="5">
        <v>12</v>
      </c>
      <c r="J110" s="5">
        <v>11</v>
      </c>
      <c r="K110" s="5">
        <v>6</v>
      </c>
      <c r="L110" s="5">
        <v>10</v>
      </c>
      <c r="M110" s="5"/>
      <c r="N110" s="6">
        <f>SUM(NPT_LEZ[[#This Row],[Jan]:[Dez]])</f>
        <v>94</v>
      </c>
      <c r="O110" s="3">
        <f>NPT_LEZ[[#This Row],[2024]]/NPT_LEZ[[#Totals],[2024]]</f>
        <v>1.0143520017265565E-2</v>
      </c>
    </row>
    <row r="111" spans="1:15" x14ac:dyDescent="0.25">
      <c r="A111" s="4" t="s">
        <v>94</v>
      </c>
      <c r="B111" s="5">
        <v>3</v>
      </c>
      <c r="C111" s="5">
        <v>0</v>
      </c>
      <c r="D111" s="5">
        <v>2</v>
      </c>
      <c r="E111" s="5">
        <v>3</v>
      </c>
      <c r="F111" s="5">
        <v>2</v>
      </c>
      <c r="G111" s="5">
        <v>0</v>
      </c>
      <c r="H111" s="5">
        <v>0</v>
      </c>
      <c r="I111" s="5">
        <v>2</v>
      </c>
      <c r="J111" s="5">
        <v>0</v>
      </c>
      <c r="K111" s="5">
        <v>3</v>
      </c>
      <c r="L111" s="5">
        <v>1</v>
      </c>
      <c r="M111" s="5"/>
      <c r="N111" s="6">
        <f>SUM(NPT_LEZ[[#This Row],[Jan]:[Dez]])</f>
        <v>16</v>
      </c>
      <c r="O111" s="3">
        <f>NPT_LEZ[[#This Row],[2024]]/NPT_LEZ[[#Totals],[2024]]</f>
        <v>1.7265565986835005E-3</v>
      </c>
    </row>
    <row r="112" spans="1:15" x14ac:dyDescent="0.25">
      <c r="A112" s="4" t="s">
        <v>95</v>
      </c>
      <c r="B112" s="5">
        <v>66</v>
      </c>
      <c r="C112" s="5">
        <v>88</v>
      </c>
      <c r="D112" s="5">
        <v>74</v>
      </c>
      <c r="E112" s="5">
        <v>82</v>
      </c>
      <c r="F112" s="5">
        <v>123</v>
      </c>
      <c r="G112" s="5">
        <v>112</v>
      </c>
      <c r="H112" s="5">
        <v>70</v>
      </c>
      <c r="I112" s="5">
        <v>121</v>
      </c>
      <c r="J112" s="5">
        <v>101</v>
      </c>
      <c r="K112" s="5">
        <v>122</v>
      </c>
      <c r="L112" s="5">
        <v>126</v>
      </c>
      <c r="M112" s="5"/>
      <c r="N112" s="6">
        <f>SUM(NPT_LEZ[[#This Row],[Jan]:[Dez]])</f>
        <v>1085</v>
      </c>
      <c r="O112" s="3">
        <f>NPT_LEZ[[#This Row],[2024]]/NPT_LEZ[[#Totals],[2024]]</f>
        <v>0.11708211934822488</v>
      </c>
    </row>
    <row r="113" spans="1:15" x14ac:dyDescent="0.25">
      <c r="A113" s="4" t="s">
        <v>96</v>
      </c>
      <c r="B113" s="5">
        <v>82</v>
      </c>
      <c r="C113" s="5">
        <v>243</v>
      </c>
      <c r="D113" s="5">
        <v>103</v>
      </c>
      <c r="E113" s="5">
        <v>136</v>
      </c>
      <c r="F113" s="5">
        <v>46</v>
      </c>
      <c r="G113" s="5">
        <v>108</v>
      </c>
      <c r="H113" s="5">
        <v>107</v>
      </c>
      <c r="I113" s="5">
        <v>221</v>
      </c>
      <c r="J113" s="5">
        <v>161</v>
      </c>
      <c r="K113" s="5">
        <v>199</v>
      </c>
      <c r="L113" s="5">
        <v>241</v>
      </c>
      <c r="M113" s="5"/>
      <c r="N113" s="6">
        <f>SUM(NPT_LEZ[[#This Row],[Jan]:[Dez]])</f>
        <v>1647</v>
      </c>
      <c r="O113" s="3">
        <f>NPT_LEZ[[#This Row],[2024]]/NPT_LEZ[[#Totals],[2024]]</f>
        <v>0.17772741987698285</v>
      </c>
    </row>
    <row r="114" spans="1:15" x14ac:dyDescent="0.25">
      <c r="A114" s="4" t="s">
        <v>67</v>
      </c>
      <c r="B114" s="5">
        <v>334</v>
      </c>
      <c r="C114" s="5">
        <v>51</v>
      </c>
      <c r="D114" s="5">
        <v>437</v>
      </c>
      <c r="E114" s="5">
        <v>332</v>
      </c>
      <c r="F114" s="5">
        <v>473</v>
      </c>
      <c r="G114" s="5">
        <v>427</v>
      </c>
      <c r="H114" s="5">
        <v>447</v>
      </c>
      <c r="I114" s="5">
        <v>303</v>
      </c>
      <c r="J114" s="5">
        <v>381</v>
      </c>
      <c r="K114" s="5">
        <v>311</v>
      </c>
      <c r="L114" s="5">
        <v>216</v>
      </c>
      <c r="M114" s="5"/>
      <c r="N114" s="6">
        <f>SUM(NPT_LEZ[[#This Row],[Jan]:[Dez]])</f>
        <v>3712</v>
      </c>
      <c r="O114" s="3">
        <f>NPT_LEZ[[#This Row],[2024]]/NPT_LEZ[[#Totals],[2024]]</f>
        <v>0.40056113089457213</v>
      </c>
    </row>
    <row r="115" spans="1:15" x14ac:dyDescent="0.25">
      <c r="A115" s="4" t="s">
        <v>19</v>
      </c>
      <c r="B115" s="5">
        <v>1</v>
      </c>
      <c r="C115" s="5">
        <v>7</v>
      </c>
      <c r="D115" s="5">
        <v>1</v>
      </c>
      <c r="E115" s="5">
        <v>1</v>
      </c>
      <c r="F115" s="5">
        <v>1</v>
      </c>
      <c r="G115" s="5">
        <v>3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/>
      <c r="N115" s="6">
        <f>SUM(NPT_LEZ[[#This Row],[Jan]:[Dez]])</f>
        <v>14</v>
      </c>
      <c r="O115" s="3">
        <f>NPT_LEZ[[#This Row],[2024]]/NPT_LEZ[[#Totals],[2024]]</f>
        <v>1.5107370238480631E-3</v>
      </c>
    </row>
    <row r="116" spans="1:15" x14ac:dyDescent="0.25">
      <c r="A116" s="4" t="s">
        <v>87</v>
      </c>
      <c r="B116" s="5">
        <v>2</v>
      </c>
      <c r="C116" s="5">
        <v>0</v>
      </c>
      <c r="D116" s="5">
        <v>2</v>
      </c>
      <c r="E116" s="5">
        <v>0</v>
      </c>
      <c r="F116" s="5">
        <v>0</v>
      </c>
      <c r="G116" s="5">
        <v>3</v>
      </c>
      <c r="H116" s="5">
        <v>0</v>
      </c>
      <c r="I116" s="5">
        <v>1</v>
      </c>
      <c r="J116" s="5">
        <v>1</v>
      </c>
      <c r="K116" s="5">
        <v>0</v>
      </c>
      <c r="L116" s="5">
        <v>2</v>
      </c>
      <c r="M116" s="5"/>
      <c r="N116" s="6">
        <f>SUM(NPT_LEZ[[#This Row],[Jan]:[Dez]])</f>
        <v>11</v>
      </c>
      <c r="O116" s="3">
        <f>NPT_LEZ[[#This Row],[2024]]/NPT_LEZ[[#Totals],[2024]]</f>
        <v>1.1870076615949066E-3</v>
      </c>
    </row>
    <row r="117" spans="1:15" x14ac:dyDescent="0.25">
      <c r="A117" s="1"/>
      <c r="B117" s="10">
        <f>SUBTOTAL(109,NPT_LEZ[Jan])</f>
        <v>666</v>
      </c>
      <c r="C117" s="10">
        <f>SUBTOTAL(109,NPT_LEZ[Fev])</f>
        <v>662</v>
      </c>
      <c r="D117" s="10">
        <f>SUBTOTAL(109,NPT_LEZ[Mar])</f>
        <v>823</v>
      </c>
      <c r="E117" s="10">
        <f>SUBTOTAL(109,NPT_LEZ[Abr])</f>
        <v>792</v>
      </c>
      <c r="F117" s="10">
        <f>SUBTOTAL(109,NPT_LEZ[Mai])</f>
        <v>866</v>
      </c>
      <c r="G117" s="10">
        <f>SUBTOTAL(109,NPT_LEZ[Jun])</f>
        <v>916</v>
      </c>
      <c r="H117" s="10">
        <f>SUBTOTAL(109,NPT_LEZ[Jul])</f>
        <v>842</v>
      </c>
      <c r="I117" s="10">
        <f>SUBTOTAL(109,NPT_LEZ[Ago])</f>
        <v>887</v>
      </c>
      <c r="J117" s="10">
        <f>SUBTOTAL(109,NPT_LEZ[Set])</f>
        <v>953</v>
      </c>
      <c r="K117" s="10">
        <f>SUBTOTAL(109,NPT_LEZ[Out])</f>
        <v>946</v>
      </c>
      <c r="L117" s="10">
        <f>SUBTOTAL(109,NPT_LEZ[Nov])</f>
        <v>914</v>
      </c>
      <c r="M117" s="10">
        <f>SUBTOTAL(109,NPT_LEZ[Dez])</f>
        <v>0</v>
      </c>
      <c r="N117" s="11">
        <f>SUBTOTAL(109,NPT_LEZ[2024])</f>
        <v>9267</v>
      </c>
      <c r="O117" s="9"/>
    </row>
  </sheetData>
  <mergeCells count="11">
    <mergeCell ref="A54:O54"/>
    <mergeCell ref="A63:O63"/>
    <mergeCell ref="A78:O78"/>
    <mergeCell ref="A89:O89"/>
    <mergeCell ref="A104:O104"/>
    <mergeCell ref="A3:O3"/>
    <mergeCell ref="A9:O9"/>
    <mergeCell ref="A19:O19"/>
    <mergeCell ref="A27:O27"/>
    <mergeCell ref="A35:O35"/>
    <mergeCell ref="A46:O46"/>
  </mergeCells>
  <pageMargins left="0.511811024" right="0.511811024" top="0.78740157499999996" bottom="0.78740157499999996" header="0.31496062000000002" footer="0.31496062000000002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ATEND POR ACIDENTE TERRESTRE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Edinaide Alves Santos</dc:creator>
  <cp:lastModifiedBy>Edinaide Alves Santos</cp:lastModifiedBy>
  <dcterms:created xsi:type="dcterms:W3CDTF">2025-01-30T14:22:49Z</dcterms:created>
  <dcterms:modified xsi:type="dcterms:W3CDTF">2025-01-30T14:31:04Z</dcterms:modified>
</cp:coreProperties>
</file>