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EstaPastaDeTrabalho"/>
  <mc:AlternateContent xmlns:mc="http://schemas.openxmlformats.org/markup-compatibility/2006">
    <mc:Choice Requires="x15">
      <x15ac:absPath xmlns:x15ac="http://schemas.microsoft.com/office/spreadsheetml/2010/11/ac" url="https://mtegovbr.sharepoint.com/sites/CGAAT/Documentos Compartilhados/General/03 - Normas e Modelos de contratação/3. Modelos de Contratações/Mapas Salariais - Atualizações - Portarias Desenvolvimento e Infraestrutura/2025/fator-k/"/>
    </mc:Choice>
  </mc:AlternateContent>
  <xr:revisionPtr revIDLastSave="1379" documentId="13_ncr:1_{CB233439-D89E-4CA1-A915-DB749DB4EFA3}" xr6:coauthVersionLast="47" xr6:coauthVersionMax="47" xr10:uidLastSave="{C9BA3A95-F334-45DB-B104-57DC95636816}"/>
  <bookViews>
    <workbookView xWindow="24105" yWindow="7920" windowWidth="28980" windowHeight="16080" xr2:uid="{09BFC9EA-EA32-4FFA-A767-AB7F0D8A1E60}"/>
  </bookViews>
  <sheets>
    <sheet name="PERFIS" sheetId="35" r:id="rId1"/>
    <sheet name="COMPOSICAO" sheetId="37" r:id="rId2"/>
    <sheet name="ARQSOF-01" sheetId="36" r:id="rId3"/>
    <sheet name="ARQSOF-02" sheetId="40" r:id="rId4"/>
    <sheet name="ATQ-01" sheetId="41" r:id="rId5"/>
    <sheet name="ATQ-02" sheetId="42" r:id="rId6"/>
    <sheet name="ATQ-03" sheetId="43" r:id="rId7"/>
    <sheet name="DESENV-01" sheetId="44" r:id="rId8"/>
    <sheet name="DESENV-02" sheetId="45" r:id="rId9"/>
    <sheet name="DESENV-03" sheetId="46" r:id="rId10"/>
    <sheet name="ANR-01" sheetId="47" r:id="rId11"/>
    <sheet name="ANR-02" sheetId="48" r:id="rId12"/>
    <sheet name="ANR-03" sheetId="49" r:id="rId13"/>
    <sheet name="ABI-01" sheetId="50" r:id="rId14"/>
    <sheet name="ABI-02" sheetId="51" r:id="rId15"/>
    <sheet name="ABI-03" sheetId="52" r:id="rId16"/>
    <sheet name="ADADOS-02" sheetId="53" r:id="rId17"/>
    <sheet name="ADADOS-03" sheetId="54" r:id="rId18"/>
    <sheet name="LDESENV" sheetId="55" r:id="rId19"/>
    <sheet name="SCRUM" sheetId="56" r:id="rId20"/>
    <sheet name="GERPRO" sheetId="57" r:id="rId21"/>
    <sheet name="AUX_UI-01" sheetId="58" r:id="rId22"/>
    <sheet name="AUX_UI-02" sheetId="59" r:id="rId23"/>
    <sheet name="CDADOS-01" sheetId="60" r:id="rId24"/>
    <sheet name="CDADOS-02" sheetId="61" r:id="rId25"/>
    <sheet name="CDADOS-03" sheetId="62" r:id="rId26"/>
    <sheet name="ARQDADOS-01" sheetId="63" r:id="rId27"/>
    <sheet name="ARQDADOS-02" sheetId="64" r:id="rId28"/>
    <sheet name="ARQDADOS-03" sheetId="65" r:id="rId29"/>
    <sheet name="IA-ENG-01" sheetId="66" r:id="rId30"/>
    <sheet name="IA-ENG-02" sheetId="67" r:id="rId31"/>
    <sheet name="IA-ENG-03" sheetId="68" r:id="rId32"/>
    <sheet name="METRICA-01" sheetId="69" r:id="rId33"/>
    <sheet name="METRICA-02" sheetId="70" r:id="rId34"/>
    <sheet name="METRICA-03" sheetId="71" r:id="rId35"/>
  </sheets>
  <externalReferences>
    <externalReference r:id="rId36"/>
  </externalReferences>
  <definedNames>
    <definedName name="RAT">'[1]Parâmetros (não excluir)'!$I$1:$I$4</definedName>
    <definedName name="SIMNAO">'[1]Parâmetros (não excluir)'!$G$1:$G$2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71" l="1"/>
  <c r="D6" i="71" s="1"/>
  <c r="A1" i="70"/>
  <c r="D6" i="70" s="1"/>
  <c r="A1" i="69"/>
  <c r="D6" i="69" s="1"/>
  <c r="C71" i="71"/>
  <c r="C70" i="71"/>
  <c r="C69" i="71"/>
  <c r="C68" i="71"/>
  <c r="C66" i="71"/>
  <c r="C65" i="71"/>
  <c r="D36" i="71"/>
  <c r="D33" i="71"/>
  <c r="D30" i="71"/>
  <c r="C25" i="71"/>
  <c r="C24" i="71"/>
  <c r="C23" i="71"/>
  <c r="C22" i="71"/>
  <c r="C21" i="71"/>
  <c r="C20" i="71"/>
  <c r="C19" i="71"/>
  <c r="C71" i="70"/>
  <c r="C70" i="70"/>
  <c r="C69" i="70"/>
  <c r="C68" i="70"/>
  <c r="C66" i="70"/>
  <c r="C65" i="70"/>
  <c r="D36" i="70"/>
  <c r="D33" i="70"/>
  <c r="D30" i="70"/>
  <c r="C25" i="70"/>
  <c r="C24" i="70"/>
  <c r="C23" i="70"/>
  <c r="C22" i="70"/>
  <c r="C21" i="70"/>
  <c r="C20" i="70"/>
  <c r="C19" i="70"/>
  <c r="C71" i="69"/>
  <c r="C70" i="69"/>
  <c r="C69" i="69"/>
  <c r="C68" i="69"/>
  <c r="C66" i="69"/>
  <c r="C65" i="69"/>
  <c r="D36" i="69"/>
  <c r="D33" i="69"/>
  <c r="D30" i="69"/>
  <c r="C25" i="69"/>
  <c r="C24" i="69"/>
  <c r="C23" i="69"/>
  <c r="C22" i="69"/>
  <c r="C21" i="69"/>
  <c r="C20" i="69"/>
  <c r="C19" i="69"/>
  <c r="A1" i="68"/>
  <c r="D6" i="68" s="1"/>
  <c r="A1" i="67"/>
  <c r="D6" i="67" s="1"/>
  <c r="C71" i="68"/>
  <c r="C70" i="68"/>
  <c r="C69" i="68"/>
  <c r="C68" i="68"/>
  <c r="C66" i="68"/>
  <c r="C65" i="68"/>
  <c r="D36" i="68"/>
  <c r="D33" i="68"/>
  <c r="D30" i="68"/>
  <c r="C25" i="68"/>
  <c r="C24" i="68"/>
  <c r="C23" i="68"/>
  <c r="C22" i="68"/>
  <c r="C21" i="68"/>
  <c r="C20" i="68"/>
  <c r="C19" i="68"/>
  <c r="C71" i="67"/>
  <c r="C70" i="67"/>
  <c r="C69" i="67"/>
  <c r="C68" i="67"/>
  <c r="C66" i="67"/>
  <c r="C65" i="67"/>
  <c r="D36" i="67"/>
  <c r="D33" i="67"/>
  <c r="D30" i="67"/>
  <c r="C25" i="67"/>
  <c r="C24" i="67"/>
  <c r="C23" i="67"/>
  <c r="C22" i="67"/>
  <c r="C21" i="67"/>
  <c r="C20" i="67"/>
  <c r="C19" i="67"/>
  <c r="A1" i="66"/>
  <c r="D6" i="66" s="1"/>
  <c r="C71" i="66"/>
  <c r="C70" i="66"/>
  <c r="C69" i="66"/>
  <c r="C68" i="66"/>
  <c r="C66" i="66"/>
  <c r="C65" i="66"/>
  <c r="D36" i="66"/>
  <c r="D33" i="66"/>
  <c r="D30" i="66"/>
  <c r="C25" i="66"/>
  <c r="C24" i="66"/>
  <c r="C23" i="66"/>
  <c r="C22" i="66"/>
  <c r="C21" i="66"/>
  <c r="C20" i="66"/>
  <c r="C19" i="66"/>
  <c r="A1" i="65"/>
  <c r="D6" i="65" s="1"/>
  <c r="A1" i="64"/>
  <c r="D6" i="64" s="1"/>
  <c r="C71" i="65"/>
  <c r="C70" i="65"/>
  <c r="C69" i="65"/>
  <c r="C68" i="65"/>
  <c r="C66" i="65"/>
  <c r="C65" i="65"/>
  <c r="D36" i="65"/>
  <c r="D33" i="65"/>
  <c r="D30" i="65"/>
  <c r="C25" i="65"/>
  <c r="C24" i="65"/>
  <c r="C23" i="65"/>
  <c r="C22" i="65"/>
  <c r="C21" i="65"/>
  <c r="C20" i="65"/>
  <c r="C19" i="65"/>
  <c r="C71" i="64"/>
  <c r="C70" i="64"/>
  <c r="C69" i="64"/>
  <c r="C68" i="64"/>
  <c r="C66" i="64"/>
  <c r="C65" i="64"/>
  <c r="D36" i="64"/>
  <c r="D33" i="64"/>
  <c r="D30" i="64"/>
  <c r="C25" i="64"/>
  <c r="C24" i="64"/>
  <c r="C23" i="64"/>
  <c r="C22" i="64"/>
  <c r="C21" i="64"/>
  <c r="C20" i="64"/>
  <c r="C19" i="64"/>
  <c r="A1" i="63"/>
  <c r="D6" i="63" s="1"/>
  <c r="C71" i="63"/>
  <c r="C70" i="63"/>
  <c r="C69" i="63"/>
  <c r="C68" i="63"/>
  <c r="C66" i="63"/>
  <c r="C65" i="63"/>
  <c r="D36" i="63"/>
  <c r="D33" i="63"/>
  <c r="D30" i="63"/>
  <c r="C25" i="63"/>
  <c r="C24" i="63"/>
  <c r="C23" i="63"/>
  <c r="C22" i="63"/>
  <c r="C21" i="63"/>
  <c r="C20" i="63"/>
  <c r="C19" i="63"/>
  <c r="A1" i="62"/>
  <c r="D6" i="62" s="1"/>
  <c r="C71" i="62"/>
  <c r="C70" i="62"/>
  <c r="C69" i="62"/>
  <c r="C68" i="62"/>
  <c r="C66" i="62"/>
  <c r="C65" i="62"/>
  <c r="D36" i="62"/>
  <c r="D33" i="62"/>
  <c r="D30" i="62"/>
  <c r="C25" i="62"/>
  <c r="C24" i="62"/>
  <c r="C23" i="62"/>
  <c r="C22" i="62"/>
  <c r="C21" i="62"/>
  <c r="C20" i="62"/>
  <c r="C19" i="62"/>
  <c r="A1" i="61"/>
  <c r="D6" i="61" s="1"/>
  <c r="C71" i="61"/>
  <c r="C70" i="61"/>
  <c r="C69" i="61"/>
  <c r="C68" i="61"/>
  <c r="C66" i="61"/>
  <c r="C65" i="61"/>
  <c r="D36" i="61"/>
  <c r="D33" i="61"/>
  <c r="D30" i="61"/>
  <c r="C25" i="61"/>
  <c r="C24" i="61"/>
  <c r="C23" i="61"/>
  <c r="C22" i="61"/>
  <c r="C21" i="61"/>
  <c r="C20" i="61"/>
  <c r="C19" i="61"/>
  <c r="A1" i="60"/>
  <c r="D6" i="60" s="1"/>
  <c r="C71" i="60"/>
  <c r="C70" i="60"/>
  <c r="C69" i="60"/>
  <c r="C68" i="60"/>
  <c r="C66" i="60"/>
  <c r="C65" i="60"/>
  <c r="D36" i="60"/>
  <c r="D33" i="60"/>
  <c r="D30" i="60"/>
  <c r="C25" i="60"/>
  <c r="C24" i="60"/>
  <c r="C23" i="60"/>
  <c r="C22" i="60"/>
  <c r="C21" i="60"/>
  <c r="C20" i="60"/>
  <c r="C19" i="60"/>
  <c r="A1" i="59"/>
  <c r="D6" i="59" s="1"/>
  <c r="C71" i="59"/>
  <c r="C70" i="59"/>
  <c r="C69" i="59"/>
  <c r="C68" i="59"/>
  <c r="C66" i="59"/>
  <c r="C65" i="59"/>
  <c r="D36" i="59"/>
  <c r="D33" i="59"/>
  <c r="D30" i="59"/>
  <c r="C25" i="59"/>
  <c r="C24" i="59"/>
  <c r="C23" i="59"/>
  <c r="C22" i="59"/>
  <c r="C21" i="59"/>
  <c r="C20" i="59"/>
  <c r="C19" i="59"/>
  <c r="C19" i="36"/>
  <c r="C20" i="36"/>
  <c r="C21" i="36"/>
  <c r="C22" i="36"/>
  <c r="C23" i="36"/>
  <c r="C24" i="36"/>
  <c r="C25" i="36"/>
  <c r="A1" i="58"/>
  <c r="D6" i="58" s="1"/>
  <c r="C71" i="58"/>
  <c r="C70" i="58"/>
  <c r="C69" i="58"/>
  <c r="C68" i="58"/>
  <c r="C66" i="58"/>
  <c r="C65" i="58"/>
  <c r="D36" i="58"/>
  <c r="D33" i="58"/>
  <c r="D30" i="58"/>
  <c r="C25" i="58"/>
  <c r="C24" i="58"/>
  <c r="C23" i="58"/>
  <c r="C22" i="58"/>
  <c r="C21" i="58"/>
  <c r="C20" i="58"/>
  <c r="C19" i="58"/>
  <c r="A1" i="57"/>
  <c r="D6" i="57" s="1"/>
  <c r="D31" i="57" s="1"/>
  <c r="C71" i="57"/>
  <c r="C70" i="57"/>
  <c r="C69" i="57"/>
  <c r="C68" i="57"/>
  <c r="C66" i="57"/>
  <c r="C65" i="57"/>
  <c r="D36" i="57"/>
  <c r="D33" i="57"/>
  <c r="D30" i="57"/>
  <c r="C25" i="57"/>
  <c r="C24" i="57"/>
  <c r="C23" i="57"/>
  <c r="C22" i="57"/>
  <c r="C21" i="57"/>
  <c r="C20" i="57"/>
  <c r="C19" i="57"/>
  <c r="A1" i="56"/>
  <c r="D6" i="56" s="1"/>
  <c r="C71" i="56"/>
  <c r="C70" i="56"/>
  <c r="C69" i="56"/>
  <c r="C68" i="56"/>
  <c r="C66" i="56"/>
  <c r="C65" i="56"/>
  <c r="D36" i="56"/>
  <c r="D33" i="56"/>
  <c r="D30" i="56"/>
  <c r="C25" i="56"/>
  <c r="C24" i="56"/>
  <c r="C23" i="56"/>
  <c r="C22" i="56"/>
  <c r="C21" i="56"/>
  <c r="C20" i="56"/>
  <c r="C19" i="56"/>
  <c r="A1" i="55"/>
  <c r="D6" i="55" s="1"/>
  <c r="C71" i="55"/>
  <c r="C70" i="55"/>
  <c r="C69" i="55"/>
  <c r="C68" i="55"/>
  <c r="C66" i="55"/>
  <c r="C65" i="55"/>
  <c r="D36" i="55"/>
  <c r="D33" i="55"/>
  <c r="D30" i="55"/>
  <c r="C25" i="55"/>
  <c r="C24" i="55"/>
  <c r="C23" i="55"/>
  <c r="C22" i="55"/>
  <c r="C21" i="55"/>
  <c r="C20" i="55"/>
  <c r="C19" i="55"/>
  <c r="A1" i="54"/>
  <c r="D6" i="54" s="1"/>
  <c r="D31" i="54" s="1"/>
  <c r="C71" i="54"/>
  <c r="C70" i="54"/>
  <c r="C69" i="54"/>
  <c r="C68" i="54"/>
  <c r="C66" i="54"/>
  <c r="C65" i="54"/>
  <c r="D36" i="54"/>
  <c r="D33" i="54"/>
  <c r="D30" i="54"/>
  <c r="C25" i="54"/>
  <c r="C24" i="54"/>
  <c r="C23" i="54"/>
  <c r="C22" i="54"/>
  <c r="C21" i="54"/>
  <c r="C20" i="54"/>
  <c r="C19" i="54"/>
  <c r="A1" i="53"/>
  <c r="D6" i="53" s="1"/>
  <c r="C71" i="53"/>
  <c r="C70" i="53"/>
  <c r="C69" i="53"/>
  <c r="C68" i="53"/>
  <c r="C66" i="53"/>
  <c r="C65" i="53"/>
  <c r="D36" i="53"/>
  <c r="D33" i="53"/>
  <c r="D30" i="53"/>
  <c r="C25" i="53"/>
  <c r="C24" i="53"/>
  <c r="C23" i="53"/>
  <c r="C22" i="53"/>
  <c r="C21" i="53"/>
  <c r="C20" i="53"/>
  <c r="C19" i="53"/>
  <c r="A1" i="52"/>
  <c r="C71" i="52"/>
  <c r="C70" i="52"/>
  <c r="C69" i="52"/>
  <c r="C68" i="52"/>
  <c r="C66" i="52"/>
  <c r="C65" i="52"/>
  <c r="D36" i="52"/>
  <c r="D33" i="52"/>
  <c r="D30" i="52"/>
  <c r="C25" i="52"/>
  <c r="C24" i="52"/>
  <c r="C23" i="52"/>
  <c r="C22" i="52"/>
  <c r="C21" i="52"/>
  <c r="C20" i="52"/>
  <c r="C19" i="52"/>
  <c r="D6" i="52"/>
  <c r="A1" i="51"/>
  <c r="D6" i="51" s="1"/>
  <c r="C71" i="51"/>
  <c r="C70" i="51"/>
  <c r="C69" i="51"/>
  <c r="C68" i="51"/>
  <c r="C66" i="51"/>
  <c r="C65" i="51"/>
  <c r="D36" i="51"/>
  <c r="D33" i="51"/>
  <c r="D30" i="51"/>
  <c r="C25" i="51"/>
  <c r="C24" i="51"/>
  <c r="C23" i="51"/>
  <c r="C22" i="51"/>
  <c r="C21" i="51"/>
  <c r="C20" i="51"/>
  <c r="C19" i="51"/>
  <c r="A1" i="50"/>
  <c r="D6" i="50" s="1"/>
  <c r="C71" i="50"/>
  <c r="C70" i="50"/>
  <c r="C69" i="50"/>
  <c r="C68" i="50"/>
  <c r="C66" i="50"/>
  <c r="C65" i="50"/>
  <c r="D36" i="50"/>
  <c r="D33" i="50"/>
  <c r="D30" i="50"/>
  <c r="C25" i="50"/>
  <c r="C24" i="50"/>
  <c r="C23" i="50"/>
  <c r="C22" i="50"/>
  <c r="C21" i="50"/>
  <c r="C20" i="50"/>
  <c r="C19" i="50"/>
  <c r="A1" i="49"/>
  <c r="D6" i="49" s="1"/>
  <c r="C71" i="49"/>
  <c r="C70" i="49"/>
  <c r="C69" i="49"/>
  <c r="C68" i="49"/>
  <c r="C66" i="49"/>
  <c r="C65" i="49"/>
  <c r="D36" i="49"/>
  <c r="D33" i="49"/>
  <c r="D30" i="49"/>
  <c r="C25" i="49"/>
  <c r="C24" i="49"/>
  <c r="C23" i="49"/>
  <c r="C22" i="49"/>
  <c r="C21" i="49"/>
  <c r="C20" i="49"/>
  <c r="C19" i="49"/>
  <c r="A1" i="48"/>
  <c r="D6" i="48" s="1"/>
  <c r="C71" i="48"/>
  <c r="C70" i="48"/>
  <c r="C69" i="48"/>
  <c r="C68" i="48"/>
  <c r="C66" i="48"/>
  <c r="C65" i="48"/>
  <c r="D36" i="48"/>
  <c r="D33" i="48"/>
  <c r="D30" i="48"/>
  <c r="C25" i="48"/>
  <c r="C24" i="48"/>
  <c r="C23" i="48"/>
  <c r="C22" i="48"/>
  <c r="C21" i="48"/>
  <c r="C20" i="48"/>
  <c r="C19" i="48"/>
  <c r="A1" i="47"/>
  <c r="D6" i="47" s="1"/>
  <c r="C71" i="47"/>
  <c r="C70" i="47"/>
  <c r="C69" i="47"/>
  <c r="C68" i="47"/>
  <c r="C66" i="47"/>
  <c r="C65" i="47"/>
  <c r="D36" i="47"/>
  <c r="D33" i="47"/>
  <c r="D30" i="47"/>
  <c r="C25" i="47"/>
  <c r="C24" i="47"/>
  <c r="C23" i="47"/>
  <c r="C22" i="47"/>
  <c r="C21" i="47"/>
  <c r="C20" i="47"/>
  <c r="C19" i="47"/>
  <c r="A1" i="43"/>
  <c r="D6" i="43" s="1"/>
  <c r="A1" i="42"/>
  <c r="D6" i="42" s="1"/>
  <c r="A1" i="46"/>
  <c r="D6" i="46" s="1"/>
  <c r="A1" i="45"/>
  <c r="D6" i="45" s="1"/>
  <c r="A1" i="44"/>
  <c r="D7" i="44" s="1"/>
  <c r="A1" i="40"/>
  <c r="D6" i="40" s="1"/>
  <c r="A1" i="41"/>
  <c r="D6" i="41" s="1"/>
  <c r="D7" i="41" s="1"/>
  <c r="A1" i="36"/>
  <c r="D6" i="36" s="1"/>
  <c r="C34" i="36" s="1" a="1"/>
  <c r="C34" i="36" s="1"/>
  <c r="C71" i="46"/>
  <c r="C70" i="46"/>
  <c r="C69" i="46"/>
  <c r="C68" i="46"/>
  <c r="C66" i="46"/>
  <c r="C65" i="46"/>
  <c r="D36" i="46"/>
  <c r="D33" i="46"/>
  <c r="D30" i="46"/>
  <c r="C25" i="46"/>
  <c r="C24" i="46"/>
  <c r="C23" i="46"/>
  <c r="C22" i="46"/>
  <c r="C21" i="46"/>
  <c r="C20" i="46"/>
  <c r="C19" i="46"/>
  <c r="C71" i="45"/>
  <c r="C70" i="45"/>
  <c r="C69" i="45"/>
  <c r="C68" i="45"/>
  <c r="C66" i="45"/>
  <c r="C65" i="45"/>
  <c r="D36" i="45"/>
  <c r="D33" i="45"/>
  <c r="D30" i="45"/>
  <c r="C25" i="45"/>
  <c r="C24" i="45"/>
  <c r="C23" i="45"/>
  <c r="C22" i="45"/>
  <c r="C21" i="45"/>
  <c r="C20" i="45"/>
  <c r="C19" i="45"/>
  <c r="C71" i="44"/>
  <c r="C70" i="44"/>
  <c r="C69" i="44"/>
  <c r="C68" i="44"/>
  <c r="C66" i="44"/>
  <c r="C65" i="44"/>
  <c r="D36" i="44"/>
  <c r="D33" i="44"/>
  <c r="D30" i="44"/>
  <c r="C25" i="44"/>
  <c r="C24" i="44"/>
  <c r="C23" i="44"/>
  <c r="C22" i="44"/>
  <c r="C21" i="44"/>
  <c r="C20" i="44"/>
  <c r="C19" i="44"/>
  <c r="C71" i="43"/>
  <c r="C70" i="43"/>
  <c r="C69" i="43"/>
  <c r="C68" i="43"/>
  <c r="C66" i="43"/>
  <c r="C65" i="43"/>
  <c r="D36" i="43"/>
  <c r="D33" i="43"/>
  <c r="D30" i="43"/>
  <c r="C25" i="43"/>
  <c r="C24" i="43"/>
  <c r="C23" i="43"/>
  <c r="C22" i="43"/>
  <c r="C21" i="43"/>
  <c r="C20" i="43"/>
  <c r="C19" i="43"/>
  <c r="C71" i="42"/>
  <c r="C70" i="42"/>
  <c r="C69" i="42"/>
  <c r="C68" i="42"/>
  <c r="C66" i="42"/>
  <c r="C65" i="42"/>
  <c r="D36" i="42"/>
  <c r="D33" i="42"/>
  <c r="D30" i="42"/>
  <c r="C25" i="42"/>
  <c r="C24" i="42"/>
  <c r="C23" i="42"/>
  <c r="C22" i="42"/>
  <c r="C21" i="42"/>
  <c r="C20" i="42"/>
  <c r="C19" i="42"/>
  <c r="C71" i="41"/>
  <c r="C70" i="41"/>
  <c r="C69" i="41"/>
  <c r="C68" i="41"/>
  <c r="C66" i="41"/>
  <c r="C65" i="41"/>
  <c r="C50" i="41"/>
  <c r="C47" i="41"/>
  <c r="D36" i="41"/>
  <c r="D33" i="41"/>
  <c r="D30" i="41"/>
  <c r="C25" i="41"/>
  <c r="C24" i="41"/>
  <c r="C23" i="41"/>
  <c r="C22" i="41"/>
  <c r="C21" i="41"/>
  <c r="C20" i="41"/>
  <c r="C19" i="41"/>
  <c r="C71" i="40"/>
  <c r="C70" i="40"/>
  <c r="C69" i="40"/>
  <c r="C68" i="40"/>
  <c r="C66" i="40"/>
  <c r="C65" i="40"/>
  <c r="D36" i="40"/>
  <c r="D33" i="40"/>
  <c r="D30" i="40"/>
  <c r="C25" i="40"/>
  <c r="C24" i="40"/>
  <c r="C23" i="40"/>
  <c r="C22" i="40"/>
  <c r="C21" i="40"/>
  <c r="C20" i="40"/>
  <c r="C19" i="40"/>
  <c r="D36" i="36"/>
  <c r="D39" i="37"/>
  <c r="C52" i="65" s="1"/>
  <c r="D38" i="37"/>
  <c r="C51" i="36" s="1"/>
  <c r="D37" i="37"/>
  <c r="C50" i="66" s="1"/>
  <c r="D36" i="37"/>
  <c r="C49" i="49" s="1"/>
  <c r="D34" i="37"/>
  <c r="C47" i="56" s="1"/>
  <c r="C65" i="36"/>
  <c r="C66" i="36"/>
  <c r="C68" i="36"/>
  <c r="C69" i="36"/>
  <c r="C70" i="36"/>
  <c r="C71" i="36"/>
  <c r="D46" i="37"/>
  <c r="C67" i="66" s="1"/>
  <c r="D30" i="36"/>
  <c r="C49" i="51" l="1"/>
  <c r="C50" i="56"/>
  <c r="C47" i="42"/>
  <c r="C50" i="42"/>
  <c r="C47" i="47"/>
  <c r="C47" i="58"/>
  <c r="C49" i="45"/>
  <c r="C49" i="44"/>
  <c r="C52" i="36"/>
  <c r="C50" i="44"/>
  <c r="C49" i="46"/>
  <c r="C50" i="55"/>
  <c r="C26" i="63"/>
  <c r="C50" i="68"/>
  <c r="C50" i="50"/>
  <c r="C47" i="65"/>
  <c r="C51" i="68"/>
  <c r="C51" i="41"/>
  <c r="C26" i="48"/>
  <c r="C51" i="50"/>
  <c r="C52" i="54"/>
  <c r="C49" i="57"/>
  <c r="C52" i="62"/>
  <c r="C26" i="67"/>
  <c r="C50" i="45"/>
  <c r="C50" i="63"/>
  <c r="C52" i="66"/>
  <c r="C49" i="69"/>
  <c r="C47" i="40"/>
  <c r="C51" i="42"/>
  <c r="C50" i="46"/>
  <c r="C51" i="55"/>
  <c r="C47" i="59"/>
  <c r="C51" i="63"/>
  <c r="C47" i="70"/>
  <c r="C50" i="40"/>
  <c r="C49" i="43"/>
  <c r="C51" i="49"/>
  <c r="C50" i="67"/>
  <c r="C47" i="71"/>
  <c r="C52" i="48"/>
  <c r="C51" i="40"/>
  <c r="C50" i="43"/>
  <c r="C52" i="49"/>
  <c r="C47" i="52"/>
  <c r="C49" i="56"/>
  <c r="C47" i="60"/>
  <c r="C49" i="64"/>
  <c r="C51" i="67"/>
  <c r="C49" i="40"/>
  <c r="C49" i="41"/>
  <c r="C49" i="42"/>
  <c r="C26" i="47"/>
  <c r="C51" i="48"/>
  <c r="C50" i="49"/>
  <c r="C49" i="50"/>
  <c r="C47" i="51"/>
  <c r="C52" i="53"/>
  <c r="C51" i="54"/>
  <c r="D32" i="54"/>
  <c r="C49" i="55"/>
  <c r="C47" i="57"/>
  <c r="C52" i="61"/>
  <c r="C51" i="62"/>
  <c r="C49" i="63"/>
  <c r="C47" i="64"/>
  <c r="C51" i="66"/>
  <c r="C49" i="67"/>
  <c r="C49" i="68"/>
  <c r="C47" i="69"/>
  <c r="C26" i="65"/>
  <c r="C52" i="40"/>
  <c r="C52" i="41"/>
  <c r="C52" i="42"/>
  <c r="C51" i="43"/>
  <c r="C51" i="44"/>
  <c r="C51" i="45"/>
  <c r="C51" i="46"/>
  <c r="C26" i="49"/>
  <c r="C52" i="50"/>
  <c r="C50" i="51"/>
  <c r="C47" i="53"/>
  <c r="C52" i="55"/>
  <c r="C51" i="56"/>
  <c r="C50" i="57"/>
  <c r="C49" i="58"/>
  <c r="C49" i="59"/>
  <c r="C26" i="61"/>
  <c r="C47" i="61"/>
  <c r="C52" i="63"/>
  <c r="C50" i="64"/>
  <c r="C52" i="67"/>
  <c r="C52" i="68"/>
  <c r="C50" i="69"/>
  <c r="C49" i="70"/>
  <c r="C49" i="71"/>
  <c r="C52" i="43"/>
  <c r="C52" i="44"/>
  <c r="C52" i="45"/>
  <c r="C52" i="46"/>
  <c r="C49" i="47"/>
  <c r="C47" i="48"/>
  <c r="C51" i="51"/>
  <c r="C49" i="52"/>
  <c r="C47" i="54"/>
  <c r="C52" i="56"/>
  <c r="C51" i="57"/>
  <c r="C50" i="58"/>
  <c r="C50" i="59"/>
  <c r="C49" i="60"/>
  <c r="C47" i="62"/>
  <c r="C51" i="64"/>
  <c r="C49" i="65"/>
  <c r="C47" i="66"/>
  <c r="C51" i="69"/>
  <c r="C50" i="70"/>
  <c r="C50" i="71"/>
  <c r="C50" i="47"/>
  <c r="C47" i="49"/>
  <c r="C52" i="51"/>
  <c r="C50" i="52"/>
  <c r="C49" i="53"/>
  <c r="C52" i="57"/>
  <c r="C51" i="58"/>
  <c r="C51" i="59"/>
  <c r="C50" i="60"/>
  <c r="C49" i="61"/>
  <c r="C52" i="64"/>
  <c r="C50" i="65"/>
  <c r="C52" i="69"/>
  <c r="C51" i="70"/>
  <c r="C51" i="71"/>
  <c r="C51" i="47"/>
  <c r="C49" i="48"/>
  <c r="C47" i="50"/>
  <c r="C26" i="51"/>
  <c r="C51" i="52"/>
  <c r="C50" i="53"/>
  <c r="C49" i="54"/>
  <c r="C47" i="55"/>
  <c r="C26" i="57"/>
  <c r="C52" i="58"/>
  <c r="C52" i="59"/>
  <c r="C51" i="60"/>
  <c r="C50" i="61"/>
  <c r="C49" i="62"/>
  <c r="C47" i="63"/>
  <c r="C51" i="65"/>
  <c r="C49" i="66"/>
  <c r="C47" i="67"/>
  <c r="C26" i="68"/>
  <c r="C47" i="68"/>
  <c r="C52" i="70"/>
  <c r="C52" i="71"/>
  <c r="C26" i="60"/>
  <c r="C47" i="43"/>
  <c r="C47" i="44"/>
  <c r="C26" i="45"/>
  <c r="C47" i="45"/>
  <c r="C47" i="46"/>
  <c r="C52" i="47"/>
  <c r="C50" i="48"/>
  <c r="C26" i="50"/>
  <c r="C52" i="52"/>
  <c r="C51" i="53"/>
  <c r="C50" i="54"/>
  <c r="C26" i="58"/>
  <c r="C52" i="60"/>
  <c r="C51" i="61"/>
  <c r="C50" i="62"/>
  <c r="C26" i="70"/>
  <c r="C67" i="45"/>
  <c r="C72" i="45" s="1"/>
  <c r="C67" i="47"/>
  <c r="C72" i="47" s="1"/>
  <c r="C67" i="46"/>
  <c r="C72" i="46" s="1"/>
  <c r="C67" i="58"/>
  <c r="C72" i="58" s="1"/>
  <c r="C67" i="40"/>
  <c r="C72" i="40" s="1"/>
  <c r="C67" i="61"/>
  <c r="C72" i="61" s="1"/>
  <c r="C67" i="69"/>
  <c r="C72" i="69" s="1"/>
  <c r="C67" i="43"/>
  <c r="C72" i="43" s="1"/>
  <c r="C67" i="51"/>
  <c r="C72" i="51" s="1"/>
  <c r="C67" i="70"/>
  <c r="C72" i="70" s="1"/>
  <c r="C67" i="44"/>
  <c r="C72" i="44" s="1"/>
  <c r="C67" i="50"/>
  <c r="C72" i="50" s="1"/>
  <c r="C67" i="54"/>
  <c r="C72" i="54" s="1"/>
  <c r="C67" i="57"/>
  <c r="C72" i="57" s="1"/>
  <c r="C67" i="64"/>
  <c r="C72" i="64" s="1"/>
  <c r="C67" i="62"/>
  <c r="C72" i="62" s="1"/>
  <c r="C67" i="67"/>
  <c r="C72" i="67" s="1"/>
  <c r="C67" i="65"/>
  <c r="C72" i="65" s="1"/>
  <c r="C67" i="68"/>
  <c r="C72" i="68" s="1"/>
  <c r="C67" i="71"/>
  <c r="C72" i="71" s="1"/>
  <c r="C67" i="48"/>
  <c r="C72" i="48" s="1"/>
  <c r="C72" i="66"/>
  <c r="C67" i="55"/>
  <c r="C72" i="55" s="1"/>
  <c r="C67" i="59"/>
  <c r="C72" i="59" s="1"/>
  <c r="C67" i="41"/>
  <c r="C72" i="41" s="1"/>
  <c r="C67" i="42"/>
  <c r="C72" i="42" s="1"/>
  <c r="C67" i="56"/>
  <c r="C72" i="56" s="1"/>
  <c r="C67" i="60"/>
  <c r="C72" i="60" s="1"/>
  <c r="C67" i="63"/>
  <c r="C72" i="63" s="1"/>
  <c r="C67" i="49"/>
  <c r="C72" i="49" s="1"/>
  <c r="C67" i="52"/>
  <c r="C72" i="52" s="1"/>
  <c r="C67" i="53"/>
  <c r="C72" i="53" s="1"/>
  <c r="D31" i="71"/>
  <c r="D32" i="71" s="1"/>
  <c r="D7" i="71"/>
  <c r="C34" i="71" a="1"/>
  <c r="C34" i="71" s="1"/>
  <c r="D34" i="71" s="1"/>
  <c r="D35" i="71" s="1"/>
  <c r="C26" i="71"/>
  <c r="D31" i="70"/>
  <c r="D32" i="70" s="1"/>
  <c r="D7" i="70"/>
  <c r="D50" i="70" s="1"/>
  <c r="C34" i="70" a="1"/>
  <c r="C34" i="70" s="1"/>
  <c r="D34" i="70" s="1"/>
  <c r="D35" i="70" s="1"/>
  <c r="D31" i="69"/>
  <c r="D32" i="69" s="1"/>
  <c r="D7" i="69"/>
  <c r="D47" i="69" s="1"/>
  <c r="C34" i="69" a="1"/>
  <c r="C34" i="69" s="1"/>
  <c r="D34" i="69" s="1"/>
  <c r="D35" i="69" s="1"/>
  <c r="C26" i="69"/>
  <c r="D31" i="68"/>
  <c r="D32" i="68" s="1"/>
  <c r="D7" i="68"/>
  <c r="C34" i="68" a="1"/>
  <c r="C34" i="68" s="1"/>
  <c r="D34" i="68" s="1"/>
  <c r="D35" i="68" s="1"/>
  <c r="D31" i="67"/>
  <c r="D32" i="67" s="1"/>
  <c r="D7" i="67"/>
  <c r="C34" i="67" a="1"/>
  <c r="C34" i="67" s="1"/>
  <c r="D34" i="67" s="1"/>
  <c r="D35" i="67" s="1"/>
  <c r="D31" i="66"/>
  <c r="D32" i="66" s="1"/>
  <c r="D7" i="66"/>
  <c r="D52" i="66" s="1"/>
  <c r="C34" i="66" a="1"/>
  <c r="C34" i="66" s="1"/>
  <c r="D34" i="66" s="1"/>
  <c r="D35" i="66" s="1"/>
  <c r="C26" i="66"/>
  <c r="D31" i="65"/>
  <c r="D32" i="65" s="1"/>
  <c r="D7" i="65"/>
  <c r="D47" i="65" s="1"/>
  <c r="C34" i="65" a="1"/>
  <c r="C34" i="65" s="1"/>
  <c r="D34" i="65" s="1"/>
  <c r="D35" i="65" s="1"/>
  <c r="D31" i="64"/>
  <c r="D32" i="64" s="1"/>
  <c r="D7" i="64"/>
  <c r="D50" i="64" s="1"/>
  <c r="C34" i="64" a="1"/>
  <c r="C34" i="64" s="1"/>
  <c r="D34" i="64" s="1"/>
  <c r="D35" i="64" s="1"/>
  <c r="C26" i="64"/>
  <c r="D31" i="63"/>
  <c r="D32" i="63" s="1"/>
  <c r="D7" i="63"/>
  <c r="D52" i="63" s="1"/>
  <c r="C34" i="63" a="1"/>
  <c r="C34" i="63" s="1"/>
  <c r="D34" i="63" s="1"/>
  <c r="D35" i="63" s="1"/>
  <c r="D31" i="62"/>
  <c r="D32" i="62" s="1"/>
  <c r="D7" i="62"/>
  <c r="D52" i="62" s="1"/>
  <c r="C34" i="62" a="1"/>
  <c r="C34" i="62" s="1"/>
  <c r="D34" i="62" s="1"/>
  <c r="D35" i="62" s="1"/>
  <c r="C26" i="62"/>
  <c r="D31" i="61"/>
  <c r="D32" i="61" s="1"/>
  <c r="D7" i="61"/>
  <c r="C34" i="61" a="1"/>
  <c r="C34" i="61" s="1"/>
  <c r="D34" i="61" s="1"/>
  <c r="D35" i="61" s="1"/>
  <c r="D31" i="60"/>
  <c r="D32" i="60" s="1"/>
  <c r="D7" i="60"/>
  <c r="D50" i="60" s="1"/>
  <c r="C34" i="60" a="1"/>
  <c r="C34" i="60" s="1"/>
  <c r="D34" i="60" s="1"/>
  <c r="D35" i="60" s="1"/>
  <c r="D31" i="59"/>
  <c r="D32" i="59" s="1"/>
  <c r="D7" i="59"/>
  <c r="C34" i="59" a="1"/>
  <c r="C34" i="59" s="1"/>
  <c r="D34" i="59" s="1"/>
  <c r="D35" i="59" s="1"/>
  <c r="C26" i="59"/>
  <c r="D31" i="58"/>
  <c r="D32" i="58" s="1"/>
  <c r="D7" i="58"/>
  <c r="D47" i="58" s="1"/>
  <c r="C34" i="58" a="1"/>
  <c r="C34" i="58" s="1"/>
  <c r="D34" i="58" s="1"/>
  <c r="D35" i="58" s="1"/>
  <c r="D32" i="57"/>
  <c r="C34" i="57" a="1"/>
  <c r="C34" i="57" s="1"/>
  <c r="D34" i="57" s="1"/>
  <c r="D35" i="57" s="1"/>
  <c r="D7" i="57"/>
  <c r="D31" i="56"/>
  <c r="D32" i="56" s="1"/>
  <c r="D7" i="56"/>
  <c r="C34" i="56" a="1"/>
  <c r="C34" i="56" s="1"/>
  <c r="D34" i="56" s="1"/>
  <c r="D35" i="56" s="1"/>
  <c r="C26" i="56"/>
  <c r="D31" i="55"/>
  <c r="D32" i="55" s="1"/>
  <c r="D7" i="55"/>
  <c r="D47" i="55" s="1"/>
  <c r="C34" i="55" a="1"/>
  <c r="C34" i="55" s="1"/>
  <c r="D34" i="55" s="1"/>
  <c r="D35" i="55" s="1"/>
  <c r="C26" i="55"/>
  <c r="C26" i="54"/>
  <c r="D7" i="54"/>
  <c r="C34" i="54" a="1"/>
  <c r="C34" i="54" s="1"/>
  <c r="D34" i="54" s="1"/>
  <c r="D35" i="54" s="1"/>
  <c r="D31" i="53"/>
  <c r="D32" i="53" s="1"/>
  <c r="D7" i="53"/>
  <c r="C34" i="53" a="1"/>
  <c r="C34" i="53" s="1"/>
  <c r="D34" i="53" s="1"/>
  <c r="D35" i="53" s="1"/>
  <c r="C26" i="53"/>
  <c r="D31" i="52"/>
  <c r="D32" i="52" s="1"/>
  <c r="D7" i="52"/>
  <c r="D47" i="52" s="1"/>
  <c r="C34" i="52" a="1"/>
  <c r="C34" i="52" s="1"/>
  <c r="D34" i="52" s="1"/>
  <c r="D35" i="52" s="1"/>
  <c r="C26" i="52"/>
  <c r="C34" i="51" a="1"/>
  <c r="C34" i="51" s="1"/>
  <c r="D34" i="51" s="1"/>
  <c r="D35" i="51" s="1"/>
  <c r="D31" i="51"/>
  <c r="D32" i="51" s="1"/>
  <c r="D7" i="51"/>
  <c r="D31" i="50"/>
  <c r="D32" i="50" s="1"/>
  <c r="D7" i="50"/>
  <c r="D50" i="50" s="1"/>
  <c r="C34" i="50" a="1"/>
  <c r="C34" i="50" s="1"/>
  <c r="D34" i="50" s="1"/>
  <c r="D35" i="50" s="1"/>
  <c r="D31" i="49"/>
  <c r="D32" i="49" s="1"/>
  <c r="C34" i="49" a="1"/>
  <c r="C34" i="49" s="1"/>
  <c r="D34" i="49" s="1"/>
  <c r="D35" i="49" s="1"/>
  <c r="D7" i="49"/>
  <c r="D31" i="48"/>
  <c r="D32" i="48" s="1"/>
  <c r="C34" i="48" a="1"/>
  <c r="C34" i="48" s="1"/>
  <c r="D34" i="48" s="1"/>
  <c r="D35" i="48" s="1"/>
  <c r="D7" i="48"/>
  <c r="D52" i="48" s="1"/>
  <c r="D31" i="47"/>
  <c r="D32" i="47" s="1"/>
  <c r="D7" i="47"/>
  <c r="C34" i="47" a="1"/>
  <c r="C34" i="47" s="1"/>
  <c r="D34" i="47" s="1"/>
  <c r="D35" i="47" s="1"/>
  <c r="D6" i="44"/>
  <c r="D31" i="44" s="1"/>
  <c r="D32" i="44" s="1"/>
  <c r="C34" i="46" a="1"/>
  <c r="C34" i="46" s="1"/>
  <c r="D34" i="46" s="1"/>
  <c r="D35" i="46" s="1"/>
  <c r="D31" i="46"/>
  <c r="D32" i="46" s="1"/>
  <c r="D7" i="46"/>
  <c r="D50" i="46" s="1"/>
  <c r="C26" i="46"/>
  <c r="D31" i="45"/>
  <c r="D32" i="45" s="1"/>
  <c r="D7" i="45"/>
  <c r="D50" i="45" s="1"/>
  <c r="C34" i="45" a="1"/>
  <c r="C34" i="45" s="1"/>
  <c r="D34" i="45" s="1"/>
  <c r="D35" i="45" s="1"/>
  <c r="C26" i="44"/>
  <c r="C34" i="43" a="1"/>
  <c r="C34" i="43" s="1"/>
  <c r="D34" i="43" s="1"/>
  <c r="D35" i="43" s="1"/>
  <c r="D31" i="43"/>
  <c r="D32" i="43" s="1"/>
  <c r="D7" i="43"/>
  <c r="C26" i="43"/>
  <c r="C34" i="42" a="1"/>
  <c r="C34" i="42" s="1"/>
  <c r="D34" i="42" s="1"/>
  <c r="D35" i="42" s="1"/>
  <c r="D31" i="42"/>
  <c r="D32" i="42" s="1"/>
  <c r="D7" i="42"/>
  <c r="C26" i="42"/>
  <c r="D31" i="41"/>
  <c r="D32" i="41" s="1"/>
  <c r="C34" i="41" a="1"/>
  <c r="C34" i="41" s="1"/>
  <c r="D34" i="41" s="1"/>
  <c r="D35" i="41" s="1"/>
  <c r="D50" i="41"/>
  <c r="C26" i="41"/>
  <c r="D31" i="40"/>
  <c r="D32" i="40" s="1"/>
  <c r="D7" i="40"/>
  <c r="C34" i="40" a="1"/>
  <c r="C34" i="40" s="1"/>
  <c r="D34" i="40" s="1"/>
  <c r="D35" i="40" s="1"/>
  <c r="C26" i="40"/>
  <c r="D35" i="37"/>
  <c r="D40" i="37" s="1"/>
  <c r="C47" i="36"/>
  <c r="D51" i="37"/>
  <c r="C67" i="36"/>
  <c r="C72" i="36" s="1"/>
  <c r="D47" i="71" l="1"/>
  <c r="D47" i="70"/>
  <c r="D37" i="54"/>
  <c r="D42" i="54" s="1"/>
  <c r="D50" i="49"/>
  <c r="D51" i="55"/>
  <c r="D47" i="50"/>
  <c r="D51" i="53"/>
  <c r="D50" i="71"/>
  <c r="D51" i="66"/>
  <c r="C34" i="44" a="1"/>
  <c r="C34" i="44" s="1"/>
  <c r="D34" i="44" s="1"/>
  <c r="D35" i="44" s="1"/>
  <c r="D51" i="52"/>
  <c r="D50" i="52"/>
  <c r="D50" i="59"/>
  <c r="D47" i="47"/>
  <c r="D52" i="54"/>
  <c r="D47" i="49"/>
  <c r="C48" i="68"/>
  <c r="D48" i="68" s="1"/>
  <c r="C48" i="67"/>
  <c r="C53" i="67" s="1"/>
  <c r="C48" i="63"/>
  <c r="C53" i="63" s="1"/>
  <c r="C48" i="55"/>
  <c r="D48" i="55" s="1"/>
  <c r="C48" i="50"/>
  <c r="C53" i="50" s="1"/>
  <c r="C48" i="42"/>
  <c r="C53" i="42" s="1"/>
  <c r="C48" i="41"/>
  <c r="C53" i="41" s="1"/>
  <c r="C48" i="40"/>
  <c r="C53" i="40" s="1"/>
  <c r="C48" i="70"/>
  <c r="C53" i="70" s="1"/>
  <c r="C48" i="49"/>
  <c r="C53" i="49" s="1"/>
  <c r="C48" i="59"/>
  <c r="C53" i="59" s="1"/>
  <c r="C48" i="57"/>
  <c r="C48" i="51"/>
  <c r="C48" i="66"/>
  <c r="C53" i="66" s="1"/>
  <c r="C48" i="62"/>
  <c r="C53" i="62" s="1"/>
  <c r="C48" i="54"/>
  <c r="C53" i="54" s="1"/>
  <c r="C48" i="48"/>
  <c r="C53" i="48" s="1"/>
  <c r="C48" i="71"/>
  <c r="C53" i="71" s="1"/>
  <c r="C48" i="58"/>
  <c r="C53" i="58" s="1"/>
  <c r="C48" i="61"/>
  <c r="C53" i="61" s="1"/>
  <c r="C48" i="53"/>
  <c r="C53" i="53" s="1"/>
  <c r="C48" i="65"/>
  <c r="C53" i="65" s="1"/>
  <c r="C48" i="60"/>
  <c r="C53" i="60" s="1"/>
  <c r="C48" i="52"/>
  <c r="C53" i="52" s="1"/>
  <c r="C48" i="47"/>
  <c r="C53" i="47" s="1"/>
  <c r="C48" i="56"/>
  <c r="C53" i="56" s="1"/>
  <c r="C48" i="46"/>
  <c r="C53" i="46" s="1"/>
  <c r="C48" i="45"/>
  <c r="D48" i="45" s="1"/>
  <c r="C48" i="44"/>
  <c r="C53" i="44" s="1"/>
  <c r="C48" i="43"/>
  <c r="D48" i="43" s="1"/>
  <c r="C48" i="69"/>
  <c r="C48" i="64"/>
  <c r="C53" i="64" s="1"/>
  <c r="D47" i="63"/>
  <c r="D52" i="45"/>
  <c r="C53" i="43"/>
  <c r="C53" i="69"/>
  <c r="D48" i="50"/>
  <c r="D48" i="53"/>
  <c r="C53" i="51"/>
  <c r="C53" i="55"/>
  <c r="D50" i="55"/>
  <c r="D50" i="66"/>
  <c r="D48" i="52"/>
  <c r="D47" i="59"/>
  <c r="D52" i="52"/>
  <c r="D52" i="64"/>
  <c r="D51" i="71"/>
  <c r="D52" i="71"/>
  <c r="D37" i="70"/>
  <c r="D42" i="70" s="1"/>
  <c r="D37" i="71"/>
  <c r="D42" i="71" s="1"/>
  <c r="D49" i="71"/>
  <c r="D76" i="71"/>
  <c r="D76" i="70"/>
  <c r="D51" i="70"/>
  <c r="D49" i="70"/>
  <c r="D52" i="70"/>
  <c r="D37" i="69"/>
  <c r="D42" i="69" s="1"/>
  <c r="D50" i="69"/>
  <c r="D49" i="69"/>
  <c r="D76" i="69"/>
  <c r="D51" i="69"/>
  <c r="D52" i="69"/>
  <c r="D48" i="69"/>
  <c r="D37" i="68"/>
  <c r="D42" i="68" s="1"/>
  <c r="D52" i="68"/>
  <c r="D47" i="68"/>
  <c r="D49" i="68"/>
  <c r="D76" i="68"/>
  <c r="D51" i="68"/>
  <c r="D50" i="68"/>
  <c r="D37" i="67"/>
  <c r="D42" i="67" s="1"/>
  <c r="D49" i="67"/>
  <c r="D76" i="67"/>
  <c r="D50" i="67"/>
  <c r="D52" i="67"/>
  <c r="D51" i="67"/>
  <c r="D47" i="67"/>
  <c r="D37" i="66"/>
  <c r="D42" i="66" s="1"/>
  <c r="D76" i="66"/>
  <c r="D49" i="66"/>
  <c r="D47" i="66"/>
  <c r="D51" i="64"/>
  <c r="D37" i="64"/>
  <c r="D42" i="64" s="1"/>
  <c r="D49" i="64"/>
  <c r="D37" i="65"/>
  <c r="D42" i="65" s="1"/>
  <c r="D50" i="65"/>
  <c r="D76" i="65"/>
  <c r="D49" i="65"/>
  <c r="D48" i="65"/>
  <c r="D51" i="65"/>
  <c r="D52" i="65"/>
  <c r="D76" i="64"/>
  <c r="D47" i="64"/>
  <c r="D48" i="64"/>
  <c r="D48" i="63"/>
  <c r="D37" i="63"/>
  <c r="D42" i="63" s="1"/>
  <c r="D76" i="63"/>
  <c r="D49" i="63"/>
  <c r="D50" i="63"/>
  <c r="D51" i="63"/>
  <c r="D50" i="62"/>
  <c r="D37" i="62"/>
  <c r="D42" i="62" s="1"/>
  <c r="D49" i="62"/>
  <c r="D47" i="62"/>
  <c r="D51" i="62"/>
  <c r="D76" i="62"/>
  <c r="D37" i="61"/>
  <c r="D42" i="61" s="1"/>
  <c r="D51" i="61"/>
  <c r="D47" i="61"/>
  <c r="D52" i="61"/>
  <c r="D48" i="61"/>
  <c r="D49" i="61"/>
  <c r="D76" i="61"/>
  <c r="D50" i="61"/>
  <c r="D37" i="60"/>
  <c r="D42" i="60" s="1"/>
  <c r="D52" i="60"/>
  <c r="D48" i="60"/>
  <c r="D49" i="60"/>
  <c r="D76" i="60"/>
  <c r="D51" i="60"/>
  <c r="D47" i="60"/>
  <c r="D48" i="59"/>
  <c r="D37" i="59"/>
  <c r="D42" i="59" s="1"/>
  <c r="D49" i="59"/>
  <c r="D76" i="59"/>
  <c r="D52" i="59"/>
  <c r="D51" i="59"/>
  <c r="D37" i="58"/>
  <c r="D42" i="58" s="1"/>
  <c r="D52" i="58"/>
  <c r="D48" i="58"/>
  <c r="D76" i="58"/>
  <c r="D49" i="58"/>
  <c r="D51" i="58"/>
  <c r="D50" i="58"/>
  <c r="D37" i="57"/>
  <c r="D42" i="57" s="1"/>
  <c r="D51" i="57"/>
  <c r="D47" i="57"/>
  <c r="D76" i="57"/>
  <c r="D49" i="57"/>
  <c r="D52" i="57"/>
  <c r="D50" i="57"/>
  <c r="D37" i="56"/>
  <c r="D42" i="56" s="1"/>
  <c r="D52" i="56"/>
  <c r="D49" i="56"/>
  <c r="D76" i="56"/>
  <c r="D51" i="56"/>
  <c r="D50" i="56"/>
  <c r="D47" i="56"/>
  <c r="D37" i="55"/>
  <c r="D42" i="55" s="1"/>
  <c r="D76" i="55"/>
  <c r="D49" i="55"/>
  <c r="D52" i="55"/>
  <c r="D50" i="54"/>
  <c r="D76" i="54"/>
  <c r="D51" i="54"/>
  <c r="D47" i="54"/>
  <c r="D49" i="54"/>
  <c r="D37" i="53"/>
  <c r="D42" i="53" s="1"/>
  <c r="D76" i="53"/>
  <c r="D52" i="53"/>
  <c r="D47" i="53"/>
  <c r="D49" i="53"/>
  <c r="D50" i="53"/>
  <c r="D76" i="52"/>
  <c r="D37" i="52"/>
  <c r="D42" i="52" s="1"/>
  <c r="D49" i="52"/>
  <c r="D76" i="51"/>
  <c r="D48" i="51"/>
  <c r="D37" i="51"/>
  <c r="D42" i="51" s="1"/>
  <c r="D52" i="51"/>
  <c r="D50" i="51"/>
  <c r="D49" i="51"/>
  <c r="D51" i="51"/>
  <c r="D47" i="51"/>
  <c r="D37" i="50"/>
  <c r="D42" i="50" s="1"/>
  <c r="D49" i="50"/>
  <c r="D76" i="50"/>
  <c r="D52" i="50"/>
  <c r="D51" i="50"/>
  <c r="D51" i="49"/>
  <c r="D37" i="49"/>
  <c r="D42" i="49" s="1"/>
  <c r="D52" i="49"/>
  <c r="D49" i="49"/>
  <c r="D76" i="49"/>
  <c r="D37" i="48"/>
  <c r="D42" i="48" s="1"/>
  <c r="D50" i="48"/>
  <c r="D47" i="48"/>
  <c r="D76" i="48"/>
  <c r="D49" i="48"/>
  <c r="D51" i="48"/>
  <c r="D51" i="47"/>
  <c r="D50" i="47"/>
  <c r="D52" i="47"/>
  <c r="D48" i="47"/>
  <c r="D76" i="47"/>
  <c r="D49" i="47"/>
  <c r="D37" i="47"/>
  <c r="D42" i="47" s="1"/>
  <c r="D51" i="43"/>
  <c r="D50" i="42"/>
  <c r="D52" i="42"/>
  <c r="D51" i="42"/>
  <c r="D47" i="42"/>
  <c r="D48" i="42"/>
  <c r="D51" i="41"/>
  <c r="D52" i="46"/>
  <c r="D47" i="46"/>
  <c r="D37" i="46"/>
  <c r="D42" i="46" s="1"/>
  <c r="D51" i="46"/>
  <c r="D49" i="46"/>
  <c r="D76" i="46"/>
  <c r="D37" i="45"/>
  <c r="D42" i="45" s="1"/>
  <c r="D47" i="45"/>
  <c r="D49" i="45"/>
  <c r="D76" i="45"/>
  <c r="D51" i="45"/>
  <c r="D50" i="44"/>
  <c r="D52" i="44"/>
  <c r="D37" i="44"/>
  <c r="D42" i="44" s="1"/>
  <c r="D51" i="44"/>
  <c r="D48" i="44"/>
  <c r="D49" i="44"/>
  <c r="D76" i="44"/>
  <c r="D47" i="44"/>
  <c r="D37" i="43"/>
  <c r="D42" i="43" s="1"/>
  <c r="D49" i="43"/>
  <c r="D50" i="43"/>
  <c r="D76" i="43"/>
  <c r="D52" i="43"/>
  <c r="D47" i="43"/>
  <c r="D37" i="42"/>
  <c r="D42" i="42" s="1"/>
  <c r="D49" i="42"/>
  <c r="D76" i="42"/>
  <c r="D47" i="41"/>
  <c r="D48" i="41"/>
  <c r="D52" i="41"/>
  <c r="D49" i="41"/>
  <c r="D76" i="41"/>
  <c r="D37" i="41"/>
  <c r="D42" i="41" s="1"/>
  <c r="D37" i="40"/>
  <c r="D42" i="40" s="1"/>
  <c r="D51" i="40"/>
  <c r="D52" i="40"/>
  <c r="D47" i="40"/>
  <c r="D49" i="40"/>
  <c r="D76" i="40"/>
  <c r="D50" i="40"/>
  <c r="D53" i="55" l="1"/>
  <c r="D78" i="55" s="1"/>
  <c r="C53" i="45"/>
  <c r="D48" i="70"/>
  <c r="D48" i="40"/>
  <c r="D48" i="62"/>
  <c r="D53" i="62" s="1"/>
  <c r="D78" i="62" s="1"/>
  <c r="D48" i="46"/>
  <c r="D53" i="46" s="1"/>
  <c r="D78" i="46" s="1"/>
  <c r="D48" i="54"/>
  <c r="D53" i="54" s="1"/>
  <c r="D78" i="54" s="1"/>
  <c r="D48" i="49"/>
  <c r="D53" i="49" s="1"/>
  <c r="D78" i="49" s="1"/>
  <c r="D48" i="56"/>
  <c r="D53" i="56" s="1"/>
  <c r="D78" i="56" s="1"/>
  <c r="D48" i="67"/>
  <c r="C53" i="68"/>
  <c r="D53" i="45"/>
  <c r="D78" i="45" s="1"/>
  <c r="D48" i="48"/>
  <c r="D53" i="48" s="1"/>
  <c r="D78" i="48" s="1"/>
  <c r="D48" i="66"/>
  <c r="D53" i="66" s="1"/>
  <c r="D78" i="66" s="1"/>
  <c r="D53" i="52"/>
  <c r="D78" i="52" s="1"/>
  <c r="D48" i="71"/>
  <c r="D53" i="71" s="1"/>
  <c r="D78" i="71" s="1"/>
  <c r="C53" i="57"/>
  <c r="D48" i="57"/>
  <c r="D53" i="57" s="1"/>
  <c r="D78" i="57" s="1"/>
  <c r="D53" i="63"/>
  <c r="D78" i="63" s="1"/>
  <c r="D53" i="59"/>
  <c r="D78" i="59" s="1"/>
  <c r="D53" i="70"/>
  <c r="D78" i="70" s="1"/>
  <c r="D53" i="69"/>
  <c r="D78" i="69" s="1"/>
  <c r="D53" i="68"/>
  <c r="D78" i="68" s="1"/>
  <c r="D53" i="67"/>
  <c r="D78" i="67" s="1"/>
  <c r="D53" i="65"/>
  <c r="D78" i="65" s="1"/>
  <c r="D53" i="64"/>
  <c r="D78" i="64" s="1"/>
  <c r="D53" i="61"/>
  <c r="D78" i="61" s="1"/>
  <c r="D53" i="60"/>
  <c r="D78" i="60" s="1"/>
  <c r="D53" i="58"/>
  <c r="D78" i="58" s="1"/>
  <c r="D53" i="53"/>
  <c r="D78" i="53" s="1"/>
  <c r="D53" i="51"/>
  <c r="D78" i="51" s="1"/>
  <c r="D53" i="50"/>
  <c r="D78" i="50" s="1"/>
  <c r="D53" i="47"/>
  <c r="D78" i="47" s="1"/>
  <c r="D53" i="42"/>
  <c r="D78" i="42" s="1"/>
  <c r="D53" i="44"/>
  <c r="D78" i="44" s="1"/>
  <c r="D53" i="43"/>
  <c r="D78" i="43" s="1"/>
  <c r="D53" i="41"/>
  <c r="D78" i="41" s="1"/>
  <c r="D53" i="40"/>
  <c r="D78" i="40" s="1"/>
  <c r="C50" i="36" l="1"/>
  <c r="C49" i="36"/>
  <c r="C48" i="36"/>
  <c r="D33" i="36"/>
  <c r="D17" i="37"/>
  <c r="C53" i="36" l="1"/>
  <c r="C26" i="36"/>
  <c r="D3" i="37" l="1"/>
  <c r="C12" i="61" l="1"/>
  <c r="C12" i="53"/>
  <c r="C12" i="60"/>
  <c r="C12" i="52"/>
  <c r="C12" i="47"/>
  <c r="C12" i="71"/>
  <c r="C12" i="65"/>
  <c r="C12" i="59"/>
  <c r="C12" i="58"/>
  <c r="C12" i="41"/>
  <c r="C12" i="40"/>
  <c r="D12" i="40" s="1"/>
  <c r="C12" i="55"/>
  <c r="C12" i="49"/>
  <c r="C12" i="70"/>
  <c r="C12" i="69"/>
  <c r="C12" i="57"/>
  <c r="C12" i="67"/>
  <c r="C12" i="63"/>
  <c r="C12" i="64"/>
  <c r="C12" i="56"/>
  <c r="C12" i="51"/>
  <c r="C12" i="46"/>
  <c r="C12" i="45"/>
  <c r="C12" i="44"/>
  <c r="C12" i="68"/>
  <c r="C12" i="50"/>
  <c r="C12" i="43"/>
  <c r="C12" i="66"/>
  <c r="C12" i="62"/>
  <c r="C12" i="54"/>
  <c r="D12" i="54" s="1"/>
  <c r="C12" i="48"/>
  <c r="C12" i="42"/>
  <c r="C12" i="36"/>
  <c r="D4" i="37"/>
  <c r="D31" i="36"/>
  <c r="D32" i="36" s="1"/>
  <c r="D7" i="36"/>
  <c r="D34" i="36"/>
  <c r="D35" i="36" s="1"/>
  <c r="D12" i="68" l="1"/>
  <c r="D12" i="61"/>
  <c r="D12" i="44"/>
  <c r="D12" i="57"/>
  <c r="D12" i="59"/>
  <c r="D12" i="48"/>
  <c r="D12" i="65"/>
  <c r="D12" i="46"/>
  <c r="D12" i="51"/>
  <c r="D12" i="49"/>
  <c r="D12" i="47"/>
  <c r="D12" i="58"/>
  <c r="D12" i="45"/>
  <c r="D12" i="69"/>
  <c r="D12" i="70"/>
  <c r="D12" i="71"/>
  <c r="D12" i="62"/>
  <c r="D12" i="66"/>
  <c r="D12" i="56"/>
  <c r="D12" i="55"/>
  <c r="D12" i="52"/>
  <c r="D12" i="67"/>
  <c r="C14" i="42"/>
  <c r="D12" i="42"/>
  <c r="D12" i="43"/>
  <c r="D12" i="64"/>
  <c r="D12" i="60"/>
  <c r="C13" i="60"/>
  <c r="D13" i="60" s="1"/>
  <c r="C13" i="52"/>
  <c r="D13" i="52" s="1"/>
  <c r="C13" i="47"/>
  <c r="D13" i="47" s="1"/>
  <c r="C13" i="66"/>
  <c r="D13" i="66" s="1"/>
  <c r="C13" i="62"/>
  <c r="D13" i="62" s="1"/>
  <c r="C13" i="71"/>
  <c r="D13" i="71" s="1"/>
  <c r="C13" i="65"/>
  <c r="D13" i="65" s="1"/>
  <c r="C13" i="59"/>
  <c r="D13" i="59" s="1"/>
  <c r="C13" i="58"/>
  <c r="D13" i="58" s="1"/>
  <c r="C13" i="55"/>
  <c r="D13" i="55" s="1"/>
  <c r="C13" i="54"/>
  <c r="C13" i="70"/>
  <c r="D13" i="70" s="1"/>
  <c r="C13" i="69"/>
  <c r="D13" i="69" s="1"/>
  <c r="C13" i="57"/>
  <c r="D13" i="57" s="1"/>
  <c r="C13" i="49"/>
  <c r="D13" i="49" s="1"/>
  <c r="C13" i="48"/>
  <c r="D13" i="48" s="1"/>
  <c r="C13" i="64"/>
  <c r="D13" i="64" s="1"/>
  <c r="C13" i="56"/>
  <c r="D13" i="56" s="1"/>
  <c r="C13" i="51"/>
  <c r="D13" i="51" s="1"/>
  <c r="C13" i="46"/>
  <c r="D13" i="46" s="1"/>
  <c r="C13" i="45"/>
  <c r="D13" i="45" s="1"/>
  <c r="D14" i="45" s="1"/>
  <c r="C13" i="44"/>
  <c r="D13" i="44" s="1"/>
  <c r="C13" i="68"/>
  <c r="D13" i="68" s="1"/>
  <c r="C13" i="50"/>
  <c r="D13" i="50" s="1"/>
  <c r="C13" i="43"/>
  <c r="D13" i="43" s="1"/>
  <c r="C13" i="42"/>
  <c r="D13" i="42" s="1"/>
  <c r="C13" i="41"/>
  <c r="D13" i="41" s="1"/>
  <c r="C13" i="40"/>
  <c r="C13" i="67"/>
  <c r="D13" i="67" s="1"/>
  <c r="C13" i="61"/>
  <c r="D13" i="61" s="1"/>
  <c r="C13" i="53"/>
  <c r="D13" i="53" s="1"/>
  <c r="C13" i="63"/>
  <c r="D13" i="63" s="1"/>
  <c r="D12" i="50"/>
  <c r="D12" i="63"/>
  <c r="C14" i="41"/>
  <c r="D12" i="41"/>
  <c r="D12" i="53"/>
  <c r="D37" i="36"/>
  <c r="D42" i="36" s="1"/>
  <c r="D47" i="36"/>
  <c r="D48" i="36"/>
  <c r="D76" i="36"/>
  <c r="D51" i="36"/>
  <c r="D52" i="36"/>
  <c r="D50" i="36"/>
  <c r="D49" i="36"/>
  <c r="D12" i="36"/>
  <c r="D5" i="37"/>
  <c r="C13" i="36"/>
  <c r="D14" i="41" l="1"/>
  <c r="D22" i="41" s="1"/>
  <c r="D14" i="51"/>
  <c r="D14" i="57"/>
  <c r="D21" i="57" s="1"/>
  <c r="D14" i="65"/>
  <c r="D25" i="65" s="1"/>
  <c r="D14" i="63"/>
  <c r="D24" i="63" s="1"/>
  <c r="D14" i="56"/>
  <c r="D40" i="56" s="1"/>
  <c r="C14" i="56"/>
  <c r="D14" i="53"/>
  <c r="D25" i="53" s="1"/>
  <c r="C14" i="53"/>
  <c r="D14" i="42"/>
  <c r="D18" i="42" s="1"/>
  <c r="D14" i="47"/>
  <c r="D25" i="47" s="1"/>
  <c r="C14" i="57"/>
  <c r="D14" i="44"/>
  <c r="D22" i="44" s="1"/>
  <c r="D14" i="52"/>
  <c r="D20" i="52" s="1"/>
  <c r="D14" i="70"/>
  <c r="D19" i="70" s="1"/>
  <c r="C14" i="50"/>
  <c r="C14" i="52"/>
  <c r="C14" i="70"/>
  <c r="C14" i="46"/>
  <c r="D14" i="50"/>
  <c r="C14" i="43"/>
  <c r="C14" i="55"/>
  <c r="C14" i="71"/>
  <c r="D14" i="58"/>
  <c r="D14" i="46"/>
  <c r="C14" i="60"/>
  <c r="D14" i="67"/>
  <c r="D14" i="66"/>
  <c r="C14" i="47"/>
  <c r="C14" i="65"/>
  <c r="C14" i="44"/>
  <c r="C14" i="58"/>
  <c r="D21" i="47"/>
  <c r="D25" i="41"/>
  <c r="D20" i="57"/>
  <c r="D23" i="57"/>
  <c r="D19" i="57"/>
  <c r="D24" i="57"/>
  <c r="C14" i="67"/>
  <c r="C14" i="66"/>
  <c r="D14" i="69"/>
  <c r="D14" i="49"/>
  <c r="D14" i="48"/>
  <c r="D14" i="61"/>
  <c r="D14" i="60"/>
  <c r="D21" i="65"/>
  <c r="D24" i="65"/>
  <c r="D22" i="65"/>
  <c r="D14" i="64"/>
  <c r="D25" i="52"/>
  <c r="D22" i="52"/>
  <c r="D19" i="52"/>
  <c r="D23" i="52"/>
  <c r="D14" i="62"/>
  <c r="C14" i="69"/>
  <c r="C14" i="49"/>
  <c r="C14" i="48"/>
  <c r="C14" i="61"/>
  <c r="C14" i="64"/>
  <c r="C14" i="62"/>
  <c r="C14" i="45"/>
  <c r="D14" i="59"/>
  <c r="D14" i="68"/>
  <c r="D23" i="63"/>
  <c r="D19" i="63"/>
  <c r="D21" i="63"/>
  <c r="D40" i="44"/>
  <c r="D23" i="44"/>
  <c r="D24" i="44"/>
  <c r="D23" i="45"/>
  <c r="D22" i="45"/>
  <c r="D24" i="45"/>
  <c r="D20" i="45"/>
  <c r="D25" i="45"/>
  <c r="D18" i="45"/>
  <c r="D19" i="45"/>
  <c r="D40" i="45"/>
  <c r="D21" i="45"/>
  <c r="C14" i="40"/>
  <c r="D13" i="40"/>
  <c r="D14" i="40" s="1"/>
  <c r="C14" i="63"/>
  <c r="D18" i="51"/>
  <c r="D20" i="51"/>
  <c r="D22" i="51"/>
  <c r="D25" i="51"/>
  <c r="D24" i="51"/>
  <c r="D19" i="51"/>
  <c r="D40" i="51"/>
  <c r="D21" i="51"/>
  <c r="D23" i="51"/>
  <c r="C14" i="54"/>
  <c r="D13" i="54"/>
  <c r="D14" i="54" s="1"/>
  <c r="D14" i="43"/>
  <c r="D14" i="55"/>
  <c r="D14" i="71"/>
  <c r="C14" i="51"/>
  <c r="C14" i="59"/>
  <c r="C14" i="68"/>
  <c r="D53" i="36"/>
  <c r="D78" i="36" s="1"/>
  <c r="D13" i="36"/>
  <c r="C14" i="36"/>
  <c r="D40" i="52" l="1"/>
  <c r="D25" i="57"/>
  <c r="D18" i="53"/>
  <c r="D23" i="53"/>
  <c r="D40" i="57"/>
  <c r="D40" i="53"/>
  <c r="D21" i="53"/>
  <c r="D18" i="57"/>
  <c r="D26" i="57" s="1"/>
  <c r="D41" i="57" s="1"/>
  <c r="D43" i="57" s="1"/>
  <c r="D77" i="57" s="1"/>
  <c r="D81" i="57" s="1"/>
  <c r="D23" i="56"/>
  <c r="D19" i="56"/>
  <c r="D40" i="70"/>
  <c r="D21" i="52"/>
  <c r="D18" i="70"/>
  <c r="D18" i="52"/>
  <c r="D22" i="57"/>
  <c r="D25" i="70"/>
  <c r="D23" i="41"/>
  <c r="D19" i="41"/>
  <c r="D21" i="41"/>
  <c r="D24" i="41"/>
  <c r="D25" i="44"/>
  <c r="D24" i="52"/>
  <c r="D20" i="41"/>
  <c r="D40" i="41"/>
  <c r="D20" i="56"/>
  <c r="D18" i="41"/>
  <c r="D25" i="56"/>
  <c r="D40" i="63"/>
  <c r="D22" i="70"/>
  <c r="D20" i="53"/>
  <c r="D18" i="56"/>
  <c r="D24" i="70"/>
  <c r="D26" i="70" s="1"/>
  <c r="D41" i="70" s="1"/>
  <c r="D43" i="70" s="1"/>
  <c r="D77" i="70" s="1"/>
  <c r="D81" i="70" s="1"/>
  <c r="D23" i="70"/>
  <c r="D20" i="70"/>
  <c r="D21" i="70"/>
  <c r="D22" i="47"/>
  <c r="D21" i="56"/>
  <c r="D24" i="53"/>
  <c r="D24" i="56"/>
  <c r="D22" i="56"/>
  <c r="D23" i="47"/>
  <c r="D24" i="47"/>
  <c r="D19" i="47"/>
  <c r="D20" i="47"/>
  <c r="D19" i="53"/>
  <c r="D40" i="47"/>
  <c r="D21" i="42"/>
  <c r="D18" i="47"/>
  <c r="D22" i="53"/>
  <c r="D40" i="42"/>
  <c r="D22" i="42"/>
  <c r="D20" i="44"/>
  <c r="D22" i="63"/>
  <c r="D19" i="65"/>
  <c r="D25" i="42"/>
  <c r="D19" i="44"/>
  <c r="D25" i="63"/>
  <c r="D23" i="65"/>
  <c r="D24" i="42"/>
  <c r="D21" i="44"/>
  <c r="D20" i="63"/>
  <c r="D18" i="65"/>
  <c r="D23" i="42"/>
  <c r="D18" i="63"/>
  <c r="D20" i="65"/>
  <c r="D19" i="42"/>
  <c r="D18" i="44"/>
  <c r="D40" i="65"/>
  <c r="D20" i="42"/>
  <c r="D26" i="51"/>
  <c r="D41" i="51" s="1"/>
  <c r="D43" i="51" s="1"/>
  <c r="D77" i="51" s="1"/>
  <c r="D81" i="51" s="1"/>
  <c r="D26" i="45"/>
  <c r="D41" i="45" s="1"/>
  <c r="D43" i="45" s="1"/>
  <c r="D77" i="45" s="1"/>
  <c r="D81" i="45" s="1"/>
  <c r="D65" i="45" s="1"/>
  <c r="D22" i="68"/>
  <c r="D19" i="68"/>
  <c r="D21" i="68"/>
  <c r="D25" i="68"/>
  <c r="D24" i="68"/>
  <c r="D18" i="68"/>
  <c r="D23" i="68"/>
  <c r="D40" i="68"/>
  <c r="D20" i="68"/>
  <c r="D40" i="61"/>
  <c r="D21" i="61"/>
  <c r="D19" i="61"/>
  <c r="D25" i="61"/>
  <c r="D23" i="61"/>
  <c r="D24" i="61"/>
  <c r="D20" i="61"/>
  <c r="D22" i="61"/>
  <c r="D18" i="61"/>
  <c r="D21" i="59"/>
  <c r="D19" i="59"/>
  <c r="D25" i="59"/>
  <c r="D22" i="59"/>
  <c r="D18" i="59"/>
  <c r="D40" i="59"/>
  <c r="D24" i="59"/>
  <c r="D23" i="59"/>
  <c r="D20" i="59"/>
  <c r="D40" i="49"/>
  <c r="D19" i="49"/>
  <c r="D22" i="49"/>
  <c r="D25" i="49"/>
  <c r="D18" i="49"/>
  <c r="D21" i="49"/>
  <c r="D20" i="49"/>
  <c r="D23" i="49"/>
  <c r="D24" i="49"/>
  <c r="D18" i="46"/>
  <c r="D40" i="46"/>
  <c r="D25" i="46"/>
  <c r="D22" i="46"/>
  <c r="D24" i="46"/>
  <c r="D20" i="46"/>
  <c r="D21" i="46"/>
  <c r="D19" i="46"/>
  <c r="D23" i="46"/>
  <c r="D40" i="40"/>
  <c r="D18" i="40"/>
  <c r="D22" i="40"/>
  <c r="D21" i="40"/>
  <c r="D19" i="40"/>
  <c r="D23" i="40"/>
  <c r="D20" i="40"/>
  <c r="D25" i="40"/>
  <c r="D24" i="40"/>
  <c r="D24" i="69"/>
  <c r="D18" i="69"/>
  <c r="D19" i="69"/>
  <c r="D20" i="69"/>
  <c r="D22" i="69"/>
  <c r="D23" i="69"/>
  <c r="D21" i="69"/>
  <c r="D40" i="69"/>
  <c r="D25" i="69"/>
  <c r="D19" i="58"/>
  <c r="D23" i="58"/>
  <c r="D25" i="58"/>
  <c r="D20" i="58"/>
  <c r="D21" i="58"/>
  <c r="D18" i="58"/>
  <c r="D22" i="58"/>
  <c r="D40" i="58"/>
  <c r="D24" i="58"/>
  <c r="D40" i="62"/>
  <c r="D21" i="62"/>
  <c r="D22" i="62"/>
  <c r="D19" i="62"/>
  <c r="D23" i="62"/>
  <c r="D24" i="62"/>
  <c r="D20" i="62"/>
  <c r="D25" i="62"/>
  <c r="D18" i="62"/>
  <c r="D20" i="71"/>
  <c r="D25" i="71"/>
  <c r="D19" i="71"/>
  <c r="D21" i="71"/>
  <c r="D18" i="71"/>
  <c r="D40" i="71"/>
  <c r="D23" i="71"/>
  <c r="D22" i="71"/>
  <c r="D24" i="71"/>
  <c r="D21" i="64"/>
  <c r="D18" i="64"/>
  <c r="D23" i="64"/>
  <c r="D40" i="64"/>
  <c r="D22" i="64"/>
  <c r="D19" i="64"/>
  <c r="D25" i="64"/>
  <c r="D24" i="64"/>
  <c r="D20" i="64"/>
  <c r="D21" i="48"/>
  <c r="D19" i="48"/>
  <c r="D18" i="48"/>
  <c r="D20" i="48"/>
  <c r="D40" i="48"/>
  <c r="D22" i="48"/>
  <c r="D23" i="48"/>
  <c r="D25" i="48"/>
  <c r="D24" i="48"/>
  <c r="D19" i="55"/>
  <c r="D20" i="55"/>
  <c r="D21" i="55"/>
  <c r="D40" i="55"/>
  <c r="D22" i="55"/>
  <c r="D24" i="55"/>
  <c r="D25" i="55"/>
  <c r="D18" i="55"/>
  <c r="D23" i="55"/>
  <c r="D25" i="43"/>
  <c r="D24" i="43"/>
  <c r="D21" i="43"/>
  <c r="D19" i="43"/>
  <c r="D20" i="43"/>
  <c r="D22" i="43"/>
  <c r="D23" i="43"/>
  <c r="D40" i="43"/>
  <c r="D18" i="43"/>
  <c r="D25" i="60"/>
  <c r="D24" i="60"/>
  <c r="D18" i="60"/>
  <c r="D20" i="60"/>
  <c r="D40" i="60"/>
  <c r="D22" i="60"/>
  <c r="D23" i="60"/>
  <c r="D19" i="60"/>
  <c r="D21" i="60"/>
  <c r="D24" i="66"/>
  <c r="D40" i="66"/>
  <c r="D25" i="66"/>
  <c r="D19" i="66"/>
  <c r="D21" i="66"/>
  <c r="D22" i="66"/>
  <c r="D18" i="66"/>
  <c r="D20" i="66"/>
  <c r="D23" i="66"/>
  <c r="D19" i="54"/>
  <c r="D18" i="54"/>
  <c r="D21" i="54"/>
  <c r="D40" i="54"/>
  <c r="D25" i="54"/>
  <c r="D24" i="54"/>
  <c r="D20" i="54"/>
  <c r="D23" i="54"/>
  <c r="D22" i="54"/>
  <c r="D40" i="67"/>
  <c r="D23" i="67"/>
  <c r="D25" i="67"/>
  <c r="D18" i="67"/>
  <c r="D21" i="67"/>
  <c r="D22" i="67"/>
  <c r="D24" i="67"/>
  <c r="D19" i="67"/>
  <c r="D20" i="67"/>
  <c r="D22" i="50"/>
  <c r="D20" i="50"/>
  <c r="D23" i="50"/>
  <c r="D21" i="50"/>
  <c r="D25" i="50"/>
  <c r="D24" i="50"/>
  <c r="D18" i="50"/>
  <c r="D40" i="50"/>
  <c r="D19" i="50"/>
  <c r="D14" i="36"/>
  <c r="D18" i="36" s="1"/>
  <c r="D26" i="56" l="1"/>
  <c r="D41" i="56" s="1"/>
  <c r="D43" i="56" s="1"/>
  <c r="D77" i="56" s="1"/>
  <c r="D81" i="56" s="1"/>
  <c r="D65" i="56" s="1"/>
  <c r="D26" i="52"/>
  <c r="D41" i="52" s="1"/>
  <c r="D43" i="52" s="1"/>
  <c r="D77" i="52" s="1"/>
  <c r="D81" i="52" s="1"/>
  <c r="D65" i="52" s="1"/>
  <c r="D26" i="41"/>
  <c r="D41" i="41" s="1"/>
  <c r="D43" i="41" s="1"/>
  <c r="D77" i="41" s="1"/>
  <c r="D81" i="41" s="1"/>
  <c r="D65" i="41" s="1"/>
  <c r="D26" i="53"/>
  <c r="D41" i="53" s="1"/>
  <c r="D43" i="53" s="1"/>
  <c r="D77" i="53" s="1"/>
  <c r="D81" i="53" s="1"/>
  <c r="D65" i="53" s="1"/>
  <c r="D26" i="63"/>
  <c r="D41" i="63" s="1"/>
  <c r="D43" i="63" s="1"/>
  <c r="D77" i="63" s="1"/>
  <c r="D81" i="63" s="1"/>
  <c r="D26" i="47"/>
  <c r="D41" i="47" s="1"/>
  <c r="D26" i="44"/>
  <c r="D41" i="44" s="1"/>
  <c r="D43" i="44" s="1"/>
  <c r="D77" i="44" s="1"/>
  <c r="D81" i="44" s="1"/>
  <c r="D65" i="44" s="1"/>
  <c r="D66" i="44" s="1"/>
  <c r="D67" i="44" s="1"/>
  <c r="D72" i="44" s="1"/>
  <c r="D82" i="44" s="1"/>
  <c r="D83" i="44" s="1"/>
  <c r="D43" i="47"/>
  <c r="D77" i="47" s="1"/>
  <c r="D81" i="47" s="1"/>
  <c r="D65" i="47" s="1"/>
  <c r="D26" i="42"/>
  <c r="D41" i="42" s="1"/>
  <c r="D43" i="42" s="1"/>
  <c r="D77" i="42" s="1"/>
  <c r="D81" i="42" s="1"/>
  <c r="D65" i="42" s="1"/>
  <c r="D26" i="65"/>
  <c r="D41" i="65" s="1"/>
  <c r="D43" i="65" s="1"/>
  <c r="D77" i="65" s="1"/>
  <c r="D81" i="65" s="1"/>
  <c r="D65" i="65" s="1"/>
  <c r="D66" i="65" s="1"/>
  <c r="D26" i="68"/>
  <c r="D41" i="68" s="1"/>
  <c r="D43" i="68" s="1"/>
  <c r="D77" i="68" s="1"/>
  <c r="D81" i="68" s="1"/>
  <c r="D65" i="68" s="1"/>
  <c r="D26" i="48"/>
  <c r="D41" i="48" s="1"/>
  <c r="D43" i="48" s="1"/>
  <c r="D77" i="48" s="1"/>
  <c r="D81" i="48" s="1"/>
  <c r="D65" i="48" s="1"/>
  <c r="D26" i="62"/>
  <c r="D41" i="62" s="1"/>
  <c r="D43" i="62" s="1"/>
  <c r="D77" i="62" s="1"/>
  <c r="D81" i="62" s="1"/>
  <c r="D65" i="62" s="1"/>
  <c r="D65" i="63"/>
  <c r="D66" i="63"/>
  <c r="D66" i="42"/>
  <c r="D67" i="42" s="1"/>
  <c r="D72" i="42" s="1"/>
  <c r="D82" i="42" s="1"/>
  <c r="D83" i="42" s="1"/>
  <c r="D26" i="54"/>
  <c r="D41" i="54" s="1"/>
  <c r="D43" i="54" s="1"/>
  <c r="D77" i="54" s="1"/>
  <c r="D81" i="54" s="1"/>
  <c r="D26" i="43"/>
  <c r="D41" i="43" s="1"/>
  <c r="D43" i="43" s="1"/>
  <c r="D77" i="43" s="1"/>
  <c r="D81" i="43" s="1"/>
  <c r="D65" i="43" s="1"/>
  <c r="D26" i="46"/>
  <c r="D41" i="46" s="1"/>
  <c r="D43" i="46" s="1"/>
  <c r="D77" i="46" s="1"/>
  <c r="D81" i="46" s="1"/>
  <c r="D65" i="46" s="1"/>
  <c r="D26" i="69"/>
  <c r="D41" i="69" s="1"/>
  <c r="D43" i="69" s="1"/>
  <c r="D77" i="69" s="1"/>
  <c r="D81" i="69" s="1"/>
  <c r="D65" i="57"/>
  <c r="D66" i="57" s="1"/>
  <c r="D67" i="57" s="1"/>
  <c r="D26" i="71"/>
  <c r="D41" i="71" s="1"/>
  <c r="D43" i="71" s="1"/>
  <c r="D77" i="71" s="1"/>
  <c r="D81" i="71" s="1"/>
  <c r="D26" i="40"/>
  <c r="D41" i="40" s="1"/>
  <c r="D43" i="40" s="1"/>
  <c r="D77" i="40" s="1"/>
  <c r="D81" i="40" s="1"/>
  <c r="D65" i="40" s="1"/>
  <c r="D26" i="49"/>
  <c r="D41" i="49" s="1"/>
  <c r="D43" i="49" s="1"/>
  <c r="D77" i="49" s="1"/>
  <c r="D81" i="49" s="1"/>
  <c r="D65" i="49" s="1"/>
  <c r="D26" i="67"/>
  <c r="D41" i="67" s="1"/>
  <c r="D43" i="67" s="1"/>
  <c r="D77" i="67" s="1"/>
  <c r="D81" i="67" s="1"/>
  <c r="D26" i="60"/>
  <c r="D41" i="60" s="1"/>
  <c r="D43" i="60" s="1"/>
  <c r="D77" i="60" s="1"/>
  <c r="D81" i="60" s="1"/>
  <c r="D65" i="60" s="1"/>
  <c r="D66" i="52"/>
  <c r="D67" i="52" s="1"/>
  <c r="D72" i="52" s="1"/>
  <c r="D82" i="52" s="1"/>
  <c r="D83" i="52" s="1"/>
  <c r="D26" i="61"/>
  <c r="D41" i="61" s="1"/>
  <c r="D43" i="61" s="1"/>
  <c r="D77" i="61" s="1"/>
  <c r="D81" i="61" s="1"/>
  <c r="D65" i="61" s="1"/>
  <c r="D66" i="56"/>
  <c r="D67" i="56" s="1"/>
  <c r="D72" i="56" s="1"/>
  <c r="D82" i="56" s="1"/>
  <c r="D83" i="56" s="1"/>
  <c r="D26" i="64"/>
  <c r="D41" i="64" s="1"/>
  <c r="D43" i="64" s="1"/>
  <c r="D77" i="64" s="1"/>
  <c r="D81" i="64" s="1"/>
  <c r="D26" i="58"/>
  <c r="D41" i="58" s="1"/>
  <c r="D43" i="58" s="1"/>
  <c r="D77" i="58" s="1"/>
  <c r="D81" i="58" s="1"/>
  <c r="D65" i="58" s="1"/>
  <c r="D65" i="51"/>
  <c r="D66" i="51" s="1"/>
  <c r="D67" i="51" s="1"/>
  <c r="D72" i="51" s="1"/>
  <c r="D82" i="51" s="1"/>
  <c r="D83" i="51" s="1"/>
  <c r="D26" i="59"/>
  <c r="D41" i="59" s="1"/>
  <c r="D43" i="59" s="1"/>
  <c r="D77" i="59" s="1"/>
  <c r="D81" i="59" s="1"/>
  <c r="D65" i="59" s="1"/>
  <c r="D26" i="55"/>
  <c r="D41" i="55" s="1"/>
  <c r="D43" i="55" s="1"/>
  <c r="D77" i="55" s="1"/>
  <c r="D81" i="55" s="1"/>
  <c r="D65" i="70"/>
  <c r="D66" i="70" s="1"/>
  <c r="D67" i="70" s="1"/>
  <c r="D26" i="50"/>
  <c r="D41" i="50" s="1"/>
  <c r="D43" i="50" s="1"/>
  <c r="D77" i="50" s="1"/>
  <c r="D81" i="50" s="1"/>
  <c r="D26" i="66"/>
  <c r="D41" i="66" s="1"/>
  <c r="D43" i="66" s="1"/>
  <c r="D77" i="66" s="1"/>
  <c r="D81" i="66" s="1"/>
  <c r="D66" i="45"/>
  <c r="D67" i="45" s="1"/>
  <c r="D72" i="45" s="1"/>
  <c r="D82" i="45" s="1"/>
  <c r="D83" i="45" s="1"/>
  <c r="D40" i="36"/>
  <c r="D19" i="36"/>
  <c r="D23" i="36"/>
  <c r="D20" i="36"/>
  <c r="D25" i="36"/>
  <c r="D24" i="36"/>
  <c r="D21" i="36"/>
  <c r="D22" i="36"/>
  <c r="D66" i="53" l="1"/>
  <c r="D67" i="53" s="1"/>
  <c r="D72" i="53" s="1"/>
  <c r="D82" i="53" s="1"/>
  <c r="D83" i="53" s="1"/>
  <c r="D69" i="53" s="1"/>
  <c r="D66" i="47"/>
  <c r="D67" i="47" s="1"/>
  <c r="D72" i="47" s="1"/>
  <c r="D82" i="47" s="1"/>
  <c r="D83" i="47" s="1"/>
  <c r="D66" i="48"/>
  <c r="D67" i="48" s="1"/>
  <c r="D72" i="48" s="1"/>
  <c r="D82" i="48" s="1"/>
  <c r="D83" i="48" s="1"/>
  <c r="D70" i="48" s="1"/>
  <c r="D66" i="62"/>
  <c r="D67" i="62" s="1"/>
  <c r="D72" i="62" s="1"/>
  <c r="D82" i="62" s="1"/>
  <c r="D83" i="62" s="1"/>
  <c r="D84" i="62" s="1"/>
  <c r="E26" i="35" s="1"/>
  <c r="D66" i="68"/>
  <c r="D67" i="68" s="1"/>
  <c r="D72" i="68" s="1"/>
  <c r="D82" i="68" s="1"/>
  <c r="D83" i="68" s="1"/>
  <c r="D68" i="68" s="1"/>
  <c r="D67" i="65"/>
  <c r="D72" i="65" s="1"/>
  <c r="D82" i="65" s="1"/>
  <c r="D83" i="65" s="1"/>
  <c r="D65" i="64"/>
  <c r="D66" i="64" s="1"/>
  <c r="D67" i="64" s="1"/>
  <c r="D70" i="56"/>
  <c r="D68" i="56"/>
  <c r="D84" i="56"/>
  <c r="E20" i="35" s="1"/>
  <c r="D71" i="56"/>
  <c r="D69" i="56"/>
  <c r="D71" i="47"/>
  <c r="D69" i="47"/>
  <c r="D70" i="47"/>
  <c r="D84" i="47"/>
  <c r="E11" i="35" s="1"/>
  <c r="D68" i="47"/>
  <c r="D66" i="61"/>
  <c r="D67" i="61" s="1"/>
  <c r="D72" i="61" s="1"/>
  <c r="D82" i="61" s="1"/>
  <c r="D83" i="61" s="1"/>
  <c r="D66" i="59"/>
  <c r="D67" i="59" s="1"/>
  <c r="D72" i="59" s="1"/>
  <c r="D82" i="59" s="1"/>
  <c r="D83" i="59" s="1"/>
  <c r="D66" i="40"/>
  <c r="D67" i="40" s="1"/>
  <c r="D72" i="40" s="1"/>
  <c r="D82" i="40" s="1"/>
  <c r="D83" i="40" s="1"/>
  <c r="D68" i="45"/>
  <c r="D70" i="45"/>
  <c r="D71" i="45"/>
  <c r="D84" i="45"/>
  <c r="E9" i="35" s="1"/>
  <c r="D69" i="45"/>
  <c r="D66" i="49"/>
  <c r="D67" i="49" s="1"/>
  <c r="D72" i="49" s="1"/>
  <c r="D82" i="49" s="1"/>
  <c r="D83" i="49" s="1"/>
  <c r="D66" i="58"/>
  <c r="D67" i="58" s="1"/>
  <c r="D72" i="58" s="1"/>
  <c r="D82" i="58" s="1"/>
  <c r="D83" i="58" s="1"/>
  <c r="D65" i="50"/>
  <c r="D66" i="50" s="1"/>
  <c r="D68" i="52"/>
  <c r="D70" i="52"/>
  <c r="D84" i="52"/>
  <c r="E16" i="35" s="1"/>
  <c r="D69" i="52"/>
  <c r="D71" i="52"/>
  <c r="D65" i="71"/>
  <c r="D66" i="71" s="1"/>
  <c r="D67" i="71" s="1"/>
  <c r="D67" i="63"/>
  <c r="D72" i="63" s="1"/>
  <c r="D82" i="63" s="1"/>
  <c r="D83" i="63" s="1"/>
  <c r="D66" i="60"/>
  <c r="D67" i="60" s="1"/>
  <c r="D72" i="60" s="1"/>
  <c r="D82" i="60" s="1"/>
  <c r="D83" i="60" s="1"/>
  <c r="D65" i="66"/>
  <c r="D66" i="66" s="1"/>
  <c r="D67" i="66" s="1"/>
  <c r="D65" i="69"/>
  <c r="D66" i="69" s="1"/>
  <c r="D67" i="69" s="1"/>
  <c r="D72" i="70"/>
  <c r="D82" i="70" s="1"/>
  <c r="D83" i="70" s="1"/>
  <c r="D66" i="46"/>
  <c r="D67" i="46" s="1"/>
  <c r="D72" i="46" s="1"/>
  <c r="D82" i="46" s="1"/>
  <c r="D83" i="46" s="1"/>
  <c r="D84" i="51"/>
  <c r="E15" i="35" s="1"/>
  <c r="D69" i="51"/>
  <c r="D68" i="51"/>
  <c r="D70" i="51"/>
  <c r="D71" i="51"/>
  <c r="D84" i="42"/>
  <c r="E6" i="35" s="1"/>
  <c r="D68" i="42"/>
  <c r="D69" i="42"/>
  <c r="D70" i="42"/>
  <c r="D71" i="42"/>
  <c r="D68" i="62"/>
  <c r="D70" i="62"/>
  <c r="D71" i="62"/>
  <c r="D69" i="62"/>
  <c r="D70" i="53"/>
  <c r="D71" i="53"/>
  <c r="D69" i="44"/>
  <c r="D68" i="44"/>
  <c r="D84" i="44"/>
  <c r="E8" i="35" s="1"/>
  <c r="D71" i="44"/>
  <c r="D70" i="44"/>
  <c r="D65" i="55"/>
  <c r="D66" i="55" s="1"/>
  <c r="D67" i="55" s="1"/>
  <c r="D65" i="67"/>
  <c r="D66" i="67" s="1"/>
  <c r="D67" i="67" s="1"/>
  <c r="D72" i="57"/>
  <c r="D82" i="57" s="1"/>
  <c r="D83" i="57" s="1"/>
  <c r="D66" i="43"/>
  <c r="D67" i="43" s="1"/>
  <c r="D72" i="43" s="1"/>
  <c r="D82" i="43" s="1"/>
  <c r="D83" i="43" s="1"/>
  <c r="D66" i="41"/>
  <c r="D67" i="41" s="1"/>
  <c r="D65" i="54"/>
  <c r="D66" i="54" s="1"/>
  <c r="D26" i="36"/>
  <c r="D41" i="36" s="1"/>
  <c r="D43" i="36" s="1"/>
  <c r="D77" i="36" s="1"/>
  <c r="D81" i="36" s="1"/>
  <c r="D68" i="53" l="1"/>
  <c r="D84" i="53"/>
  <c r="E17" i="35" s="1"/>
  <c r="D68" i="48"/>
  <c r="D71" i="48"/>
  <c r="D84" i="48"/>
  <c r="E12" i="35" s="1"/>
  <c r="D69" i="48"/>
  <c r="D84" i="68"/>
  <c r="E32" i="35" s="1"/>
  <c r="D69" i="68"/>
  <c r="D70" i="68"/>
  <c r="D71" i="68"/>
  <c r="D70" i="65"/>
  <c r="D71" i="65"/>
  <c r="D84" i="65"/>
  <c r="E29" i="35" s="1"/>
  <c r="D69" i="65"/>
  <c r="D68" i="65"/>
  <c r="D71" i="58"/>
  <c r="D69" i="58"/>
  <c r="D68" i="58"/>
  <c r="D70" i="58"/>
  <c r="D84" i="58"/>
  <c r="E22" i="35" s="1"/>
  <c r="D71" i="46"/>
  <c r="D69" i="46"/>
  <c r="D84" i="46"/>
  <c r="E10" i="35" s="1"/>
  <c r="D68" i="46"/>
  <c r="D70" i="46"/>
  <c r="D68" i="43"/>
  <c r="D69" i="43"/>
  <c r="D71" i="43"/>
  <c r="D70" i="43"/>
  <c r="D84" i="43"/>
  <c r="E7" i="35" s="1"/>
  <c r="D72" i="67"/>
  <c r="D82" i="67" s="1"/>
  <c r="D83" i="67" s="1"/>
  <c r="D72" i="69"/>
  <c r="D82" i="69" s="1"/>
  <c r="D83" i="69" s="1"/>
  <c r="D72" i="41"/>
  <c r="D82" i="41" s="1"/>
  <c r="D83" i="41" s="1"/>
  <c r="D70" i="59"/>
  <c r="D69" i="59"/>
  <c r="D84" i="59"/>
  <c r="E23" i="35" s="1"/>
  <c r="D68" i="59"/>
  <c r="D71" i="59"/>
  <c r="D69" i="63"/>
  <c r="D84" i="63"/>
  <c r="E27" i="35" s="1"/>
  <c r="D68" i="63"/>
  <c r="D70" i="63"/>
  <c r="D71" i="63"/>
  <c r="D70" i="40"/>
  <c r="D68" i="40"/>
  <c r="D84" i="40"/>
  <c r="E4" i="35" s="1"/>
  <c r="D69" i="40"/>
  <c r="D71" i="40"/>
  <c r="D72" i="66"/>
  <c r="D82" i="66" s="1"/>
  <c r="D83" i="66" s="1"/>
  <c r="D71" i="61"/>
  <c r="D68" i="61"/>
  <c r="D70" i="61"/>
  <c r="D69" i="61"/>
  <c r="D84" i="61"/>
  <c r="E25" i="35" s="1"/>
  <c r="D68" i="49"/>
  <c r="D70" i="49"/>
  <c r="D69" i="49"/>
  <c r="D84" i="49"/>
  <c r="E13" i="35" s="1"/>
  <c r="D71" i="49"/>
  <c r="D71" i="60"/>
  <c r="D70" i="60"/>
  <c r="D69" i="60"/>
  <c r="D84" i="60"/>
  <c r="E24" i="35" s="1"/>
  <c r="D68" i="60"/>
  <c r="D67" i="50"/>
  <c r="D72" i="50" s="1"/>
  <c r="D82" i="50" s="1"/>
  <c r="D83" i="50" s="1"/>
  <c r="D68" i="57"/>
  <c r="D69" i="57"/>
  <c r="D84" i="57"/>
  <c r="E21" i="35" s="1"/>
  <c r="D70" i="57"/>
  <c r="D71" i="57"/>
  <c r="D69" i="70"/>
  <c r="D84" i="70"/>
  <c r="E34" i="35" s="1"/>
  <c r="D68" i="70"/>
  <c r="D70" i="70"/>
  <c r="D71" i="70"/>
  <c r="D67" i="54"/>
  <c r="D72" i="54" s="1"/>
  <c r="D82" i="54" s="1"/>
  <c r="D83" i="54" s="1"/>
  <c r="D72" i="55"/>
  <c r="D82" i="55" s="1"/>
  <c r="D83" i="55" s="1"/>
  <c r="D72" i="71"/>
  <c r="D82" i="71" s="1"/>
  <c r="D83" i="71" s="1"/>
  <c r="D72" i="64"/>
  <c r="D82" i="64" s="1"/>
  <c r="D83" i="64" s="1"/>
  <c r="D65" i="36"/>
  <c r="D66" i="36" s="1"/>
  <c r="D84" i="64" l="1"/>
  <c r="E28" i="35" s="1"/>
  <c r="D69" i="64"/>
  <c r="D70" i="64"/>
  <c r="D71" i="64"/>
  <c r="D68" i="64"/>
  <c r="D84" i="67"/>
  <c r="E31" i="35" s="1"/>
  <c r="D68" i="67"/>
  <c r="D69" i="67"/>
  <c r="D70" i="67"/>
  <c r="D71" i="67"/>
  <c r="D68" i="71"/>
  <c r="D84" i="71"/>
  <c r="E35" i="35" s="1"/>
  <c r="D71" i="71"/>
  <c r="D69" i="71"/>
  <c r="D70" i="71"/>
  <c r="D70" i="55"/>
  <c r="D68" i="55"/>
  <c r="D69" i="55"/>
  <c r="D84" i="55"/>
  <c r="E19" i="35" s="1"/>
  <c r="D71" i="55"/>
  <c r="D84" i="54"/>
  <c r="E18" i="35" s="1"/>
  <c r="D71" i="54"/>
  <c r="D68" i="54"/>
  <c r="D70" i="54"/>
  <c r="D69" i="54"/>
  <c r="D84" i="50"/>
  <c r="E14" i="35" s="1"/>
  <c r="D68" i="50"/>
  <c r="D69" i="50"/>
  <c r="D70" i="50"/>
  <c r="D71" i="50"/>
  <c r="D69" i="66"/>
  <c r="D71" i="66"/>
  <c r="D70" i="66"/>
  <c r="D68" i="66"/>
  <c r="D84" i="66"/>
  <c r="E30" i="35" s="1"/>
  <c r="D84" i="41"/>
  <c r="E5" i="35" s="1"/>
  <c r="D70" i="41"/>
  <c r="D68" i="41"/>
  <c r="D69" i="41"/>
  <c r="D71" i="41"/>
  <c r="D84" i="69"/>
  <c r="E33" i="35" s="1"/>
  <c r="D71" i="69"/>
  <c r="D70" i="69"/>
  <c r="D68" i="69"/>
  <c r="D69" i="69"/>
  <c r="D67" i="36"/>
  <c r="D72" i="36" s="1"/>
  <c r="D82" i="36" l="1"/>
  <c r="D83" i="36" s="1"/>
  <c r="D84" i="36" s="1"/>
  <c r="E3" i="35" l="1"/>
  <c r="D70" i="36"/>
  <c r="D71" i="36"/>
  <c r="D68" i="36"/>
  <c r="D69" i="3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<sst xmlns="http://schemas.openxmlformats.org/spreadsheetml/2006/main" count="4197" uniqueCount="208">
  <si>
    <t>%</t>
  </si>
  <si>
    <t>Valor (R$)</t>
  </si>
  <si>
    <t>A</t>
  </si>
  <si>
    <t>B</t>
  </si>
  <si>
    <t>C</t>
  </si>
  <si>
    <t>D</t>
  </si>
  <si>
    <t>E</t>
  </si>
  <si>
    <t>F</t>
  </si>
  <si>
    <t>G</t>
  </si>
  <si>
    <t>2.1</t>
  </si>
  <si>
    <t>2.2</t>
  </si>
  <si>
    <t xml:space="preserve">Salário Educação </t>
  </si>
  <si>
    <t>SAT (Seguro Acidente de Trabalho)</t>
  </si>
  <si>
    <t>SESC ou SESI</t>
  </si>
  <si>
    <t xml:space="preserve">SENAI - SENAC </t>
  </si>
  <si>
    <t xml:space="preserve">SEBRAE </t>
  </si>
  <si>
    <t xml:space="preserve">INCRA </t>
  </si>
  <si>
    <t>H</t>
  </si>
  <si>
    <t xml:space="preserve">FGTS </t>
  </si>
  <si>
    <t>2.3</t>
  </si>
  <si>
    <t>Desconto legal sobre transporte</t>
  </si>
  <si>
    <t>Valor do Vale Transporte</t>
  </si>
  <si>
    <t>Aviso Prévio Indenizado</t>
  </si>
  <si>
    <t>C.1</t>
  </si>
  <si>
    <t>PIS</t>
  </si>
  <si>
    <t>C.2</t>
  </si>
  <si>
    <t>COFINS</t>
  </si>
  <si>
    <t>C.3</t>
  </si>
  <si>
    <t>ISS</t>
  </si>
  <si>
    <t>C.4</t>
  </si>
  <si>
    <t>COD PERFIL</t>
  </si>
  <si>
    <t>PERFIL</t>
  </si>
  <si>
    <t>ARQSOF-01</t>
  </si>
  <si>
    <t>Arquiteto de Software - Pleno</t>
  </si>
  <si>
    <t>ARQSOF-02</t>
  </si>
  <si>
    <t>Arquiteto de Software - Sênior</t>
  </si>
  <si>
    <t>ATQ-01</t>
  </si>
  <si>
    <t>Analista de Testes/Qualidade - Júnior</t>
  </si>
  <si>
    <t>ATQ-02</t>
  </si>
  <si>
    <t>Analista de Testes/Qualidade - Pleno</t>
  </si>
  <si>
    <t>ATQ-03</t>
  </si>
  <si>
    <t>Analista de Testes/Qualidade - Sênior</t>
  </si>
  <si>
    <t>DESENV-01</t>
  </si>
  <si>
    <t>Desenvolvedor de Software - Júnior</t>
  </si>
  <si>
    <t>DESENV-02</t>
  </si>
  <si>
    <t>Desenvolvedor de Software - Pleno</t>
  </si>
  <si>
    <t>DESENV-03</t>
  </si>
  <si>
    <t>Desenvolvedor de Software - Sênior</t>
  </si>
  <si>
    <t>ANR-01</t>
  </si>
  <si>
    <t>Analista de Negócios/Requisitos Júnior</t>
  </si>
  <si>
    <t>ANR-02</t>
  </si>
  <si>
    <t>Analista de Negócios/Requisitos Pleno</t>
  </si>
  <si>
    <t>ANR-03</t>
  </si>
  <si>
    <t>Analista de Negócios/Requisitos Sênior</t>
  </si>
  <si>
    <t>ABI-01</t>
  </si>
  <si>
    <t>Analista de BI Júnior</t>
  </si>
  <si>
    <t>ABI-02</t>
  </si>
  <si>
    <t>Analista de BI Pleno</t>
  </si>
  <si>
    <t>ABI-03</t>
  </si>
  <si>
    <t>Analista de BI Sênior</t>
  </si>
  <si>
    <t>ADADOS-02</t>
  </si>
  <si>
    <t>Administrador de Dados Pleno</t>
  </si>
  <si>
    <t>ADADOS-03</t>
  </si>
  <si>
    <t>Administrador de Dados Sênior</t>
  </si>
  <si>
    <t>LDESENV</t>
  </si>
  <si>
    <t>Líder Técnico de Desenvolvimento</t>
  </si>
  <si>
    <t>SCRUM</t>
  </si>
  <si>
    <t>Scrum Master</t>
  </si>
  <si>
    <t>GERPRO</t>
  </si>
  <si>
    <t>Gerente de projetos de tecnologia da informação</t>
  </si>
  <si>
    <t>AUX/UI-01</t>
  </si>
  <si>
    <t>Analista de UX/UI Pleno</t>
  </si>
  <si>
    <t>AUX/UI-02</t>
  </si>
  <si>
    <t>Analista de UX/UI Sênior</t>
  </si>
  <si>
    <t>Cientista de Dados Júnior</t>
  </si>
  <si>
    <t>Cientista de Dados Pleno</t>
  </si>
  <si>
    <t>Cientista de Dados Sênior</t>
  </si>
  <si>
    <t>Arquiteto de Dados Júnior</t>
  </si>
  <si>
    <t>Arquiteto de Dados Pleno</t>
  </si>
  <si>
    <t>Arquiteto de Dados Sênior</t>
  </si>
  <si>
    <t>IA-ENG-01</t>
  </si>
  <si>
    <t>Engenharia de IA Júnior</t>
  </si>
  <si>
    <t>IA-ENG-02</t>
  </si>
  <si>
    <t>Engenharia de IA Pleno</t>
  </si>
  <si>
    <t>IA-ENG-03</t>
  </si>
  <si>
    <t>Engenharia de IA Sênior</t>
  </si>
  <si>
    <t>METRICA-01</t>
  </si>
  <si>
    <t>Analista de Métricas - Júnior</t>
  </si>
  <si>
    <t>METRICA-02</t>
  </si>
  <si>
    <t>Analista de Métricas - Pleno</t>
  </si>
  <si>
    <t>METRICA-03</t>
  </si>
  <si>
    <t>Analista de Métricas - Sênior</t>
  </si>
  <si>
    <t>Salário</t>
  </si>
  <si>
    <t>Composição de custos</t>
  </si>
  <si>
    <t>MÓDULO 1 - COMPOSIÇÃO DA REMUNERAÇÃO</t>
  </si>
  <si>
    <t>Total da remuneração</t>
  </si>
  <si>
    <t>MÓDULO 2 - ENCARGOS E BENEFÍCIOS</t>
  </si>
  <si>
    <t>Total do 13º salário e adicional de férias</t>
  </si>
  <si>
    <t>Submódulo 2 - Encargos Previdenciários, FGTS e outras contribuições</t>
  </si>
  <si>
    <t>Total dos encargos previdenciários, FGTS e outras contribuições</t>
  </si>
  <si>
    <t>Submódulo 3 -  Benefícios Mensais e Diários</t>
  </si>
  <si>
    <t>Total de benefícios mensais e diários</t>
  </si>
  <si>
    <t>Total dos Encargos e Benefícios</t>
  </si>
  <si>
    <t>MÓDULO 3 - PROVISÃO PARA RESCISÃO</t>
  </si>
  <si>
    <t>Total da provisão para rescisão</t>
  </si>
  <si>
    <t>MÓDULO 4 - CUSTO DE REPOSIÇÃO DO PROFISSIONAL AUSENTE</t>
  </si>
  <si>
    <t>Total do custo de reposição do profissional ausente</t>
  </si>
  <si>
    <t>MÓDULO 5 - INSUMOS DIVERSOS</t>
  </si>
  <si>
    <t>Total Insumos Diversos</t>
  </si>
  <si>
    <t>MÓDULO 6 - CUSTOS INDIRETOS, LUCRO E TRIBUTOS</t>
  </si>
  <si>
    <t>Total dos custos indiretos e tributos</t>
  </si>
  <si>
    <t xml:space="preserve">QUADR-RESUMO DA COMPOSIÇÃO DE CUSTOS </t>
  </si>
  <si>
    <t>Mão-de-obra vinculada à execução contratual (valor por profissional)</t>
  </si>
  <si>
    <t>Subtotal (A+B+C+D)</t>
  </si>
  <si>
    <t>Valor mensal por profissional</t>
  </si>
  <si>
    <t>Itens de Custos (Descrição)</t>
  </si>
  <si>
    <t>Salário Base</t>
  </si>
  <si>
    <t>13º Salário</t>
  </si>
  <si>
    <t>INSS</t>
  </si>
  <si>
    <t>Vale-transporte</t>
  </si>
  <si>
    <t>Auxílio-alimentação</t>
  </si>
  <si>
    <t>QUADRO RESUMO - ENCARGOS E BENEFÍCIOS</t>
  </si>
  <si>
    <t>Submódulo 2.1 - 13º Salário, Férias (custo não renovável) e Adicional de Férias</t>
  </si>
  <si>
    <t>Submódulo 2.2 - Encargos Previdenciários, FGTS e outras contribuições</t>
  </si>
  <si>
    <t>Submódulo 2.3 -  Benefícios Mensais e Diários</t>
  </si>
  <si>
    <t>Incidência do FGTS sobre o Aviso Prévio Indenizado</t>
  </si>
  <si>
    <t>Multa do FGTS sobre o Aviso Prévio Indenizado</t>
  </si>
  <si>
    <t>Aviso Prévio Trabalhado</t>
  </si>
  <si>
    <t>Incidência do submódulo 2.2 sobre o Aviso Prévio Trabalhado</t>
  </si>
  <si>
    <t>Multa do FGTS sobre o Aviso Prévio Trabalhado</t>
  </si>
  <si>
    <t>Custos Indiretos (Despesas Operacionais e Administrativas)</t>
  </si>
  <si>
    <t>Lucro</t>
  </si>
  <si>
    <t>Tributos</t>
  </si>
  <si>
    <t>Módulo 1 - Composição Remuneração</t>
  </si>
  <si>
    <t>Módulo 2 - Encargos e Benefícios</t>
  </si>
  <si>
    <t>Módulo 3 - Provisão para Rescisão</t>
  </si>
  <si>
    <t>Módulo 4 - Custo de Reposição do Profissional Ausente</t>
  </si>
  <si>
    <t xml:space="preserve">Módulo 5 - Insumos Diversos </t>
  </si>
  <si>
    <t>Módulo 6 - Custos Indiretos, Tributos e Lucro</t>
  </si>
  <si>
    <t>Memória de cálculo</t>
  </si>
  <si>
    <t>Fundamento</t>
  </si>
  <si>
    <t>((1/12) x 100) ≅ 8,33%</t>
  </si>
  <si>
    <t>Art. 7º, VIII, CF/88. Decreto n. 57.155, de 3/11/1965</t>
  </si>
  <si>
    <t xml:space="preserve">Art. 7º, XVII, CF/88; </t>
  </si>
  <si>
    <t>Anexo II da IN RFB n. 971/09; art. 30 da Lei n° 8.036/90; art. 1°da Lei n° 8.154/90; art. 240 da Constituição Federal.</t>
  </si>
  <si>
    <t>Anexo II da IN RFB n. 971/09; Decreto n.º 2.318/86</t>
  </si>
  <si>
    <t>Anexo II da IN RFB n. 971/09; Lei n.º 7.787/89; DL n.º 1.146/70; Lei Complementar nº 11/71.</t>
  </si>
  <si>
    <t>Anexo II da IN RFB n. 971/09; art. 3°, inciso I do Decreto n° 87.043/1982; art. 15 – Lei nº 9.424/96; art. 1º § 1º - Decreto Nº 6.003/2006; art. 212 § 5º da Constituição Federal; Súmula Nº 732 do STF.</t>
  </si>
  <si>
    <t>Art. 15, Lei nº 8.036/90 e Art. 7º, III,</t>
  </si>
  <si>
    <t>Anexo V do Regulamento da Previdência Social – RPS (Decreto n. 3.048/1999) e regras de enquadramento dispostas na Instrução Normativa RFB n. 971/2009 e/ou legislação superveniente. Súmula 351 do STJ.</t>
  </si>
  <si>
    <t>Anexo II da IN RFB n. 971/09. Art. 8º, Lei n.º 8.029/90 e Lei n.º 8154/90</t>
  </si>
  <si>
    <t>Vale-Transporte</t>
  </si>
  <si>
    <t>Artigo 4º, § único, da Lei nº 7.418/85 e art. 9º do Decreto nº 95.247/87.</t>
  </si>
  <si>
    <t>Auxílio-Alimentação</t>
  </si>
  <si>
    <t>Artigo 458, §§ 2º e 3º, da CLT, Lei nº 6.321/76, Decreto nº 5/91 e CCT.</t>
  </si>
  <si>
    <t>R$</t>
  </si>
  <si>
    <t>VT = Valor Unitário x 2 passes x 22 dias</t>
  </si>
  <si>
    <t>Desconto = % sobre o Salário Base</t>
  </si>
  <si>
    <t>Se (VT - Desconto)&gt;0, então: Valor do Vale Transporte = VT - Desconto</t>
  </si>
  <si>
    <t>Percentual de Desconto</t>
  </si>
  <si>
    <t>Até R$ 2.407,00</t>
  </si>
  <si>
    <t>De R$ 2.407,01 a R$ 4.073,39</t>
  </si>
  <si>
    <t>De R$ 4.073,40 a R$ 5.924,92</t>
  </si>
  <si>
    <t>De R$ 5.924,93 a R$ 7.406,17</t>
  </si>
  <si>
    <t>De R$ 7.406,18 a R$ 9.072,58</t>
  </si>
  <si>
    <t>Acima de R$ 9.072,59</t>
  </si>
  <si>
    <t>CONVENÇÃO COLETIVA DE TRABALHO 2024/2025 - NÚMERO DE REGISTRO NO MTE: DF000783/2024 (https://www.sindpd-df.org.br/acordo_coletivo/particulares/Convencao-Coletiva-De-Trabalho-2024-2025.pdf)</t>
  </si>
  <si>
    <t>Assistência Médica</t>
  </si>
  <si>
    <t>((0,05 x (1/12) x 100) ≅ 0,42%</t>
  </si>
  <si>
    <t>Art. 7º, XXI, CF/88. Art. 477, 487 e 491 da CLT. Lei n. 12.506/2011.</t>
  </si>
  <si>
    <t>((0,08 x 0,0042) x 100) ≅ 0,03%</t>
  </si>
  <si>
    <t>Súmula 305 TST.</t>
  </si>
  <si>
    <t>0,08 x 0,4 x 0,9 x [1 + 1/12 + 1/12 + (1/3 x 1/12)] ≅ 3,44%</t>
  </si>
  <si>
    <t>Art. 18 da Lei 8.036/90. Art. 12 da Lei 13.932/2019. Art. 5º, inciso III, da IN STJG/GDG n. 14/2020.</t>
  </si>
  <si>
    <t xml:space="preserve">Art. 7º, XXI, CF/88, 477,487 e 491 CLT. Acórdãos n. 1904/2007-TCU-Plenário e n. 3006/2010-TCU-Plenário </t>
  </si>
  <si>
    <t>Incidência do submódulo 2.2 sobre o Aviso Prévio trabalhado</t>
  </si>
  <si>
    <t xml:space="preserve">Acórdãos n. 1904/2007-TCU-Plenário e n. 3006/2010-TCU-Plenário </t>
  </si>
  <si>
    <t xml:space="preserve">Art. 12 da Lei 13.932/2019. Acórdãos n. 1904/2007-TCU-Plenário e n. 3006/2010-TCU-Plenário </t>
  </si>
  <si>
    <t>A+B+C+D+E+F</t>
  </si>
  <si>
    <t>{[(7/30) + (7/30 x 0,1 x 8/12)] / 20}  x 100) ≅  1,24%</t>
  </si>
  <si>
    <t>((0,3680 x 0,0124) x 100) ≅  0,46%</t>
  </si>
  <si>
    <t>Desconto do Auxílio-alimentação</t>
  </si>
  <si>
    <t>Valor do Auxílio-alimentação</t>
  </si>
  <si>
    <t>Outros tributos - CPRB (Lei 12.546/11 alterada pela 13.670/18)</t>
  </si>
  <si>
    <t>Submódulo 2.1 - 13º Salário. Férias e Adicional de Férias</t>
  </si>
  <si>
    <t>Férias e Adicional de Férias</t>
  </si>
  <si>
    <t>[(1/3) x (1/12)] + [1/20] x 100) ≅ 7,78%</t>
  </si>
  <si>
    <t>Fator-K</t>
  </si>
  <si>
    <t>Multa do FGTS sobre Aviso Prévio Trabalhado</t>
  </si>
  <si>
    <t>((0,0124 x 0,08) x 0,4 x 100) ≅  0,04%</t>
  </si>
  <si>
    <t>Submódulo 1 - 13º Salário, Férias e Adicional de Férias</t>
  </si>
  <si>
    <t>Total do 13º salário, Férias e adicional de férias</t>
  </si>
  <si>
    <t>FATOR-K</t>
  </si>
  <si>
    <t>CDADOS-01</t>
  </si>
  <si>
    <t>CDADOS-02</t>
  </si>
  <si>
    <t>CDADOS-03</t>
  </si>
  <si>
    <t>ARQDADOS-01</t>
  </si>
  <si>
    <t>ARQDADOS-02</t>
  </si>
  <si>
    <t>ARQDADOS-03</t>
  </si>
  <si>
    <t>Art. 9º-A. da Lei nº 12.546/2011 (incluído pela Lei nº 14.973/2024)</t>
  </si>
  <si>
    <t>Submódulo 2.3 - Benefícios Mensais e Diários</t>
  </si>
  <si>
    <t>Aux-Ali = Valor Unitário x 22 dias</t>
  </si>
  <si>
    <t>Valores extraido do MANUAL DE PREENCHIMENTO DO MODELO DE PLANILHAS DE CUSTOS E DE FORMAÇÃO DE PREÇOS do SUPERIOR TRIBUNAL DE JUSTIÇA - STJ</t>
  </si>
  <si>
    <t>(Módudo1 + Módulo2 + Módulo3 + Módulo4) x 5%</t>
  </si>
  <si>
    <t>(Módudo1 + Módulo2 + Módulo3 + Módulo4 + Custos indiretos) x 10%</t>
  </si>
  <si>
    <t>C% (em percentual) = C1 + C2 + C3 + C4</t>
  </si>
  <si>
    <t>A+B+C</t>
  </si>
  <si>
    <t>Os tributos (ISS, COFINS e PIS) foram definidos utilizando o regime de tributação de Lucro Real (Incidência cumulativa de PIS/COFINS)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</si>
</sst>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[$R$-416]\ * #,##0.00_-;\-[$R$-416]\ * #,##0.00_-;_-[$R$-416]\ * &quot;-&quot;??_-;_-@_-"/>
    <numFmt numFmtId="165" formatCode="_(&quot;R$ &quot;* #,##0.00_);_(&quot;R$ &quot;* \(#,##0.00\);_(&quot;R$ &quot;* &quot;-&quot;??_);_(@_)"/>
    <numFmt numFmtId="166" formatCode="_(* #,##0.00_);_(* \(#,##0.00\);_(* &quot;-&quot;??_);_(@_)"/>
    <numFmt numFmtId="167" formatCode="#,##0.0000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b/>
      <sz val="9"/>
      <color theme="0"/>
      <name val="Arial"/>
      <family val="2"/>
    </font>
    <font>
      <b/>
      <sz val="9"/>
      <color indexed="8"/>
      <name val="Arial"/>
      <family val="2"/>
    </font>
    <font>
      <sz val="11"/>
      <color indexed="8"/>
      <name val="Calibri"/>
      <family val="2"/>
    </font>
    <font>
      <sz val="9"/>
      <name val="Arial"/>
      <family val="2"/>
    </font>
    <font>
      <sz val="9"/>
      <color indexed="8"/>
      <name val="Arial"/>
      <family val="2"/>
    </font>
    <font>
      <b/>
      <sz val="9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b/>
      <sz val="11"/>
      <color rgb="FFC00000"/>
      <name val="Arial"/>
      <family val="2"/>
    </font>
    <font>
      <sz val="11"/>
      <color theme="1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indexed="9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3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0" fontId="1" fillId="0" borderId="0"/>
    <xf numFmtId="9" fontId="3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3" fillId="0" borderId="0"/>
  </cellStyleXfs>
  <cellXfs count="200">
    <xf numFmtId="0" fontId="0" fillId="0" borderId="0" xfId="0"/>
    <xf numFmtId="0" fontId="5" fillId="2" borderId="1" xfId="0" applyFont="1" applyFill="1" applyBorder="1" applyAlignment="1" applyProtection="1">
      <alignment horizontal="center" vertical="center" wrapText="1"/>
      <protection hidden="1"/>
    </xf>
    <xf numFmtId="0" fontId="5" fillId="2" borderId="1" xfId="0" applyFont="1" applyFill="1" applyBorder="1" applyAlignment="1" applyProtection="1">
      <alignment horizontal="left" vertical="center" wrapText="1"/>
      <protection hidden="1"/>
    </xf>
    <xf numFmtId="9" fontId="5" fillId="2" borderId="1" xfId="11" applyFont="1" applyFill="1" applyBorder="1" applyAlignment="1" applyProtection="1">
      <alignment horizontal="center" vertical="center" wrapText="1"/>
      <protection hidden="1"/>
    </xf>
    <xf numFmtId="0" fontId="7" fillId="0" borderId="1" xfId="0" applyFont="1" applyBorder="1" applyAlignment="1" applyProtection="1">
      <alignment horizontal="center" vertical="center"/>
      <protection hidden="1"/>
    </xf>
    <xf numFmtId="0" fontId="7" fillId="0" borderId="1" xfId="0" applyFont="1" applyBorder="1" applyAlignment="1" applyProtection="1">
      <alignment vertical="center"/>
      <protection hidden="1"/>
    </xf>
    <xf numFmtId="9" fontId="7" fillId="0" borderId="1" xfId="11" applyFont="1" applyBorder="1" applyAlignment="1" applyProtection="1">
      <alignment horizontal="center" vertical="center"/>
      <protection hidden="1"/>
    </xf>
    <xf numFmtId="4" fontId="7" fillId="0" borderId="1" xfId="12" applyNumberFormat="1" applyFont="1" applyBorder="1" applyAlignment="1" applyProtection="1">
      <alignment vertical="center"/>
      <protection hidden="1"/>
    </xf>
    <xf numFmtId="4" fontId="8" fillId="0" borderId="1" xfId="12" applyNumberFormat="1" applyFont="1" applyBorder="1" applyAlignment="1" applyProtection="1">
      <alignment vertical="center"/>
      <protection hidden="1"/>
    </xf>
    <xf numFmtId="0" fontId="5" fillId="0" borderId="2" xfId="0" applyFont="1" applyBorder="1" applyAlignment="1" applyProtection="1">
      <alignment vertical="center"/>
      <protection hidden="1"/>
    </xf>
    <xf numFmtId="0" fontId="5" fillId="0" borderId="3" xfId="0" applyFont="1" applyBorder="1" applyAlignment="1" applyProtection="1">
      <alignment vertical="center"/>
      <protection hidden="1"/>
    </xf>
    <xf numFmtId="0" fontId="5" fillId="0" borderId="3" xfId="0" applyFont="1" applyBorder="1" applyAlignment="1" applyProtection="1">
      <alignment horizontal="center" vertical="center"/>
      <protection hidden="1"/>
    </xf>
    <xf numFmtId="4" fontId="5" fillId="0" borderId="1" xfId="12" applyNumberFormat="1" applyFont="1" applyBorder="1" applyAlignment="1" applyProtection="1">
      <alignment vertical="center"/>
      <protection hidden="1"/>
    </xf>
    <xf numFmtId="0" fontId="7" fillId="0" borderId="10" xfId="0" applyFont="1" applyBorder="1" applyAlignment="1" applyProtection="1">
      <alignment horizontal="left" vertical="center"/>
      <protection hidden="1"/>
    </xf>
    <xf numFmtId="0" fontId="7" fillId="0" borderId="0" xfId="0" applyFont="1" applyAlignment="1" applyProtection="1">
      <alignment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7" fillId="0" borderId="11" xfId="0" applyFont="1" applyBorder="1" applyAlignment="1" applyProtection="1">
      <alignment vertical="center"/>
      <protection hidden="1"/>
    </xf>
    <xf numFmtId="0" fontId="5" fillId="2" borderId="1" xfId="0" applyFont="1" applyFill="1" applyBorder="1" applyAlignment="1" applyProtection="1">
      <alignment horizontal="center" vertical="center"/>
      <protection hidden="1"/>
    </xf>
    <xf numFmtId="9" fontId="5" fillId="2" borderId="5" xfId="11" applyFont="1" applyFill="1" applyBorder="1" applyAlignment="1" applyProtection="1">
      <alignment horizontal="center" vertical="center"/>
      <protection hidden="1"/>
    </xf>
    <xf numFmtId="0" fontId="7" fillId="2" borderId="1" xfId="0" applyFont="1" applyFill="1" applyBorder="1" applyAlignment="1" applyProtection="1">
      <alignment horizontal="center" vertical="center"/>
      <protection hidden="1"/>
    </xf>
    <xf numFmtId="0" fontId="7" fillId="2" borderId="2" xfId="0" applyFont="1" applyFill="1" applyBorder="1" applyAlignment="1" applyProtection="1">
      <alignment vertical="center"/>
      <protection hidden="1"/>
    </xf>
    <xf numFmtId="10" fontId="7" fillId="2" borderId="1" xfId="14" applyNumberFormat="1" applyFont="1" applyFill="1" applyBorder="1" applyAlignment="1" applyProtection="1">
      <alignment horizontal="center" vertical="center"/>
      <protection hidden="1"/>
    </xf>
    <xf numFmtId="4" fontId="8" fillId="2" borderId="4" xfId="12" applyNumberFormat="1" applyFont="1" applyFill="1" applyBorder="1" applyAlignment="1" applyProtection="1">
      <alignment vertical="center"/>
      <protection hidden="1"/>
    </xf>
    <xf numFmtId="10" fontId="9" fillId="2" borderId="1" xfId="14" applyNumberFormat="1" applyFont="1" applyFill="1" applyBorder="1" applyAlignment="1" applyProtection="1">
      <alignment horizontal="center" vertical="center"/>
      <protection hidden="1"/>
    </xf>
    <xf numFmtId="10" fontId="8" fillId="0" borderId="0" xfId="11" applyNumberFormat="1" applyFont="1" applyBorder="1" applyAlignment="1" applyProtection="1">
      <alignment horizontal="center" vertical="center"/>
      <protection hidden="1"/>
    </xf>
    <xf numFmtId="0" fontId="5" fillId="2" borderId="5" xfId="0" applyFont="1" applyFill="1" applyBorder="1" applyAlignment="1" applyProtection="1">
      <alignment horizontal="center" vertical="center"/>
      <protection hidden="1"/>
    </xf>
    <xf numFmtId="0" fontId="5" fillId="2" borderId="2" xfId="0" applyFont="1" applyFill="1" applyBorder="1" applyAlignment="1" applyProtection="1">
      <alignment horizontal="left" vertical="center"/>
      <protection hidden="1"/>
    </xf>
    <xf numFmtId="10" fontId="5" fillId="2" borderId="1" xfId="11" applyNumberFormat="1" applyFont="1" applyFill="1" applyBorder="1" applyAlignment="1" applyProtection="1">
      <alignment horizontal="center" vertical="center"/>
      <protection hidden="1"/>
    </xf>
    <xf numFmtId="4" fontId="5" fillId="2" borderId="4" xfId="12" applyNumberFormat="1" applyFont="1" applyFill="1" applyBorder="1" applyAlignment="1" applyProtection="1">
      <alignment vertical="center"/>
      <protection hidden="1"/>
    </xf>
    <xf numFmtId="9" fontId="8" fillId="0" borderId="0" xfId="11" applyFont="1" applyBorder="1" applyAlignment="1" applyProtection="1">
      <alignment horizontal="center" vertical="center"/>
      <protection hidden="1"/>
    </xf>
    <xf numFmtId="0" fontId="7" fillId="0" borderId="2" xfId="0" applyFont="1" applyBorder="1" applyAlignment="1" applyProtection="1">
      <alignment vertical="center"/>
      <protection hidden="1"/>
    </xf>
    <xf numFmtId="0" fontId="7" fillId="0" borderId="4" xfId="0" applyFont="1" applyBorder="1" applyAlignment="1" applyProtection="1">
      <alignment horizontal="center" vertical="center"/>
      <protection hidden="1"/>
    </xf>
    <xf numFmtId="0" fontId="5" fillId="2" borderId="2" xfId="0" applyFont="1" applyFill="1" applyBorder="1" applyAlignment="1" applyProtection="1">
      <alignment vertical="center"/>
      <protection hidden="1"/>
    </xf>
    <xf numFmtId="10" fontId="5" fillId="2" borderId="4" xfId="11" applyNumberFormat="1" applyFont="1" applyFill="1" applyBorder="1" applyAlignment="1" applyProtection="1">
      <alignment horizontal="center" vertical="center"/>
      <protection hidden="1"/>
    </xf>
    <xf numFmtId="10" fontId="8" fillId="0" borderId="4" xfId="11" applyNumberFormat="1" applyFont="1" applyBorder="1" applyAlignment="1" applyProtection="1">
      <alignment horizontal="center" vertical="center"/>
      <protection hidden="1"/>
    </xf>
    <xf numFmtId="10" fontId="5" fillId="0" borderId="4" xfId="11" applyNumberFormat="1" applyFont="1" applyBorder="1" applyAlignment="1" applyProtection="1">
      <alignment horizontal="center" vertical="center"/>
      <protection hidden="1"/>
    </xf>
    <xf numFmtId="10" fontId="5" fillId="2" borderId="5" xfId="11" applyNumberFormat="1" applyFont="1" applyFill="1" applyBorder="1" applyAlignment="1" applyProtection="1">
      <alignment horizontal="center" vertical="center"/>
      <protection hidden="1"/>
    </xf>
    <xf numFmtId="10" fontId="7" fillId="0" borderId="1" xfId="14" applyNumberFormat="1" applyFont="1" applyBorder="1" applyAlignment="1" applyProtection="1">
      <alignment horizontal="center" vertical="center"/>
      <protection hidden="1"/>
    </xf>
    <xf numFmtId="10" fontId="9" fillId="0" borderId="7" xfId="11" applyNumberFormat="1" applyFont="1" applyBorder="1" applyAlignment="1" applyProtection="1">
      <alignment horizontal="center" vertical="center"/>
      <protection hidden="1"/>
    </xf>
    <xf numFmtId="4" fontId="9" fillId="0" borderId="1" xfId="12" applyNumberFormat="1" applyFont="1" applyBorder="1" applyAlignment="1" applyProtection="1">
      <alignment vertical="center"/>
      <protection hidden="1"/>
    </xf>
    <xf numFmtId="10" fontId="7" fillId="0" borderId="0" xfId="11" applyNumberFormat="1" applyFont="1" applyBorder="1" applyAlignment="1" applyProtection="1">
      <alignment horizontal="center" vertical="center"/>
      <protection hidden="1"/>
    </xf>
    <xf numFmtId="10" fontId="9" fillId="0" borderId="1" xfId="11" applyNumberFormat="1" applyFont="1" applyBorder="1" applyAlignment="1" applyProtection="1">
      <alignment horizontal="center" vertical="center"/>
      <protection hidden="1"/>
    </xf>
    <xf numFmtId="4" fontId="5" fillId="0" borderId="1" xfId="12" applyNumberFormat="1" applyFont="1" applyBorder="1" applyAlignment="1" applyProtection="1">
      <alignment horizontal="right" vertical="center"/>
      <protection hidden="1"/>
    </xf>
    <xf numFmtId="0" fontId="5" fillId="2" borderId="2" xfId="0" applyFont="1" applyFill="1" applyBorder="1" applyAlignment="1" applyProtection="1">
      <alignment vertical="center" wrapText="1"/>
      <protection hidden="1"/>
    </xf>
    <xf numFmtId="0" fontId="5" fillId="2" borderId="4" xfId="0" applyFont="1" applyFill="1" applyBorder="1" applyAlignment="1" applyProtection="1">
      <alignment vertical="center" wrapText="1"/>
      <protection hidden="1"/>
    </xf>
    <xf numFmtId="0" fontId="5" fillId="2" borderId="4" xfId="0" applyFont="1" applyFill="1" applyBorder="1" applyAlignment="1" applyProtection="1">
      <alignment horizontal="center" vertical="center"/>
      <protection hidden="1"/>
    </xf>
    <xf numFmtId="0" fontId="7" fillId="0" borderId="3" xfId="0" applyFont="1" applyBorder="1" applyAlignment="1" applyProtection="1">
      <alignment vertical="center"/>
      <protection hidden="1"/>
    </xf>
    <xf numFmtId="0" fontId="5" fillId="0" borderId="4" xfId="0" applyFont="1" applyBorder="1" applyAlignment="1" applyProtection="1">
      <alignment horizontal="center" vertical="center"/>
      <protection hidden="1"/>
    </xf>
    <xf numFmtId="4" fontId="5" fillId="0" borderId="4" xfId="12" applyNumberFormat="1" applyFont="1" applyBorder="1" applyAlignment="1" applyProtection="1">
      <alignment vertical="center"/>
      <protection hidden="1"/>
    </xf>
    <xf numFmtId="10" fontId="7" fillId="0" borderId="0" xfId="0" applyNumberFormat="1" applyFont="1" applyAlignment="1" applyProtection="1">
      <alignment horizontal="center" vertical="center"/>
      <protection hidden="1"/>
    </xf>
    <xf numFmtId="10" fontId="5" fillId="2" borderId="1" xfId="0" applyNumberFormat="1" applyFont="1" applyFill="1" applyBorder="1" applyAlignment="1" applyProtection="1">
      <alignment horizontal="center" vertical="center"/>
      <protection hidden="1"/>
    </xf>
    <xf numFmtId="0" fontId="9" fillId="0" borderId="1" xfId="0" applyFont="1" applyBorder="1" applyAlignment="1" applyProtection="1">
      <alignment horizontal="center" vertical="center"/>
      <protection hidden="1"/>
    </xf>
    <xf numFmtId="0" fontId="9" fillId="0" borderId="1" xfId="0" applyFont="1" applyBorder="1" applyAlignment="1" applyProtection="1">
      <alignment vertical="center"/>
      <protection hidden="1"/>
    </xf>
    <xf numFmtId="10" fontId="9" fillId="0" borderId="1" xfId="14" applyNumberFormat="1" applyFont="1" applyBorder="1" applyAlignment="1" applyProtection="1">
      <alignment horizontal="center" vertical="center"/>
      <protection hidden="1"/>
    </xf>
    <xf numFmtId="0" fontId="7" fillId="2" borderId="1" xfId="0" applyFont="1" applyFill="1" applyBorder="1" applyAlignment="1" applyProtection="1">
      <alignment vertical="center"/>
      <protection hidden="1"/>
    </xf>
    <xf numFmtId="10" fontId="5" fillId="0" borderId="1" xfId="11" applyNumberFormat="1" applyFont="1" applyBorder="1" applyAlignment="1" applyProtection="1">
      <alignment horizontal="center" vertical="center"/>
      <protection hidden="1"/>
    </xf>
    <xf numFmtId="0" fontId="5" fillId="2" borderId="3" xfId="0" applyFont="1" applyFill="1" applyBorder="1" applyAlignment="1" applyProtection="1">
      <alignment vertical="center"/>
      <protection hidden="1"/>
    </xf>
    <xf numFmtId="0" fontId="5" fillId="2" borderId="3" xfId="0" applyFont="1" applyFill="1" applyBorder="1" applyAlignment="1" applyProtection="1">
      <alignment horizontal="center" vertical="center"/>
      <protection hidden="1"/>
    </xf>
    <xf numFmtId="0" fontId="7" fillId="0" borderId="3" xfId="0" applyFont="1" applyBorder="1" applyAlignment="1" applyProtection="1">
      <alignment horizontal="center" vertical="center"/>
      <protection hidden="1"/>
    </xf>
    <xf numFmtId="0" fontId="5" fillId="0" borderId="1" xfId="0" applyFont="1" applyBorder="1" applyAlignment="1" applyProtection="1">
      <alignment horizontal="left" vertical="center"/>
      <protection hidden="1"/>
    </xf>
    <xf numFmtId="4" fontId="5" fillId="0" borderId="1" xfId="0" applyNumberFormat="1" applyFont="1" applyBorder="1" applyAlignment="1" applyProtection="1">
      <alignment vertical="center"/>
      <protection hidden="1"/>
    </xf>
    <xf numFmtId="0" fontId="7" fillId="2" borderId="2" xfId="0" applyFont="1" applyFill="1" applyBorder="1" applyAlignment="1" applyProtection="1">
      <alignment vertical="center" wrapText="1"/>
      <protection hidden="1"/>
    </xf>
    <xf numFmtId="0" fontId="7" fillId="2" borderId="2" xfId="0" applyFont="1" applyFill="1" applyBorder="1" applyAlignment="1" applyProtection="1">
      <alignment vertical="center" wrapText="1"/>
      <protection locked="0"/>
    </xf>
    <xf numFmtId="9" fontId="10" fillId="4" borderId="1" xfId="11" applyFont="1" applyFill="1" applyBorder="1" applyAlignment="1" applyProtection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1" fillId="2" borderId="1" xfId="0" applyFont="1" applyFill="1" applyBorder="1"/>
    <xf numFmtId="10" fontId="11" fillId="2" borderId="1" xfId="14" applyNumberFormat="1" applyFont="1" applyFill="1" applyBorder="1" applyAlignment="1">
      <alignment horizontal="center"/>
    </xf>
    <xf numFmtId="10" fontId="10" fillId="0" borderId="1" xfId="11" applyNumberFormat="1" applyFont="1" applyBorder="1" applyAlignment="1" applyProtection="1">
      <alignment horizontal="center"/>
    </xf>
    <xf numFmtId="0" fontId="12" fillId="2" borderId="1" xfId="0" applyFont="1" applyFill="1" applyBorder="1" applyAlignment="1" applyProtection="1">
      <alignment horizontal="center" vertical="center"/>
      <protection hidden="1"/>
    </xf>
    <xf numFmtId="0" fontId="12" fillId="2" borderId="1" xfId="0" applyFont="1" applyFill="1" applyBorder="1" applyAlignment="1" applyProtection="1">
      <alignment horizontal="left" vertical="center" wrapText="1"/>
      <protection hidden="1"/>
    </xf>
    <xf numFmtId="0" fontId="12" fillId="0" borderId="1" xfId="0" applyFont="1" applyBorder="1" applyAlignment="1" applyProtection="1">
      <alignment vertical="center"/>
      <protection hidden="1"/>
    </xf>
    <xf numFmtId="0" fontId="12" fillId="0" borderId="0" xfId="0" applyFont="1" applyAlignment="1" applyProtection="1">
      <alignment vertical="center"/>
      <protection hidden="1"/>
    </xf>
    <xf numFmtId="0" fontId="11" fillId="2" borderId="1" xfId="0" applyFont="1" applyFill="1" applyBorder="1" applyAlignment="1" applyProtection="1">
      <alignment horizontal="center" vertical="center"/>
      <protection hidden="1"/>
    </xf>
    <xf numFmtId="0" fontId="10" fillId="0" borderId="1" xfId="0" applyFont="1" applyBorder="1" applyAlignment="1" applyProtection="1">
      <alignment horizontal="center" vertical="center"/>
      <protection hidden="1"/>
    </xf>
    <xf numFmtId="0" fontId="13" fillId="0" borderId="0" xfId="0" applyFont="1" applyAlignment="1" applyProtection="1">
      <alignment vertical="center" wrapText="1"/>
      <protection hidden="1"/>
    </xf>
    <xf numFmtId="0" fontId="11" fillId="0" borderId="0" xfId="0" applyFont="1" applyAlignment="1" applyProtection="1">
      <alignment vertical="center" wrapText="1"/>
      <protection hidden="1"/>
    </xf>
    <xf numFmtId="0" fontId="12" fillId="0" borderId="1" xfId="0" applyFont="1" applyBorder="1" applyAlignment="1" applyProtection="1">
      <alignment horizontal="center" vertical="center"/>
      <protection hidden="1"/>
    </xf>
    <xf numFmtId="167" fontId="14" fillId="0" borderId="0" xfId="1" applyNumberFormat="1" applyFont="1" applyFill="1" applyBorder="1" applyAlignment="1" applyProtection="1">
      <alignment horizontal="center" vertical="center"/>
      <protection locked="0"/>
    </xf>
    <xf numFmtId="10" fontId="12" fillId="2" borderId="1" xfId="11" applyNumberFormat="1" applyFont="1" applyFill="1" applyBorder="1" applyAlignment="1" applyProtection="1">
      <alignment horizontal="center" vertical="center"/>
      <protection hidden="1"/>
    </xf>
    <xf numFmtId="0" fontId="10" fillId="4" borderId="2" xfId="0" applyFont="1" applyFill="1" applyBorder="1" applyAlignment="1">
      <alignment vertical="center"/>
    </xf>
    <xf numFmtId="10" fontId="11" fillId="2" borderId="1" xfId="14" applyNumberFormat="1" applyFont="1" applyFill="1" applyBorder="1" applyAlignment="1" applyProtection="1">
      <alignment horizontal="center" vertical="center"/>
      <protection locked="0" hidden="1"/>
    </xf>
    <xf numFmtId="0" fontId="10" fillId="0" borderId="1" xfId="0" applyFont="1" applyBorder="1" applyAlignment="1">
      <alignment vertical="center" wrapText="1"/>
    </xf>
    <xf numFmtId="0" fontId="11" fillId="0" borderId="1" xfId="0" applyFont="1" applyBorder="1" applyAlignment="1">
      <alignment vertical="center" wrapText="1"/>
    </xf>
    <xf numFmtId="0" fontId="11" fillId="0" borderId="1" xfId="0" applyFont="1" applyBorder="1" applyAlignment="1">
      <alignment horizontal="left" vertical="center"/>
    </xf>
    <xf numFmtId="0" fontId="15" fillId="0" borderId="0" xfId="0" applyFont="1"/>
    <xf numFmtId="0" fontId="15" fillId="0" borderId="0" xfId="0" applyFont="1" applyAlignment="1" applyProtection="1">
      <alignment vertical="center"/>
      <protection hidden="1"/>
    </xf>
    <xf numFmtId="0" fontId="15" fillId="0" borderId="1" xfId="0" applyFont="1" applyBorder="1"/>
    <xf numFmtId="10" fontId="15" fillId="0" borderId="1" xfId="3" applyNumberFormat="1" applyFont="1" applyBorder="1" applyAlignment="1">
      <alignment horizontal="center"/>
    </xf>
    <xf numFmtId="0" fontId="9" fillId="0" borderId="2" xfId="0" applyFont="1" applyBorder="1" applyAlignment="1" applyProtection="1">
      <alignment vertical="center"/>
      <protection hidden="1"/>
    </xf>
    <xf numFmtId="0" fontId="9" fillId="0" borderId="4" xfId="0" applyFont="1" applyBorder="1" applyAlignment="1" applyProtection="1">
      <alignment horizontal="center" vertical="center"/>
      <protection hidden="1"/>
    </xf>
    <xf numFmtId="10" fontId="9" fillId="0" borderId="4" xfId="3" applyNumberFormat="1" applyFont="1" applyBorder="1" applyAlignment="1" applyProtection="1">
      <alignment horizontal="center" vertical="center"/>
      <protection hidden="1"/>
    </xf>
    <xf numFmtId="10" fontId="10" fillId="4" borderId="1" xfId="11" applyNumberFormat="1" applyFont="1" applyFill="1" applyBorder="1" applyAlignment="1" applyProtection="1">
      <alignment horizontal="center" vertical="center"/>
    </xf>
    <xf numFmtId="0" fontId="11" fillId="0" borderId="1" xfId="0" applyFont="1" applyBorder="1" applyAlignment="1" applyProtection="1">
      <alignment horizontal="center" vertical="center"/>
      <protection hidden="1"/>
    </xf>
    <xf numFmtId="0" fontId="11" fillId="0" borderId="1" xfId="0" applyFont="1" applyBorder="1" applyAlignment="1" applyProtection="1">
      <alignment vertical="center"/>
      <protection hidden="1"/>
    </xf>
    <xf numFmtId="10" fontId="11" fillId="0" borderId="1" xfId="14" applyNumberFormat="1" applyFont="1" applyBorder="1" applyAlignment="1" applyProtection="1">
      <alignment horizontal="center" vertical="center"/>
      <protection hidden="1"/>
    </xf>
    <xf numFmtId="0" fontId="11" fillId="2" borderId="1" xfId="0" applyFont="1" applyFill="1" applyBorder="1" applyAlignment="1" applyProtection="1">
      <alignment vertical="center"/>
      <protection hidden="1"/>
    </xf>
    <xf numFmtId="10" fontId="11" fillId="2" borderId="1" xfId="14" applyNumberFormat="1" applyFont="1" applyFill="1" applyBorder="1" applyAlignment="1" applyProtection="1">
      <alignment horizontal="center" vertical="center"/>
      <protection hidden="1"/>
    </xf>
    <xf numFmtId="0" fontId="10" fillId="0" borderId="1" xfId="0" applyFont="1" applyBorder="1" applyAlignment="1" applyProtection="1">
      <alignment vertical="center"/>
      <protection hidden="1"/>
    </xf>
    <xf numFmtId="10" fontId="10" fillId="0" borderId="1" xfId="11" applyNumberFormat="1" applyFont="1" applyFill="1" applyBorder="1" applyAlignment="1" applyProtection="1">
      <alignment horizontal="center"/>
      <protection hidden="1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1" fillId="0" borderId="0" xfId="0" applyFont="1"/>
    <xf numFmtId="0" fontId="10" fillId="0" borderId="0" xfId="0" applyFont="1" applyAlignment="1">
      <alignment horizontal="center" vertical="center"/>
    </xf>
    <xf numFmtId="0" fontId="11" fillId="0" borderId="0" xfId="0" applyFont="1" applyAlignment="1" applyProtection="1">
      <alignment horizontal="left" vertical="center"/>
      <protection hidden="1"/>
    </xf>
    <xf numFmtId="10" fontId="7" fillId="0" borderId="1" xfId="3" applyNumberFormat="1" applyFont="1" applyBorder="1" applyAlignment="1" applyProtection="1">
      <alignment horizontal="center" vertical="center"/>
      <protection hidden="1"/>
    </xf>
    <xf numFmtId="10" fontId="15" fillId="0" borderId="0" xfId="0" applyNumberFormat="1" applyFont="1"/>
    <xf numFmtId="0" fontId="7" fillId="0" borderId="1" xfId="0" applyFont="1" applyBorder="1" applyAlignment="1" applyProtection="1">
      <alignment vertical="center"/>
      <protection locked="0" hidden="1"/>
    </xf>
    <xf numFmtId="0" fontId="17" fillId="0" borderId="0" xfId="0" applyFont="1"/>
    <xf numFmtId="0" fontId="16" fillId="0" borderId="1" xfId="0" applyFont="1" applyBorder="1" applyAlignment="1">
      <alignment horizontal="center"/>
    </xf>
    <xf numFmtId="2" fontId="16" fillId="0" borderId="1" xfId="0" applyNumberFormat="1" applyFont="1" applyBorder="1"/>
    <xf numFmtId="0" fontId="17" fillId="2" borderId="0" xfId="0" applyFont="1" applyFill="1"/>
    <xf numFmtId="2" fontId="17" fillId="0" borderId="0" xfId="0" applyNumberFormat="1" applyFont="1"/>
    <xf numFmtId="0" fontId="10" fillId="4" borderId="1" xfId="0" applyFont="1" applyFill="1" applyBorder="1" applyAlignment="1" applyProtection="1">
      <alignment vertical="center" wrapText="1"/>
      <protection hidden="1"/>
    </xf>
    <xf numFmtId="0" fontId="10" fillId="2" borderId="1" xfId="0" applyFont="1" applyFill="1" applyBorder="1" applyAlignment="1" applyProtection="1">
      <alignment horizontal="center" vertical="center"/>
      <protection hidden="1"/>
    </xf>
    <xf numFmtId="0" fontId="10" fillId="2" borderId="1" xfId="0" applyFont="1" applyFill="1" applyBorder="1" applyAlignment="1" applyProtection="1">
      <alignment horizontal="left" vertical="center" wrapText="1"/>
      <protection hidden="1"/>
    </xf>
    <xf numFmtId="10" fontId="10" fillId="2" borderId="1" xfId="0" applyNumberFormat="1" applyFont="1" applyFill="1" applyBorder="1" applyAlignment="1" applyProtection="1">
      <alignment horizontal="center" vertical="center"/>
      <protection hidden="1"/>
    </xf>
    <xf numFmtId="10" fontId="10" fillId="0" borderId="1" xfId="14" applyNumberFormat="1" applyFont="1" applyBorder="1" applyAlignment="1" applyProtection="1">
      <alignment horizontal="center" vertical="center"/>
      <protection locked="0" hidden="1"/>
    </xf>
    <xf numFmtId="10" fontId="10" fillId="6" borderId="1" xfId="11" applyNumberFormat="1" applyFont="1" applyFill="1" applyBorder="1" applyAlignment="1" applyProtection="1">
      <alignment horizontal="center" vertical="center"/>
      <protection hidden="1"/>
    </xf>
    <xf numFmtId="10" fontId="11" fillId="2" borderId="1" xfId="11" applyNumberFormat="1" applyFont="1" applyFill="1" applyBorder="1" applyAlignment="1" applyProtection="1">
      <alignment horizontal="center" vertical="center"/>
      <protection hidden="1"/>
    </xf>
    <xf numFmtId="10" fontId="11" fillId="6" borderId="1" xfId="11" applyNumberFormat="1" applyFont="1" applyFill="1" applyBorder="1" applyAlignment="1" applyProtection="1">
      <alignment horizontal="center" vertical="center"/>
      <protection locked="0" hidden="1"/>
    </xf>
    <xf numFmtId="0" fontId="11" fillId="0" borderId="1" xfId="0" applyFont="1" applyBorder="1" applyAlignment="1" applyProtection="1">
      <alignment vertical="center"/>
      <protection locked="0" hidden="1"/>
    </xf>
    <xf numFmtId="10" fontId="10" fillId="0" borderId="1" xfId="11" applyNumberFormat="1" applyFont="1" applyBorder="1" applyAlignment="1" applyProtection="1">
      <alignment horizontal="center" vertical="center"/>
      <protection hidden="1"/>
    </xf>
    <xf numFmtId="0" fontId="10" fillId="0" borderId="0" xfId="0" applyFont="1" applyAlignment="1" applyProtection="1">
      <alignment vertical="center" wrapText="1"/>
      <protection hidden="1"/>
    </xf>
    <xf numFmtId="0" fontId="2" fillId="0" borderId="18" xfId="0" applyFont="1" applyBorder="1" applyAlignment="1">
      <alignment horizontal="center" vertical="top"/>
    </xf>
    <xf numFmtId="0" fontId="2" fillId="0" borderId="19" xfId="0" applyFont="1" applyBorder="1" applyAlignment="1">
      <alignment horizontal="center" vertical="top"/>
    </xf>
    <xf numFmtId="0" fontId="2" fillId="0" borderId="20" xfId="0" applyFont="1" applyBorder="1" applyAlignment="1">
      <alignment horizontal="center" vertical="top"/>
    </xf>
    <xf numFmtId="44" fontId="0" fillId="0" borderId="1" xfId="2" applyFont="1" applyBorder="1"/>
    <xf numFmtId="44" fontId="0" fillId="0" borderId="22" xfId="2" applyFont="1" applyBorder="1"/>
    <xf numFmtId="44" fontId="0" fillId="0" borderId="27" xfId="2" applyFont="1" applyBorder="1"/>
    <xf numFmtId="0" fontId="2" fillId="0" borderId="0" xfId="0" applyFont="1" applyAlignment="1">
      <alignment horizontal="center" vertical="center"/>
    </xf>
    <xf numFmtId="0" fontId="0" fillId="0" borderId="21" xfId="0" applyBorder="1"/>
    <xf numFmtId="0" fontId="0" fillId="0" borderId="22" xfId="0" applyBorder="1"/>
    <xf numFmtId="2" fontId="0" fillId="0" borderId="23" xfId="0" applyNumberFormat="1" applyBorder="1" applyAlignment="1">
      <alignment horizontal="center"/>
    </xf>
    <xf numFmtId="0" fontId="0" fillId="0" borderId="24" xfId="0" applyBorder="1"/>
    <xf numFmtId="0" fontId="0" fillId="0" borderId="1" xfId="0" applyBorder="1"/>
    <xf numFmtId="2" fontId="0" fillId="0" borderId="25" xfId="0" applyNumberFormat="1" applyBorder="1" applyAlignment="1">
      <alignment horizontal="center"/>
    </xf>
    <xf numFmtId="0" fontId="0" fillId="0" borderId="26" xfId="0" applyBorder="1"/>
    <xf numFmtId="0" fontId="0" fillId="0" borderId="27" xfId="0" applyBorder="1"/>
    <xf numFmtId="2" fontId="0" fillId="0" borderId="28" xfId="0" applyNumberFormat="1" applyBorder="1" applyAlignment="1">
      <alignment horizontal="center"/>
    </xf>
    <xf numFmtId="0" fontId="10" fillId="4" borderId="1" xfId="0" applyFont="1" applyFill="1" applyBorder="1" applyAlignment="1">
      <alignment horizontal="center" vertical="center"/>
    </xf>
    <xf numFmtId="0" fontId="11" fillId="0" borderId="1" xfId="0" applyFont="1" applyBorder="1"/>
    <xf numFmtId="0" fontId="11" fillId="2" borderId="1" xfId="0" applyFont="1" applyFill="1" applyBorder="1" applyAlignment="1" applyProtection="1">
      <alignment vertical="center" wrapText="1"/>
      <protection hidden="1"/>
    </xf>
    <xf numFmtId="0" fontId="13" fillId="0" borderId="1" xfId="0" applyFont="1" applyBorder="1" applyAlignment="1" applyProtection="1">
      <alignment vertical="center" wrapText="1"/>
      <protection hidden="1"/>
    </xf>
    <xf numFmtId="0" fontId="11" fillId="2" borderId="1" xfId="0" applyFont="1" applyFill="1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vertical="center" wrapText="1"/>
      <protection hidden="1"/>
    </xf>
    <xf numFmtId="0" fontId="11" fillId="2" borderId="2" xfId="0" applyFont="1" applyFill="1" applyBorder="1" applyAlignment="1" applyProtection="1">
      <alignment horizontal="center" vertical="center"/>
      <protection hidden="1"/>
    </xf>
    <xf numFmtId="0" fontId="10" fillId="4" borderId="1" xfId="0" applyFont="1" applyFill="1" applyBorder="1" applyAlignment="1">
      <alignment vertical="center"/>
    </xf>
    <xf numFmtId="0" fontId="11" fillId="0" borderId="1" xfId="0" applyFont="1" applyBorder="1" applyAlignment="1">
      <alignment vertical="center"/>
    </xf>
    <xf numFmtId="4" fontId="10" fillId="0" borderId="1" xfId="12" applyNumberFormat="1" applyFont="1" applyFill="1" applyBorder="1" applyAlignment="1" applyProtection="1">
      <alignment horizontal="left"/>
      <protection hidden="1"/>
    </xf>
    <xf numFmtId="44" fontId="11" fillId="0" borderId="1" xfId="2" applyFont="1" applyFill="1" applyBorder="1" applyAlignment="1">
      <alignment vertical="center" wrapText="1"/>
    </xf>
    <xf numFmtId="164" fontId="15" fillId="0" borderId="1" xfId="3" applyNumberFormat="1" applyFont="1" applyFill="1" applyBorder="1" applyAlignment="1">
      <alignment horizontal="center"/>
    </xf>
    <xf numFmtId="4" fontId="7" fillId="0" borderId="1" xfId="12" applyNumberFormat="1" applyFont="1" applyFill="1" applyBorder="1" applyAlignment="1" applyProtection="1">
      <alignment vertical="center"/>
      <protection hidden="1"/>
    </xf>
    <xf numFmtId="0" fontId="15" fillId="0" borderId="5" xfId="0" applyFont="1" applyBorder="1" applyAlignment="1">
      <alignment horizontal="left" vertical="center"/>
    </xf>
    <xf numFmtId="0" fontId="15" fillId="0" borderId="6" xfId="0" applyFont="1" applyBorder="1" applyAlignment="1">
      <alignment horizontal="left" vertical="center"/>
    </xf>
    <xf numFmtId="0" fontId="15" fillId="0" borderId="7" xfId="0" applyFont="1" applyBorder="1" applyAlignment="1">
      <alignment horizontal="left" vertical="center"/>
    </xf>
    <xf numFmtId="0" fontId="10" fillId="4" borderId="1" xfId="0" applyFont="1" applyFill="1" applyBorder="1" applyAlignment="1">
      <alignment horizontal="left" vertical="center"/>
    </xf>
    <xf numFmtId="0" fontId="10" fillId="0" borderId="1" xfId="0" applyFont="1" applyBorder="1" applyAlignment="1">
      <alignment horizontal="left"/>
    </xf>
    <xf numFmtId="0" fontId="15" fillId="0" borderId="1" xfId="0" applyFont="1" applyBorder="1" applyAlignment="1">
      <alignment horizontal="left" vertical="center"/>
    </xf>
    <xf numFmtId="0" fontId="11" fillId="0" borderId="8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2" fillId="2" borderId="1" xfId="0" applyFont="1" applyFill="1" applyBorder="1" applyAlignment="1" applyProtection="1">
      <alignment horizontal="left" vertical="center" wrapText="1"/>
      <protection hidden="1"/>
    </xf>
    <xf numFmtId="0" fontId="10" fillId="0" borderId="1" xfId="0" applyFont="1" applyBorder="1" applyAlignment="1" applyProtection="1">
      <alignment horizontal="left" vertical="center"/>
      <protection hidden="1"/>
    </xf>
    <xf numFmtId="0" fontId="10" fillId="4" borderId="1" xfId="0" applyFont="1" applyFill="1" applyBorder="1" applyAlignment="1" applyProtection="1">
      <alignment horizontal="center" vertical="center" wrapText="1"/>
      <protection hidden="1"/>
    </xf>
    <xf numFmtId="0" fontId="10" fillId="0" borderId="1" xfId="0" applyFont="1" applyBorder="1" applyAlignment="1" applyProtection="1">
      <alignment horizontal="left"/>
      <protection hidden="1"/>
    </xf>
    <xf numFmtId="0" fontId="5" fillId="2" borderId="2" xfId="0" applyFont="1" applyFill="1" applyBorder="1" applyAlignment="1" applyProtection="1">
      <alignment horizontal="left" vertical="center" wrapText="1"/>
      <protection locked="0"/>
    </xf>
    <xf numFmtId="0" fontId="5" fillId="2" borderId="3" xfId="0" applyFont="1" applyFill="1" applyBorder="1" applyAlignment="1" applyProtection="1">
      <alignment horizontal="left" vertical="center" wrapText="1"/>
      <protection locked="0"/>
    </xf>
    <xf numFmtId="0" fontId="5" fillId="2" borderId="4" xfId="0" applyFont="1" applyFill="1" applyBorder="1" applyAlignment="1" applyProtection="1">
      <alignment horizontal="left" vertical="center" wrapText="1"/>
      <protection locked="0"/>
    </xf>
    <xf numFmtId="0" fontId="4" fillId="5" borderId="2" xfId="0" applyFont="1" applyFill="1" applyBorder="1" applyAlignment="1" applyProtection="1">
      <alignment horizontal="center" vertical="center"/>
      <protection hidden="1"/>
    </xf>
    <xf numFmtId="0" fontId="4" fillId="5" borderId="3" xfId="0" applyFont="1" applyFill="1" applyBorder="1" applyAlignment="1" applyProtection="1">
      <alignment horizontal="center" vertical="center"/>
      <protection hidden="1"/>
    </xf>
    <xf numFmtId="0" fontId="4" fillId="5" borderId="4" xfId="0" applyFont="1" applyFill="1" applyBorder="1" applyAlignment="1" applyProtection="1">
      <alignment horizontal="center" vertical="center"/>
      <protection hidden="1"/>
    </xf>
    <xf numFmtId="0" fontId="5" fillId="4" borderId="2" xfId="0" applyFont="1" applyFill="1" applyBorder="1" applyAlignment="1" applyProtection="1">
      <alignment horizontal="left" vertical="center" wrapText="1"/>
      <protection hidden="1"/>
    </xf>
    <xf numFmtId="0" fontId="5" fillId="4" borderId="3" xfId="0" applyFont="1" applyFill="1" applyBorder="1" applyAlignment="1" applyProtection="1">
      <alignment horizontal="left" vertical="center" wrapText="1"/>
      <protection hidden="1"/>
    </xf>
    <xf numFmtId="0" fontId="5" fillId="4" borderId="4" xfId="0" applyFont="1" applyFill="1" applyBorder="1" applyAlignment="1" applyProtection="1">
      <alignment horizontal="left" vertical="center" wrapText="1"/>
      <protection hidden="1"/>
    </xf>
    <xf numFmtId="0" fontId="9" fillId="2" borderId="2" xfId="0" applyFont="1" applyFill="1" applyBorder="1" applyAlignment="1" applyProtection="1">
      <alignment horizontal="left" vertical="center" wrapText="1"/>
      <protection hidden="1"/>
    </xf>
    <xf numFmtId="0" fontId="9" fillId="2" borderId="3" xfId="0" applyFont="1" applyFill="1" applyBorder="1" applyAlignment="1" applyProtection="1">
      <alignment horizontal="left" vertical="center" wrapText="1"/>
      <protection hidden="1"/>
    </xf>
    <xf numFmtId="0" fontId="9" fillId="2" borderId="4" xfId="0" applyFont="1" applyFill="1" applyBorder="1" applyAlignment="1" applyProtection="1">
      <alignment horizontal="left" vertical="center" wrapText="1"/>
      <protection hidden="1"/>
    </xf>
    <xf numFmtId="0" fontId="5" fillId="0" borderId="2" xfId="0" applyFont="1" applyBorder="1" applyAlignment="1" applyProtection="1">
      <alignment horizontal="left" vertical="center"/>
      <protection hidden="1"/>
    </xf>
    <xf numFmtId="0" fontId="5" fillId="0" borderId="4" xfId="0" applyFont="1" applyBorder="1" applyAlignment="1" applyProtection="1">
      <alignment horizontal="left" vertical="center"/>
      <protection hidden="1"/>
    </xf>
    <xf numFmtId="0" fontId="16" fillId="0" borderId="12" xfId="0" applyFont="1" applyBorder="1" applyAlignment="1">
      <alignment horizontal="center" vertical="center"/>
    </xf>
    <xf numFmtId="0" fontId="16" fillId="0" borderId="13" xfId="0" applyFont="1" applyBorder="1" applyAlignment="1">
      <alignment horizontal="center" vertical="center"/>
    </xf>
    <xf numFmtId="0" fontId="16" fillId="0" borderId="14" xfId="0" applyFont="1" applyBorder="1" applyAlignment="1">
      <alignment horizontal="center" vertical="center"/>
    </xf>
    <xf numFmtId="0" fontId="7" fillId="0" borderId="5" xfId="0" applyFont="1" applyBorder="1" applyAlignment="1" applyProtection="1">
      <alignment horizontal="center" vertical="center"/>
      <protection hidden="1"/>
    </xf>
    <xf numFmtId="0" fontId="7" fillId="0" borderId="6" xfId="0" applyFont="1" applyBorder="1" applyAlignment="1" applyProtection="1">
      <alignment horizontal="center" vertical="center"/>
      <protection hidden="1"/>
    </xf>
    <xf numFmtId="0" fontId="7" fillId="0" borderId="7" xfId="0" applyFont="1" applyBorder="1" applyAlignment="1" applyProtection="1">
      <alignment horizontal="center" vertical="center"/>
      <protection hidden="1"/>
    </xf>
    <xf numFmtId="0" fontId="9" fillId="3" borderId="2" xfId="0" applyFont="1" applyFill="1" applyBorder="1" applyAlignment="1" applyProtection="1">
      <alignment horizontal="center" vertical="center"/>
      <protection hidden="1"/>
    </xf>
    <xf numFmtId="0" fontId="9" fillId="3" borderId="3" xfId="0" applyFont="1" applyFill="1" applyBorder="1" applyAlignment="1" applyProtection="1">
      <alignment horizontal="center" vertical="center"/>
      <protection hidden="1"/>
    </xf>
    <xf numFmtId="0" fontId="9" fillId="3" borderId="4" xfId="0" applyFont="1" applyFill="1" applyBorder="1" applyAlignment="1" applyProtection="1">
      <alignment horizontal="center" vertical="center"/>
      <protection hidden="1"/>
    </xf>
    <xf numFmtId="0" fontId="5" fillId="0" borderId="3" xfId="0" applyFont="1" applyBorder="1" applyAlignment="1" applyProtection="1">
      <alignment horizontal="left" vertical="center"/>
      <protection hidden="1"/>
    </xf>
    <xf numFmtId="0" fontId="9" fillId="0" borderId="2" xfId="0" applyFont="1" applyBorder="1" applyAlignment="1" applyProtection="1">
      <alignment horizontal="left" vertical="center"/>
      <protection hidden="1"/>
    </xf>
    <xf numFmtId="0" fontId="9" fillId="0" borderId="4" xfId="0" applyFont="1" applyBorder="1" applyAlignment="1" applyProtection="1">
      <alignment horizontal="left" vertical="center"/>
      <protection hidden="1"/>
    </xf>
    <xf numFmtId="0" fontId="5" fillId="2" borderId="2" xfId="0" applyFont="1" applyFill="1" applyBorder="1" applyAlignment="1" applyProtection="1">
      <alignment horizontal="left" vertical="center"/>
      <protection hidden="1"/>
    </xf>
    <xf numFmtId="0" fontId="5" fillId="2" borderId="4" xfId="0" applyFont="1" applyFill="1" applyBorder="1" applyAlignment="1" applyProtection="1">
      <alignment horizontal="left" vertical="center"/>
      <protection hidden="1"/>
    </xf>
    <xf numFmtId="0" fontId="5" fillId="2" borderId="2" xfId="0" applyFont="1" applyFill="1" applyBorder="1" applyAlignment="1" applyProtection="1">
      <alignment horizontal="left" vertical="center" wrapText="1"/>
      <protection hidden="1"/>
    </xf>
    <xf numFmtId="0" fontId="5" fillId="2" borderId="3" xfId="0" applyFont="1" applyFill="1" applyBorder="1" applyAlignment="1" applyProtection="1">
      <alignment horizontal="left" vertical="center" wrapText="1"/>
      <protection hidden="1"/>
    </xf>
    <xf numFmtId="0" fontId="5" fillId="2" borderId="4" xfId="0" applyFont="1" applyFill="1" applyBorder="1" applyAlignment="1" applyProtection="1">
      <alignment horizontal="left" vertical="center" wrapText="1"/>
      <protection hidden="1"/>
    </xf>
    <xf numFmtId="0" fontId="16" fillId="0" borderId="17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6" xfId="0" applyFont="1" applyBorder="1" applyAlignment="1">
      <alignment horizontal="center" vertical="center"/>
    </xf>
  </cellXfs>
  <cellStyles count="15">
    <cellStyle name="Moeda" xfId="2" builtinId="4"/>
    <cellStyle name="Moeda 4" xfId="12" xr:uid="{8DBA9C67-9DCF-4BBF-BF48-4EB150FF748A}"/>
    <cellStyle name="Moeda 6 2 2" xfId="7" xr:uid="{0CD278C2-E537-4AB5-8F22-00A6D7DD9F49}"/>
    <cellStyle name="Normal" xfId="0" builtinId="0"/>
    <cellStyle name="Normal 10" xfId="8" xr:uid="{5EB5A07F-E49A-4AB1-B16B-5A4524D1559D}"/>
    <cellStyle name="Normal 2 2" xfId="14" xr:uid="{58EE8EF6-C034-4DC8-9776-475A91543EF2}"/>
    <cellStyle name="Normal 2 4 2 3" xfId="9" xr:uid="{8A716014-D13C-414D-9430-C74E899F4CB2}"/>
    <cellStyle name="Normal 41 2" xfId="5" xr:uid="{513217B0-DB59-4465-AC13-D3F1BB5C27D6}"/>
    <cellStyle name="Normal 5 2 2" xfId="4" xr:uid="{7A45CAE4-079D-44B9-AD79-83D186BE4380}"/>
    <cellStyle name="Porcentagem" xfId="3" builtinId="5"/>
    <cellStyle name="Porcentagem 2 4" xfId="6" xr:uid="{0A3075D3-3C03-4E45-988A-1D25A8A0A539}"/>
    <cellStyle name="Porcentagem 2 5" xfId="10" xr:uid="{9A46423F-E5F8-4A22-B177-802B84DACEED}"/>
    <cellStyle name="Porcentagem 4" xfId="11" xr:uid="{A6A0AC94-50E7-4FF4-A721-9FC7E0D47EEB}"/>
    <cellStyle name="Separador de milhares 3" xfId="13" xr:uid="{AE47073E-91A9-4A21-929A-9A4682044CDF}"/>
    <cellStyle name="Vírgula" xfId="1" builtinId="3"/>
  </cellStyles>
  <dxfs count="32"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  <dxf>
      <font>
        <b val="0"/>
        <i val="0"/>
        <color theme="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haredStrings" Target="sharedStrings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theme" Target="theme/theme1.xml"/><Relationship Id="rId40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customXml" Target="../customXml/item2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Leonardo%20Pires\Downloads\download.xlsx" TargetMode="External"/><Relationship Id="rId1" Type="http://schemas.openxmlformats.org/officeDocument/2006/relationships/externalLinkPath" Target="file:///C:\Users\Leonardo%20Pires\Downloads\download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Hist."/>
      <sheetName val="Parâmetros (não excluir)"/>
      <sheetName val="GESTOR "/>
      <sheetName val="LICITANTE"/>
      <sheetName val="Memorial"/>
      <sheetName val="Resumo"/>
      <sheetName val="Item 2"/>
      <sheetName val="Catálogo"/>
      <sheetName val="MO Total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P19"/>
      <sheetName val="P20"/>
      <sheetName val="Notas Exp."/>
      <sheetName val="Det. - Mod. 2 e 5"/>
      <sheetName val="PisCofins"/>
      <sheetName val="SIMPLES"/>
      <sheetName val="Subst. Férias"/>
      <sheetName val="Conta Vinc."/>
    </sheetNames>
    <sheetDataSet>
      <sheetData sheetId="0" refreshError="1"/>
      <sheetData sheetId="1">
        <row r="1">
          <cell r="G1" t="str">
            <v>SIM</v>
          </cell>
          <cell r="I1">
            <v>0</v>
          </cell>
        </row>
        <row r="2">
          <cell r="G2" t="str">
            <v>NÃO</v>
          </cell>
          <cell r="I2">
            <v>0.01</v>
          </cell>
        </row>
        <row r="3">
          <cell r="I3">
            <v>0.02</v>
          </cell>
        </row>
        <row r="4">
          <cell r="I4">
            <v>0.03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  <sheetData sheetId="30" refreshError="1"/>
      <sheetData sheetId="31" refreshError="1"/>
      <sheetData sheetId="32" refreshError="1"/>
      <sheetData sheetId="33" refreshError="1"/>
      <sheetData sheetId="34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68D282-5035-474F-9B6C-B78CA386F6E3}">
  <sheetPr codeName="Planilha1"/>
  <dimension ref="A1:F36"/>
  <sheetViews>
    <sheetView tabSelected="1" workbookViewId="0">
      <selection activeCell="D9" sqref="D9"/>
    </sheetView>
  </sheetViews>
  <sheetFormatPr defaultColWidth="0" defaultRowHeight="15" zeroHeight="1" x14ac:dyDescent="0.25"/>
  <cols>
    <col min="1" max="1" width="9.140625" customWidth="1"/>
    <col min="2" max="2" width="14.140625" bestFit="1" customWidth="1"/>
    <col min="3" max="3" width="44.85546875" bestFit="1" customWidth="1"/>
    <col min="4" max="4" width="13.28515625" bestFit="1" customWidth="1"/>
    <col min="5" max="5" width="14" customWidth="1"/>
    <col min="6" max="6" width="9.140625" customWidth="1"/>
    <col min="7" max="16384" width="9.140625" hidden="1"/>
  </cols>
  <sheetData>
    <row r="1" spans="2:5" ht="15.75" thickBot="1" x14ac:dyDescent="0.3">
      <c r="E1" s="129">
        <v>2025</v>
      </c>
    </row>
    <row r="2" spans="2:5" ht="15.75" thickBot="1" x14ac:dyDescent="0.3">
      <c r="B2" s="123" t="s">
        <v>30</v>
      </c>
      <c r="C2" s="124" t="s">
        <v>31</v>
      </c>
      <c r="D2" s="124" t="s">
        <v>92</v>
      </c>
      <c r="E2" s="125" t="s">
        <v>192</v>
      </c>
    </row>
    <row r="3" spans="2:5" x14ac:dyDescent="0.25">
      <c r="B3" s="130" t="s">
        <v>32</v>
      </c>
      <c r="C3" s="131" t="s">
        <v>33</v>
      </c>
      <c r="D3" s="127">
        <v>12073.7</v>
      </c>
      <c r="E3" s="132">
        <f>'ARQSOF-01'!$D$84</f>
        <v>1.97</v>
      </c>
    </row>
    <row r="4" spans="2:5" x14ac:dyDescent="0.25">
      <c r="B4" s="133" t="s">
        <v>34</v>
      </c>
      <c r="C4" s="134" t="s">
        <v>35</v>
      </c>
      <c r="D4" s="126">
        <v>18542.264999999999</v>
      </c>
      <c r="E4" s="135">
        <f>'ARQSOF-02'!$D$84</f>
        <v>1.94</v>
      </c>
    </row>
    <row r="5" spans="2:5" x14ac:dyDescent="0.25">
      <c r="B5" s="133" t="s">
        <v>36</v>
      </c>
      <c r="C5" s="134" t="s">
        <v>37</v>
      </c>
      <c r="D5" s="126">
        <v>5412.32</v>
      </c>
      <c r="E5" s="135">
        <f>'ATQ-01'!$D$84</f>
        <v>2.0999999999999996</v>
      </c>
    </row>
    <row r="6" spans="2:5" x14ac:dyDescent="0.25">
      <c r="B6" s="133" t="s">
        <v>38</v>
      </c>
      <c r="C6" s="134" t="s">
        <v>39</v>
      </c>
      <c r="D6" s="126">
        <v>7795.75</v>
      </c>
      <c r="E6" s="135">
        <f>'ATQ-02'!$D$84</f>
        <v>2.0199999999999996</v>
      </c>
    </row>
    <row r="7" spans="2:5" x14ac:dyDescent="0.25">
      <c r="B7" s="133" t="s">
        <v>40</v>
      </c>
      <c r="C7" s="134" t="s">
        <v>41</v>
      </c>
      <c r="D7" s="126">
        <v>11081.16</v>
      </c>
      <c r="E7" s="135">
        <f>'ATQ-03'!$D$84</f>
        <v>1.98</v>
      </c>
    </row>
    <row r="8" spans="2:5" x14ac:dyDescent="0.25">
      <c r="B8" s="133" t="s">
        <v>42</v>
      </c>
      <c r="C8" s="134" t="s">
        <v>43</v>
      </c>
      <c r="D8" s="126">
        <v>6500</v>
      </c>
      <c r="E8" s="135">
        <f>'DESENV-01'!$D$84</f>
        <v>2.0599999999999996</v>
      </c>
    </row>
    <row r="9" spans="2:5" x14ac:dyDescent="0.25">
      <c r="B9" s="133" t="s">
        <v>44</v>
      </c>
      <c r="C9" s="134" t="s">
        <v>45</v>
      </c>
      <c r="D9" s="126">
        <v>10713.725</v>
      </c>
      <c r="E9" s="135">
        <f>'DESENV-02'!$D$84</f>
        <v>1.98</v>
      </c>
    </row>
    <row r="10" spans="2:5" x14ac:dyDescent="0.25">
      <c r="B10" s="133" t="s">
        <v>46</v>
      </c>
      <c r="C10" s="134" t="s">
        <v>47</v>
      </c>
      <c r="D10" s="126">
        <v>15750</v>
      </c>
      <c r="E10" s="135">
        <f>'DESENV-03'!$D$84</f>
        <v>1.95</v>
      </c>
    </row>
    <row r="11" spans="2:5" x14ac:dyDescent="0.25">
      <c r="B11" s="133" t="s">
        <v>48</v>
      </c>
      <c r="C11" s="134" t="s">
        <v>49</v>
      </c>
      <c r="D11" s="126">
        <v>6567.23</v>
      </c>
      <c r="E11" s="135">
        <f>'ANR-01'!$D$84</f>
        <v>2.0599999999999996</v>
      </c>
    </row>
    <row r="12" spans="2:5" x14ac:dyDescent="0.25">
      <c r="B12" s="133" t="s">
        <v>50</v>
      </c>
      <c r="C12" s="134" t="s">
        <v>51</v>
      </c>
      <c r="D12" s="126">
        <v>8744.98</v>
      </c>
      <c r="E12" s="135">
        <f>'ANR-02'!$D$84</f>
        <v>2.0099999999999998</v>
      </c>
    </row>
    <row r="13" spans="2:5" x14ac:dyDescent="0.25">
      <c r="B13" s="133" t="s">
        <v>52</v>
      </c>
      <c r="C13" s="134" t="s">
        <v>53</v>
      </c>
      <c r="D13" s="126">
        <v>11227.93</v>
      </c>
      <c r="E13" s="135">
        <f>'ANR-03'!$D$84</f>
        <v>1.98</v>
      </c>
    </row>
    <row r="14" spans="2:5" x14ac:dyDescent="0.25">
      <c r="B14" s="133" t="s">
        <v>54</v>
      </c>
      <c r="C14" s="134" t="s">
        <v>55</v>
      </c>
      <c r="D14" s="126">
        <v>7375.32</v>
      </c>
      <c r="E14" s="135">
        <f>'ABI-01'!$D$84</f>
        <v>2.0399999999999996</v>
      </c>
    </row>
    <row r="15" spans="2:5" x14ac:dyDescent="0.25">
      <c r="B15" s="133" t="s">
        <v>56</v>
      </c>
      <c r="C15" s="134" t="s">
        <v>57</v>
      </c>
      <c r="D15" s="126">
        <v>10760.154999999999</v>
      </c>
      <c r="E15" s="135">
        <f>'ABI-02'!$D$84</f>
        <v>1.98</v>
      </c>
    </row>
    <row r="16" spans="2:5" x14ac:dyDescent="0.25">
      <c r="B16" s="133" t="s">
        <v>58</v>
      </c>
      <c r="C16" s="134" t="s">
        <v>59</v>
      </c>
      <c r="D16" s="126">
        <v>14083.333333333334</v>
      </c>
      <c r="E16" s="135">
        <f>'ABI-03'!D84</f>
        <v>1.96</v>
      </c>
    </row>
    <row r="17" spans="2:5" x14ac:dyDescent="0.25">
      <c r="B17" s="133" t="s">
        <v>60</v>
      </c>
      <c r="C17" s="134" t="s">
        <v>61</v>
      </c>
      <c r="D17" s="126">
        <v>7714.04</v>
      </c>
      <c r="E17" s="135">
        <f>'ADADOS-02'!$D$84</f>
        <v>2.0299999999999998</v>
      </c>
    </row>
    <row r="18" spans="2:5" x14ac:dyDescent="0.25">
      <c r="B18" s="133" t="s">
        <v>62</v>
      </c>
      <c r="C18" s="134" t="s">
        <v>63</v>
      </c>
      <c r="D18" s="126">
        <v>11345.668333333335</v>
      </c>
      <c r="E18" s="135">
        <f>'ADADOS-03'!$D$84</f>
        <v>1.97</v>
      </c>
    </row>
    <row r="19" spans="2:5" x14ac:dyDescent="0.25">
      <c r="B19" s="133" t="s">
        <v>64</v>
      </c>
      <c r="C19" s="134" t="s">
        <v>65</v>
      </c>
      <c r="D19" s="126">
        <v>16966.666666666668</v>
      </c>
      <c r="E19" s="135">
        <f>LDESENV!$D$84</f>
        <v>1.94</v>
      </c>
    </row>
    <row r="20" spans="2:5" x14ac:dyDescent="0.25">
      <c r="B20" s="133" t="s">
        <v>66</v>
      </c>
      <c r="C20" s="134" t="s">
        <v>67</v>
      </c>
      <c r="D20" s="126">
        <v>11966.666666666666</v>
      </c>
      <c r="E20" s="135">
        <f>SCRUM!$D$84</f>
        <v>1.97</v>
      </c>
    </row>
    <row r="21" spans="2:5" x14ac:dyDescent="0.25">
      <c r="B21" s="133" t="s">
        <v>68</v>
      </c>
      <c r="C21" s="134" t="s">
        <v>69</v>
      </c>
      <c r="D21" s="126">
        <v>15048.000000000002</v>
      </c>
      <c r="E21" s="135">
        <f>GERPRO!$D$84</f>
        <v>1.95</v>
      </c>
    </row>
    <row r="22" spans="2:5" x14ac:dyDescent="0.25">
      <c r="B22" s="133" t="s">
        <v>70</v>
      </c>
      <c r="C22" s="134" t="s">
        <v>71</v>
      </c>
      <c r="D22" s="126">
        <v>7656.4811111111112</v>
      </c>
      <c r="E22" s="135">
        <f>'AUX_UI-01'!D84</f>
        <v>2.0299999999999998</v>
      </c>
    </row>
    <row r="23" spans="2:5" x14ac:dyDescent="0.25">
      <c r="B23" s="133" t="s">
        <v>72</v>
      </c>
      <c r="C23" s="134" t="s">
        <v>73</v>
      </c>
      <c r="D23" s="126">
        <v>12516.666666666666</v>
      </c>
      <c r="E23" s="135">
        <f>'AUX_UI-02'!D84</f>
        <v>1.97</v>
      </c>
    </row>
    <row r="24" spans="2:5" x14ac:dyDescent="0.25">
      <c r="B24" s="133" t="s">
        <v>193</v>
      </c>
      <c r="C24" s="134" t="s">
        <v>74</v>
      </c>
      <c r="D24" s="126">
        <v>8229</v>
      </c>
      <c r="E24" s="135">
        <f>'CDADOS-01'!$D$84</f>
        <v>2.0199999999999996</v>
      </c>
    </row>
    <row r="25" spans="2:5" x14ac:dyDescent="0.25">
      <c r="B25" s="133" t="s">
        <v>194</v>
      </c>
      <c r="C25" s="134" t="s">
        <v>75</v>
      </c>
      <c r="D25" s="126">
        <v>13173.333333333334</v>
      </c>
      <c r="E25" s="135">
        <f>'CDADOS-02'!$D$84</f>
        <v>1.96</v>
      </c>
    </row>
    <row r="26" spans="2:5" x14ac:dyDescent="0.25">
      <c r="B26" s="133" t="s">
        <v>195</v>
      </c>
      <c r="C26" s="134" t="s">
        <v>76</v>
      </c>
      <c r="D26" s="126">
        <v>19000</v>
      </c>
      <c r="E26" s="135">
        <f>'CDADOS-03'!$D$84</f>
        <v>1.94</v>
      </c>
    </row>
    <row r="27" spans="2:5" x14ac:dyDescent="0.25">
      <c r="B27" s="133" t="s">
        <v>196</v>
      </c>
      <c r="C27" s="134" t="s">
        <v>77</v>
      </c>
      <c r="D27" s="126">
        <v>9038</v>
      </c>
      <c r="E27" s="135">
        <f>'ARQDADOS-01'!$D$84</f>
        <v>2</v>
      </c>
    </row>
    <row r="28" spans="2:5" x14ac:dyDescent="0.25">
      <c r="B28" s="133" t="s">
        <v>197</v>
      </c>
      <c r="C28" s="134" t="s">
        <v>78</v>
      </c>
      <c r="D28" s="126">
        <v>13590</v>
      </c>
      <c r="E28" s="135">
        <f>'ARQDADOS-02'!$D$84</f>
        <v>1.96</v>
      </c>
    </row>
    <row r="29" spans="2:5" x14ac:dyDescent="0.25">
      <c r="B29" s="133" t="s">
        <v>198</v>
      </c>
      <c r="C29" s="134" t="s">
        <v>79</v>
      </c>
      <c r="D29" s="126">
        <v>18000</v>
      </c>
      <c r="E29" s="135">
        <f>'ARQDADOS-03'!$D$84</f>
        <v>1.94</v>
      </c>
    </row>
    <row r="30" spans="2:5" x14ac:dyDescent="0.25">
      <c r="B30" s="133" t="s">
        <v>80</v>
      </c>
      <c r="C30" s="134" t="s">
        <v>81</v>
      </c>
      <c r="D30" s="126">
        <v>8500</v>
      </c>
      <c r="E30" s="135">
        <f>'IA-ENG-01'!$D$84</f>
        <v>2.0099999999999998</v>
      </c>
    </row>
    <row r="31" spans="2:5" x14ac:dyDescent="0.25">
      <c r="B31" s="133" t="s">
        <v>82</v>
      </c>
      <c r="C31" s="134" t="s">
        <v>83</v>
      </c>
      <c r="D31" s="126">
        <v>13966.666666666666</v>
      </c>
      <c r="E31" s="135">
        <f>'IA-ENG-02'!$D$84</f>
        <v>1.96</v>
      </c>
    </row>
    <row r="32" spans="2:5" x14ac:dyDescent="0.25">
      <c r="B32" s="133" t="s">
        <v>84</v>
      </c>
      <c r="C32" s="134" t="s">
        <v>85</v>
      </c>
      <c r="D32" s="126">
        <v>16500</v>
      </c>
      <c r="E32" s="135">
        <f>'IA-ENG-03'!$D$84</f>
        <v>1.94</v>
      </c>
    </row>
    <row r="33" spans="2:5" x14ac:dyDescent="0.25">
      <c r="B33" s="133" t="s">
        <v>86</v>
      </c>
      <c r="C33" s="134" t="s">
        <v>87</v>
      </c>
      <c r="D33" s="126">
        <v>5412.32</v>
      </c>
      <c r="E33" s="135">
        <f>'METRICA-01'!$D$84</f>
        <v>2.0999999999999996</v>
      </c>
    </row>
    <row r="34" spans="2:5" x14ac:dyDescent="0.25">
      <c r="B34" s="133" t="s">
        <v>88</v>
      </c>
      <c r="C34" s="134" t="s">
        <v>89</v>
      </c>
      <c r="D34" s="126">
        <v>7795.75</v>
      </c>
      <c r="E34" s="135">
        <f>'METRICA-02'!$D$84</f>
        <v>2.0199999999999996</v>
      </c>
    </row>
    <row r="35" spans="2:5" ht="15.75" thickBot="1" x14ac:dyDescent="0.3">
      <c r="B35" s="136" t="s">
        <v>90</v>
      </c>
      <c r="C35" s="137" t="s">
        <v>91</v>
      </c>
      <c r="D35" s="128">
        <v>11081.16</v>
      </c>
      <c r="E35" s="138">
        <f>'METRICA-03'!$D$84</f>
        <v>1.98</v>
      </c>
    </row>
    <row r="36" spans="2:5" x14ac:dyDescent="0.25"/>
  </sheetData>
  <pageMargins left="0.511811024" right="0.511811024" top="0.78740157499999996" bottom="0.78740157499999996" header="0.31496062000000002" footer="0.3149606200000000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FCB869-C55D-4736-AB23-C2A9293E9103}">
  <sheetPr codeName="Planilha10"/>
  <dimension ref="A1:D86"/>
  <sheetViews>
    <sheetView zoomScaleNormal="100" workbookViewId="0">
      <selection activeCell="F24" sqref="F24:F31"/>
    </sheetView>
  </sheetViews>
  <sheetFormatPr defaultColWidth="0" defaultRowHeight="12" zeroHeight="1" x14ac:dyDescent="0.2"/>
  <cols>
    <col min="1" max="1" width="5.85546875" style="107" customWidth="1"/>
    <col min="2" max="2" width="83.28515625" style="107" customWidth="1"/>
    <col min="3" max="3" width="12.42578125" style="107" customWidth="1"/>
    <col min="4" max="4" width="15.42578125" style="107" customWidth="1"/>
    <col min="5" max="5" width="9.140625" style="107" hidden="1" customWidth="1"/>
    <col min="6" max="16384" width="9.140625" style="107" hidden="1"/>
  </cols>
  <sheetData>
    <row r="1" spans="1:4" ht="12.75" thickBot="1" x14ac:dyDescent="0.25">
      <c r="A1" s="180" t="str">
        <f>PERFIS!C10</f>
        <v>Desenvolvedor de Software - Sênior</v>
      </c>
      <c r="B1" s="181"/>
      <c r="C1" s="181"/>
      <c r="D1" s="182"/>
    </row>
    <row r="2" spans="1:4" x14ac:dyDescent="0.2">
      <c r="A2" s="110"/>
      <c r="B2" s="110"/>
      <c r="C2" s="110"/>
      <c r="D2" s="110"/>
    </row>
    <row r="3" spans="1:4" x14ac:dyDescent="0.2">
      <c r="A3" s="169" t="s">
        <v>93</v>
      </c>
      <c r="B3" s="170"/>
      <c r="C3" s="170"/>
      <c r="D3" s="171"/>
    </row>
    <row r="4" spans="1:4" x14ac:dyDescent="0.2">
      <c r="A4" s="172" t="s">
        <v>94</v>
      </c>
      <c r="B4" s="173"/>
      <c r="C4" s="173"/>
      <c r="D4" s="174"/>
    </row>
    <row r="5" spans="1:4" x14ac:dyDescent="0.2">
      <c r="A5" s="1">
        <v>1</v>
      </c>
      <c r="B5" s="2" t="s">
        <v>115</v>
      </c>
      <c r="C5" s="3"/>
      <c r="D5" s="1" t="s">
        <v>1</v>
      </c>
    </row>
    <row r="6" spans="1:4" x14ac:dyDescent="0.2">
      <c r="A6" s="4" t="s">
        <v>2</v>
      </c>
      <c r="B6" s="5" t="s">
        <v>116</v>
      </c>
      <c r="C6" s="6">
        <v>1</v>
      </c>
      <c r="D6" s="7">
        <f>_xlfn.XLOOKUP(A1,PERFIS!C3:C35,PERFIS!D3:D35)</f>
        <v>15750</v>
      </c>
    </row>
    <row r="7" spans="1:4" x14ac:dyDescent="0.2">
      <c r="A7" s="9" t="s">
        <v>95</v>
      </c>
      <c r="B7" s="10"/>
      <c r="C7" s="11"/>
      <c r="D7" s="12">
        <f>SUM(D6)</f>
        <v>15750</v>
      </c>
    </row>
    <row r="8" spans="1:4" x14ac:dyDescent="0.2">
      <c r="A8" s="13"/>
      <c r="B8" s="14"/>
      <c r="C8" s="15"/>
      <c r="D8" s="16"/>
    </row>
    <row r="9" spans="1:4" x14ac:dyDescent="0.2">
      <c r="A9" s="172" t="s">
        <v>96</v>
      </c>
      <c r="B9" s="173"/>
      <c r="C9" s="173"/>
      <c r="D9" s="174"/>
    </row>
    <row r="10" spans="1:4" x14ac:dyDescent="0.2">
      <c r="A10" s="175" t="s">
        <v>190</v>
      </c>
      <c r="B10" s="176"/>
      <c r="C10" s="176"/>
      <c r="D10" s="177"/>
    </row>
    <row r="11" spans="1:4" x14ac:dyDescent="0.2">
      <c r="A11" s="17" t="s">
        <v>9</v>
      </c>
      <c r="B11" s="2" t="s">
        <v>115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117</v>
      </c>
      <c r="C12" s="21">
        <f>COMPOSICAO!D3</f>
        <v>8.3333333333333329E-2</v>
      </c>
      <c r="D12" s="22">
        <f>C12*$D$7</f>
        <v>1312.5</v>
      </c>
    </row>
    <row r="13" spans="1:4" x14ac:dyDescent="0.2">
      <c r="A13" s="19" t="s">
        <v>3</v>
      </c>
      <c r="B13" s="20" t="s">
        <v>185</v>
      </c>
      <c r="C13" s="21">
        <f>COMPOSICAO!D4</f>
        <v>7.7777777777777779E-2</v>
      </c>
      <c r="D13" s="22">
        <f>C13*$D$7</f>
        <v>1225</v>
      </c>
    </row>
    <row r="14" spans="1:4" x14ac:dyDescent="0.2">
      <c r="A14" s="178" t="s">
        <v>191</v>
      </c>
      <c r="B14" s="179"/>
      <c r="C14" s="23">
        <f>SUM(C12:C13)</f>
        <v>0.16111111111111109</v>
      </c>
      <c r="D14" s="12">
        <f>SUM(D12:D13)</f>
        <v>2537.5</v>
      </c>
    </row>
    <row r="15" spans="1:4" x14ac:dyDescent="0.2">
      <c r="A15" s="13"/>
      <c r="B15" s="14"/>
      <c r="C15" s="24"/>
      <c r="D15" s="16"/>
    </row>
    <row r="16" spans="1:4" x14ac:dyDescent="0.2">
      <c r="A16" s="194" t="s">
        <v>98</v>
      </c>
      <c r="B16" s="195"/>
      <c r="C16" s="195"/>
      <c r="D16" s="196"/>
    </row>
    <row r="17" spans="1:4" x14ac:dyDescent="0.2">
      <c r="A17" s="17" t="s">
        <v>10</v>
      </c>
      <c r="B17" s="2" t="s">
        <v>115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118</v>
      </c>
      <c r="C18" s="21">
        <v>0.05</v>
      </c>
      <c r="D18" s="22">
        <f>C18*($D$7+$D$14)</f>
        <v>914.375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457.1875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548.625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274.3125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182.875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109.72500000000001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36.575000000000003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1463</v>
      </c>
    </row>
    <row r="26" spans="1:4" x14ac:dyDescent="0.2">
      <c r="A26" s="192" t="s">
        <v>99</v>
      </c>
      <c r="B26" s="193"/>
      <c r="C26" s="27">
        <f>SUM(C18:C25)</f>
        <v>0.21800000000000003</v>
      </c>
      <c r="D26" s="28">
        <f>SUM(D18:D25)</f>
        <v>3986.6749999999997</v>
      </c>
    </row>
    <row r="27" spans="1:4" x14ac:dyDescent="0.2">
      <c r="A27" s="13"/>
      <c r="B27" s="14"/>
      <c r="C27" s="29"/>
      <c r="D27" s="16"/>
    </row>
    <row r="28" spans="1:4" x14ac:dyDescent="0.2">
      <c r="A28" s="194" t="s">
        <v>100</v>
      </c>
      <c r="B28" s="195"/>
      <c r="C28" s="195"/>
      <c r="D28" s="196"/>
    </row>
    <row r="29" spans="1:4" x14ac:dyDescent="0.2">
      <c r="A29" s="17" t="s">
        <v>19</v>
      </c>
      <c r="B29" s="194" t="s">
        <v>115</v>
      </c>
      <c r="C29" s="196"/>
      <c r="D29" s="17" t="s">
        <v>1</v>
      </c>
    </row>
    <row r="30" spans="1:4" x14ac:dyDescent="0.2">
      <c r="A30" s="183" t="s">
        <v>2</v>
      </c>
      <c r="B30" s="30" t="s">
        <v>119</v>
      </c>
      <c r="C30" s="31"/>
      <c r="D30" s="7">
        <f>COMPOSICAO!D20*2*22</f>
        <v>242</v>
      </c>
    </row>
    <row r="31" spans="1:4" x14ac:dyDescent="0.2">
      <c r="A31" s="184"/>
      <c r="B31" s="30" t="s">
        <v>20</v>
      </c>
      <c r="C31" s="31"/>
      <c r="D31" s="7">
        <f>D6*COMPOSICAO!D21</f>
        <v>945</v>
      </c>
    </row>
    <row r="32" spans="1:4" x14ac:dyDescent="0.2">
      <c r="A32" s="185"/>
      <c r="B32" s="88" t="s">
        <v>21</v>
      </c>
      <c r="C32" s="89"/>
      <c r="D32" s="39">
        <f>IF(D30-D31&gt;0,D30-D31,0)</f>
        <v>0</v>
      </c>
    </row>
    <row r="33" spans="1:4" x14ac:dyDescent="0.2">
      <c r="A33" s="183" t="s">
        <v>3</v>
      </c>
      <c r="B33" s="30" t="s">
        <v>120</v>
      </c>
      <c r="D33" s="7">
        <f>COMPOSICAO!D23*22</f>
        <v>814</v>
      </c>
    </row>
    <row r="34" spans="1:4" x14ac:dyDescent="0.2">
      <c r="A34" s="184"/>
      <c r="B34" s="30" t="s">
        <v>181</v>
      </c>
      <c r="C34" s="104" cm="1">
        <f t="array" ref="C34">_xlfn.IFS(D6&lt;2407,COMPOSICAO!D25,D6&lt;4073.39,COMPOSICAO!D26,D6&lt;5924.92,COMPOSICAO!D27,D6&lt;7406.17,COMPOSICAO!D28,D6&lt;9072.58,COMPOSICAO!D29,D6&gt;9072.59,COMPOSICAO!D30)</f>
        <v>0.15</v>
      </c>
      <c r="D34" s="7">
        <f>D33*C34</f>
        <v>122.1</v>
      </c>
    </row>
    <row r="35" spans="1:4" x14ac:dyDescent="0.2">
      <c r="A35" s="185"/>
      <c r="B35" s="88" t="s">
        <v>182</v>
      </c>
      <c r="C35" s="90"/>
      <c r="D35" s="39">
        <f>D33-D34</f>
        <v>691.9</v>
      </c>
    </row>
    <row r="36" spans="1:4" x14ac:dyDescent="0.2">
      <c r="A36" s="4" t="s">
        <v>4</v>
      </c>
      <c r="B36" s="30" t="s">
        <v>167</v>
      </c>
      <c r="C36" s="31"/>
      <c r="D36" s="151">
        <f>COMPOSICAO!D31</f>
        <v>184.85</v>
      </c>
    </row>
    <row r="37" spans="1:4" x14ac:dyDescent="0.2">
      <c r="A37" s="9" t="s">
        <v>101</v>
      </c>
      <c r="B37" s="10"/>
      <c r="C37" s="11"/>
      <c r="D37" s="12">
        <f>SUM(D32,D35,D36)</f>
        <v>876.75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121</v>
      </c>
      <c r="C39" s="33"/>
      <c r="D39" s="17" t="s">
        <v>1</v>
      </c>
    </row>
    <row r="40" spans="1:4" x14ac:dyDescent="0.2">
      <c r="A40" s="4" t="s">
        <v>9</v>
      </c>
      <c r="B40" s="30" t="s">
        <v>122</v>
      </c>
      <c r="C40" s="34"/>
      <c r="D40" s="8">
        <f>D14</f>
        <v>2537.5</v>
      </c>
    </row>
    <row r="41" spans="1:4" x14ac:dyDescent="0.2">
      <c r="A41" s="4" t="s">
        <v>10</v>
      </c>
      <c r="B41" s="30" t="s">
        <v>123</v>
      </c>
      <c r="C41" s="34"/>
      <c r="D41" s="8">
        <f>D26</f>
        <v>3986.6749999999997</v>
      </c>
    </row>
    <row r="42" spans="1:4" x14ac:dyDescent="0.2">
      <c r="A42" s="4" t="s">
        <v>19</v>
      </c>
      <c r="B42" s="30" t="s">
        <v>124</v>
      </c>
      <c r="C42" s="34"/>
      <c r="D42" s="8">
        <f>D37</f>
        <v>876.75</v>
      </c>
    </row>
    <row r="43" spans="1:4" x14ac:dyDescent="0.2">
      <c r="A43" s="178" t="s">
        <v>102</v>
      </c>
      <c r="B43" s="189"/>
      <c r="C43" s="35"/>
      <c r="D43" s="12">
        <f>SUM(D40:D42)</f>
        <v>7400.9249999999993</v>
      </c>
    </row>
    <row r="44" spans="1:4" x14ac:dyDescent="0.2">
      <c r="A44" s="13"/>
      <c r="B44" s="14"/>
      <c r="C44" s="15"/>
      <c r="D44" s="16"/>
    </row>
    <row r="45" spans="1:4" x14ac:dyDescent="0.2">
      <c r="A45" s="172" t="s">
        <v>103</v>
      </c>
      <c r="B45" s="173"/>
      <c r="C45" s="173"/>
      <c r="D45" s="174"/>
    </row>
    <row r="46" spans="1:4" x14ac:dyDescent="0.2">
      <c r="A46" s="17">
        <v>3</v>
      </c>
      <c r="B46" s="2" t="s">
        <v>115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65.625</v>
      </c>
    </row>
    <row r="48" spans="1:4" x14ac:dyDescent="0.2">
      <c r="A48" s="4" t="s">
        <v>3</v>
      </c>
      <c r="B48" s="30" t="s">
        <v>125</v>
      </c>
      <c r="C48" s="37">
        <f>COMPOSICAO!D35</f>
        <v>3.3333333333333332E-4</v>
      </c>
      <c r="D48" s="22">
        <f>C48*$D$7</f>
        <v>5.25</v>
      </c>
    </row>
    <row r="49" spans="1:4" x14ac:dyDescent="0.2">
      <c r="A49" s="19" t="s">
        <v>4</v>
      </c>
      <c r="B49" s="20" t="s">
        <v>126</v>
      </c>
      <c r="C49" s="37">
        <f>COMPOSICAO!D36</f>
        <v>3.4399999999999993E-2</v>
      </c>
      <c r="D49" s="22">
        <f t="shared" ref="D49:D52" si="1">C49*$D$7</f>
        <v>541.79999999999984</v>
      </c>
    </row>
    <row r="50" spans="1:4" x14ac:dyDescent="0.2">
      <c r="A50" s="4" t="s">
        <v>5</v>
      </c>
      <c r="B50" s="30" t="s">
        <v>127</v>
      </c>
      <c r="C50" s="37">
        <f>COMPOSICAO!D37</f>
        <v>1.2444444444444444E-2</v>
      </c>
      <c r="D50" s="22">
        <f t="shared" si="1"/>
        <v>196</v>
      </c>
    </row>
    <row r="51" spans="1:4" x14ac:dyDescent="0.2">
      <c r="A51" s="4" t="s">
        <v>6</v>
      </c>
      <c r="B51" s="30" t="s">
        <v>128</v>
      </c>
      <c r="C51" s="37">
        <f>COMPOSICAO!D38</f>
        <v>4.5631999999999999E-3</v>
      </c>
      <c r="D51" s="22">
        <f t="shared" si="1"/>
        <v>71.870400000000004</v>
      </c>
    </row>
    <row r="52" spans="1:4" x14ac:dyDescent="0.2">
      <c r="A52" s="4" t="s">
        <v>7</v>
      </c>
      <c r="B52" s="30" t="s">
        <v>129</v>
      </c>
      <c r="C52" s="37">
        <f>COMPOSICAO!D39</f>
        <v>3.9680000000000005E-4</v>
      </c>
      <c r="D52" s="22">
        <f t="shared" si="1"/>
        <v>6.2496000000000009</v>
      </c>
    </row>
    <row r="53" spans="1:4" x14ac:dyDescent="0.2">
      <c r="A53" s="190" t="s">
        <v>104</v>
      </c>
      <c r="B53" s="191"/>
      <c r="C53" s="38">
        <f>SUM(C47:C52)</f>
        <v>5.6304444444444435E-2</v>
      </c>
      <c r="D53" s="39">
        <f>SUM(D47:D52)</f>
        <v>886.79499999999985</v>
      </c>
    </row>
    <row r="54" spans="1:4" x14ac:dyDescent="0.2">
      <c r="A54" s="13"/>
      <c r="B54" s="14"/>
      <c r="C54" s="40"/>
      <c r="D54" s="16"/>
    </row>
    <row r="55" spans="1:4" x14ac:dyDescent="0.2">
      <c r="A55" s="172" t="s">
        <v>105</v>
      </c>
      <c r="B55" s="173"/>
      <c r="C55" s="173"/>
      <c r="D55" s="174"/>
    </row>
    <row r="56" spans="1:4" x14ac:dyDescent="0.2">
      <c r="A56" s="17">
        <v>4</v>
      </c>
      <c r="B56" s="2" t="s">
        <v>115</v>
      </c>
      <c r="C56" s="36" t="s">
        <v>0</v>
      </c>
      <c r="D56" s="17" t="s">
        <v>1</v>
      </c>
    </row>
    <row r="57" spans="1:4" x14ac:dyDescent="0.2">
      <c r="A57" s="190" t="s">
        <v>106</v>
      </c>
      <c r="B57" s="191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2" t="s">
        <v>107</v>
      </c>
      <c r="B59" s="173"/>
      <c r="C59" s="173"/>
      <c r="D59" s="174"/>
    </row>
    <row r="60" spans="1:4" x14ac:dyDescent="0.2">
      <c r="A60" s="17">
        <v>5</v>
      </c>
      <c r="B60" s="43" t="s">
        <v>115</v>
      </c>
      <c r="C60" s="44"/>
      <c r="D60" s="45" t="s">
        <v>1</v>
      </c>
    </row>
    <row r="61" spans="1:4" x14ac:dyDescent="0.2">
      <c r="A61" s="9" t="s">
        <v>108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2" t="s">
        <v>109</v>
      </c>
      <c r="B63" s="173"/>
      <c r="C63" s="173"/>
      <c r="D63" s="174"/>
    </row>
    <row r="64" spans="1:4" x14ac:dyDescent="0.2">
      <c r="A64" s="17">
        <v>6</v>
      </c>
      <c r="B64" s="2" t="s">
        <v>115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130</v>
      </c>
      <c r="C65" s="53">
        <f>COMPOSICAO!D44</f>
        <v>0.05</v>
      </c>
      <c r="D65" s="12">
        <f>C65*$D$81</f>
        <v>1201.886</v>
      </c>
    </row>
    <row r="66" spans="1:4" x14ac:dyDescent="0.2">
      <c r="A66" s="51" t="s">
        <v>3</v>
      </c>
      <c r="B66" s="52" t="s">
        <v>131</v>
      </c>
      <c r="C66" s="53">
        <f>COMPOSICAO!D45</f>
        <v>0.1</v>
      </c>
      <c r="D66" s="12">
        <f>C66*($D$81+$D$65)</f>
        <v>2523.9605999999999</v>
      </c>
    </row>
    <row r="67" spans="1:4" x14ac:dyDescent="0.2">
      <c r="A67" s="51" t="s">
        <v>4</v>
      </c>
      <c r="B67" s="52" t="s">
        <v>132</v>
      </c>
      <c r="C67" s="53">
        <f>COMPOSICAO!D46</f>
        <v>9.2499999999999999E-2</v>
      </c>
      <c r="D67" s="12">
        <f>((D65+D66+D81)/(1-C67))-(D65+D66+D81)</f>
        <v>2829.8952181818204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198.85750181818182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917.80385454545456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611.86923636363633</v>
      </c>
    </row>
    <row r="71" spans="1:4" x14ac:dyDescent="0.2">
      <c r="A71" s="4" t="s">
        <v>29</v>
      </c>
      <c r="B71" s="106" t="s">
        <v>183</v>
      </c>
      <c r="C71" s="37">
        <f>COMPOSICAO!D50</f>
        <v>3.5999999999999997E-2</v>
      </c>
      <c r="D71" s="12">
        <f t="shared" si="2"/>
        <v>1101.3646254545454</v>
      </c>
    </row>
    <row r="72" spans="1:4" x14ac:dyDescent="0.2">
      <c r="A72" s="178" t="s">
        <v>110</v>
      </c>
      <c r="B72" s="179"/>
      <c r="C72" s="55">
        <f>SUM(C65:C67)</f>
        <v>0.24250000000000002</v>
      </c>
      <c r="D72" s="12">
        <f>SUM(D65:D67)</f>
        <v>6555.7418181818202</v>
      </c>
    </row>
    <row r="73" spans="1:4" x14ac:dyDescent="0.2">
      <c r="A73" s="13"/>
      <c r="B73" s="14"/>
      <c r="C73" s="15"/>
      <c r="D73" s="16"/>
    </row>
    <row r="74" spans="1:4" x14ac:dyDescent="0.2">
      <c r="A74" s="186" t="s">
        <v>111</v>
      </c>
      <c r="B74" s="187"/>
      <c r="C74" s="187"/>
      <c r="D74" s="188"/>
    </row>
    <row r="75" spans="1:4" x14ac:dyDescent="0.2">
      <c r="A75" s="26" t="s">
        <v>112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133</v>
      </c>
      <c r="C76" s="58"/>
      <c r="D76" s="8">
        <f>D7</f>
        <v>15750</v>
      </c>
    </row>
    <row r="77" spans="1:4" x14ac:dyDescent="0.2">
      <c r="A77" s="4">
        <v>2</v>
      </c>
      <c r="B77" s="46" t="s">
        <v>134</v>
      </c>
      <c r="C77" s="58"/>
      <c r="D77" s="8">
        <f>D43</f>
        <v>7400.9249999999993</v>
      </c>
    </row>
    <row r="78" spans="1:4" x14ac:dyDescent="0.2">
      <c r="A78" s="4">
        <v>3</v>
      </c>
      <c r="B78" s="46" t="s">
        <v>135</v>
      </c>
      <c r="C78" s="58"/>
      <c r="D78" s="8">
        <f>D53</f>
        <v>886.79499999999985</v>
      </c>
    </row>
    <row r="79" spans="1:4" x14ac:dyDescent="0.2">
      <c r="A79" s="4">
        <v>4</v>
      </c>
      <c r="B79" s="46" t="s">
        <v>136</v>
      </c>
      <c r="C79" s="58"/>
      <c r="D79" s="8">
        <v>0</v>
      </c>
    </row>
    <row r="80" spans="1:4" x14ac:dyDescent="0.2">
      <c r="A80" s="4">
        <v>5</v>
      </c>
      <c r="B80" s="46" t="s">
        <v>137</v>
      </c>
      <c r="C80" s="58"/>
      <c r="D80" s="8">
        <v>0</v>
      </c>
    </row>
    <row r="81" spans="1:4" x14ac:dyDescent="0.2">
      <c r="A81" s="59" t="s">
        <v>113</v>
      </c>
      <c r="B81" s="10"/>
      <c r="C81" s="11"/>
      <c r="D81" s="12">
        <f>SUM(D76:D80)</f>
        <v>24037.719999999998</v>
      </c>
    </row>
    <row r="82" spans="1:4" x14ac:dyDescent="0.2">
      <c r="A82" s="4">
        <v>6</v>
      </c>
      <c r="B82" s="46" t="s">
        <v>138</v>
      </c>
      <c r="C82" s="58"/>
      <c r="D82" s="8">
        <f>D72</f>
        <v>6555.7418181818202</v>
      </c>
    </row>
    <row r="83" spans="1:4" x14ac:dyDescent="0.2">
      <c r="A83" s="178" t="s">
        <v>114</v>
      </c>
      <c r="B83" s="189"/>
      <c r="C83" s="179"/>
      <c r="D83" s="60">
        <f>SUM(D81:D82)</f>
        <v>30593.461818181819</v>
      </c>
    </row>
    <row r="84" spans="1:4" x14ac:dyDescent="0.2">
      <c r="C84" s="108" t="s">
        <v>187</v>
      </c>
      <c r="D84" s="109">
        <f>ROUNDUP(D83/D76,2)</f>
        <v>1.95</v>
      </c>
    </row>
    <row r="85" spans="1:4" x14ac:dyDescent="0.2"/>
    <row r="86" spans="1:4" hidden="1" x14ac:dyDescent="0.2">
      <c r="D86" s="111"/>
    </row>
  </sheetData>
  <mergeCells count="22"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</mergeCells>
  <conditionalFormatting sqref="B69">
    <cfRule type="expression" dxfId="25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9175FB-0891-4F69-BDCE-82B66CE3FBD9}">
  <sheetPr codeName="Planilha11"/>
  <dimension ref="A1:D86"/>
  <sheetViews>
    <sheetView zoomScaleNormal="100" workbookViewId="0">
      <selection activeCell="F24" sqref="F24:F31"/>
    </sheetView>
  </sheetViews>
  <sheetFormatPr defaultColWidth="0" defaultRowHeight="12" zeroHeight="1" x14ac:dyDescent="0.2"/>
  <cols>
    <col min="1" max="1" width="5.85546875" style="107" customWidth="1"/>
    <col min="2" max="2" width="83.28515625" style="107" customWidth="1"/>
    <col min="3" max="3" width="12.42578125" style="107" customWidth="1"/>
    <col min="4" max="4" width="15.42578125" style="107" customWidth="1"/>
    <col min="5" max="5" width="9.140625" style="107" hidden="1" customWidth="1"/>
    <col min="6" max="16384" width="9.140625" style="107" hidden="1"/>
  </cols>
  <sheetData>
    <row r="1" spans="1:4" ht="12.75" thickBot="1" x14ac:dyDescent="0.25">
      <c r="A1" s="180" t="str">
        <f>PERFIS!C11</f>
        <v>Analista de Negócios/Requisitos Júnior</v>
      </c>
      <c r="B1" s="181"/>
      <c r="C1" s="181"/>
      <c r="D1" s="182"/>
    </row>
    <row r="2" spans="1:4" x14ac:dyDescent="0.2">
      <c r="A2" s="110"/>
      <c r="B2" s="110"/>
      <c r="C2" s="110"/>
      <c r="D2" s="110"/>
    </row>
    <row r="3" spans="1:4" x14ac:dyDescent="0.2">
      <c r="A3" s="169" t="s">
        <v>93</v>
      </c>
      <c r="B3" s="170"/>
      <c r="C3" s="170"/>
      <c r="D3" s="171"/>
    </row>
    <row r="4" spans="1:4" x14ac:dyDescent="0.2">
      <c r="A4" s="172" t="s">
        <v>94</v>
      </c>
      <c r="B4" s="173"/>
      <c r="C4" s="173"/>
      <c r="D4" s="174"/>
    </row>
    <row r="5" spans="1:4" x14ac:dyDescent="0.2">
      <c r="A5" s="1">
        <v>1</v>
      </c>
      <c r="B5" s="2" t="s">
        <v>115</v>
      </c>
      <c r="C5" s="3"/>
      <c r="D5" s="1" t="s">
        <v>1</v>
      </c>
    </row>
    <row r="6" spans="1:4" x14ac:dyDescent="0.2">
      <c r="A6" s="4" t="s">
        <v>2</v>
      </c>
      <c r="B6" s="5" t="s">
        <v>116</v>
      </c>
      <c r="C6" s="6">
        <v>1</v>
      </c>
      <c r="D6" s="7">
        <f>_xlfn.XLOOKUP(A1,PERFIS!C3:C35,PERFIS!D3:D35)</f>
        <v>6567.23</v>
      </c>
    </row>
    <row r="7" spans="1:4" x14ac:dyDescent="0.2">
      <c r="A7" s="9" t="s">
        <v>95</v>
      </c>
      <c r="B7" s="10"/>
      <c r="C7" s="11"/>
      <c r="D7" s="12">
        <f>SUM(D6)</f>
        <v>6567.23</v>
      </c>
    </row>
    <row r="8" spans="1:4" x14ac:dyDescent="0.2">
      <c r="A8" s="13"/>
      <c r="B8" s="14"/>
      <c r="C8" s="15"/>
      <c r="D8" s="16"/>
    </row>
    <row r="9" spans="1:4" x14ac:dyDescent="0.2">
      <c r="A9" s="172" t="s">
        <v>96</v>
      </c>
      <c r="B9" s="173"/>
      <c r="C9" s="173"/>
      <c r="D9" s="174"/>
    </row>
    <row r="10" spans="1:4" x14ac:dyDescent="0.2">
      <c r="A10" s="175" t="s">
        <v>190</v>
      </c>
      <c r="B10" s="176"/>
      <c r="C10" s="176"/>
      <c r="D10" s="177"/>
    </row>
    <row r="11" spans="1:4" x14ac:dyDescent="0.2">
      <c r="A11" s="17" t="s">
        <v>9</v>
      </c>
      <c r="B11" s="2" t="s">
        <v>115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117</v>
      </c>
      <c r="C12" s="21">
        <f>COMPOSICAO!D3</f>
        <v>8.3333333333333329E-2</v>
      </c>
      <c r="D12" s="22">
        <f>C12*$D$7</f>
        <v>547.26916666666659</v>
      </c>
    </row>
    <row r="13" spans="1:4" x14ac:dyDescent="0.2">
      <c r="A13" s="19" t="s">
        <v>3</v>
      </c>
      <c r="B13" s="20" t="s">
        <v>185</v>
      </c>
      <c r="C13" s="21">
        <f>COMPOSICAO!D4</f>
        <v>7.7777777777777779E-2</v>
      </c>
      <c r="D13" s="22">
        <f>C13*$D$7</f>
        <v>510.78455555555553</v>
      </c>
    </row>
    <row r="14" spans="1:4" x14ac:dyDescent="0.2">
      <c r="A14" s="178" t="s">
        <v>191</v>
      </c>
      <c r="B14" s="179"/>
      <c r="C14" s="23">
        <f>SUM(C12:C13)</f>
        <v>0.16111111111111109</v>
      </c>
      <c r="D14" s="12">
        <f>SUM(D12:D13)</f>
        <v>1058.0537222222222</v>
      </c>
    </row>
    <row r="15" spans="1:4" x14ac:dyDescent="0.2">
      <c r="A15" s="13"/>
      <c r="B15" s="14"/>
      <c r="C15" s="24"/>
      <c r="D15" s="16"/>
    </row>
    <row r="16" spans="1:4" x14ac:dyDescent="0.2">
      <c r="A16" s="194" t="s">
        <v>98</v>
      </c>
      <c r="B16" s="195"/>
      <c r="C16" s="195"/>
      <c r="D16" s="196"/>
    </row>
    <row r="17" spans="1:4" x14ac:dyDescent="0.2">
      <c r="A17" s="17" t="s">
        <v>10</v>
      </c>
      <c r="B17" s="2" t="s">
        <v>115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118</v>
      </c>
      <c r="C18" s="21">
        <v>0.05</v>
      </c>
      <c r="D18" s="22">
        <f>C18*($D$7+$D$14)</f>
        <v>381.26418611111109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190.63209305555554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228.75851166666664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114.37925583333332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76.252837222222212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45.751702333333327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15.250567444444444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610.02269777777769</v>
      </c>
    </row>
    <row r="26" spans="1:4" x14ac:dyDescent="0.2">
      <c r="A26" s="192" t="s">
        <v>99</v>
      </c>
      <c r="B26" s="193"/>
      <c r="C26" s="27">
        <f>SUM(C18:C25)</f>
        <v>0.21800000000000003</v>
      </c>
      <c r="D26" s="28">
        <f>SUM(D18:D25)</f>
        <v>1662.3118514444443</v>
      </c>
    </row>
    <row r="27" spans="1:4" x14ac:dyDescent="0.2">
      <c r="A27" s="13"/>
      <c r="B27" s="14"/>
      <c r="C27" s="29"/>
      <c r="D27" s="16"/>
    </row>
    <row r="28" spans="1:4" x14ac:dyDescent="0.2">
      <c r="A28" s="194" t="s">
        <v>100</v>
      </c>
      <c r="B28" s="195"/>
      <c r="C28" s="195"/>
      <c r="D28" s="196"/>
    </row>
    <row r="29" spans="1:4" x14ac:dyDescent="0.2">
      <c r="A29" s="17" t="s">
        <v>19</v>
      </c>
      <c r="B29" s="194" t="s">
        <v>115</v>
      </c>
      <c r="C29" s="196"/>
      <c r="D29" s="17" t="s">
        <v>1</v>
      </c>
    </row>
    <row r="30" spans="1:4" x14ac:dyDescent="0.2">
      <c r="A30" s="183" t="s">
        <v>2</v>
      </c>
      <c r="B30" s="30" t="s">
        <v>119</v>
      </c>
      <c r="C30" s="31"/>
      <c r="D30" s="7">
        <f>COMPOSICAO!D20*2*22</f>
        <v>242</v>
      </c>
    </row>
    <row r="31" spans="1:4" x14ac:dyDescent="0.2">
      <c r="A31" s="184"/>
      <c r="B31" s="30" t="s">
        <v>20</v>
      </c>
      <c r="C31" s="31"/>
      <c r="D31" s="7">
        <f>D6*COMPOSICAO!D21</f>
        <v>394.03379999999999</v>
      </c>
    </row>
    <row r="32" spans="1:4" x14ac:dyDescent="0.2">
      <c r="A32" s="185"/>
      <c r="B32" s="88" t="s">
        <v>21</v>
      </c>
      <c r="C32" s="89"/>
      <c r="D32" s="39">
        <f>IF(D30-D31&gt;0,D30-D31,0)</f>
        <v>0</v>
      </c>
    </row>
    <row r="33" spans="1:4" x14ac:dyDescent="0.2">
      <c r="A33" s="183" t="s">
        <v>3</v>
      </c>
      <c r="B33" s="30" t="s">
        <v>120</v>
      </c>
      <c r="D33" s="7">
        <f>COMPOSICAO!D23*22</f>
        <v>814</v>
      </c>
    </row>
    <row r="34" spans="1:4" x14ac:dyDescent="0.2">
      <c r="A34" s="184"/>
      <c r="B34" s="30" t="s">
        <v>181</v>
      </c>
      <c r="C34" s="104" cm="1">
        <f t="array" ref="C34">_xlfn.IFS(D6&lt;2407,COMPOSICAO!D25,D6&lt;4073.39,COMPOSICAO!D26,D6&lt;5924.92,COMPOSICAO!D27,D6&lt;7406.17,COMPOSICAO!D28,D6&lt;9072.58,COMPOSICAO!D29,D6&gt;9072.59,COMPOSICAO!D30)</f>
        <v>7.4999999999999997E-2</v>
      </c>
      <c r="D34" s="7">
        <f>D33*C34</f>
        <v>61.05</v>
      </c>
    </row>
    <row r="35" spans="1:4" x14ac:dyDescent="0.2">
      <c r="A35" s="185"/>
      <c r="B35" s="88" t="s">
        <v>182</v>
      </c>
      <c r="C35" s="90"/>
      <c r="D35" s="39">
        <f>D33-D34</f>
        <v>752.95</v>
      </c>
    </row>
    <row r="36" spans="1:4" x14ac:dyDescent="0.2">
      <c r="A36" s="4" t="s">
        <v>4</v>
      </c>
      <c r="B36" s="30" t="s">
        <v>167</v>
      </c>
      <c r="C36" s="31"/>
      <c r="D36" s="151">
        <f>COMPOSICAO!D31</f>
        <v>184.85</v>
      </c>
    </row>
    <row r="37" spans="1:4" x14ac:dyDescent="0.2">
      <c r="A37" s="9" t="s">
        <v>101</v>
      </c>
      <c r="B37" s="10"/>
      <c r="C37" s="11"/>
      <c r="D37" s="12">
        <f>SUM(D32,D35,D36)</f>
        <v>937.80000000000007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121</v>
      </c>
      <c r="C39" s="33"/>
      <c r="D39" s="17" t="s">
        <v>1</v>
      </c>
    </row>
    <row r="40" spans="1:4" x14ac:dyDescent="0.2">
      <c r="A40" s="4" t="s">
        <v>9</v>
      </c>
      <c r="B40" s="30" t="s">
        <v>122</v>
      </c>
      <c r="C40" s="34"/>
      <c r="D40" s="8">
        <f>D14</f>
        <v>1058.0537222222222</v>
      </c>
    </row>
    <row r="41" spans="1:4" x14ac:dyDescent="0.2">
      <c r="A41" s="4" t="s">
        <v>10</v>
      </c>
      <c r="B41" s="30" t="s">
        <v>123</v>
      </c>
      <c r="C41" s="34"/>
      <c r="D41" s="8">
        <f>D26</f>
        <v>1662.3118514444443</v>
      </c>
    </row>
    <row r="42" spans="1:4" x14ac:dyDescent="0.2">
      <c r="A42" s="4" t="s">
        <v>19</v>
      </c>
      <c r="B42" s="30" t="s">
        <v>124</v>
      </c>
      <c r="C42" s="34"/>
      <c r="D42" s="8">
        <f>D37</f>
        <v>937.80000000000007</v>
      </c>
    </row>
    <row r="43" spans="1:4" x14ac:dyDescent="0.2">
      <c r="A43" s="178" t="s">
        <v>102</v>
      </c>
      <c r="B43" s="189"/>
      <c r="C43" s="35"/>
      <c r="D43" s="12">
        <f>SUM(D40:D42)</f>
        <v>3658.1655736666667</v>
      </c>
    </row>
    <row r="44" spans="1:4" x14ac:dyDescent="0.2">
      <c r="A44" s="13"/>
      <c r="B44" s="14"/>
      <c r="C44" s="15"/>
      <c r="D44" s="16"/>
    </row>
    <row r="45" spans="1:4" x14ac:dyDescent="0.2">
      <c r="A45" s="172" t="s">
        <v>103</v>
      </c>
      <c r="B45" s="173"/>
      <c r="C45" s="173"/>
      <c r="D45" s="174"/>
    </row>
    <row r="46" spans="1:4" x14ac:dyDescent="0.2">
      <c r="A46" s="17">
        <v>3</v>
      </c>
      <c r="B46" s="2" t="s">
        <v>115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27.36345833333333</v>
      </c>
    </row>
    <row r="48" spans="1:4" x14ac:dyDescent="0.2">
      <c r="A48" s="4" t="s">
        <v>3</v>
      </c>
      <c r="B48" s="30" t="s">
        <v>125</v>
      </c>
      <c r="C48" s="37">
        <f>COMPOSICAO!D35</f>
        <v>3.3333333333333332E-4</v>
      </c>
      <c r="D48" s="22">
        <f>C48*$D$7</f>
        <v>2.1890766666666663</v>
      </c>
    </row>
    <row r="49" spans="1:4" x14ac:dyDescent="0.2">
      <c r="A49" s="19" t="s">
        <v>4</v>
      </c>
      <c r="B49" s="20" t="s">
        <v>126</v>
      </c>
      <c r="C49" s="37">
        <f>COMPOSICAO!D36</f>
        <v>3.4399999999999993E-2</v>
      </c>
      <c r="D49" s="22">
        <f t="shared" ref="D49:D52" si="1">C49*$D$7</f>
        <v>225.91271199999994</v>
      </c>
    </row>
    <row r="50" spans="1:4" x14ac:dyDescent="0.2">
      <c r="A50" s="4" t="s">
        <v>5</v>
      </c>
      <c r="B50" s="30" t="s">
        <v>127</v>
      </c>
      <c r="C50" s="37">
        <f>COMPOSICAO!D37</f>
        <v>1.2444444444444444E-2</v>
      </c>
      <c r="D50" s="22">
        <f t="shared" si="1"/>
        <v>81.725528888888874</v>
      </c>
    </row>
    <row r="51" spans="1:4" x14ac:dyDescent="0.2">
      <c r="A51" s="4" t="s">
        <v>6</v>
      </c>
      <c r="B51" s="30" t="s">
        <v>128</v>
      </c>
      <c r="C51" s="37">
        <f>COMPOSICAO!D38</f>
        <v>4.5631999999999999E-3</v>
      </c>
      <c r="D51" s="22">
        <f t="shared" si="1"/>
        <v>29.967583935999997</v>
      </c>
    </row>
    <row r="52" spans="1:4" x14ac:dyDescent="0.2">
      <c r="A52" s="4" t="s">
        <v>7</v>
      </c>
      <c r="B52" s="30" t="s">
        <v>129</v>
      </c>
      <c r="C52" s="37">
        <f>COMPOSICAO!D39</f>
        <v>3.9680000000000005E-4</v>
      </c>
      <c r="D52" s="22">
        <f t="shared" si="1"/>
        <v>2.6058768640000003</v>
      </c>
    </row>
    <row r="53" spans="1:4" x14ac:dyDescent="0.2">
      <c r="A53" s="190" t="s">
        <v>104</v>
      </c>
      <c r="B53" s="191"/>
      <c r="C53" s="38">
        <f>SUM(C47:C52)</f>
        <v>5.6304444444444435E-2</v>
      </c>
      <c r="D53" s="39">
        <f>SUM(D47:D52)</f>
        <v>369.76423668888879</v>
      </c>
    </row>
    <row r="54" spans="1:4" x14ac:dyDescent="0.2">
      <c r="A54" s="13"/>
      <c r="B54" s="14"/>
      <c r="C54" s="40"/>
      <c r="D54" s="16"/>
    </row>
    <row r="55" spans="1:4" x14ac:dyDescent="0.2">
      <c r="A55" s="172" t="s">
        <v>105</v>
      </c>
      <c r="B55" s="173"/>
      <c r="C55" s="173"/>
      <c r="D55" s="174"/>
    </row>
    <row r="56" spans="1:4" x14ac:dyDescent="0.2">
      <c r="A56" s="17">
        <v>4</v>
      </c>
      <c r="B56" s="2" t="s">
        <v>115</v>
      </c>
      <c r="C56" s="36" t="s">
        <v>0</v>
      </c>
      <c r="D56" s="17" t="s">
        <v>1</v>
      </c>
    </row>
    <row r="57" spans="1:4" x14ac:dyDescent="0.2">
      <c r="A57" s="190" t="s">
        <v>106</v>
      </c>
      <c r="B57" s="191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2" t="s">
        <v>107</v>
      </c>
      <c r="B59" s="173"/>
      <c r="C59" s="173"/>
      <c r="D59" s="174"/>
    </row>
    <row r="60" spans="1:4" x14ac:dyDescent="0.2">
      <c r="A60" s="17">
        <v>5</v>
      </c>
      <c r="B60" s="43" t="s">
        <v>115</v>
      </c>
      <c r="C60" s="44"/>
      <c r="D60" s="45" t="s">
        <v>1</v>
      </c>
    </row>
    <row r="61" spans="1:4" x14ac:dyDescent="0.2">
      <c r="A61" s="9" t="s">
        <v>108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2" t="s">
        <v>109</v>
      </c>
      <c r="B63" s="173"/>
      <c r="C63" s="173"/>
      <c r="D63" s="174"/>
    </row>
    <row r="64" spans="1:4" x14ac:dyDescent="0.2">
      <c r="A64" s="17">
        <v>6</v>
      </c>
      <c r="B64" s="2" t="s">
        <v>115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130</v>
      </c>
      <c r="C65" s="53">
        <f>COMPOSICAO!D44</f>
        <v>0.05</v>
      </c>
      <c r="D65" s="12">
        <f>C65*$D$81</f>
        <v>529.75799051777778</v>
      </c>
    </row>
    <row r="66" spans="1:4" x14ac:dyDescent="0.2">
      <c r="A66" s="51" t="s">
        <v>3</v>
      </c>
      <c r="B66" s="52" t="s">
        <v>131</v>
      </c>
      <c r="C66" s="53">
        <f>COMPOSICAO!D45</f>
        <v>0.1</v>
      </c>
      <c r="D66" s="12">
        <f>C66*($D$81+$D$65)</f>
        <v>1112.4917800873334</v>
      </c>
    </row>
    <row r="67" spans="1:4" x14ac:dyDescent="0.2">
      <c r="A67" s="51" t="s">
        <v>4</v>
      </c>
      <c r="B67" s="52" t="s">
        <v>132</v>
      </c>
      <c r="C67" s="53">
        <f>COMPOSICAO!D46</f>
        <v>9.2499999999999999E-2</v>
      </c>
      <c r="D67" s="12">
        <f>((D65+D66+D81)/(1-C67))-(D65+D66+D81)</f>
        <v>1247.3392685827675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87.650867522032314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404.542465486303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269.69497699086867</v>
      </c>
    </row>
    <row r="71" spans="1:4" x14ac:dyDescent="0.2">
      <c r="A71" s="4" t="s">
        <v>29</v>
      </c>
      <c r="B71" s="106" t="s">
        <v>183</v>
      </c>
      <c r="C71" s="37">
        <f>COMPOSICAO!D50</f>
        <v>3.5999999999999997E-2</v>
      </c>
      <c r="D71" s="12">
        <f t="shared" si="2"/>
        <v>485.45095858356359</v>
      </c>
    </row>
    <row r="72" spans="1:4" x14ac:dyDescent="0.2">
      <c r="A72" s="178" t="s">
        <v>110</v>
      </c>
      <c r="B72" s="179"/>
      <c r="C72" s="55">
        <f>SUM(C65:C67)</f>
        <v>0.24250000000000002</v>
      </c>
      <c r="D72" s="12">
        <f>SUM(D65:D67)</f>
        <v>2889.5890391878788</v>
      </c>
    </row>
    <row r="73" spans="1:4" x14ac:dyDescent="0.2">
      <c r="A73" s="13"/>
      <c r="B73" s="14"/>
      <c r="C73" s="15"/>
      <c r="D73" s="16"/>
    </row>
    <row r="74" spans="1:4" x14ac:dyDescent="0.2">
      <c r="A74" s="186" t="s">
        <v>111</v>
      </c>
      <c r="B74" s="187"/>
      <c r="C74" s="187"/>
      <c r="D74" s="188"/>
    </row>
    <row r="75" spans="1:4" x14ac:dyDescent="0.2">
      <c r="A75" s="26" t="s">
        <v>112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133</v>
      </c>
      <c r="C76" s="58"/>
      <c r="D76" s="8">
        <f>D7</f>
        <v>6567.23</v>
      </c>
    </row>
    <row r="77" spans="1:4" x14ac:dyDescent="0.2">
      <c r="A77" s="4">
        <v>2</v>
      </c>
      <c r="B77" s="46" t="s">
        <v>134</v>
      </c>
      <c r="C77" s="58"/>
      <c r="D77" s="8">
        <f>D43</f>
        <v>3658.1655736666667</v>
      </c>
    </row>
    <row r="78" spans="1:4" x14ac:dyDescent="0.2">
      <c r="A78" s="4">
        <v>3</v>
      </c>
      <c r="B78" s="46" t="s">
        <v>135</v>
      </c>
      <c r="C78" s="58"/>
      <c r="D78" s="8">
        <f>D53</f>
        <v>369.76423668888879</v>
      </c>
    </row>
    <row r="79" spans="1:4" x14ac:dyDescent="0.2">
      <c r="A79" s="4">
        <v>4</v>
      </c>
      <c r="B79" s="46" t="s">
        <v>136</v>
      </c>
      <c r="C79" s="58"/>
      <c r="D79" s="8">
        <v>0</v>
      </c>
    </row>
    <row r="80" spans="1:4" x14ac:dyDescent="0.2">
      <c r="A80" s="4">
        <v>5</v>
      </c>
      <c r="B80" s="46" t="s">
        <v>137</v>
      </c>
      <c r="C80" s="58"/>
      <c r="D80" s="8">
        <v>0</v>
      </c>
    </row>
    <row r="81" spans="1:4" x14ac:dyDescent="0.2">
      <c r="A81" s="59" t="s">
        <v>113</v>
      </c>
      <c r="B81" s="10"/>
      <c r="C81" s="11"/>
      <c r="D81" s="12">
        <f>SUM(D76:D80)</f>
        <v>10595.159810355555</v>
      </c>
    </row>
    <row r="82" spans="1:4" x14ac:dyDescent="0.2">
      <c r="A82" s="4">
        <v>6</v>
      </c>
      <c r="B82" s="46" t="s">
        <v>138</v>
      </c>
      <c r="C82" s="58"/>
      <c r="D82" s="8">
        <f>D72</f>
        <v>2889.5890391878788</v>
      </c>
    </row>
    <row r="83" spans="1:4" x14ac:dyDescent="0.2">
      <c r="A83" s="178" t="s">
        <v>114</v>
      </c>
      <c r="B83" s="189"/>
      <c r="C83" s="179"/>
      <c r="D83" s="60">
        <f>SUM(D81:D82)</f>
        <v>13484.748849543434</v>
      </c>
    </row>
    <row r="84" spans="1:4" x14ac:dyDescent="0.2">
      <c r="C84" s="108" t="s">
        <v>187</v>
      </c>
      <c r="D84" s="109">
        <f>ROUNDUP(D83/D76,2)</f>
        <v>2.0599999999999996</v>
      </c>
    </row>
    <row r="85" spans="1:4" x14ac:dyDescent="0.2"/>
    <row r="86" spans="1:4" hidden="1" x14ac:dyDescent="0.2">
      <c r="D86" s="111"/>
    </row>
  </sheetData>
  <mergeCells count="22"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</mergeCells>
  <conditionalFormatting sqref="B69">
    <cfRule type="expression" dxfId="24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80FB6A-F4A4-4B7B-88F9-1F7A72E7E9D7}">
  <sheetPr codeName="Planilha12"/>
  <dimension ref="A1:D86"/>
  <sheetViews>
    <sheetView zoomScaleNormal="100" workbookViewId="0">
      <selection activeCell="F24" sqref="F24:F31"/>
    </sheetView>
  </sheetViews>
  <sheetFormatPr defaultColWidth="0" defaultRowHeight="12" zeroHeight="1" x14ac:dyDescent="0.2"/>
  <cols>
    <col min="1" max="1" width="5.85546875" style="107" customWidth="1"/>
    <col min="2" max="2" width="83.28515625" style="107" customWidth="1"/>
    <col min="3" max="3" width="12.42578125" style="107" customWidth="1"/>
    <col min="4" max="4" width="15.42578125" style="107" customWidth="1"/>
    <col min="5" max="5" width="9.140625" style="107" hidden="1" customWidth="1"/>
    <col min="6" max="16384" width="9.140625" style="107" hidden="1"/>
  </cols>
  <sheetData>
    <row r="1" spans="1:4" ht="12.75" thickBot="1" x14ac:dyDescent="0.25">
      <c r="A1" s="180" t="str">
        <f>PERFIS!C12</f>
        <v>Analista de Negócios/Requisitos Pleno</v>
      </c>
      <c r="B1" s="181"/>
      <c r="C1" s="181"/>
      <c r="D1" s="182"/>
    </row>
    <row r="2" spans="1:4" x14ac:dyDescent="0.2">
      <c r="A2" s="110"/>
      <c r="B2" s="110"/>
      <c r="C2" s="110"/>
      <c r="D2" s="110"/>
    </row>
    <row r="3" spans="1:4" x14ac:dyDescent="0.2">
      <c r="A3" s="169" t="s">
        <v>93</v>
      </c>
      <c r="B3" s="170"/>
      <c r="C3" s="170"/>
      <c r="D3" s="171"/>
    </row>
    <row r="4" spans="1:4" x14ac:dyDescent="0.2">
      <c r="A4" s="172" t="s">
        <v>94</v>
      </c>
      <c r="B4" s="173"/>
      <c r="C4" s="173"/>
      <c r="D4" s="174"/>
    </row>
    <row r="5" spans="1:4" x14ac:dyDescent="0.2">
      <c r="A5" s="1">
        <v>1</v>
      </c>
      <c r="B5" s="2" t="s">
        <v>115</v>
      </c>
      <c r="C5" s="3"/>
      <c r="D5" s="1" t="s">
        <v>1</v>
      </c>
    </row>
    <row r="6" spans="1:4" x14ac:dyDescent="0.2">
      <c r="A6" s="4" t="s">
        <v>2</v>
      </c>
      <c r="B6" s="5" t="s">
        <v>116</v>
      </c>
      <c r="C6" s="6">
        <v>1</v>
      </c>
      <c r="D6" s="7">
        <f>_xlfn.XLOOKUP(A1,PERFIS!C3:C35,PERFIS!D3:D35)</f>
        <v>8744.98</v>
      </c>
    </row>
    <row r="7" spans="1:4" x14ac:dyDescent="0.2">
      <c r="A7" s="9" t="s">
        <v>95</v>
      </c>
      <c r="B7" s="10"/>
      <c r="C7" s="11"/>
      <c r="D7" s="12">
        <f>SUM(D6)</f>
        <v>8744.98</v>
      </c>
    </row>
    <row r="8" spans="1:4" x14ac:dyDescent="0.2">
      <c r="A8" s="13"/>
      <c r="B8" s="14"/>
      <c r="C8" s="15"/>
      <c r="D8" s="16"/>
    </row>
    <row r="9" spans="1:4" x14ac:dyDescent="0.2">
      <c r="A9" s="172" t="s">
        <v>96</v>
      </c>
      <c r="B9" s="173"/>
      <c r="C9" s="173"/>
      <c r="D9" s="174"/>
    </row>
    <row r="10" spans="1:4" x14ac:dyDescent="0.2">
      <c r="A10" s="175" t="s">
        <v>190</v>
      </c>
      <c r="B10" s="176"/>
      <c r="C10" s="176"/>
      <c r="D10" s="177"/>
    </row>
    <row r="11" spans="1:4" x14ac:dyDescent="0.2">
      <c r="A11" s="17" t="s">
        <v>9</v>
      </c>
      <c r="B11" s="2" t="s">
        <v>115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117</v>
      </c>
      <c r="C12" s="21">
        <f>COMPOSICAO!D3</f>
        <v>8.3333333333333329E-2</v>
      </c>
      <c r="D12" s="22">
        <f>C12*$D$7</f>
        <v>728.74833333333322</v>
      </c>
    </row>
    <row r="13" spans="1:4" x14ac:dyDescent="0.2">
      <c r="A13" s="19" t="s">
        <v>3</v>
      </c>
      <c r="B13" s="20" t="s">
        <v>185</v>
      </c>
      <c r="C13" s="21">
        <f>COMPOSICAO!D4</f>
        <v>7.7777777777777779E-2</v>
      </c>
      <c r="D13" s="22">
        <f>C13*$D$7</f>
        <v>680.16511111111106</v>
      </c>
    </row>
    <row r="14" spans="1:4" x14ac:dyDescent="0.2">
      <c r="A14" s="178" t="s">
        <v>191</v>
      </c>
      <c r="B14" s="179"/>
      <c r="C14" s="23">
        <f>SUM(C12:C13)</f>
        <v>0.16111111111111109</v>
      </c>
      <c r="D14" s="12">
        <f>SUM(D12:D13)</f>
        <v>1408.9134444444444</v>
      </c>
    </row>
    <row r="15" spans="1:4" x14ac:dyDescent="0.2">
      <c r="A15" s="13"/>
      <c r="B15" s="14"/>
      <c r="C15" s="24"/>
      <c r="D15" s="16"/>
    </row>
    <row r="16" spans="1:4" x14ac:dyDescent="0.2">
      <c r="A16" s="194" t="s">
        <v>98</v>
      </c>
      <c r="B16" s="195"/>
      <c r="C16" s="195"/>
      <c r="D16" s="196"/>
    </row>
    <row r="17" spans="1:4" x14ac:dyDescent="0.2">
      <c r="A17" s="17" t="s">
        <v>10</v>
      </c>
      <c r="B17" s="2" t="s">
        <v>115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118</v>
      </c>
      <c r="C18" s="21">
        <v>0.05</v>
      </c>
      <c r="D18" s="22">
        <f>C18*($D$7+$D$14)</f>
        <v>507.69467222222221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253.8473361111111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304.61680333333328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152.30840166666664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101.53893444444444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60.923360666666667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20.307786888888888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812.31147555555549</v>
      </c>
    </row>
    <row r="26" spans="1:4" x14ac:dyDescent="0.2">
      <c r="A26" s="192" t="s">
        <v>99</v>
      </c>
      <c r="B26" s="193"/>
      <c r="C26" s="27">
        <f>SUM(C18:C25)</f>
        <v>0.21800000000000003</v>
      </c>
      <c r="D26" s="28">
        <f>SUM(D18:D25)</f>
        <v>2213.5487708888886</v>
      </c>
    </row>
    <row r="27" spans="1:4" x14ac:dyDescent="0.2">
      <c r="A27" s="13"/>
      <c r="B27" s="14"/>
      <c r="C27" s="29"/>
      <c r="D27" s="16"/>
    </row>
    <row r="28" spans="1:4" x14ac:dyDescent="0.2">
      <c r="A28" s="194" t="s">
        <v>100</v>
      </c>
      <c r="B28" s="195"/>
      <c r="C28" s="195"/>
      <c r="D28" s="196"/>
    </row>
    <row r="29" spans="1:4" x14ac:dyDescent="0.2">
      <c r="A29" s="17" t="s">
        <v>19</v>
      </c>
      <c r="B29" s="194" t="s">
        <v>115</v>
      </c>
      <c r="C29" s="196"/>
      <c r="D29" s="17" t="s">
        <v>1</v>
      </c>
    </row>
    <row r="30" spans="1:4" x14ac:dyDescent="0.2">
      <c r="A30" s="183" t="s">
        <v>2</v>
      </c>
      <c r="B30" s="30" t="s">
        <v>119</v>
      </c>
      <c r="C30" s="31"/>
      <c r="D30" s="7">
        <f>COMPOSICAO!D20*2*22</f>
        <v>242</v>
      </c>
    </row>
    <row r="31" spans="1:4" x14ac:dyDescent="0.2">
      <c r="A31" s="184"/>
      <c r="B31" s="30" t="s">
        <v>20</v>
      </c>
      <c r="C31" s="31"/>
      <c r="D31" s="7">
        <f>D6*COMPOSICAO!D21</f>
        <v>524.69880000000001</v>
      </c>
    </row>
    <row r="32" spans="1:4" x14ac:dyDescent="0.2">
      <c r="A32" s="185"/>
      <c r="B32" s="88" t="s">
        <v>21</v>
      </c>
      <c r="C32" s="89"/>
      <c r="D32" s="39">
        <f>IF(D30-D31&gt;0,D30-D31,0)</f>
        <v>0</v>
      </c>
    </row>
    <row r="33" spans="1:4" x14ac:dyDescent="0.2">
      <c r="A33" s="183" t="s">
        <v>3</v>
      </c>
      <c r="B33" s="30" t="s">
        <v>120</v>
      </c>
      <c r="D33" s="7">
        <f>COMPOSICAO!D23*22</f>
        <v>814</v>
      </c>
    </row>
    <row r="34" spans="1:4" x14ac:dyDescent="0.2">
      <c r="A34" s="184"/>
      <c r="B34" s="30" t="s">
        <v>181</v>
      </c>
      <c r="C34" s="104" cm="1">
        <f t="array" ref="C34">_xlfn.IFS(D6&lt;2407,COMPOSICAO!D25,D6&lt;4073.39,COMPOSICAO!D26,D6&lt;5924.92,COMPOSICAO!D27,D6&lt;7406.17,COMPOSICAO!D28,D6&lt;9072.58,COMPOSICAO!D29,D6&gt;9072.59,COMPOSICAO!D30)</f>
        <v>0.1125</v>
      </c>
      <c r="D34" s="7">
        <f>D33*C34</f>
        <v>91.575000000000003</v>
      </c>
    </row>
    <row r="35" spans="1:4" x14ac:dyDescent="0.2">
      <c r="A35" s="185"/>
      <c r="B35" s="88" t="s">
        <v>182</v>
      </c>
      <c r="C35" s="90"/>
      <c r="D35" s="39">
        <f>D33-D34</f>
        <v>722.42499999999995</v>
      </c>
    </row>
    <row r="36" spans="1:4" x14ac:dyDescent="0.2">
      <c r="A36" s="4" t="s">
        <v>4</v>
      </c>
      <c r="B36" s="30" t="s">
        <v>167</v>
      </c>
      <c r="C36" s="31"/>
      <c r="D36" s="151">
        <f>COMPOSICAO!D31</f>
        <v>184.85</v>
      </c>
    </row>
    <row r="37" spans="1:4" x14ac:dyDescent="0.2">
      <c r="A37" s="9" t="s">
        <v>101</v>
      </c>
      <c r="B37" s="10"/>
      <c r="C37" s="11"/>
      <c r="D37" s="12">
        <f>SUM(D32,D35,D36)</f>
        <v>907.27499999999998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121</v>
      </c>
      <c r="C39" s="33"/>
      <c r="D39" s="17" t="s">
        <v>1</v>
      </c>
    </row>
    <row r="40" spans="1:4" x14ac:dyDescent="0.2">
      <c r="A40" s="4" t="s">
        <v>9</v>
      </c>
      <c r="B40" s="30" t="s">
        <v>122</v>
      </c>
      <c r="C40" s="34"/>
      <c r="D40" s="8">
        <f>D14</f>
        <v>1408.9134444444444</v>
      </c>
    </row>
    <row r="41" spans="1:4" x14ac:dyDescent="0.2">
      <c r="A41" s="4" t="s">
        <v>10</v>
      </c>
      <c r="B41" s="30" t="s">
        <v>123</v>
      </c>
      <c r="C41" s="34"/>
      <c r="D41" s="8">
        <f>D26</f>
        <v>2213.5487708888886</v>
      </c>
    </row>
    <row r="42" spans="1:4" x14ac:dyDescent="0.2">
      <c r="A42" s="4" t="s">
        <v>19</v>
      </c>
      <c r="B42" s="30" t="s">
        <v>124</v>
      </c>
      <c r="C42" s="34"/>
      <c r="D42" s="8">
        <f>D37</f>
        <v>907.27499999999998</v>
      </c>
    </row>
    <row r="43" spans="1:4" x14ac:dyDescent="0.2">
      <c r="A43" s="178" t="s">
        <v>102</v>
      </c>
      <c r="B43" s="189"/>
      <c r="C43" s="35"/>
      <c r="D43" s="12">
        <f>SUM(D40:D42)</f>
        <v>4529.7372153333326</v>
      </c>
    </row>
    <row r="44" spans="1:4" x14ac:dyDescent="0.2">
      <c r="A44" s="13"/>
      <c r="B44" s="14"/>
      <c r="C44" s="15"/>
      <c r="D44" s="16"/>
    </row>
    <row r="45" spans="1:4" x14ac:dyDescent="0.2">
      <c r="A45" s="172" t="s">
        <v>103</v>
      </c>
      <c r="B45" s="173"/>
      <c r="C45" s="173"/>
      <c r="D45" s="174"/>
    </row>
    <row r="46" spans="1:4" x14ac:dyDescent="0.2">
      <c r="A46" s="17">
        <v>3</v>
      </c>
      <c r="B46" s="2" t="s">
        <v>115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36.437416666666664</v>
      </c>
    </row>
    <row r="48" spans="1:4" x14ac:dyDescent="0.2">
      <c r="A48" s="4" t="s">
        <v>3</v>
      </c>
      <c r="B48" s="30" t="s">
        <v>125</v>
      </c>
      <c r="C48" s="37">
        <f>COMPOSICAO!D35</f>
        <v>3.3333333333333332E-4</v>
      </c>
      <c r="D48" s="22">
        <f>C48*$D$7</f>
        <v>2.9149933333333329</v>
      </c>
    </row>
    <row r="49" spans="1:4" x14ac:dyDescent="0.2">
      <c r="A49" s="19" t="s">
        <v>4</v>
      </c>
      <c r="B49" s="20" t="s">
        <v>126</v>
      </c>
      <c r="C49" s="37">
        <f>COMPOSICAO!D36</f>
        <v>3.4399999999999993E-2</v>
      </c>
      <c r="D49" s="22">
        <f t="shared" ref="D49:D52" si="1">C49*$D$7</f>
        <v>300.82731199999995</v>
      </c>
    </row>
    <row r="50" spans="1:4" x14ac:dyDescent="0.2">
      <c r="A50" s="4" t="s">
        <v>5</v>
      </c>
      <c r="B50" s="30" t="s">
        <v>127</v>
      </c>
      <c r="C50" s="37">
        <f>COMPOSICAO!D37</f>
        <v>1.2444444444444444E-2</v>
      </c>
      <c r="D50" s="22">
        <f t="shared" si="1"/>
        <v>108.82641777777776</v>
      </c>
    </row>
    <row r="51" spans="1:4" x14ac:dyDescent="0.2">
      <c r="A51" s="4" t="s">
        <v>6</v>
      </c>
      <c r="B51" s="30" t="s">
        <v>128</v>
      </c>
      <c r="C51" s="37">
        <f>COMPOSICAO!D38</f>
        <v>4.5631999999999999E-3</v>
      </c>
      <c r="D51" s="22">
        <f t="shared" si="1"/>
        <v>39.905092736</v>
      </c>
    </row>
    <row r="52" spans="1:4" x14ac:dyDescent="0.2">
      <c r="A52" s="4" t="s">
        <v>7</v>
      </c>
      <c r="B52" s="30" t="s">
        <v>129</v>
      </c>
      <c r="C52" s="37">
        <f>COMPOSICAO!D39</f>
        <v>3.9680000000000005E-4</v>
      </c>
      <c r="D52" s="22">
        <f t="shared" si="1"/>
        <v>3.4700080640000004</v>
      </c>
    </row>
    <row r="53" spans="1:4" x14ac:dyDescent="0.2">
      <c r="A53" s="190" t="s">
        <v>104</v>
      </c>
      <c r="B53" s="191"/>
      <c r="C53" s="38">
        <f>SUM(C47:C52)</f>
        <v>5.6304444444444435E-2</v>
      </c>
      <c r="D53" s="39">
        <f>SUM(D47:D52)</f>
        <v>492.3812405777777</v>
      </c>
    </row>
    <row r="54" spans="1:4" x14ac:dyDescent="0.2">
      <c r="A54" s="13"/>
      <c r="B54" s="14"/>
      <c r="C54" s="40"/>
      <c r="D54" s="16"/>
    </row>
    <row r="55" spans="1:4" x14ac:dyDescent="0.2">
      <c r="A55" s="172" t="s">
        <v>105</v>
      </c>
      <c r="B55" s="173"/>
      <c r="C55" s="173"/>
      <c r="D55" s="174"/>
    </row>
    <row r="56" spans="1:4" x14ac:dyDescent="0.2">
      <c r="A56" s="17">
        <v>4</v>
      </c>
      <c r="B56" s="2" t="s">
        <v>115</v>
      </c>
      <c r="C56" s="36" t="s">
        <v>0</v>
      </c>
      <c r="D56" s="17" t="s">
        <v>1</v>
      </c>
    </row>
    <row r="57" spans="1:4" x14ac:dyDescent="0.2">
      <c r="A57" s="190" t="s">
        <v>106</v>
      </c>
      <c r="B57" s="191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2" t="s">
        <v>107</v>
      </c>
      <c r="B59" s="173"/>
      <c r="C59" s="173"/>
      <c r="D59" s="174"/>
    </row>
    <row r="60" spans="1:4" x14ac:dyDescent="0.2">
      <c r="A60" s="17">
        <v>5</v>
      </c>
      <c r="B60" s="43" t="s">
        <v>115</v>
      </c>
      <c r="C60" s="44"/>
      <c r="D60" s="45" t="s">
        <v>1</v>
      </c>
    </row>
    <row r="61" spans="1:4" x14ac:dyDescent="0.2">
      <c r="A61" s="9" t="s">
        <v>108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2" t="s">
        <v>109</v>
      </c>
      <c r="B63" s="173"/>
      <c r="C63" s="173"/>
      <c r="D63" s="174"/>
    </row>
    <row r="64" spans="1:4" x14ac:dyDescent="0.2">
      <c r="A64" s="17">
        <v>6</v>
      </c>
      <c r="B64" s="2" t="s">
        <v>115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130</v>
      </c>
      <c r="C65" s="53">
        <f>COMPOSICAO!D44</f>
        <v>0.05</v>
      </c>
      <c r="D65" s="12">
        <f>C65*$D$81</f>
        <v>688.35492279555547</v>
      </c>
    </row>
    <row r="66" spans="1:4" x14ac:dyDescent="0.2">
      <c r="A66" s="51" t="s">
        <v>3</v>
      </c>
      <c r="B66" s="52" t="s">
        <v>131</v>
      </c>
      <c r="C66" s="53">
        <f>COMPOSICAO!D45</f>
        <v>0.1</v>
      </c>
      <c r="D66" s="12">
        <f>C66*($D$81+$D$65)</f>
        <v>1445.5453378706666</v>
      </c>
    </row>
    <row r="67" spans="1:4" x14ac:dyDescent="0.2">
      <c r="A67" s="51" t="s">
        <v>4</v>
      </c>
      <c r="B67" s="52" t="s">
        <v>132</v>
      </c>
      <c r="C67" s="53">
        <f>COMPOSICAO!D46</f>
        <v>9.2499999999999999E-2</v>
      </c>
      <c r="D67" s="12">
        <f>((D65+D66+D81)/(1-C67))-(D65+D66+D81)</f>
        <v>1620.7629545822638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113.89145086253735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525.65285013478785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350.4352334231919</v>
      </c>
    </row>
    <row r="71" spans="1:4" x14ac:dyDescent="0.2">
      <c r="A71" s="4" t="s">
        <v>29</v>
      </c>
      <c r="B71" s="106" t="s">
        <v>183</v>
      </c>
      <c r="C71" s="37">
        <f>COMPOSICAO!D50</f>
        <v>3.5999999999999997E-2</v>
      </c>
      <c r="D71" s="12">
        <f t="shared" si="2"/>
        <v>630.78342016174531</v>
      </c>
    </row>
    <row r="72" spans="1:4" x14ac:dyDescent="0.2">
      <c r="A72" s="178" t="s">
        <v>110</v>
      </c>
      <c r="B72" s="179"/>
      <c r="C72" s="55">
        <f>SUM(C65:C67)</f>
        <v>0.24250000000000002</v>
      </c>
      <c r="D72" s="12">
        <f>SUM(D65:D67)</f>
        <v>3754.6632152484858</v>
      </c>
    </row>
    <row r="73" spans="1:4" x14ac:dyDescent="0.2">
      <c r="A73" s="13"/>
      <c r="B73" s="14"/>
      <c r="C73" s="15"/>
      <c r="D73" s="16"/>
    </row>
    <row r="74" spans="1:4" x14ac:dyDescent="0.2">
      <c r="A74" s="186" t="s">
        <v>111</v>
      </c>
      <c r="B74" s="187"/>
      <c r="C74" s="187"/>
      <c r="D74" s="188"/>
    </row>
    <row r="75" spans="1:4" x14ac:dyDescent="0.2">
      <c r="A75" s="26" t="s">
        <v>112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133</v>
      </c>
      <c r="C76" s="58"/>
      <c r="D76" s="8">
        <f>D7</f>
        <v>8744.98</v>
      </c>
    </row>
    <row r="77" spans="1:4" x14ac:dyDescent="0.2">
      <c r="A77" s="4">
        <v>2</v>
      </c>
      <c r="B77" s="46" t="s">
        <v>134</v>
      </c>
      <c r="C77" s="58"/>
      <c r="D77" s="8">
        <f>D43</f>
        <v>4529.7372153333326</v>
      </c>
    </row>
    <row r="78" spans="1:4" x14ac:dyDescent="0.2">
      <c r="A78" s="4">
        <v>3</v>
      </c>
      <c r="B78" s="46" t="s">
        <v>135</v>
      </c>
      <c r="C78" s="58"/>
      <c r="D78" s="8">
        <f>D53</f>
        <v>492.3812405777777</v>
      </c>
    </row>
    <row r="79" spans="1:4" x14ac:dyDescent="0.2">
      <c r="A79" s="4">
        <v>4</v>
      </c>
      <c r="B79" s="46" t="s">
        <v>136</v>
      </c>
      <c r="C79" s="58"/>
      <c r="D79" s="8">
        <v>0</v>
      </c>
    </row>
    <row r="80" spans="1:4" x14ac:dyDescent="0.2">
      <c r="A80" s="4">
        <v>5</v>
      </c>
      <c r="B80" s="46" t="s">
        <v>137</v>
      </c>
      <c r="C80" s="58"/>
      <c r="D80" s="8">
        <v>0</v>
      </c>
    </row>
    <row r="81" spans="1:4" x14ac:dyDescent="0.2">
      <c r="A81" s="59" t="s">
        <v>113</v>
      </c>
      <c r="B81" s="10"/>
      <c r="C81" s="11"/>
      <c r="D81" s="12">
        <f>SUM(D76:D80)</f>
        <v>13767.098455911109</v>
      </c>
    </row>
    <row r="82" spans="1:4" x14ac:dyDescent="0.2">
      <c r="A82" s="4">
        <v>6</v>
      </c>
      <c r="B82" s="46" t="s">
        <v>138</v>
      </c>
      <c r="C82" s="58"/>
      <c r="D82" s="8">
        <f>D72</f>
        <v>3754.6632152484858</v>
      </c>
    </row>
    <row r="83" spans="1:4" x14ac:dyDescent="0.2">
      <c r="A83" s="178" t="s">
        <v>114</v>
      </c>
      <c r="B83" s="189"/>
      <c r="C83" s="179"/>
      <c r="D83" s="60">
        <f>SUM(D81:D82)</f>
        <v>17521.761671159595</v>
      </c>
    </row>
    <row r="84" spans="1:4" x14ac:dyDescent="0.2">
      <c r="C84" s="108" t="s">
        <v>187</v>
      </c>
      <c r="D84" s="109">
        <f>ROUNDUP(D83/D76,2)</f>
        <v>2.0099999999999998</v>
      </c>
    </row>
    <row r="85" spans="1:4" x14ac:dyDescent="0.2"/>
    <row r="86" spans="1:4" hidden="1" x14ac:dyDescent="0.2">
      <c r="D86" s="111"/>
    </row>
  </sheetData>
  <mergeCells count="22"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</mergeCells>
  <conditionalFormatting sqref="B69">
    <cfRule type="expression" dxfId="23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474A7C-88B1-4A34-8423-6AFF7222FAD0}">
  <sheetPr codeName="Planilha13"/>
  <dimension ref="A1:D86"/>
  <sheetViews>
    <sheetView zoomScaleNormal="100" workbookViewId="0">
      <selection activeCell="F24" sqref="F24:F31"/>
    </sheetView>
  </sheetViews>
  <sheetFormatPr defaultColWidth="0" defaultRowHeight="12" zeroHeight="1" x14ac:dyDescent="0.2"/>
  <cols>
    <col min="1" max="1" width="5.85546875" style="107" customWidth="1"/>
    <col min="2" max="2" width="83.28515625" style="107" customWidth="1"/>
    <col min="3" max="3" width="12.42578125" style="107" customWidth="1"/>
    <col min="4" max="4" width="15.42578125" style="107" customWidth="1"/>
    <col min="5" max="5" width="9.140625" style="107" hidden="1" customWidth="1"/>
    <col min="6" max="16384" width="9.140625" style="107" hidden="1"/>
  </cols>
  <sheetData>
    <row r="1" spans="1:4" ht="12.75" thickBot="1" x14ac:dyDescent="0.25">
      <c r="A1" s="180" t="str">
        <f>PERFIS!C13</f>
        <v>Analista de Negócios/Requisitos Sênior</v>
      </c>
      <c r="B1" s="181"/>
      <c r="C1" s="181"/>
      <c r="D1" s="182"/>
    </row>
    <row r="2" spans="1:4" x14ac:dyDescent="0.2">
      <c r="A2" s="110"/>
      <c r="B2" s="110"/>
      <c r="C2" s="110"/>
      <c r="D2" s="110"/>
    </row>
    <row r="3" spans="1:4" x14ac:dyDescent="0.2">
      <c r="A3" s="169" t="s">
        <v>93</v>
      </c>
      <c r="B3" s="170"/>
      <c r="C3" s="170"/>
      <c r="D3" s="171"/>
    </row>
    <row r="4" spans="1:4" x14ac:dyDescent="0.2">
      <c r="A4" s="172" t="s">
        <v>94</v>
      </c>
      <c r="B4" s="173"/>
      <c r="C4" s="173"/>
      <c r="D4" s="174"/>
    </row>
    <row r="5" spans="1:4" x14ac:dyDescent="0.2">
      <c r="A5" s="1">
        <v>1</v>
      </c>
      <c r="B5" s="2" t="s">
        <v>115</v>
      </c>
      <c r="C5" s="3"/>
      <c r="D5" s="1" t="s">
        <v>1</v>
      </c>
    </row>
    <row r="6" spans="1:4" x14ac:dyDescent="0.2">
      <c r="A6" s="4" t="s">
        <v>2</v>
      </c>
      <c r="B6" s="5" t="s">
        <v>116</v>
      </c>
      <c r="C6" s="6">
        <v>1</v>
      </c>
      <c r="D6" s="7">
        <f>_xlfn.XLOOKUP(A1,PERFIS!C3:C35,PERFIS!D3:D35)</f>
        <v>11227.93</v>
      </c>
    </row>
    <row r="7" spans="1:4" x14ac:dyDescent="0.2">
      <c r="A7" s="9" t="s">
        <v>95</v>
      </c>
      <c r="B7" s="10"/>
      <c r="C7" s="11"/>
      <c r="D7" s="12">
        <f>SUM(D6)</f>
        <v>11227.93</v>
      </c>
    </row>
    <row r="8" spans="1:4" x14ac:dyDescent="0.2">
      <c r="A8" s="13"/>
      <c r="B8" s="14"/>
      <c r="C8" s="15"/>
      <c r="D8" s="16"/>
    </row>
    <row r="9" spans="1:4" x14ac:dyDescent="0.2">
      <c r="A9" s="172" t="s">
        <v>96</v>
      </c>
      <c r="B9" s="173"/>
      <c r="C9" s="173"/>
      <c r="D9" s="174"/>
    </row>
    <row r="10" spans="1:4" x14ac:dyDescent="0.2">
      <c r="A10" s="175" t="s">
        <v>190</v>
      </c>
      <c r="B10" s="176"/>
      <c r="C10" s="176"/>
      <c r="D10" s="177"/>
    </row>
    <row r="11" spans="1:4" x14ac:dyDescent="0.2">
      <c r="A11" s="17" t="s">
        <v>9</v>
      </c>
      <c r="B11" s="2" t="s">
        <v>115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117</v>
      </c>
      <c r="C12" s="21">
        <f>COMPOSICAO!D3</f>
        <v>8.3333333333333329E-2</v>
      </c>
      <c r="D12" s="22">
        <f>C12*$D$7</f>
        <v>935.66083333333336</v>
      </c>
    </row>
    <row r="13" spans="1:4" x14ac:dyDescent="0.2">
      <c r="A13" s="19" t="s">
        <v>3</v>
      </c>
      <c r="B13" s="20" t="s">
        <v>185</v>
      </c>
      <c r="C13" s="21">
        <f>COMPOSICAO!D4</f>
        <v>7.7777777777777779E-2</v>
      </c>
      <c r="D13" s="22">
        <f>C13*$D$7</f>
        <v>873.28344444444451</v>
      </c>
    </row>
    <row r="14" spans="1:4" x14ac:dyDescent="0.2">
      <c r="A14" s="178" t="s">
        <v>191</v>
      </c>
      <c r="B14" s="179"/>
      <c r="C14" s="23">
        <f>SUM(C12:C13)</f>
        <v>0.16111111111111109</v>
      </c>
      <c r="D14" s="12">
        <f>SUM(D12:D13)</f>
        <v>1808.9442777777779</v>
      </c>
    </row>
    <row r="15" spans="1:4" x14ac:dyDescent="0.2">
      <c r="A15" s="13"/>
      <c r="B15" s="14"/>
      <c r="C15" s="24"/>
      <c r="D15" s="16"/>
    </row>
    <row r="16" spans="1:4" x14ac:dyDescent="0.2">
      <c r="A16" s="194" t="s">
        <v>98</v>
      </c>
      <c r="B16" s="195"/>
      <c r="C16" s="195"/>
      <c r="D16" s="196"/>
    </row>
    <row r="17" spans="1:4" x14ac:dyDescent="0.2">
      <c r="A17" s="17" t="s">
        <v>10</v>
      </c>
      <c r="B17" s="2" t="s">
        <v>115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118</v>
      </c>
      <c r="C18" s="21">
        <v>0.05</v>
      </c>
      <c r="D18" s="22">
        <f>C18*($D$7+$D$14)</f>
        <v>651.84371388888894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325.92185694444447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391.10622833333338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195.55311416666669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130.36874277777778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78.221245666666675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26.073748555555557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1042.9499422222223</v>
      </c>
    </row>
    <row r="26" spans="1:4" x14ac:dyDescent="0.2">
      <c r="A26" s="192" t="s">
        <v>99</v>
      </c>
      <c r="B26" s="193"/>
      <c r="C26" s="27">
        <f>SUM(C18:C25)</f>
        <v>0.21800000000000003</v>
      </c>
      <c r="D26" s="28">
        <f>SUM(D18:D25)</f>
        <v>2842.0385925555556</v>
      </c>
    </row>
    <row r="27" spans="1:4" x14ac:dyDescent="0.2">
      <c r="A27" s="13"/>
      <c r="B27" s="14"/>
      <c r="C27" s="29"/>
      <c r="D27" s="16"/>
    </row>
    <row r="28" spans="1:4" x14ac:dyDescent="0.2">
      <c r="A28" s="194" t="s">
        <v>100</v>
      </c>
      <c r="B28" s="195"/>
      <c r="C28" s="195"/>
      <c r="D28" s="196"/>
    </row>
    <row r="29" spans="1:4" x14ac:dyDescent="0.2">
      <c r="A29" s="17" t="s">
        <v>19</v>
      </c>
      <c r="B29" s="194" t="s">
        <v>115</v>
      </c>
      <c r="C29" s="196"/>
      <c r="D29" s="17" t="s">
        <v>1</v>
      </c>
    </row>
    <row r="30" spans="1:4" x14ac:dyDescent="0.2">
      <c r="A30" s="183" t="s">
        <v>2</v>
      </c>
      <c r="B30" s="30" t="s">
        <v>119</v>
      </c>
      <c r="C30" s="31"/>
      <c r="D30" s="7">
        <f>COMPOSICAO!D20*2*22</f>
        <v>242</v>
      </c>
    </row>
    <row r="31" spans="1:4" x14ac:dyDescent="0.2">
      <c r="A31" s="184"/>
      <c r="B31" s="30" t="s">
        <v>20</v>
      </c>
      <c r="C31" s="31"/>
      <c r="D31" s="7">
        <f>D6*COMPOSICAO!D21</f>
        <v>673.67579999999998</v>
      </c>
    </row>
    <row r="32" spans="1:4" x14ac:dyDescent="0.2">
      <c r="A32" s="185"/>
      <c r="B32" s="88" t="s">
        <v>21</v>
      </c>
      <c r="C32" s="89"/>
      <c r="D32" s="39">
        <f>IF(D30-D31&gt;0,D30-D31,0)</f>
        <v>0</v>
      </c>
    </row>
    <row r="33" spans="1:4" x14ac:dyDescent="0.2">
      <c r="A33" s="183" t="s">
        <v>3</v>
      </c>
      <c r="B33" s="30" t="s">
        <v>120</v>
      </c>
      <c r="D33" s="7">
        <f>COMPOSICAO!D23*22</f>
        <v>814</v>
      </c>
    </row>
    <row r="34" spans="1:4" x14ac:dyDescent="0.2">
      <c r="A34" s="184"/>
      <c r="B34" s="30" t="s">
        <v>181</v>
      </c>
      <c r="C34" s="104" cm="1">
        <f t="array" ref="C34">_xlfn.IFS(D6&lt;2407,COMPOSICAO!D25,D6&lt;4073.39,COMPOSICAO!D26,D6&lt;5924.92,COMPOSICAO!D27,D6&lt;7406.17,COMPOSICAO!D28,D6&lt;9072.58,COMPOSICAO!D29,D6&gt;9072.59,COMPOSICAO!D30)</f>
        <v>0.15</v>
      </c>
      <c r="D34" s="7">
        <f>D33*C34</f>
        <v>122.1</v>
      </c>
    </row>
    <row r="35" spans="1:4" x14ac:dyDescent="0.2">
      <c r="A35" s="185"/>
      <c r="B35" s="88" t="s">
        <v>182</v>
      </c>
      <c r="C35" s="90"/>
      <c r="D35" s="39">
        <f>D33-D34</f>
        <v>691.9</v>
      </c>
    </row>
    <row r="36" spans="1:4" x14ac:dyDescent="0.2">
      <c r="A36" s="4" t="s">
        <v>4</v>
      </c>
      <c r="B36" s="30" t="s">
        <v>167</v>
      </c>
      <c r="C36" s="31"/>
      <c r="D36" s="151">
        <f>COMPOSICAO!D31</f>
        <v>184.85</v>
      </c>
    </row>
    <row r="37" spans="1:4" x14ac:dyDescent="0.2">
      <c r="A37" s="9" t="s">
        <v>101</v>
      </c>
      <c r="B37" s="10"/>
      <c r="C37" s="11"/>
      <c r="D37" s="12">
        <f>SUM(D32,D35,D36)</f>
        <v>876.75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121</v>
      </c>
      <c r="C39" s="33"/>
      <c r="D39" s="17" t="s">
        <v>1</v>
      </c>
    </row>
    <row r="40" spans="1:4" x14ac:dyDescent="0.2">
      <c r="A40" s="4" t="s">
        <v>9</v>
      </c>
      <c r="B40" s="30" t="s">
        <v>122</v>
      </c>
      <c r="C40" s="34"/>
      <c r="D40" s="8">
        <f>D14</f>
        <v>1808.9442777777779</v>
      </c>
    </row>
    <row r="41" spans="1:4" x14ac:dyDescent="0.2">
      <c r="A41" s="4" t="s">
        <v>10</v>
      </c>
      <c r="B41" s="30" t="s">
        <v>123</v>
      </c>
      <c r="C41" s="34"/>
      <c r="D41" s="8">
        <f>D26</f>
        <v>2842.0385925555556</v>
      </c>
    </row>
    <row r="42" spans="1:4" x14ac:dyDescent="0.2">
      <c r="A42" s="4" t="s">
        <v>19</v>
      </c>
      <c r="B42" s="30" t="s">
        <v>124</v>
      </c>
      <c r="C42" s="34"/>
      <c r="D42" s="8">
        <f>D37</f>
        <v>876.75</v>
      </c>
    </row>
    <row r="43" spans="1:4" x14ac:dyDescent="0.2">
      <c r="A43" s="178" t="s">
        <v>102</v>
      </c>
      <c r="B43" s="189"/>
      <c r="C43" s="35"/>
      <c r="D43" s="12">
        <f>SUM(D40:D42)</f>
        <v>5527.7328703333333</v>
      </c>
    </row>
    <row r="44" spans="1:4" x14ac:dyDescent="0.2">
      <c r="A44" s="13"/>
      <c r="B44" s="14"/>
      <c r="C44" s="15"/>
      <c r="D44" s="16"/>
    </row>
    <row r="45" spans="1:4" x14ac:dyDescent="0.2">
      <c r="A45" s="172" t="s">
        <v>103</v>
      </c>
      <c r="B45" s="173"/>
      <c r="C45" s="173"/>
      <c r="D45" s="174"/>
    </row>
    <row r="46" spans="1:4" x14ac:dyDescent="0.2">
      <c r="A46" s="17">
        <v>3</v>
      </c>
      <c r="B46" s="2" t="s">
        <v>115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46.783041666666669</v>
      </c>
    </row>
    <row r="48" spans="1:4" x14ac:dyDescent="0.2">
      <c r="A48" s="4" t="s">
        <v>3</v>
      </c>
      <c r="B48" s="30" t="s">
        <v>125</v>
      </c>
      <c r="C48" s="37">
        <f>COMPOSICAO!D35</f>
        <v>3.3333333333333332E-4</v>
      </c>
      <c r="D48" s="22">
        <f>C48*$D$7</f>
        <v>3.7426433333333331</v>
      </c>
    </row>
    <row r="49" spans="1:4" x14ac:dyDescent="0.2">
      <c r="A49" s="19" t="s">
        <v>4</v>
      </c>
      <c r="B49" s="20" t="s">
        <v>126</v>
      </c>
      <c r="C49" s="37">
        <f>COMPOSICAO!D36</f>
        <v>3.4399999999999993E-2</v>
      </c>
      <c r="D49" s="22">
        <f t="shared" ref="D49:D52" si="1">C49*$D$7</f>
        <v>386.24079199999994</v>
      </c>
    </row>
    <row r="50" spans="1:4" x14ac:dyDescent="0.2">
      <c r="A50" s="4" t="s">
        <v>5</v>
      </c>
      <c r="B50" s="30" t="s">
        <v>127</v>
      </c>
      <c r="C50" s="37">
        <f>COMPOSICAO!D37</f>
        <v>1.2444444444444444E-2</v>
      </c>
      <c r="D50" s="22">
        <f t="shared" si="1"/>
        <v>139.72535111111111</v>
      </c>
    </row>
    <row r="51" spans="1:4" x14ac:dyDescent="0.2">
      <c r="A51" s="4" t="s">
        <v>6</v>
      </c>
      <c r="B51" s="30" t="s">
        <v>128</v>
      </c>
      <c r="C51" s="37">
        <f>COMPOSICAO!D38</f>
        <v>4.5631999999999999E-3</v>
      </c>
      <c r="D51" s="22">
        <f t="shared" si="1"/>
        <v>51.235290175999999</v>
      </c>
    </row>
    <row r="52" spans="1:4" x14ac:dyDescent="0.2">
      <c r="A52" s="4" t="s">
        <v>7</v>
      </c>
      <c r="B52" s="30" t="s">
        <v>129</v>
      </c>
      <c r="C52" s="37">
        <f>COMPOSICAO!D39</f>
        <v>3.9680000000000005E-4</v>
      </c>
      <c r="D52" s="22">
        <f t="shared" si="1"/>
        <v>4.4552426240000003</v>
      </c>
    </row>
    <row r="53" spans="1:4" x14ac:dyDescent="0.2">
      <c r="A53" s="190" t="s">
        <v>104</v>
      </c>
      <c r="B53" s="191"/>
      <c r="C53" s="38">
        <f>SUM(C47:C52)</f>
        <v>5.6304444444444435E-2</v>
      </c>
      <c r="D53" s="39">
        <f>SUM(D47:D52)</f>
        <v>632.18236091111112</v>
      </c>
    </row>
    <row r="54" spans="1:4" x14ac:dyDescent="0.2">
      <c r="A54" s="13"/>
      <c r="B54" s="14"/>
      <c r="C54" s="40"/>
      <c r="D54" s="16"/>
    </row>
    <row r="55" spans="1:4" x14ac:dyDescent="0.2">
      <c r="A55" s="172" t="s">
        <v>105</v>
      </c>
      <c r="B55" s="173"/>
      <c r="C55" s="173"/>
      <c r="D55" s="174"/>
    </row>
    <row r="56" spans="1:4" x14ac:dyDescent="0.2">
      <c r="A56" s="17">
        <v>4</v>
      </c>
      <c r="B56" s="2" t="s">
        <v>115</v>
      </c>
      <c r="C56" s="36" t="s">
        <v>0</v>
      </c>
      <c r="D56" s="17" t="s">
        <v>1</v>
      </c>
    </row>
    <row r="57" spans="1:4" x14ac:dyDescent="0.2">
      <c r="A57" s="190" t="s">
        <v>106</v>
      </c>
      <c r="B57" s="191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2" t="s">
        <v>107</v>
      </c>
      <c r="B59" s="173"/>
      <c r="C59" s="173"/>
      <c r="D59" s="174"/>
    </row>
    <row r="60" spans="1:4" x14ac:dyDescent="0.2">
      <c r="A60" s="17">
        <v>5</v>
      </c>
      <c r="B60" s="43" t="s">
        <v>115</v>
      </c>
      <c r="C60" s="44"/>
      <c r="D60" s="45" t="s">
        <v>1</v>
      </c>
    </row>
    <row r="61" spans="1:4" x14ac:dyDescent="0.2">
      <c r="A61" s="9" t="s">
        <v>108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2" t="s">
        <v>109</v>
      </c>
      <c r="B63" s="173"/>
      <c r="C63" s="173"/>
      <c r="D63" s="174"/>
    </row>
    <row r="64" spans="1:4" x14ac:dyDescent="0.2">
      <c r="A64" s="17">
        <v>6</v>
      </c>
      <c r="B64" s="2" t="s">
        <v>115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130</v>
      </c>
      <c r="C65" s="53">
        <f>COMPOSICAO!D44</f>
        <v>0.05</v>
      </c>
      <c r="D65" s="12">
        <f>C65*$D$81</f>
        <v>869.3922615622223</v>
      </c>
    </row>
    <row r="66" spans="1:4" x14ac:dyDescent="0.2">
      <c r="A66" s="51" t="s">
        <v>3</v>
      </c>
      <c r="B66" s="52" t="s">
        <v>131</v>
      </c>
      <c r="C66" s="53">
        <f>COMPOSICAO!D45</f>
        <v>0.1</v>
      </c>
      <c r="D66" s="12">
        <f>C66*($D$81+$D$65)</f>
        <v>1825.7237492806669</v>
      </c>
    </row>
    <row r="67" spans="1:4" x14ac:dyDescent="0.2">
      <c r="A67" s="51" t="s">
        <v>4</v>
      </c>
      <c r="B67" s="52" t="s">
        <v>132</v>
      </c>
      <c r="C67" s="53">
        <f>COMPOSICAO!D46</f>
        <v>9.2499999999999999E-2</v>
      </c>
      <c r="D67" s="12">
        <f>((D65+D66+D81)/(1-C67))-(D65+D66+D81)</f>
        <v>2047.0235976783224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143.84490145847676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663.89954519296964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442.59969679531315</v>
      </c>
    </row>
    <row r="71" spans="1:4" x14ac:dyDescent="0.2">
      <c r="A71" s="4" t="s">
        <v>29</v>
      </c>
      <c r="B71" s="106" t="s">
        <v>183</v>
      </c>
      <c r="C71" s="37">
        <f>COMPOSICAO!D50</f>
        <v>3.5999999999999997E-2</v>
      </c>
      <c r="D71" s="12">
        <f t="shared" si="2"/>
        <v>796.67945423156357</v>
      </c>
    </row>
    <row r="72" spans="1:4" x14ac:dyDescent="0.2">
      <c r="A72" s="178" t="s">
        <v>110</v>
      </c>
      <c r="B72" s="179"/>
      <c r="C72" s="55">
        <f>SUM(C65:C67)</f>
        <v>0.24250000000000002</v>
      </c>
      <c r="D72" s="12">
        <f>SUM(D65:D67)</f>
        <v>4742.1396085212118</v>
      </c>
    </row>
    <row r="73" spans="1:4" x14ac:dyDescent="0.2">
      <c r="A73" s="13"/>
      <c r="B73" s="14"/>
      <c r="C73" s="15"/>
      <c r="D73" s="16"/>
    </row>
    <row r="74" spans="1:4" x14ac:dyDescent="0.2">
      <c r="A74" s="186" t="s">
        <v>111</v>
      </c>
      <c r="B74" s="187"/>
      <c r="C74" s="187"/>
      <c r="D74" s="188"/>
    </row>
    <row r="75" spans="1:4" x14ac:dyDescent="0.2">
      <c r="A75" s="26" t="s">
        <v>112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133</v>
      </c>
      <c r="C76" s="58"/>
      <c r="D76" s="8">
        <f>D7</f>
        <v>11227.93</v>
      </c>
    </row>
    <row r="77" spans="1:4" x14ac:dyDescent="0.2">
      <c r="A77" s="4">
        <v>2</v>
      </c>
      <c r="B77" s="46" t="s">
        <v>134</v>
      </c>
      <c r="C77" s="58"/>
      <c r="D77" s="8">
        <f>D43</f>
        <v>5527.7328703333333</v>
      </c>
    </row>
    <row r="78" spans="1:4" x14ac:dyDescent="0.2">
      <c r="A78" s="4">
        <v>3</v>
      </c>
      <c r="B78" s="46" t="s">
        <v>135</v>
      </c>
      <c r="C78" s="58"/>
      <c r="D78" s="8">
        <f>D53</f>
        <v>632.18236091111112</v>
      </c>
    </row>
    <row r="79" spans="1:4" x14ac:dyDescent="0.2">
      <c r="A79" s="4">
        <v>4</v>
      </c>
      <c r="B79" s="46" t="s">
        <v>136</v>
      </c>
      <c r="C79" s="58"/>
      <c r="D79" s="8">
        <v>0</v>
      </c>
    </row>
    <row r="80" spans="1:4" x14ac:dyDescent="0.2">
      <c r="A80" s="4">
        <v>5</v>
      </c>
      <c r="B80" s="46" t="s">
        <v>137</v>
      </c>
      <c r="C80" s="58"/>
      <c r="D80" s="8">
        <v>0</v>
      </c>
    </row>
    <row r="81" spans="1:4" x14ac:dyDescent="0.2">
      <c r="A81" s="59" t="s">
        <v>113</v>
      </c>
      <c r="B81" s="10"/>
      <c r="C81" s="11"/>
      <c r="D81" s="12">
        <f>SUM(D76:D80)</f>
        <v>17387.845231244446</v>
      </c>
    </row>
    <row r="82" spans="1:4" x14ac:dyDescent="0.2">
      <c r="A82" s="4">
        <v>6</v>
      </c>
      <c r="B82" s="46" t="s">
        <v>138</v>
      </c>
      <c r="C82" s="58"/>
      <c r="D82" s="8">
        <f>D72</f>
        <v>4742.1396085212118</v>
      </c>
    </row>
    <row r="83" spans="1:4" x14ac:dyDescent="0.2">
      <c r="A83" s="178" t="s">
        <v>114</v>
      </c>
      <c r="B83" s="189"/>
      <c r="C83" s="179"/>
      <c r="D83" s="60">
        <f>SUM(D81:D82)</f>
        <v>22129.984839765657</v>
      </c>
    </row>
    <row r="84" spans="1:4" x14ac:dyDescent="0.2">
      <c r="C84" s="108" t="s">
        <v>187</v>
      </c>
      <c r="D84" s="109">
        <f>ROUNDUP(D83/D76,2)</f>
        <v>1.98</v>
      </c>
    </row>
    <row r="85" spans="1:4" x14ac:dyDescent="0.2"/>
    <row r="86" spans="1:4" hidden="1" x14ac:dyDescent="0.2">
      <c r="D86" s="111"/>
    </row>
  </sheetData>
  <mergeCells count="22"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</mergeCells>
  <conditionalFormatting sqref="B69">
    <cfRule type="expression" dxfId="22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D3A4EC-A57C-4CDA-B146-422BFEDB92D2}">
  <sheetPr codeName="Planilha14"/>
  <dimension ref="A1:D86"/>
  <sheetViews>
    <sheetView zoomScaleNormal="100" workbookViewId="0">
      <selection activeCell="F24" sqref="F24:F31"/>
    </sheetView>
  </sheetViews>
  <sheetFormatPr defaultColWidth="0" defaultRowHeight="12" zeroHeight="1" x14ac:dyDescent="0.2"/>
  <cols>
    <col min="1" max="1" width="5.85546875" style="107" customWidth="1"/>
    <col min="2" max="2" width="83.28515625" style="107" customWidth="1"/>
    <col min="3" max="3" width="12.42578125" style="107" customWidth="1"/>
    <col min="4" max="4" width="15.42578125" style="107" customWidth="1"/>
    <col min="5" max="5" width="9.140625" style="107" hidden="1" customWidth="1"/>
    <col min="6" max="16384" width="9.140625" style="107" hidden="1"/>
  </cols>
  <sheetData>
    <row r="1" spans="1:4" ht="12.75" thickBot="1" x14ac:dyDescent="0.25">
      <c r="A1" s="180" t="str">
        <f>PERFIS!C14</f>
        <v>Analista de BI Júnior</v>
      </c>
      <c r="B1" s="181"/>
      <c r="C1" s="181"/>
      <c r="D1" s="182"/>
    </row>
    <row r="2" spans="1:4" x14ac:dyDescent="0.2">
      <c r="A2" s="110"/>
      <c r="B2" s="110"/>
      <c r="C2" s="110"/>
      <c r="D2" s="110"/>
    </row>
    <row r="3" spans="1:4" x14ac:dyDescent="0.2">
      <c r="A3" s="169" t="s">
        <v>93</v>
      </c>
      <c r="B3" s="170"/>
      <c r="C3" s="170"/>
      <c r="D3" s="171"/>
    </row>
    <row r="4" spans="1:4" x14ac:dyDescent="0.2">
      <c r="A4" s="172" t="s">
        <v>94</v>
      </c>
      <c r="B4" s="173"/>
      <c r="C4" s="173"/>
      <c r="D4" s="174"/>
    </row>
    <row r="5" spans="1:4" x14ac:dyDescent="0.2">
      <c r="A5" s="1">
        <v>1</v>
      </c>
      <c r="B5" s="2" t="s">
        <v>115</v>
      </c>
      <c r="C5" s="3"/>
      <c r="D5" s="1" t="s">
        <v>1</v>
      </c>
    </row>
    <row r="6" spans="1:4" x14ac:dyDescent="0.2">
      <c r="A6" s="4" t="s">
        <v>2</v>
      </c>
      <c r="B6" s="5" t="s">
        <v>116</v>
      </c>
      <c r="C6" s="6">
        <v>1</v>
      </c>
      <c r="D6" s="7">
        <f>_xlfn.XLOOKUP(A1,PERFIS!C3:C35,PERFIS!D3:D35)</f>
        <v>7375.32</v>
      </c>
    </row>
    <row r="7" spans="1:4" x14ac:dyDescent="0.2">
      <c r="A7" s="9" t="s">
        <v>95</v>
      </c>
      <c r="B7" s="10"/>
      <c r="C7" s="11"/>
      <c r="D7" s="12">
        <f>SUM(D6)</f>
        <v>7375.32</v>
      </c>
    </row>
    <row r="8" spans="1:4" x14ac:dyDescent="0.2">
      <c r="A8" s="13"/>
      <c r="B8" s="14"/>
      <c r="C8" s="15"/>
      <c r="D8" s="16"/>
    </row>
    <row r="9" spans="1:4" x14ac:dyDescent="0.2">
      <c r="A9" s="172" t="s">
        <v>96</v>
      </c>
      <c r="B9" s="173"/>
      <c r="C9" s="173"/>
      <c r="D9" s="174"/>
    </row>
    <row r="10" spans="1:4" x14ac:dyDescent="0.2">
      <c r="A10" s="175" t="s">
        <v>190</v>
      </c>
      <c r="B10" s="176"/>
      <c r="C10" s="176"/>
      <c r="D10" s="177"/>
    </row>
    <row r="11" spans="1:4" x14ac:dyDescent="0.2">
      <c r="A11" s="17" t="s">
        <v>9</v>
      </c>
      <c r="B11" s="2" t="s">
        <v>115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117</v>
      </c>
      <c r="C12" s="21">
        <f>COMPOSICAO!D3</f>
        <v>8.3333333333333329E-2</v>
      </c>
      <c r="D12" s="22">
        <f>C12*$D$7</f>
        <v>614.6099999999999</v>
      </c>
    </row>
    <row r="13" spans="1:4" x14ac:dyDescent="0.2">
      <c r="A13" s="19" t="s">
        <v>3</v>
      </c>
      <c r="B13" s="20" t="s">
        <v>185</v>
      </c>
      <c r="C13" s="21">
        <f>COMPOSICAO!D4</f>
        <v>7.7777777777777779E-2</v>
      </c>
      <c r="D13" s="22">
        <f>C13*$D$7</f>
        <v>573.63599999999997</v>
      </c>
    </row>
    <row r="14" spans="1:4" x14ac:dyDescent="0.2">
      <c r="A14" s="178" t="s">
        <v>191</v>
      </c>
      <c r="B14" s="179"/>
      <c r="C14" s="23">
        <f>SUM(C12:C13)</f>
        <v>0.16111111111111109</v>
      </c>
      <c r="D14" s="12">
        <f>SUM(D12:D13)</f>
        <v>1188.2459999999999</v>
      </c>
    </row>
    <row r="15" spans="1:4" x14ac:dyDescent="0.2">
      <c r="A15" s="13"/>
      <c r="B15" s="14"/>
      <c r="C15" s="24"/>
      <c r="D15" s="16"/>
    </row>
    <row r="16" spans="1:4" x14ac:dyDescent="0.2">
      <c r="A16" s="194" t="s">
        <v>98</v>
      </c>
      <c r="B16" s="195"/>
      <c r="C16" s="195"/>
      <c r="D16" s="196"/>
    </row>
    <row r="17" spans="1:4" x14ac:dyDescent="0.2">
      <c r="A17" s="17" t="s">
        <v>10</v>
      </c>
      <c r="B17" s="2" t="s">
        <v>115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118</v>
      </c>
      <c r="C18" s="21">
        <v>0.05</v>
      </c>
      <c r="D18" s="22">
        <f>C18*($D$7+$D$14)</f>
        <v>428.17829999999998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214.08914999999999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256.90697999999998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128.45348999999999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85.635659999999987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51.381395999999995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17.127132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685.0852799999999</v>
      </c>
    </row>
    <row r="26" spans="1:4" x14ac:dyDescent="0.2">
      <c r="A26" s="192" t="s">
        <v>99</v>
      </c>
      <c r="B26" s="193"/>
      <c r="C26" s="27">
        <f>SUM(C18:C25)</f>
        <v>0.21800000000000003</v>
      </c>
      <c r="D26" s="28">
        <f>SUM(D18:D25)</f>
        <v>1866.8573879999999</v>
      </c>
    </row>
    <row r="27" spans="1:4" x14ac:dyDescent="0.2">
      <c r="A27" s="13"/>
      <c r="B27" s="14"/>
      <c r="C27" s="29"/>
      <c r="D27" s="16"/>
    </row>
    <row r="28" spans="1:4" x14ac:dyDescent="0.2">
      <c r="A28" s="194" t="s">
        <v>100</v>
      </c>
      <c r="B28" s="195"/>
      <c r="C28" s="195"/>
      <c r="D28" s="196"/>
    </row>
    <row r="29" spans="1:4" x14ac:dyDescent="0.2">
      <c r="A29" s="17" t="s">
        <v>19</v>
      </c>
      <c r="B29" s="194" t="s">
        <v>115</v>
      </c>
      <c r="C29" s="196"/>
      <c r="D29" s="17" t="s">
        <v>1</v>
      </c>
    </row>
    <row r="30" spans="1:4" x14ac:dyDescent="0.2">
      <c r="A30" s="183" t="s">
        <v>2</v>
      </c>
      <c r="B30" s="30" t="s">
        <v>119</v>
      </c>
      <c r="C30" s="31"/>
      <c r="D30" s="7">
        <f>COMPOSICAO!D20*2*22</f>
        <v>242</v>
      </c>
    </row>
    <row r="31" spans="1:4" x14ac:dyDescent="0.2">
      <c r="A31" s="184"/>
      <c r="B31" s="30" t="s">
        <v>20</v>
      </c>
      <c r="C31" s="31"/>
      <c r="D31" s="7">
        <f>D6*COMPOSICAO!D21</f>
        <v>442.51919999999996</v>
      </c>
    </row>
    <row r="32" spans="1:4" x14ac:dyDescent="0.2">
      <c r="A32" s="185"/>
      <c r="B32" s="88" t="s">
        <v>21</v>
      </c>
      <c r="C32" s="89"/>
      <c r="D32" s="39">
        <f>IF(D30-D31&gt;0,D30-D31,0)</f>
        <v>0</v>
      </c>
    </row>
    <row r="33" spans="1:4" x14ac:dyDescent="0.2">
      <c r="A33" s="183" t="s">
        <v>3</v>
      </c>
      <c r="B33" s="30" t="s">
        <v>120</v>
      </c>
      <c r="D33" s="7">
        <f>COMPOSICAO!D23*22</f>
        <v>814</v>
      </c>
    </row>
    <row r="34" spans="1:4" x14ac:dyDescent="0.2">
      <c r="A34" s="184"/>
      <c r="B34" s="30" t="s">
        <v>181</v>
      </c>
      <c r="C34" s="104" cm="1">
        <f t="array" ref="C34">_xlfn.IFS(D6&lt;2407,COMPOSICAO!D25,D6&lt;4073.39,COMPOSICAO!D26,D6&lt;5924.92,COMPOSICAO!D27,D6&lt;7406.17,COMPOSICAO!D28,D6&lt;9072.58,COMPOSICAO!D29,D6&gt;9072.59,COMPOSICAO!D30)</f>
        <v>7.4999999999999997E-2</v>
      </c>
      <c r="D34" s="7">
        <f>D33*C34</f>
        <v>61.05</v>
      </c>
    </row>
    <row r="35" spans="1:4" x14ac:dyDescent="0.2">
      <c r="A35" s="185"/>
      <c r="B35" s="88" t="s">
        <v>182</v>
      </c>
      <c r="C35" s="90"/>
      <c r="D35" s="39">
        <f>D33-D34</f>
        <v>752.95</v>
      </c>
    </row>
    <row r="36" spans="1:4" x14ac:dyDescent="0.2">
      <c r="A36" s="4" t="s">
        <v>4</v>
      </c>
      <c r="B36" s="30" t="s">
        <v>167</v>
      </c>
      <c r="C36" s="31"/>
      <c r="D36" s="151">
        <f>COMPOSICAO!D31</f>
        <v>184.85</v>
      </c>
    </row>
    <row r="37" spans="1:4" x14ac:dyDescent="0.2">
      <c r="A37" s="9" t="s">
        <v>101</v>
      </c>
      <c r="B37" s="10"/>
      <c r="C37" s="11"/>
      <c r="D37" s="12">
        <f>SUM(D32,D35,D36)</f>
        <v>937.80000000000007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121</v>
      </c>
      <c r="C39" s="33"/>
      <c r="D39" s="17" t="s">
        <v>1</v>
      </c>
    </row>
    <row r="40" spans="1:4" x14ac:dyDescent="0.2">
      <c r="A40" s="4" t="s">
        <v>9</v>
      </c>
      <c r="B40" s="30" t="s">
        <v>122</v>
      </c>
      <c r="C40" s="34"/>
      <c r="D40" s="8">
        <f>D14</f>
        <v>1188.2459999999999</v>
      </c>
    </row>
    <row r="41" spans="1:4" x14ac:dyDescent="0.2">
      <c r="A41" s="4" t="s">
        <v>10</v>
      </c>
      <c r="B41" s="30" t="s">
        <v>123</v>
      </c>
      <c r="C41" s="34"/>
      <c r="D41" s="8">
        <f>D26</f>
        <v>1866.8573879999999</v>
      </c>
    </row>
    <row r="42" spans="1:4" x14ac:dyDescent="0.2">
      <c r="A42" s="4" t="s">
        <v>19</v>
      </c>
      <c r="B42" s="30" t="s">
        <v>124</v>
      </c>
      <c r="C42" s="34"/>
      <c r="D42" s="8">
        <f>D37</f>
        <v>937.80000000000007</v>
      </c>
    </row>
    <row r="43" spans="1:4" x14ac:dyDescent="0.2">
      <c r="A43" s="178" t="s">
        <v>102</v>
      </c>
      <c r="B43" s="189"/>
      <c r="C43" s="35"/>
      <c r="D43" s="12">
        <f>SUM(D40:D42)</f>
        <v>3992.9033879999997</v>
      </c>
    </row>
    <row r="44" spans="1:4" x14ac:dyDescent="0.2">
      <c r="A44" s="13"/>
      <c r="B44" s="14"/>
      <c r="C44" s="15"/>
      <c r="D44" s="16"/>
    </row>
    <row r="45" spans="1:4" x14ac:dyDescent="0.2">
      <c r="A45" s="172" t="s">
        <v>103</v>
      </c>
      <c r="B45" s="173"/>
      <c r="C45" s="173"/>
      <c r="D45" s="174"/>
    </row>
    <row r="46" spans="1:4" x14ac:dyDescent="0.2">
      <c r="A46" s="17">
        <v>3</v>
      </c>
      <c r="B46" s="2" t="s">
        <v>115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30.730499999999999</v>
      </c>
    </row>
    <row r="48" spans="1:4" x14ac:dyDescent="0.2">
      <c r="A48" s="4" t="s">
        <v>3</v>
      </c>
      <c r="B48" s="30" t="s">
        <v>125</v>
      </c>
      <c r="C48" s="37">
        <f>COMPOSICAO!D35</f>
        <v>3.3333333333333332E-4</v>
      </c>
      <c r="D48" s="22">
        <f>C48*$D$7</f>
        <v>2.45844</v>
      </c>
    </row>
    <row r="49" spans="1:4" x14ac:dyDescent="0.2">
      <c r="A49" s="19" t="s">
        <v>4</v>
      </c>
      <c r="B49" s="20" t="s">
        <v>126</v>
      </c>
      <c r="C49" s="37">
        <f>COMPOSICAO!D36</f>
        <v>3.4399999999999993E-2</v>
      </c>
      <c r="D49" s="22">
        <f t="shared" ref="D49:D52" si="1">C49*$D$7</f>
        <v>253.71100799999994</v>
      </c>
    </row>
    <row r="50" spans="1:4" x14ac:dyDescent="0.2">
      <c r="A50" s="4" t="s">
        <v>5</v>
      </c>
      <c r="B50" s="30" t="s">
        <v>127</v>
      </c>
      <c r="C50" s="37">
        <f>COMPOSICAO!D37</f>
        <v>1.2444444444444444E-2</v>
      </c>
      <c r="D50" s="22">
        <f t="shared" si="1"/>
        <v>91.781759999999991</v>
      </c>
    </row>
    <row r="51" spans="1:4" x14ac:dyDescent="0.2">
      <c r="A51" s="4" t="s">
        <v>6</v>
      </c>
      <c r="B51" s="30" t="s">
        <v>128</v>
      </c>
      <c r="C51" s="37">
        <f>COMPOSICAO!D38</f>
        <v>4.5631999999999999E-3</v>
      </c>
      <c r="D51" s="22">
        <f t="shared" si="1"/>
        <v>33.655060223999996</v>
      </c>
    </row>
    <row r="52" spans="1:4" x14ac:dyDescent="0.2">
      <c r="A52" s="4" t="s">
        <v>7</v>
      </c>
      <c r="B52" s="30" t="s">
        <v>129</v>
      </c>
      <c r="C52" s="37">
        <f>COMPOSICAO!D39</f>
        <v>3.9680000000000005E-4</v>
      </c>
      <c r="D52" s="22">
        <f t="shared" si="1"/>
        <v>2.9265269760000003</v>
      </c>
    </row>
    <row r="53" spans="1:4" x14ac:dyDescent="0.2">
      <c r="A53" s="190" t="s">
        <v>104</v>
      </c>
      <c r="B53" s="191"/>
      <c r="C53" s="38">
        <f>SUM(C47:C52)</f>
        <v>5.6304444444444435E-2</v>
      </c>
      <c r="D53" s="39">
        <f>SUM(D47:D52)</f>
        <v>415.26329519999996</v>
      </c>
    </row>
    <row r="54" spans="1:4" x14ac:dyDescent="0.2">
      <c r="A54" s="13"/>
      <c r="B54" s="14"/>
      <c r="C54" s="40"/>
      <c r="D54" s="16"/>
    </row>
    <row r="55" spans="1:4" x14ac:dyDescent="0.2">
      <c r="A55" s="172" t="s">
        <v>105</v>
      </c>
      <c r="B55" s="173"/>
      <c r="C55" s="173"/>
      <c r="D55" s="174"/>
    </row>
    <row r="56" spans="1:4" x14ac:dyDescent="0.2">
      <c r="A56" s="17">
        <v>4</v>
      </c>
      <c r="B56" s="2" t="s">
        <v>115</v>
      </c>
      <c r="C56" s="36" t="s">
        <v>0</v>
      </c>
      <c r="D56" s="17" t="s">
        <v>1</v>
      </c>
    </row>
    <row r="57" spans="1:4" x14ac:dyDescent="0.2">
      <c r="A57" s="190" t="s">
        <v>106</v>
      </c>
      <c r="B57" s="191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2" t="s">
        <v>107</v>
      </c>
      <c r="B59" s="173"/>
      <c r="C59" s="173"/>
      <c r="D59" s="174"/>
    </row>
    <row r="60" spans="1:4" x14ac:dyDescent="0.2">
      <c r="A60" s="17">
        <v>5</v>
      </c>
      <c r="B60" s="43" t="s">
        <v>115</v>
      </c>
      <c r="C60" s="44"/>
      <c r="D60" s="45" t="s">
        <v>1</v>
      </c>
    </row>
    <row r="61" spans="1:4" x14ac:dyDescent="0.2">
      <c r="A61" s="9" t="s">
        <v>108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2" t="s">
        <v>109</v>
      </c>
      <c r="B63" s="173"/>
      <c r="C63" s="173"/>
      <c r="D63" s="174"/>
    </row>
    <row r="64" spans="1:4" x14ac:dyDescent="0.2">
      <c r="A64" s="17">
        <v>6</v>
      </c>
      <c r="B64" s="2" t="s">
        <v>115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130</v>
      </c>
      <c r="C65" s="53">
        <f>COMPOSICAO!D44</f>
        <v>0.05</v>
      </c>
      <c r="D65" s="12">
        <f>C65*$D$81</f>
        <v>589.17433415999994</v>
      </c>
    </row>
    <row r="66" spans="1:4" x14ac:dyDescent="0.2">
      <c r="A66" s="51" t="s">
        <v>3</v>
      </c>
      <c r="B66" s="52" t="s">
        <v>131</v>
      </c>
      <c r="C66" s="53">
        <f>COMPOSICAO!D45</f>
        <v>0.1</v>
      </c>
      <c r="D66" s="12">
        <f>C66*($D$81+$D$65)</f>
        <v>1237.2661017359999</v>
      </c>
    </row>
    <row r="67" spans="1:4" x14ac:dyDescent="0.2">
      <c r="A67" s="51" t="s">
        <v>4</v>
      </c>
      <c r="B67" s="52" t="s">
        <v>132</v>
      </c>
      <c r="C67" s="53">
        <f>COMPOSICAO!D46</f>
        <v>9.2499999999999999E-2</v>
      </c>
      <c r="D67" s="12">
        <f>((D65+D66+D81)/(1-C67))-(D65+D66+D81)</f>
        <v>1387.2377504312735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97.481571651927268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449.91494608581814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299.94329739054547</v>
      </c>
    </row>
    <row r="71" spans="1:4" x14ac:dyDescent="0.2">
      <c r="A71" s="4" t="s">
        <v>29</v>
      </c>
      <c r="B71" s="106" t="s">
        <v>183</v>
      </c>
      <c r="C71" s="37">
        <f>COMPOSICAO!D50</f>
        <v>3.5999999999999997E-2</v>
      </c>
      <c r="D71" s="12">
        <f t="shared" si="2"/>
        <v>539.89793530298175</v>
      </c>
    </row>
    <row r="72" spans="1:4" x14ac:dyDescent="0.2">
      <c r="A72" s="178" t="s">
        <v>110</v>
      </c>
      <c r="B72" s="179"/>
      <c r="C72" s="55">
        <f>SUM(C65:C67)</f>
        <v>0.24250000000000002</v>
      </c>
      <c r="D72" s="12">
        <f>SUM(D65:D67)</f>
        <v>3213.6781863272736</v>
      </c>
    </row>
    <row r="73" spans="1:4" x14ac:dyDescent="0.2">
      <c r="A73" s="13"/>
      <c r="B73" s="14"/>
      <c r="C73" s="15"/>
      <c r="D73" s="16"/>
    </row>
    <row r="74" spans="1:4" x14ac:dyDescent="0.2">
      <c r="A74" s="186" t="s">
        <v>111</v>
      </c>
      <c r="B74" s="187"/>
      <c r="C74" s="187"/>
      <c r="D74" s="188"/>
    </row>
    <row r="75" spans="1:4" x14ac:dyDescent="0.2">
      <c r="A75" s="26" t="s">
        <v>112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133</v>
      </c>
      <c r="C76" s="58"/>
      <c r="D76" s="8">
        <f>D7</f>
        <v>7375.32</v>
      </c>
    </row>
    <row r="77" spans="1:4" x14ac:dyDescent="0.2">
      <c r="A77" s="4">
        <v>2</v>
      </c>
      <c r="B77" s="46" t="s">
        <v>134</v>
      </c>
      <c r="C77" s="58"/>
      <c r="D77" s="8">
        <f>D43</f>
        <v>3992.9033879999997</v>
      </c>
    </row>
    <row r="78" spans="1:4" x14ac:dyDescent="0.2">
      <c r="A78" s="4">
        <v>3</v>
      </c>
      <c r="B78" s="46" t="s">
        <v>135</v>
      </c>
      <c r="C78" s="58"/>
      <c r="D78" s="8">
        <f>D53</f>
        <v>415.26329519999996</v>
      </c>
    </row>
    <row r="79" spans="1:4" x14ac:dyDescent="0.2">
      <c r="A79" s="4">
        <v>4</v>
      </c>
      <c r="B79" s="46" t="s">
        <v>136</v>
      </c>
      <c r="C79" s="58"/>
      <c r="D79" s="8">
        <v>0</v>
      </c>
    </row>
    <row r="80" spans="1:4" x14ac:dyDescent="0.2">
      <c r="A80" s="4">
        <v>5</v>
      </c>
      <c r="B80" s="46" t="s">
        <v>137</v>
      </c>
      <c r="C80" s="58"/>
      <c r="D80" s="8">
        <v>0</v>
      </c>
    </row>
    <row r="81" spans="1:4" x14ac:dyDescent="0.2">
      <c r="A81" s="59" t="s">
        <v>113</v>
      </c>
      <c r="B81" s="10"/>
      <c r="C81" s="11"/>
      <c r="D81" s="12">
        <f>SUM(D76:D80)</f>
        <v>11783.486683199999</v>
      </c>
    </row>
    <row r="82" spans="1:4" x14ac:dyDescent="0.2">
      <c r="A82" s="4">
        <v>6</v>
      </c>
      <c r="B82" s="46" t="s">
        <v>138</v>
      </c>
      <c r="C82" s="58"/>
      <c r="D82" s="8">
        <f>D72</f>
        <v>3213.6781863272736</v>
      </c>
    </row>
    <row r="83" spans="1:4" x14ac:dyDescent="0.2">
      <c r="A83" s="178" t="s">
        <v>114</v>
      </c>
      <c r="B83" s="189"/>
      <c r="C83" s="179"/>
      <c r="D83" s="60">
        <f>SUM(D81:D82)</f>
        <v>14997.164869527272</v>
      </c>
    </row>
    <row r="84" spans="1:4" x14ac:dyDescent="0.2">
      <c r="C84" s="108" t="s">
        <v>187</v>
      </c>
      <c r="D84" s="109">
        <f>ROUNDUP(D83/D76,2)</f>
        <v>2.0399999999999996</v>
      </c>
    </row>
    <row r="85" spans="1:4" x14ac:dyDescent="0.2"/>
    <row r="86" spans="1:4" hidden="1" x14ac:dyDescent="0.2">
      <c r="D86" s="111"/>
    </row>
  </sheetData>
  <mergeCells count="22"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</mergeCells>
  <conditionalFormatting sqref="B69">
    <cfRule type="expression" dxfId="21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44DA17-EC3C-4F80-8844-0A3A8D859B8F}">
  <sheetPr codeName="Planilha15"/>
  <dimension ref="A1:D86"/>
  <sheetViews>
    <sheetView zoomScaleNormal="100" workbookViewId="0">
      <selection activeCell="F24" sqref="F24:F31"/>
    </sheetView>
  </sheetViews>
  <sheetFormatPr defaultColWidth="0" defaultRowHeight="12" zeroHeight="1" x14ac:dyDescent="0.2"/>
  <cols>
    <col min="1" max="1" width="5.85546875" style="107" customWidth="1"/>
    <col min="2" max="2" width="83.28515625" style="107" customWidth="1"/>
    <col min="3" max="3" width="12.42578125" style="107" customWidth="1"/>
    <col min="4" max="4" width="15.42578125" style="107" customWidth="1"/>
    <col min="5" max="5" width="9.140625" style="107" hidden="1" customWidth="1"/>
    <col min="6" max="16384" width="9.140625" style="107" hidden="1"/>
  </cols>
  <sheetData>
    <row r="1" spans="1:4" ht="12.75" thickBot="1" x14ac:dyDescent="0.25">
      <c r="A1" s="180" t="str">
        <f>PERFIS!C15</f>
        <v>Analista de BI Pleno</v>
      </c>
      <c r="B1" s="181"/>
      <c r="C1" s="181"/>
      <c r="D1" s="182"/>
    </row>
    <row r="2" spans="1:4" x14ac:dyDescent="0.2">
      <c r="A2" s="110"/>
      <c r="B2" s="110"/>
      <c r="C2" s="110"/>
      <c r="D2" s="110"/>
    </row>
    <row r="3" spans="1:4" x14ac:dyDescent="0.2">
      <c r="A3" s="169" t="s">
        <v>93</v>
      </c>
      <c r="B3" s="170"/>
      <c r="C3" s="170"/>
      <c r="D3" s="171"/>
    </row>
    <row r="4" spans="1:4" x14ac:dyDescent="0.2">
      <c r="A4" s="172" t="s">
        <v>94</v>
      </c>
      <c r="B4" s="173"/>
      <c r="C4" s="173"/>
      <c r="D4" s="174"/>
    </row>
    <row r="5" spans="1:4" x14ac:dyDescent="0.2">
      <c r="A5" s="1">
        <v>1</v>
      </c>
      <c r="B5" s="2" t="s">
        <v>115</v>
      </c>
      <c r="C5" s="3"/>
      <c r="D5" s="1" t="s">
        <v>1</v>
      </c>
    </row>
    <row r="6" spans="1:4" x14ac:dyDescent="0.2">
      <c r="A6" s="4" t="s">
        <v>2</v>
      </c>
      <c r="B6" s="5" t="s">
        <v>116</v>
      </c>
      <c r="C6" s="6">
        <v>1</v>
      </c>
      <c r="D6" s="7">
        <f>_xlfn.XLOOKUP(A1,PERFIS!C3:C35,PERFIS!D3:D35)</f>
        <v>10760.154999999999</v>
      </c>
    </row>
    <row r="7" spans="1:4" x14ac:dyDescent="0.2">
      <c r="A7" s="9" t="s">
        <v>95</v>
      </c>
      <c r="B7" s="10"/>
      <c r="C7" s="11"/>
      <c r="D7" s="12">
        <f>SUM(D6)</f>
        <v>10760.154999999999</v>
      </c>
    </row>
    <row r="8" spans="1:4" x14ac:dyDescent="0.2">
      <c r="A8" s="13"/>
      <c r="B8" s="14"/>
      <c r="C8" s="15"/>
      <c r="D8" s="16"/>
    </row>
    <row r="9" spans="1:4" x14ac:dyDescent="0.2">
      <c r="A9" s="172" t="s">
        <v>96</v>
      </c>
      <c r="B9" s="173"/>
      <c r="C9" s="173"/>
      <c r="D9" s="174"/>
    </row>
    <row r="10" spans="1:4" x14ac:dyDescent="0.2">
      <c r="A10" s="175" t="s">
        <v>190</v>
      </c>
      <c r="B10" s="176"/>
      <c r="C10" s="176"/>
      <c r="D10" s="177"/>
    </row>
    <row r="11" spans="1:4" x14ac:dyDescent="0.2">
      <c r="A11" s="17" t="s">
        <v>9</v>
      </c>
      <c r="B11" s="2" t="s">
        <v>115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117</v>
      </c>
      <c r="C12" s="21">
        <f>COMPOSICAO!D3</f>
        <v>8.3333333333333329E-2</v>
      </c>
      <c r="D12" s="22">
        <f>C12*$D$7</f>
        <v>896.6795833333332</v>
      </c>
    </row>
    <row r="13" spans="1:4" x14ac:dyDescent="0.2">
      <c r="A13" s="19" t="s">
        <v>3</v>
      </c>
      <c r="B13" s="20" t="s">
        <v>185</v>
      </c>
      <c r="C13" s="21">
        <f>COMPOSICAO!D4</f>
        <v>7.7777777777777779E-2</v>
      </c>
      <c r="D13" s="22">
        <f>C13*$D$7</f>
        <v>836.90094444444435</v>
      </c>
    </row>
    <row r="14" spans="1:4" x14ac:dyDescent="0.2">
      <c r="A14" s="178" t="s">
        <v>191</v>
      </c>
      <c r="B14" s="179"/>
      <c r="C14" s="23">
        <f>SUM(C12:C13)</f>
        <v>0.16111111111111109</v>
      </c>
      <c r="D14" s="12">
        <f>SUM(D12:D13)</f>
        <v>1733.5805277777777</v>
      </c>
    </row>
    <row r="15" spans="1:4" x14ac:dyDescent="0.2">
      <c r="A15" s="13"/>
      <c r="B15" s="14"/>
      <c r="C15" s="24"/>
      <c r="D15" s="16"/>
    </row>
    <row r="16" spans="1:4" x14ac:dyDescent="0.2">
      <c r="A16" s="194" t="s">
        <v>98</v>
      </c>
      <c r="B16" s="195"/>
      <c r="C16" s="195"/>
      <c r="D16" s="196"/>
    </row>
    <row r="17" spans="1:4" x14ac:dyDescent="0.2">
      <c r="A17" s="17" t="s">
        <v>10</v>
      </c>
      <c r="B17" s="2" t="s">
        <v>115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118</v>
      </c>
      <c r="C18" s="21">
        <v>0.05</v>
      </c>
      <c r="D18" s="22">
        <f>C18*($D$7+$D$14)</f>
        <v>624.68677638888892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312.34338819444446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374.81206583333329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187.40603291666665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124.93735527777777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74.962413166666664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24.987471055555556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999.49884222222215</v>
      </c>
    </row>
    <row r="26" spans="1:4" x14ac:dyDescent="0.2">
      <c r="A26" s="192" t="s">
        <v>99</v>
      </c>
      <c r="B26" s="193"/>
      <c r="C26" s="27">
        <f>SUM(C18:C25)</f>
        <v>0.21800000000000003</v>
      </c>
      <c r="D26" s="28">
        <f>SUM(D18:D25)</f>
        <v>2723.6343450555551</v>
      </c>
    </row>
    <row r="27" spans="1:4" x14ac:dyDescent="0.2">
      <c r="A27" s="13"/>
      <c r="B27" s="14"/>
      <c r="C27" s="29"/>
      <c r="D27" s="16"/>
    </row>
    <row r="28" spans="1:4" x14ac:dyDescent="0.2">
      <c r="A28" s="194" t="s">
        <v>100</v>
      </c>
      <c r="B28" s="195"/>
      <c r="C28" s="195"/>
      <c r="D28" s="196"/>
    </row>
    <row r="29" spans="1:4" x14ac:dyDescent="0.2">
      <c r="A29" s="17" t="s">
        <v>19</v>
      </c>
      <c r="B29" s="194" t="s">
        <v>115</v>
      </c>
      <c r="C29" s="196"/>
      <c r="D29" s="17" t="s">
        <v>1</v>
      </c>
    </row>
    <row r="30" spans="1:4" x14ac:dyDescent="0.2">
      <c r="A30" s="183" t="s">
        <v>2</v>
      </c>
      <c r="B30" s="30" t="s">
        <v>119</v>
      </c>
      <c r="C30" s="31"/>
      <c r="D30" s="7">
        <f>COMPOSICAO!D20*2*22</f>
        <v>242</v>
      </c>
    </row>
    <row r="31" spans="1:4" x14ac:dyDescent="0.2">
      <c r="A31" s="184"/>
      <c r="B31" s="30" t="s">
        <v>20</v>
      </c>
      <c r="C31" s="31"/>
      <c r="D31" s="7">
        <f>D6*COMPOSICAO!D21</f>
        <v>645.60929999999996</v>
      </c>
    </row>
    <row r="32" spans="1:4" x14ac:dyDescent="0.2">
      <c r="A32" s="185"/>
      <c r="B32" s="88" t="s">
        <v>21</v>
      </c>
      <c r="C32" s="89"/>
      <c r="D32" s="39">
        <f>IF(D30-D31&gt;0,D30-D31,0)</f>
        <v>0</v>
      </c>
    </row>
    <row r="33" spans="1:4" x14ac:dyDescent="0.2">
      <c r="A33" s="183" t="s">
        <v>3</v>
      </c>
      <c r="B33" s="30" t="s">
        <v>120</v>
      </c>
      <c r="D33" s="7">
        <f>COMPOSICAO!D23*22</f>
        <v>814</v>
      </c>
    </row>
    <row r="34" spans="1:4" x14ac:dyDescent="0.2">
      <c r="A34" s="184"/>
      <c r="B34" s="30" t="s">
        <v>181</v>
      </c>
      <c r="C34" s="104" cm="1">
        <f t="array" ref="C34">_xlfn.IFS(D6&lt;2407,COMPOSICAO!D25,D6&lt;4073.39,COMPOSICAO!D26,D6&lt;5924.92,COMPOSICAO!D27,D6&lt;7406.17,COMPOSICAO!D28,D6&lt;9072.58,COMPOSICAO!D29,D6&gt;9072.59,COMPOSICAO!D30)</f>
        <v>0.15</v>
      </c>
      <c r="D34" s="7">
        <f>D33*C34</f>
        <v>122.1</v>
      </c>
    </row>
    <row r="35" spans="1:4" x14ac:dyDescent="0.2">
      <c r="A35" s="185"/>
      <c r="B35" s="88" t="s">
        <v>182</v>
      </c>
      <c r="C35" s="90"/>
      <c r="D35" s="39">
        <f>D33-D34</f>
        <v>691.9</v>
      </c>
    </row>
    <row r="36" spans="1:4" x14ac:dyDescent="0.2">
      <c r="A36" s="4" t="s">
        <v>4</v>
      </c>
      <c r="B36" s="30" t="s">
        <v>167</v>
      </c>
      <c r="C36" s="31"/>
      <c r="D36" s="151">
        <f>COMPOSICAO!D31</f>
        <v>184.85</v>
      </c>
    </row>
    <row r="37" spans="1:4" x14ac:dyDescent="0.2">
      <c r="A37" s="9" t="s">
        <v>101</v>
      </c>
      <c r="B37" s="10"/>
      <c r="C37" s="11"/>
      <c r="D37" s="12">
        <f>SUM(D32,D35,D36)</f>
        <v>876.75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121</v>
      </c>
      <c r="C39" s="33"/>
      <c r="D39" s="17" t="s">
        <v>1</v>
      </c>
    </row>
    <row r="40" spans="1:4" x14ac:dyDescent="0.2">
      <c r="A40" s="4" t="s">
        <v>9</v>
      </c>
      <c r="B40" s="30" t="s">
        <v>122</v>
      </c>
      <c r="C40" s="34"/>
      <c r="D40" s="8">
        <f>D14</f>
        <v>1733.5805277777777</v>
      </c>
    </row>
    <row r="41" spans="1:4" x14ac:dyDescent="0.2">
      <c r="A41" s="4" t="s">
        <v>10</v>
      </c>
      <c r="B41" s="30" t="s">
        <v>123</v>
      </c>
      <c r="C41" s="34"/>
      <c r="D41" s="8">
        <f>D26</f>
        <v>2723.6343450555551</v>
      </c>
    </row>
    <row r="42" spans="1:4" x14ac:dyDescent="0.2">
      <c r="A42" s="4" t="s">
        <v>19</v>
      </c>
      <c r="B42" s="30" t="s">
        <v>124</v>
      </c>
      <c r="C42" s="34"/>
      <c r="D42" s="8">
        <f>D37</f>
        <v>876.75</v>
      </c>
    </row>
    <row r="43" spans="1:4" x14ac:dyDescent="0.2">
      <c r="A43" s="178" t="s">
        <v>102</v>
      </c>
      <c r="B43" s="189"/>
      <c r="C43" s="35"/>
      <c r="D43" s="12">
        <f>SUM(D40:D42)</f>
        <v>5333.9648728333323</v>
      </c>
    </row>
    <row r="44" spans="1:4" x14ac:dyDescent="0.2">
      <c r="A44" s="13"/>
      <c r="B44" s="14"/>
      <c r="C44" s="15"/>
      <c r="D44" s="16"/>
    </row>
    <row r="45" spans="1:4" x14ac:dyDescent="0.2">
      <c r="A45" s="172" t="s">
        <v>103</v>
      </c>
      <c r="B45" s="173"/>
      <c r="C45" s="173"/>
      <c r="D45" s="174"/>
    </row>
    <row r="46" spans="1:4" x14ac:dyDescent="0.2">
      <c r="A46" s="17">
        <v>3</v>
      </c>
      <c r="B46" s="2" t="s">
        <v>115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44.833979166666659</v>
      </c>
    </row>
    <row r="48" spans="1:4" x14ac:dyDescent="0.2">
      <c r="A48" s="4" t="s">
        <v>3</v>
      </c>
      <c r="B48" s="30" t="s">
        <v>125</v>
      </c>
      <c r="C48" s="37">
        <f>COMPOSICAO!D35</f>
        <v>3.3333333333333332E-4</v>
      </c>
      <c r="D48" s="22">
        <f>C48*$D$7</f>
        <v>3.5867183333333328</v>
      </c>
    </row>
    <row r="49" spans="1:4" x14ac:dyDescent="0.2">
      <c r="A49" s="19" t="s">
        <v>4</v>
      </c>
      <c r="B49" s="20" t="s">
        <v>126</v>
      </c>
      <c r="C49" s="37">
        <f>COMPOSICAO!D36</f>
        <v>3.4399999999999993E-2</v>
      </c>
      <c r="D49" s="22">
        <f t="shared" ref="D49:D52" si="1">C49*$D$7</f>
        <v>370.1493319999999</v>
      </c>
    </row>
    <row r="50" spans="1:4" x14ac:dyDescent="0.2">
      <c r="A50" s="4" t="s">
        <v>5</v>
      </c>
      <c r="B50" s="30" t="s">
        <v>127</v>
      </c>
      <c r="C50" s="37">
        <f>COMPOSICAO!D37</f>
        <v>1.2444444444444444E-2</v>
      </c>
      <c r="D50" s="22">
        <f t="shared" si="1"/>
        <v>133.90415111111108</v>
      </c>
    </row>
    <row r="51" spans="1:4" x14ac:dyDescent="0.2">
      <c r="A51" s="4" t="s">
        <v>6</v>
      </c>
      <c r="B51" s="30" t="s">
        <v>128</v>
      </c>
      <c r="C51" s="37">
        <f>COMPOSICAO!D38</f>
        <v>4.5631999999999999E-3</v>
      </c>
      <c r="D51" s="22">
        <f t="shared" si="1"/>
        <v>49.100739295999993</v>
      </c>
    </row>
    <row r="52" spans="1:4" x14ac:dyDescent="0.2">
      <c r="A52" s="4" t="s">
        <v>7</v>
      </c>
      <c r="B52" s="30" t="s">
        <v>129</v>
      </c>
      <c r="C52" s="37">
        <f>COMPOSICAO!D39</f>
        <v>3.9680000000000005E-4</v>
      </c>
      <c r="D52" s="22">
        <f t="shared" si="1"/>
        <v>4.2696295040000001</v>
      </c>
    </row>
    <row r="53" spans="1:4" x14ac:dyDescent="0.2">
      <c r="A53" s="190" t="s">
        <v>104</v>
      </c>
      <c r="B53" s="191"/>
      <c r="C53" s="38">
        <f>SUM(C47:C52)</f>
        <v>5.6304444444444435E-2</v>
      </c>
      <c r="D53" s="39">
        <f>SUM(D47:D52)</f>
        <v>605.84454941111107</v>
      </c>
    </row>
    <row r="54" spans="1:4" x14ac:dyDescent="0.2">
      <c r="A54" s="13"/>
      <c r="B54" s="14"/>
      <c r="C54" s="40"/>
      <c r="D54" s="16"/>
    </row>
    <row r="55" spans="1:4" x14ac:dyDescent="0.2">
      <c r="A55" s="172" t="s">
        <v>105</v>
      </c>
      <c r="B55" s="173"/>
      <c r="C55" s="173"/>
      <c r="D55" s="174"/>
    </row>
    <row r="56" spans="1:4" x14ac:dyDescent="0.2">
      <c r="A56" s="17">
        <v>4</v>
      </c>
      <c r="B56" s="2" t="s">
        <v>115</v>
      </c>
      <c r="C56" s="36" t="s">
        <v>0</v>
      </c>
      <c r="D56" s="17" t="s">
        <v>1</v>
      </c>
    </row>
    <row r="57" spans="1:4" x14ac:dyDescent="0.2">
      <c r="A57" s="190" t="s">
        <v>106</v>
      </c>
      <c r="B57" s="191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2" t="s">
        <v>107</v>
      </c>
      <c r="B59" s="173"/>
      <c r="C59" s="173"/>
      <c r="D59" s="174"/>
    </row>
    <row r="60" spans="1:4" x14ac:dyDescent="0.2">
      <c r="A60" s="17">
        <v>5</v>
      </c>
      <c r="B60" s="43" t="s">
        <v>115</v>
      </c>
      <c r="C60" s="44"/>
      <c r="D60" s="45" t="s">
        <v>1</v>
      </c>
    </row>
    <row r="61" spans="1:4" x14ac:dyDescent="0.2">
      <c r="A61" s="9" t="s">
        <v>108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2" t="s">
        <v>109</v>
      </c>
      <c r="B63" s="173"/>
      <c r="C63" s="173"/>
      <c r="D63" s="174"/>
    </row>
    <row r="64" spans="1:4" x14ac:dyDescent="0.2">
      <c r="A64" s="17">
        <v>6</v>
      </c>
      <c r="B64" s="2" t="s">
        <v>115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130</v>
      </c>
      <c r="C65" s="53">
        <f>COMPOSICAO!D44</f>
        <v>0.05</v>
      </c>
      <c r="D65" s="12">
        <f>C65*$D$81</f>
        <v>834.99822111222204</v>
      </c>
    </row>
    <row r="66" spans="1:4" x14ac:dyDescent="0.2">
      <c r="A66" s="51" t="s">
        <v>3</v>
      </c>
      <c r="B66" s="52" t="s">
        <v>131</v>
      </c>
      <c r="C66" s="53">
        <f>COMPOSICAO!D45</f>
        <v>0.1</v>
      </c>
      <c r="D66" s="12">
        <f>C66*($D$81+$D$65)</f>
        <v>1753.4962643356664</v>
      </c>
    </row>
    <row r="67" spans="1:4" x14ac:dyDescent="0.2">
      <c r="A67" s="51" t="s">
        <v>4</v>
      </c>
      <c r="B67" s="52" t="s">
        <v>132</v>
      </c>
      <c r="C67" s="53">
        <f>COMPOSICAO!D46</f>
        <v>9.2499999999999999E-2</v>
      </c>
      <c r="D67" s="12">
        <f>((D65+D66+D81)/(1-C67))-(D65+D66+D81)</f>
        <v>1966.0412660733236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138.15425112947673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637.63500521296953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425.0900034753131</v>
      </c>
    </row>
    <row r="71" spans="1:4" x14ac:dyDescent="0.2">
      <c r="A71" s="4" t="s">
        <v>29</v>
      </c>
      <c r="B71" s="106" t="s">
        <v>183</v>
      </c>
      <c r="C71" s="37">
        <f>COMPOSICAO!D50</f>
        <v>3.5999999999999997E-2</v>
      </c>
      <c r="D71" s="12">
        <f t="shared" si="2"/>
        <v>765.16200625556348</v>
      </c>
    </row>
    <row r="72" spans="1:4" x14ac:dyDescent="0.2">
      <c r="A72" s="178" t="s">
        <v>110</v>
      </c>
      <c r="B72" s="179"/>
      <c r="C72" s="55">
        <f>SUM(C65:C67)</f>
        <v>0.24250000000000002</v>
      </c>
      <c r="D72" s="12">
        <f>SUM(D65:D67)</f>
        <v>4554.5357515212127</v>
      </c>
    </row>
    <row r="73" spans="1:4" x14ac:dyDescent="0.2">
      <c r="A73" s="13"/>
      <c r="B73" s="14"/>
      <c r="C73" s="15"/>
      <c r="D73" s="16"/>
    </row>
    <row r="74" spans="1:4" x14ac:dyDescent="0.2">
      <c r="A74" s="186" t="s">
        <v>111</v>
      </c>
      <c r="B74" s="187"/>
      <c r="C74" s="187"/>
      <c r="D74" s="188"/>
    </row>
    <row r="75" spans="1:4" x14ac:dyDescent="0.2">
      <c r="A75" s="26" t="s">
        <v>112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133</v>
      </c>
      <c r="C76" s="58"/>
      <c r="D76" s="8">
        <f>D7</f>
        <v>10760.154999999999</v>
      </c>
    </row>
    <row r="77" spans="1:4" x14ac:dyDescent="0.2">
      <c r="A77" s="4">
        <v>2</v>
      </c>
      <c r="B77" s="46" t="s">
        <v>134</v>
      </c>
      <c r="C77" s="58"/>
      <c r="D77" s="8">
        <f>D43</f>
        <v>5333.9648728333323</v>
      </c>
    </row>
    <row r="78" spans="1:4" x14ac:dyDescent="0.2">
      <c r="A78" s="4">
        <v>3</v>
      </c>
      <c r="B78" s="46" t="s">
        <v>135</v>
      </c>
      <c r="C78" s="58"/>
      <c r="D78" s="8">
        <f>D53</f>
        <v>605.84454941111107</v>
      </c>
    </row>
    <row r="79" spans="1:4" x14ac:dyDescent="0.2">
      <c r="A79" s="4">
        <v>4</v>
      </c>
      <c r="B79" s="46" t="s">
        <v>136</v>
      </c>
      <c r="C79" s="58"/>
      <c r="D79" s="8">
        <v>0</v>
      </c>
    </row>
    <row r="80" spans="1:4" x14ac:dyDescent="0.2">
      <c r="A80" s="4">
        <v>5</v>
      </c>
      <c r="B80" s="46" t="s">
        <v>137</v>
      </c>
      <c r="C80" s="58"/>
      <c r="D80" s="8">
        <v>0</v>
      </c>
    </row>
    <row r="81" spans="1:4" x14ac:dyDescent="0.2">
      <c r="A81" s="59" t="s">
        <v>113</v>
      </c>
      <c r="B81" s="10"/>
      <c r="C81" s="11"/>
      <c r="D81" s="12">
        <f>SUM(D76:D80)</f>
        <v>16699.96442224444</v>
      </c>
    </row>
    <row r="82" spans="1:4" x14ac:dyDescent="0.2">
      <c r="A82" s="4">
        <v>6</v>
      </c>
      <c r="B82" s="46" t="s">
        <v>138</v>
      </c>
      <c r="C82" s="58"/>
      <c r="D82" s="8">
        <f>D72</f>
        <v>4554.5357515212127</v>
      </c>
    </row>
    <row r="83" spans="1:4" x14ac:dyDescent="0.2">
      <c r="A83" s="178" t="s">
        <v>114</v>
      </c>
      <c r="B83" s="189"/>
      <c r="C83" s="179"/>
      <c r="D83" s="60">
        <f>SUM(D81:D82)</f>
        <v>21254.500173765653</v>
      </c>
    </row>
    <row r="84" spans="1:4" x14ac:dyDescent="0.2">
      <c r="C84" s="108" t="s">
        <v>187</v>
      </c>
      <c r="D84" s="109">
        <f>ROUNDUP(D83/D76,2)</f>
        <v>1.98</v>
      </c>
    </row>
    <row r="85" spans="1:4" x14ac:dyDescent="0.2"/>
    <row r="86" spans="1:4" hidden="1" x14ac:dyDescent="0.2">
      <c r="D86" s="111"/>
    </row>
  </sheetData>
  <mergeCells count="22"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</mergeCells>
  <conditionalFormatting sqref="B69">
    <cfRule type="expression" dxfId="20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2BFE9A-A535-49DA-874A-AB18B9965807}">
  <sheetPr codeName="Planilha16"/>
  <dimension ref="A1:D86"/>
  <sheetViews>
    <sheetView zoomScaleNormal="100" workbookViewId="0">
      <selection activeCell="F24" sqref="F24:F31"/>
    </sheetView>
  </sheetViews>
  <sheetFormatPr defaultColWidth="0" defaultRowHeight="12" zeroHeight="1" x14ac:dyDescent="0.2"/>
  <cols>
    <col min="1" max="1" width="5.85546875" style="107" customWidth="1"/>
    <col min="2" max="2" width="83.28515625" style="107" customWidth="1"/>
    <col min="3" max="3" width="12.42578125" style="107" customWidth="1"/>
    <col min="4" max="4" width="15.42578125" style="107" customWidth="1"/>
    <col min="5" max="5" width="9.140625" style="107" hidden="1" customWidth="1"/>
    <col min="6" max="16384" width="9.140625" style="107" hidden="1"/>
  </cols>
  <sheetData>
    <row r="1" spans="1:4" ht="12.75" thickBot="1" x14ac:dyDescent="0.25">
      <c r="A1" s="180" t="str">
        <f>PERFIS!C16</f>
        <v>Analista de BI Sênior</v>
      </c>
      <c r="B1" s="181"/>
      <c r="C1" s="181"/>
      <c r="D1" s="182"/>
    </row>
    <row r="2" spans="1:4" x14ac:dyDescent="0.2">
      <c r="A2" s="110"/>
      <c r="B2" s="110"/>
      <c r="C2" s="110"/>
      <c r="D2" s="110"/>
    </row>
    <row r="3" spans="1:4" x14ac:dyDescent="0.2">
      <c r="A3" s="169" t="s">
        <v>93</v>
      </c>
      <c r="B3" s="170"/>
      <c r="C3" s="170"/>
      <c r="D3" s="171"/>
    </row>
    <row r="4" spans="1:4" x14ac:dyDescent="0.2">
      <c r="A4" s="172" t="s">
        <v>94</v>
      </c>
      <c r="B4" s="173"/>
      <c r="C4" s="173"/>
      <c r="D4" s="174"/>
    </row>
    <row r="5" spans="1:4" x14ac:dyDescent="0.2">
      <c r="A5" s="1">
        <v>1</v>
      </c>
      <c r="B5" s="2" t="s">
        <v>115</v>
      </c>
      <c r="C5" s="3"/>
      <c r="D5" s="1" t="s">
        <v>1</v>
      </c>
    </row>
    <row r="6" spans="1:4" x14ac:dyDescent="0.2">
      <c r="A6" s="4" t="s">
        <v>2</v>
      </c>
      <c r="B6" s="5" t="s">
        <v>116</v>
      </c>
      <c r="C6" s="6">
        <v>1</v>
      </c>
      <c r="D6" s="7">
        <f>_xlfn.XLOOKUP(A1,PERFIS!C3:C35,PERFIS!D3:D35)</f>
        <v>14083.333333333334</v>
      </c>
    </row>
    <row r="7" spans="1:4" x14ac:dyDescent="0.2">
      <c r="A7" s="9" t="s">
        <v>95</v>
      </c>
      <c r="B7" s="10"/>
      <c r="C7" s="11"/>
      <c r="D7" s="12">
        <f>SUM(D6)</f>
        <v>14083.333333333334</v>
      </c>
    </row>
    <row r="8" spans="1:4" x14ac:dyDescent="0.2">
      <c r="A8" s="13"/>
      <c r="B8" s="14"/>
      <c r="C8" s="15"/>
      <c r="D8" s="16"/>
    </row>
    <row r="9" spans="1:4" x14ac:dyDescent="0.2">
      <c r="A9" s="172" t="s">
        <v>96</v>
      </c>
      <c r="B9" s="173"/>
      <c r="C9" s="173"/>
      <c r="D9" s="174"/>
    </row>
    <row r="10" spans="1:4" x14ac:dyDescent="0.2">
      <c r="A10" s="175" t="s">
        <v>190</v>
      </c>
      <c r="B10" s="176"/>
      <c r="C10" s="176"/>
      <c r="D10" s="177"/>
    </row>
    <row r="11" spans="1:4" x14ac:dyDescent="0.2">
      <c r="A11" s="17" t="s">
        <v>9</v>
      </c>
      <c r="B11" s="2" t="s">
        <v>115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117</v>
      </c>
      <c r="C12" s="21">
        <f>COMPOSICAO!D3</f>
        <v>8.3333333333333329E-2</v>
      </c>
      <c r="D12" s="22">
        <f>C12*$D$7</f>
        <v>1173.6111111111111</v>
      </c>
    </row>
    <row r="13" spans="1:4" x14ac:dyDescent="0.2">
      <c r="A13" s="19" t="s">
        <v>3</v>
      </c>
      <c r="B13" s="20" t="s">
        <v>185</v>
      </c>
      <c r="C13" s="21">
        <f>COMPOSICAO!D4</f>
        <v>7.7777777777777779E-2</v>
      </c>
      <c r="D13" s="22">
        <f>C13*$D$7</f>
        <v>1095.3703703703704</v>
      </c>
    </row>
    <row r="14" spans="1:4" x14ac:dyDescent="0.2">
      <c r="A14" s="178" t="s">
        <v>191</v>
      </c>
      <c r="B14" s="179"/>
      <c r="C14" s="23">
        <f>SUM(C12:C13)</f>
        <v>0.16111111111111109</v>
      </c>
      <c r="D14" s="12">
        <f>SUM(D12:D13)</f>
        <v>2268.9814814814818</v>
      </c>
    </row>
    <row r="15" spans="1:4" x14ac:dyDescent="0.2">
      <c r="A15" s="13"/>
      <c r="B15" s="14"/>
      <c r="C15" s="24"/>
      <c r="D15" s="16"/>
    </row>
    <row r="16" spans="1:4" x14ac:dyDescent="0.2">
      <c r="A16" s="194" t="s">
        <v>98</v>
      </c>
      <c r="B16" s="195"/>
      <c r="C16" s="195"/>
      <c r="D16" s="196"/>
    </row>
    <row r="17" spans="1:4" x14ac:dyDescent="0.2">
      <c r="A17" s="17" t="s">
        <v>10</v>
      </c>
      <c r="B17" s="2" t="s">
        <v>115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118</v>
      </c>
      <c r="C18" s="21">
        <v>0.05</v>
      </c>
      <c r="D18" s="22">
        <f>C18*($D$7+$D$14)</f>
        <v>817.61574074074088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408.80787037037044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490.56944444444446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245.28472222222223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163.52314814814815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98.113888888888894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32.704629629629629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1308.1851851851852</v>
      </c>
    </row>
    <row r="26" spans="1:4" x14ac:dyDescent="0.2">
      <c r="A26" s="192" t="s">
        <v>99</v>
      </c>
      <c r="B26" s="193"/>
      <c r="C26" s="27">
        <f>SUM(C18:C25)</f>
        <v>0.21800000000000003</v>
      </c>
      <c r="D26" s="28">
        <f>SUM(D18:D25)</f>
        <v>3564.8046296296302</v>
      </c>
    </row>
    <row r="27" spans="1:4" x14ac:dyDescent="0.2">
      <c r="A27" s="13"/>
      <c r="B27" s="14"/>
      <c r="C27" s="29"/>
      <c r="D27" s="16"/>
    </row>
    <row r="28" spans="1:4" x14ac:dyDescent="0.2">
      <c r="A28" s="194" t="s">
        <v>100</v>
      </c>
      <c r="B28" s="195"/>
      <c r="C28" s="195"/>
      <c r="D28" s="196"/>
    </row>
    <row r="29" spans="1:4" x14ac:dyDescent="0.2">
      <c r="A29" s="17" t="s">
        <v>19</v>
      </c>
      <c r="B29" s="194" t="s">
        <v>115</v>
      </c>
      <c r="C29" s="196"/>
      <c r="D29" s="17" t="s">
        <v>1</v>
      </c>
    </row>
    <row r="30" spans="1:4" x14ac:dyDescent="0.2">
      <c r="A30" s="183" t="s">
        <v>2</v>
      </c>
      <c r="B30" s="30" t="s">
        <v>119</v>
      </c>
      <c r="C30" s="31"/>
      <c r="D30" s="7">
        <f>COMPOSICAO!D20*2*22</f>
        <v>242</v>
      </c>
    </row>
    <row r="31" spans="1:4" x14ac:dyDescent="0.2">
      <c r="A31" s="184"/>
      <c r="B31" s="30" t="s">
        <v>20</v>
      </c>
      <c r="C31" s="31"/>
      <c r="D31" s="7">
        <f>D6*COMPOSICAO!D21</f>
        <v>845</v>
      </c>
    </row>
    <row r="32" spans="1:4" x14ac:dyDescent="0.2">
      <c r="A32" s="185"/>
      <c r="B32" s="88" t="s">
        <v>21</v>
      </c>
      <c r="C32" s="89"/>
      <c r="D32" s="39">
        <f>IF(D30-D31&gt;0,D30-D31,0)</f>
        <v>0</v>
      </c>
    </row>
    <row r="33" spans="1:4" x14ac:dyDescent="0.2">
      <c r="A33" s="183" t="s">
        <v>3</v>
      </c>
      <c r="B33" s="30" t="s">
        <v>120</v>
      </c>
      <c r="D33" s="7">
        <f>COMPOSICAO!D23*22</f>
        <v>814</v>
      </c>
    </row>
    <row r="34" spans="1:4" x14ac:dyDescent="0.2">
      <c r="A34" s="184"/>
      <c r="B34" s="30" t="s">
        <v>181</v>
      </c>
      <c r="C34" s="104" cm="1">
        <f t="array" ref="C34">_xlfn.IFS(D6&lt;2407,COMPOSICAO!D25,D6&lt;4073.39,COMPOSICAO!D26,D6&lt;5924.92,COMPOSICAO!D27,D6&lt;7406.17,COMPOSICAO!D28,D6&lt;9072.58,COMPOSICAO!D29,D6&gt;9072.59,COMPOSICAO!D30)</f>
        <v>0.15</v>
      </c>
      <c r="D34" s="7">
        <f>D33*C34</f>
        <v>122.1</v>
      </c>
    </row>
    <row r="35" spans="1:4" x14ac:dyDescent="0.2">
      <c r="A35" s="185"/>
      <c r="B35" s="88" t="s">
        <v>182</v>
      </c>
      <c r="C35" s="90"/>
      <c r="D35" s="39">
        <f>D33-D34</f>
        <v>691.9</v>
      </c>
    </row>
    <row r="36" spans="1:4" x14ac:dyDescent="0.2">
      <c r="A36" s="4" t="s">
        <v>4</v>
      </c>
      <c r="B36" s="30" t="s">
        <v>167</v>
      </c>
      <c r="C36" s="31"/>
      <c r="D36" s="151">
        <f>COMPOSICAO!D31</f>
        <v>184.85</v>
      </c>
    </row>
    <row r="37" spans="1:4" x14ac:dyDescent="0.2">
      <c r="A37" s="9" t="s">
        <v>101</v>
      </c>
      <c r="B37" s="10"/>
      <c r="C37" s="11"/>
      <c r="D37" s="12">
        <f>SUM(D32,D35,D36)</f>
        <v>876.75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121</v>
      </c>
      <c r="C39" s="33"/>
      <c r="D39" s="17" t="s">
        <v>1</v>
      </c>
    </row>
    <row r="40" spans="1:4" x14ac:dyDescent="0.2">
      <c r="A40" s="4" t="s">
        <v>9</v>
      </c>
      <c r="B40" s="30" t="s">
        <v>122</v>
      </c>
      <c r="C40" s="34"/>
      <c r="D40" s="8">
        <f>D14</f>
        <v>2268.9814814814818</v>
      </c>
    </row>
    <row r="41" spans="1:4" x14ac:dyDescent="0.2">
      <c r="A41" s="4" t="s">
        <v>10</v>
      </c>
      <c r="B41" s="30" t="s">
        <v>123</v>
      </c>
      <c r="C41" s="34"/>
      <c r="D41" s="8">
        <f>D26</f>
        <v>3564.8046296296302</v>
      </c>
    </row>
    <row r="42" spans="1:4" x14ac:dyDescent="0.2">
      <c r="A42" s="4" t="s">
        <v>19</v>
      </c>
      <c r="B42" s="30" t="s">
        <v>124</v>
      </c>
      <c r="C42" s="34"/>
      <c r="D42" s="8">
        <f>D37</f>
        <v>876.75</v>
      </c>
    </row>
    <row r="43" spans="1:4" x14ac:dyDescent="0.2">
      <c r="A43" s="178" t="s">
        <v>102</v>
      </c>
      <c r="B43" s="189"/>
      <c r="C43" s="35"/>
      <c r="D43" s="12">
        <f>SUM(D40:D42)</f>
        <v>6710.5361111111124</v>
      </c>
    </row>
    <row r="44" spans="1:4" x14ac:dyDescent="0.2">
      <c r="A44" s="13"/>
      <c r="B44" s="14"/>
      <c r="C44" s="15"/>
      <c r="D44" s="16"/>
    </row>
    <row r="45" spans="1:4" x14ac:dyDescent="0.2">
      <c r="A45" s="172" t="s">
        <v>103</v>
      </c>
      <c r="B45" s="173"/>
      <c r="C45" s="173"/>
      <c r="D45" s="174"/>
    </row>
    <row r="46" spans="1:4" x14ac:dyDescent="0.2">
      <c r="A46" s="17">
        <v>3</v>
      </c>
      <c r="B46" s="2" t="s">
        <v>115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58.680555555555557</v>
      </c>
    </row>
    <row r="48" spans="1:4" x14ac:dyDescent="0.2">
      <c r="A48" s="4" t="s">
        <v>3</v>
      </c>
      <c r="B48" s="30" t="s">
        <v>125</v>
      </c>
      <c r="C48" s="37">
        <f>COMPOSICAO!D35</f>
        <v>3.3333333333333332E-4</v>
      </c>
      <c r="D48" s="22">
        <f>C48*$D$7</f>
        <v>4.6944444444444446</v>
      </c>
    </row>
    <row r="49" spans="1:4" x14ac:dyDescent="0.2">
      <c r="A49" s="19" t="s">
        <v>4</v>
      </c>
      <c r="B49" s="20" t="s">
        <v>126</v>
      </c>
      <c r="C49" s="37">
        <f>COMPOSICAO!D36</f>
        <v>3.4399999999999993E-2</v>
      </c>
      <c r="D49" s="22">
        <f t="shared" ref="D49:D52" si="1">C49*$D$7</f>
        <v>484.46666666666658</v>
      </c>
    </row>
    <row r="50" spans="1:4" x14ac:dyDescent="0.2">
      <c r="A50" s="4" t="s">
        <v>5</v>
      </c>
      <c r="B50" s="30" t="s">
        <v>127</v>
      </c>
      <c r="C50" s="37">
        <f>COMPOSICAO!D37</f>
        <v>1.2444444444444444E-2</v>
      </c>
      <c r="D50" s="22">
        <f t="shared" si="1"/>
        <v>175.25925925925927</v>
      </c>
    </row>
    <row r="51" spans="1:4" x14ac:dyDescent="0.2">
      <c r="A51" s="4" t="s">
        <v>6</v>
      </c>
      <c r="B51" s="30" t="s">
        <v>128</v>
      </c>
      <c r="C51" s="37">
        <f>COMPOSICAO!D38</f>
        <v>4.5631999999999999E-3</v>
      </c>
      <c r="D51" s="22">
        <f t="shared" si="1"/>
        <v>64.265066666666669</v>
      </c>
    </row>
    <row r="52" spans="1:4" x14ac:dyDescent="0.2">
      <c r="A52" s="4" t="s">
        <v>7</v>
      </c>
      <c r="B52" s="30" t="s">
        <v>129</v>
      </c>
      <c r="C52" s="37">
        <f>COMPOSICAO!D39</f>
        <v>3.9680000000000005E-4</v>
      </c>
      <c r="D52" s="22">
        <f t="shared" si="1"/>
        <v>5.5882666666666676</v>
      </c>
    </row>
    <row r="53" spans="1:4" x14ac:dyDescent="0.2">
      <c r="A53" s="190" t="s">
        <v>104</v>
      </c>
      <c r="B53" s="191"/>
      <c r="C53" s="38">
        <f>SUM(C47:C52)</f>
        <v>5.6304444444444435E-2</v>
      </c>
      <c r="D53" s="39">
        <f>SUM(D47:D52)</f>
        <v>792.95425925925917</v>
      </c>
    </row>
    <row r="54" spans="1:4" x14ac:dyDescent="0.2">
      <c r="A54" s="13"/>
      <c r="B54" s="14"/>
      <c r="C54" s="40"/>
      <c r="D54" s="16"/>
    </row>
    <row r="55" spans="1:4" x14ac:dyDescent="0.2">
      <c r="A55" s="172" t="s">
        <v>105</v>
      </c>
      <c r="B55" s="173"/>
      <c r="C55" s="173"/>
      <c r="D55" s="174"/>
    </row>
    <row r="56" spans="1:4" x14ac:dyDescent="0.2">
      <c r="A56" s="17">
        <v>4</v>
      </c>
      <c r="B56" s="2" t="s">
        <v>115</v>
      </c>
      <c r="C56" s="36" t="s">
        <v>0</v>
      </c>
      <c r="D56" s="17" t="s">
        <v>1</v>
      </c>
    </row>
    <row r="57" spans="1:4" x14ac:dyDescent="0.2">
      <c r="A57" s="190" t="s">
        <v>106</v>
      </c>
      <c r="B57" s="191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2" t="s">
        <v>107</v>
      </c>
      <c r="B59" s="173"/>
      <c r="C59" s="173"/>
      <c r="D59" s="174"/>
    </row>
    <row r="60" spans="1:4" x14ac:dyDescent="0.2">
      <c r="A60" s="17">
        <v>5</v>
      </c>
      <c r="B60" s="43" t="s">
        <v>115</v>
      </c>
      <c r="C60" s="44"/>
      <c r="D60" s="45" t="s">
        <v>1</v>
      </c>
    </row>
    <row r="61" spans="1:4" x14ac:dyDescent="0.2">
      <c r="A61" s="9" t="s">
        <v>108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2" t="s">
        <v>109</v>
      </c>
      <c r="B63" s="173"/>
      <c r="C63" s="173"/>
      <c r="D63" s="174"/>
    </row>
    <row r="64" spans="1:4" x14ac:dyDescent="0.2">
      <c r="A64" s="17">
        <v>6</v>
      </c>
      <c r="B64" s="2" t="s">
        <v>115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130</v>
      </c>
      <c r="C65" s="53">
        <f>COMPOSICAO!D44</f>
        <v>0.05</v>
      </c>
      <c r="D65" s="12">
        <f>C65*$D$81</f>
        <v>1079.3411851851854</v>
      </c>
    </row>
    <row r="66" spans="1:4" x14ac:dyDescent="0.2">
      <c r="A66" s="51" t="s">
        <v>3</v>
      </c>
      <c r="B66" s="52" t="s">
        <v>131</v>
      </c>
      <c r="C66" s="53">
        <f>COMPOSICAO!D45</f>
        <v>0.1</v>
      </c>
      <c r="D66" s="12">
        <f>C66*($D$81+$D$65)</f>
        <v>2266.6164888888893</v>
      </c>
    </row>
    <row r="67" spans="1:4" x14ac:dyDescent="0.2">
      <c r="A67" s="51" t="s">
        <v>4</v>
      </c>
      <c r="B67" s="52" t="s">
        <v>132</v>
      </c>
      <c r="C67" s="53">
        <f>COMPOSICAO!D46</f>
        <v>9.2499999999999999E-2</v>
      </c>
      <c r="D67" s="12">
        <f>((D65+D66+D81)/(1-C67))-(D65+D66+D81)</f>
        <v>2541.3578814814828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178.58190518518521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824.22417777777787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549.48278518518532</v>
      </c>
    </row>
    <row r="71" spans="1:4" x14ac:dyDescent="0.2">
      <c r="A71" s="4" t="s">
        <v>29</v>
      </c>
      <c r="B71" s="106" t="s">
        <v>183</v>
      </c>
      <c r="C71" s="37">
        <f>COMPOSICAO!D50</f>
        <v>3.5999999999999997E-2</v>
      </c>
      <c r="D71" s="12">
        <f t="shared" si="2"/>
        <v>989.06901333333337</v>
      </c>
    </row>
    <row r="72" spans="1:4" x14ac:dyDescent="0.2">
      <c r="A72" s="178" t="s">
        <v>110</v>
      </c>
      <c r="B72" s="179"/>
      <c r="C72" s="55">
        <f>SUM(C65:C67)</f>
        <v>0.24250000000000002</v>
      </c>
      <c r="D72" s="12">
        <f>SUM(D65:D67)</f>
        <v>5887.3155555555577</v>
      </c>
    </row>
    <row r="73" spans="1:4" x14ac:dyDescent="0.2">
      <c r="A73" s="13"/>
      <c r="B73" s="14"/>
      <c r="C73" s="15"/>
      <c r="D73" s="16"/>
    </row>
    <row r="74" spans="1:4" x14ac:dyDescent="0.2">
      <c r="A74" s="186" t="s">
        <v>111</v>
      </c>
      <c r="B74" s="187"/>
      <c r="C74" s="187"/>
      <c r="D74" s="188"/>
    </row>
    <row r="75" spans="1:4" x14ac:dyDescent="0.2">
      <c r="A75" s="26" t="s">
        <v>112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133</v>
      </c>
      <c r="C76" s="58"/>
      <c r="D76" s="8">
        <f>D7</f>
        <v>14083.333333333334</v>
      </c>
    </row>
    <row r="77" spans="1:4" x14ac:dyDescent="0.2">
      <c r="A77" s="4">
        <v>2</v>
      </c>
      <c r="B77" s="46" t="s">
        <v>134</v>
      </c>
      <c r="C77" s="58"/>
      <c r="D77" s="8">
        <f>D43</f>
        <v>6710.5361111111124</v>
      </c>
    </row>
    <row r="78" spans="1:4" x14ac:dyDescent="0.2">
      <c r="A78" s="4">
        <v>3</v>
      </c>
      <c r="B78" s="46" t="s">
        <v>135</v>
      </c>
      <c r="C78" s="58"/>
      <c r="D78" s="8">
        <f>D53</f>
        <v>792.95425925925917</v>
      </c>
    </row>
    <row r="79" spans="1:4" x14ac:dyDescent="0.2">
      <c r="A79" s="4">
        <v>4</v>
      </c>
      <c r="B79" s="46" t="s">
        <v>136</v>
      </c>
      <c r="C79" s="58"/>
      <c r="D79" s="8">
        <v>0</v>
      </c>
    </row>
    <row r="80" spans="1:4" x14ac:dyDescent="0.2">
      <c r="A80" s="4">
        <v>5</v>
      </c>
      <c r="B80" s="46" t="s">
        <v>137</v>
      </c>
      <c r="C80" s="58"/>
      <c r="D80" s="8">
        <v>0</v>
      </c>
    </row>
    <row r="81" spans="1:4" x14ac:dyDescent="0.2">
      <c r="A81" s="59" t="s">
        <v>113</v>
      </c>
      <c r="B81" s="10"/>
      <c r="C81" s="11"/>
      <c r="D81" s="12">
        <f>SUM(D76:D80)</f>
        <v>21586.823703703707</v>
      </c>
    </row>
    <row r="82" spans="1:4" x14ac:dyDescent="0.2">
      <c r="A82" s="4">
        <v>6</v>
      </c>
      <c r="B82" s="46" t="s">
        <v>138</v>
      </c>
      <c r="C82" s="58"/>
      <c r="D82" s="8">
        <f>D72</f>
        <v>5887.3155555555577</v>
      </c>
    </row>
    <row r="83" spans="1:4" x14ac:dyDescent="0.2">
      <c r="A83" s="178" t="s">
        <v>114</v>
      </c>
      <c r="B83" s="189"/>
      <c r="C83" s="179"/>
      <c r="D83" s="60">
        <f>SUM(D81:D82)</f>
        <v>27474.139259259264</v>
      </c>
    </row>
    <row r="84" spans="1:4" x14ac:dyDescent="0.2">
      <c r="C84" s="108" t="s">
        <v>187</v>
      </c>
      <c r="D84" s="109">
        <f>ROUNDUP(D83/D76,2)</f>
        <v>1.96</v>
      </c>
    </row>
    <row r="85" spans="1:4" x14ac:dyDescent="0.2"/>
    <row r="86" spans="1:4" hidden="1" x14ac:dyDescent="0.2">
      <c r="D86" s="111"/>
    </row>
  </sheetData>
  <mergeCells count="22"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</mergeCells>
  <conditionalFormatting sqref="B69">
    <cfRule type="expression" dxfId="19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39B7CC-40E2-422E-8A2B-351E7A272367}">
  <sheetPr codeName="Planilha17"/>
  <dimension ref="A1:D86"/>
  <sheetViews>
    <sheetView zoomScaleNormal="100" workbookViewId="0">
      <selection activeCell="F24" sqref="F24:F31"/>
    </sheetView>
  </sheetViews>
  <sheetFormatPr defaultColWidth="0" defaultRowHeight="12" zeroHeight="1" x14ac:dyDescent="0.2"/>
  <cols>
    <col min="1" max="1" width="5.85546875" style="107" customWidth="1"/>
    <col min="2" max="2" width="83.28515625" style="107" customWidth="1"/>
    <col min="3" max="3" width="12.42578125" style="107" customWidth="1"/>
    <col min="4" max="4" width="15.42578125" style="107" customWidth="1"/>
    <col min="5" max="5" width="9.140625" style="107" hidden="1" customWidth="1"/>
    <col min="6" max="16384" width="9.140625" style="107" hidden="1"/>
  </cols>
  <sheetData>
    <row r="1" spans="1:4" ht="12.75" thickBot="1" x14ac:dyDescent="0.25">
      <c r="A1" s="180" t="str">
        <f>PERFIS!C17</f>
        <v>Administrador de Dados Pleno</v>
      </c>
      <c r="B1" s="181"/>
      <c r="C1" s="181"/>
      <c r="D1" s="182"/>
    </row>
    <row r="2" spans="1:4" x14ac:dyDescent="0.2">
      <c r="A2" s="110"/>
      <c r="B2" s="110"/>
      <c r="C2" s="110"/>
      <c r="D2" s="110"/>
    </row>
    <row r="3" spans="1:4" x14ac:dyDescent="0.2">
      <c r="A3" s="169" t="s">
        <v>93</v>
      </c>
      <c r="B3" s="170"/>
      <c r="C3" s="170"/>
      <c r="D3" s="171"/>
    </row>
    <row r="4" spans="1:4" x14ac:dyDescent="0.2">
      <c r="A4" s="172" t="s">
        <v>94</v>
      </c>
      <c r="B4" s="173"/>
      <c r="C4" s="173"/>
      <c r="D4" s="174"/>
    </row>
    <row r="5" spans="1:4" x14ac:dyDescent="0.2">
      <c r="A5" s="1">
        <v>1</v>
      </c>
      <c r="B5" s="2" t="s">
        <v>115</v>
      </c>
      <c r="C5" s="3"/>
      <c r="D5" s="1" t="s">
        <v>1</v>
      </c>
    </row>
    <row r="6" spans="1:4" x14ac:dyDescent="0.2">
      <c r="A6" s="4" t="s">
        <v>2</v>
      </c>
      <c r="B6" s="5" t="s">
        <v>116</v>
      </c>
      <c r="C6" s="6">
        <v>1</v>
      </c>
      <c r="D6" s="7">
        <f>_xlfn.XLOOKUP(A1,PERFIS!C3:C35,PERFIS!D3:D35)</f>
        <v>7714.04</v>
      </c>
    </row>
    <row r="7" spans="1:4" x14ac:dyDescent="0.2">
      <c r="A7" s="9" t="s">
        <v>95</v>
      </c>
      <c r="B7" s="10"/>
      <c r="C7" s="11"/>
      <c r="D7" s="12">
        <f>SUM(D6)</f>
        <v>7714.04</v>
      </c>
    </row>
    <row r="8" spans="1:4" x14ac:dyDescent="0.2">
      <c r="A8" s="13"/>
      <c r="B8" s="14"/>
      <c r="C8" s="15"/>
      <c r="D8" s="16"/>
    </row>
    <row r="9" spans="1:4" x14ac:dyDescent="0.2">
      <c r="A9" s="172" t="s">
        <v>96</v>
      </c>
      <c r="B9" s="173"/>
      <c r="C9" s="173"/>
      <c r="D9" s="174"/>
    </row>
    <row r="10" spans="1:4" x14ac:dyDescent="0.2">
      <c r="A10" s="175" t="s">
        <v>190</v>
      </c>
      <c r="B10" s="176"/>
      <c r="C10" s="176"/>
      <c r="D10" s="177"/>
    </row>
    <row r="11" spans="1:4" x14ac:dyDescent="0.2">
      <c r="A11" s="17" t="s">
        <v>9</v>
      </c>
      <c r="B11" s="2" t="s">
        <v>115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117</v>
      </c>
      <c r="C12" s="21">
        <f>COMPOSICAO!D3</f>
        <v>8.3333333333333329E-2</v>
      </c>
      <c r="D12" s="22">
        <f>C12*$D$7</f>
        <v>642.83666666666659</v>
      </c>
    </row>
    <row r="13" spans="1:4" x14ac:dyDescent="0.2">
      <c r="A13" s="19" t="s">
        <v>3</v>
      </c>
      <c r="B13" s="20" t="s">
        <v>185</v>
      </c>
      <c r="C13" s="21">
        <f>COMPOSICAO!D4</f>
        <v>7.7777777777777779E-2</v>
      </c>
      <c r="D13" s="22">
        <f>C13*$D$7</f>
        <v>599.9808888888889</v>
      </c>
    </row>
    <row r="14" spans="1:4" x14ac:dyDescent="0.2">
      <c r="A14" s="178" t="s">
        <v>191</v>
      </c>
      <c r="B14" s="179"/>
      <c r="C14" s="23">
        <f>SUM(C12:C13)</f>
        <v>0.16111111111111109</v>
      </c>
      <c r="D14" s="12">
        <f>SUM(D12:D13)</f>
        <v>1242.8175555555554</v>
      </c>
    </row>
    <row r="15" spans="1:4" x14ac:dyDescent="0.2">
      <c r="A15" s="13"/>
      <c r="B15" s="14"/>
      <c r="C15" s="24"/>
      <c r="D15" s="16"/>
    </row>
    <row r="16" spans="1:4" x14ac:dyDescent="0.2">
      <c r="A16" s="194" t="s">
        <v>98</v>
      </c>
      <c r="B16" s="195"/>
      <c r="C16" s="195"/>
      <c r="D16" s="196"/>
    </row>
    <row r="17" spans="1:4" x14ac:dyDescent="0.2">
      <c r="A17" s="17" t="s">
        <v>10</v>
      </c>
      <c r="B17" s="2" t="s">
        <v>115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118</v>
      </c>
      <c r="C18" s="21">
        <v>0.05</v>
      </c>
      <c r="D18" s="22">
        <f>C18*($D$7+$D$14)</f>
        <v>447.84287777777774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223.92143888888887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268.70572666666664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134.35286333333332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89.56857555555554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53.741145333333328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17.913715111111109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716.54860444444432</v>
      </c>
    </row>
    <row r="26" spans="1:4" x14ac:dyDescent="0.2">
      <c r="A26" s="192" t="s">
        <v>99</v>
      </c>
      <c r="B26" s="193"/>
      <c r="C26" s="27">
        <f>SUM(C18:C25)</f>
        <v>0.21800000000000003</v>
      </c>
      <c r="D26" s="28">
        <f>SUM(D18:D25)</f>
        <v>1952.5949471111107</v>
      </c>
    </row>
    <row r="27" spans="1:4" x14ac:dyDescent="0.2">
      <c r="A27" s="13"/>
      <c r="B27" s="14"/>
      <c r="C27" s="29"/>
      <c r="D27" s="16"/>
    </row>
    <row r="28" spans="1:4" x14ac:dyDescent="0.2">
      <c r="A28" s="194" t="s">
        <v>100</v>
      </c>
      <c r="B28" s="195"/>
      <c r="C28" s="195"/>
      <c r="D28" s="196"/>
    </row>
    <row r="29" spans="1:4" x14ac:dyDescent="0.2">
      <c r="A29" s="17" t="s">
        <v>19</v>
      </c>
      <c r="B29" s="194" t="s">
        <v>115</v>
      </c>
      <c r="C29" s="196"/>
      <c r="D29" s="17" t="s">
        <v>1</v>
      </c>
    </row>
    <row r="30" spans="1:4" x14ac:dyDescent="0.2">
      <c r="A30" s="183" t="s">
        <v>2</v>
      </c>
      <c r="B30" s="30" t="s">
        <v>119</v>
      </c>
      <c r="C30" s="31"/>
      <c r="D30" s="7">
        <f>COMPOSICAO!D20*2*22</f>
        <v>242</v>
      </c>
    </row>
    <row r="31" spans="1:4" x14ac:dyDescent="0.2">
      <c r="A31" s="184"/>
      <c r="B31" s="30" t="s">
        <v>20</v>
      </c>
      <c r="C31" s="31"/>
      <c r="D31" s="7">
        <f>D6*COMPOSICAO!D21</f>
        <v>462.8424</v>
      </c>
    </row>
    <row r="32" spans="1:4" x14ac:dyDescent="0.2">
      <c r="A32" s="185"/>
      <c r="B32" s="88" t="s">
        <v>21</v>
      </c>
      <c r="C32" s="89"/>
      <c r="D32" s="39">
        <f>IF(D30-D31&gt;0,D30-D31,0)</f>
        <v>0</v>
      </c>
    </row>
    <row r="33" spans="1:4" x14ac:dyDescent="0.2">
      <c r="A33" s="183" t="s">
        <v>3</v>
      </c>
      <c r="B33" s="30" t="s">
        <v>120</v>
      </c>
      <c r="D33" s="7">
        <f>COMPOSICAO!D23*22</f>
        <v>814</v>
      </c>
    </row>
    <row r="34" spans="1:4" x14ac:dyDescent="0.2">
      <c r="A34" s="184"/>
      <c r="B34" s="30" t="s">
        <v>181</v>
      </c>
      <c r="C34" s="104" cm="1">
        <f t="array" ref="C34">_xlfn.IFS(D6&lt;2407,COMPOSICAO!D25,D6&lt;4073.39,COMPOSICAO!D26,D6&lt;5924.92,COMPOSICAO!D27,D6&lt;7406.17,COMPOSICAO!D28,D6&lt;9072.58,COMPOSICAO!D29,D6&gt;9072.59,COMPOSICAO!D30)</f>
        <v>0.1125</v>
      </c>
      <c r="D34" s="7">
        <f>D33*C34</f>
        <v>91.575000000000003</v>
      </c>
    </row>
    <row r="35" spans="1:4" x14ac:dyDescent="0.2">
      <c r="A35" s="185"/>
      <c r="B35" s="88" t="s">
        <v>182</v>
      </c>
      <c r="C35" s="90"/>
      <c r="D35" s="39">
        <f>D33-D34</f>
        <v>722.42499999999995</v>
      </c>
    </row>
    <row r="36" spans="1:4" x14ac:dyDescent="0.2">
      <c r="A36" s="4" t="s">
        <v>4</v>
      </c>
      <c r="B36" s="30" t="s">
        <v>167</v>
      </c>
      <c r="C36" s="31"/>
      <c r="D36" s="151">
        <f>COMPOSICAO!D31</f>
        <v>184.85</v>
      </c>
    </row>
    <row r="37" spans="1:4" x14ac:dyDescent="0.2">
      <c r="A37" s="9" t="s">
        <v>101</v>
      </c>
      <c r="B37" s="10"/>
      <c r="C37" s="11"/>
      <c r="D37" s="12">
        <f>SUM(D32,D35,D36)</f>
        <v>907.27499999999998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121</v>
      </c>
      <c r="C39" s="33"/>
      <c r="D39" s="17" t="s">
        <v>1</v>
      </c>
    </row>
    <row r="40" spans="1:4" x14ac:dyDescent="0.2">
      <c r="A40" s="4" t="s">
        <v>9</v>
      </c>
      <c r="B40" s="30" t="s">
        <v>122</v>
      </c>
      <c r="C40" s="34"/>
      <c r="D40" s="8">
        <f>D14</f>
        <v>1242.8175555555554</v>
      </c>
    </row>
    <row r="41" spans="1:4" x14ac:dyDescent="0.2">
      <c r="A41" s="4" t="s">
        <v>10</v>
      </c>
      <c r="B41" s="30" t="s">
        <v>123</v>
      </c>
      <c r="C41" s="34"/>
      <c r="D41" s="8">
        <f>D26</f>
        <v>1952.5949471111107</v>
      </c>
    </row>
    <row r="42" spans="1:4" x14ac:dyDescent="0.2">
      <c r="A42" s="4" t="s">
        <v>19</v>
      </c>
      <c r="B42" s="30" t="s">
        <v>124</v>
      </c>
      <c r="C42" s="34"/>
      <c r="D42" s="8">
        <f>D37</f>
        <v>907.27499999999998</v>
      </c>
    </row>
    <row r="43" spans="1:4" x14ac:dyDescent="0.2">
      <c r="A43" s="178" t="s">
        <v>102</v>
      </c>
      <c r="B43" s="189"/>
      <c r="C43" s="35"/>
      <c r="D43" s="12">
        <f>SUM(D40:D42)</f>
        <v>4102.6875026666658</v>
      </c>
    </row>
    <row r="44" spans="1:4" x14ac:dyDescent="0.2">
      <c r="A44" s="13"/>
      <c r="B44" s="14"/>
      <c r="C44" s="15"/>
      <c r="D44" s="16"/>
    </row>
    <row r="45" spans="1:4" x14ac:dyDescent="0.2">
      <c r="A45" s="172" t="s">
        <v>103</v>
      </c>
      <c r="B45" s="173"/>
      <c r="C45" s="173"/>
      <c r="D45" s="174"/>
    </row>
    <row r="46" spans="1:4" x14ac:dyDescent="0.2">
      <c r="A46" s="17">
        <v>3</v>
      </c>
      <c r="B46" s="2" t="s">
        <v>115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32.141833333333331</v>
      </c>
    </row>
    <row r="48" spans="1:4" x14ac:dyDescent="0.2">
      <c r="A48" s="4" t="s">
        <v>3</v>
      </c>
      <c r="B48" s="30" t="s">
        <v>125</v>
      </c>
      <c r="C48" s="37">
        <f>COMPOSICAO!D35</f>
        <v>3.3333333333333332E-4</v>
      </c>
      <c r="D48" s="22">
        <f>C48*$D$7</f>
        <v>2.5713466666666664</v>
      </c>
    </row>
    <row r="49" spans="1:4" x14ac:dyDescent="0.2">
      <c r="A49" s="19" t="s">
        <v>4</v>
      </c>
      <c r="B49" s="20" t="s">
        <v>126</v>
      </c>
      <c r="C49" s="37">
        <f>COMPOSICAO!D36</f>
        <v>3.4399999999999993E-2</v>
      </c>
      <c r="D49" s="22">
        <f t="shared" ref="D49:D52" si="1">C49*$D$7</f>
        <v>265.36297599999995</v>
      </c>
    </row>
    <row r="50" spans="1:4" x14ac:dyDescent="0.2">
      <c r="A50" s="4" t="s">
        <v>5</v>
      </c>
      <c r="B50" s="30" t="s">
        <v>127</v>
      </c>
      <c r="C50" s="37">
        <f>COMPOSICAO!D37</f>
        <v>1.2444444444444444E-2</v>
      </c>
      <c r="D50" s="22">
        <f t="shared" si="1"/>
        <v>95.996942222222216</v>
      </c>
    </row>
    <row r="51" spans="1:4" x14ac:dyDescent="0.2">
      <c r="A51" s="4" t="s">
        <v>6</v>
      </c>
      <c r="B51" s="30" t="s">
        <v>128</v>
      </c>
      <c r="C51" s="37">
        <f>COMPOSICAO!D38</f>
        <v>4.5631999999999999E-3</v>
      </c>
      <c r="D51" s="22">
        <f t="shared" si="1"/>
        <v>35.200707328</v>
      </c>
    </row>
    <row r="52" spans="1:4" x14ac:dyDescent="0.2">
      <c r="A52" s="4" t="s">
        <v>7</v>
      </c>
      <c r="B52" s="30" t="s">
        <v>129</v>
      </c>
      <c r="C52" s="37">
        <f>COMPOSICAO!D39</f>
        <v>3.9680000000000005E-4</v>
      </c>
      <c r="D52" s="22">
        <f t="shared" si="1"/>
        <v>3.0609310720000003</v>
      </c>
    </row>
    <row r="53" spans="1:4" x14ac:dyDescent="0.2">
      <c r="A53" s="190" t="s">
        <v>104</v>
      </c>
      <c r="B53" s="191"/>
      <c r="C53" s="38">
        <f>SUM(C47:C52)</f>
        <v>5.6304444444444435E-2</v>
      </c>
      <c r="D53" s="39">
        <f>SUM(D47:D52)</f>
        <v>434.33473662222224</v>
      </c>
    </row>
    <row r="54" spans="1:4" x14ac:dyDescent="0.2">
      <c r="A54" s="13"/>
      <c r="B54" s="14"/>
      <c r="C54" s="40"/>
      <c r="D54" s="16"/>
    </row>
    <row r="55" spans="1:4" x14ac:dyDescent="0.2">
      <c r="A55" s="172" t="s">
        <v>105</v>
      </c>
      <c r="B55" s="173"/>
      <c r="C55" s="173"/>
      <c r="D55" s="174"/>
    </row>
    <row r="56" spans="1:4" x14ac:dyDescent="0.2">
      <c r="A56" s="17">
        <v>4</v>
      </c>
      <c r="B56" s="2" t="s">
        <v>115</v>
      </c>
      <c r="C56" s="36" t="s">
        <v>0</v>
      </c>
      <c r="D56" s="17" t="s">
        <v>1</v>
      </c>
    </row>
    <row r="57" spans="1:4" x14ac:dyDescent="0.2">
      <c r="A57" s="190" t="s">
        <v>106</v>
      </c>
      <c r="B57" s="191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2" t="s">
        <v>107</v>
      </c>
      <c r="B59" s="173"/>
      <c r="C59" s="173"/>
      <c r="D59" s="174"/>
    </row>
    <row r="60" spans="1:4" x14ac:dyDescent="0.2">
      <c r="A60" s="17">
        <v>5</v>
      </c>
      <c r="B60" s="43" t="s">
        <v>115</v>
      </c>
      <c r="C60" s="44"/>
      <c r="D60" s="45" t="s">
        <v>1</v>
      </c>
    </row>
    <row r="61" spans="1:4" x14ac:dyDescent="0.2">
      <c r="A61" s="9" t="s">
        <v>108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2" t="s">
        <v>109</v>
      </c>
      <c r="B63" s="173"/>
      <c r="C63" s="173"/>
      <c r="D63" s="174"/>
    </row>
    <row r="64" spans="1:4" x14ac:dyDescent="0.2">
      <c r="A64" s="17">
        <v>6</v>
      </c>
      <c r="B64" s="2" t="s">
        <v>115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130</v>
      </c>
      <c r="C65" s="53">
        <f>COMPOSICAO!D44</f>
        <v>0.05</v>
      </c>
      <c r="D65" s="12">
        <f>C65*$D$81</f>
        <v>612.55311196444438</v>
      </c>
    </row>
    <row r="66" spans="1:4" x14ac:dyDescent="0.2">
      <c r="A66" s="51" t="s">
        <v>3</v>
      </c>
      <c r="B66" s="52" t="s">
        <v>131</v>
      </c>
      <c r="C66" s="53">
        <f>COMPOSICAO!D45</f>
        <v>0.1</v>
      </c>
      <c r="D66" s="12">
        <f>C66*($D$81+$D$65)</f>
        <v>1286.3615351253331</v>
      </c>
    </row>
    <row r="67" spans="1:4" x14ac:dyDescent="0.2">
      <c r="A67" s="51" t="s">
        <v>4</v>
      </c>
      <c r="B67" s="52" t="s">
        <v>132</v>
      </c>
      <c r="C67" s="53">
        <f>COMPOSICAO!D46</f>
        <v>9.2499999999999999E-2</v>
      </c>
      <c r="D67" s="12">
        <f>((D65+D66+D81)/(1-C67))-(D65+D66+D81)</f>
        <v>1442.2841454435566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101.34969670684444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467.76783095466664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311.84522063644442</v>
      </c>
    </row>
    <row r="71" spans="1:4" x14ac:dyDescent="0.2">
      <c r="A71" s="4" t="s">
        <v>29</v>
      </c>
      <c r="B71" s="106" t="s">
        <v>183</v>
      </c>
      <c r="C71" s="37">
        <f>COMPOSICAO!D50</f>
        <v>3.5999999999999997E-2</v>
      </c>
      <c r="D71" s="12">
        <f t="shared" si="2"/>
        <v>561.32139714559992</v>
      </c>
    </row>
    <row r="72" spans="1:4" x14ac:dyDescent="0.2">
      <c r="A72" s="178" t="s">
        <v>110</v>
      </c>
      <c r="B72" s="179"/>
      <c r="C72" s="55">
        <f>SUM(C65:C67)</f>
        <v>0.24250000000000002</v>
      </c>
      <c r="D72" s="12">
        <f>SUM(D65:D67)</f>
        <v>3341.1987925333342</v>
      </c>
    </row>
    <row r="73" spans="1:4" x14ac:dyDescent="0.2">
      <c r="A73" s="13"/>
      <c r="B73" s="14"/>
      <c r="C73" s="15"/>
      <c r="D73" s="16"/>
    </row>
    <row r="74" spans="1:4" x14ac:dyDescent="0.2">
      <c r="A74" s="186" t="s">
        <v>111</v>
      </c>
      <c r="B74" s="187"/>
      <c r="C74" s="187"/>
      <c r="D74" s="188"/>
    </row>
    <row r="75" spans="1:4" x14ac:dyDescent="0.2">
      <c r="A75" s="26" t="s">
        <v>112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133</v>
      </c>
      <c r="C76" s="58"/>
      <c r="D76" s="8">
        <f>D7</f>
        <v>7714.04</v>
      </c>
    </row>
    <row r="77" spans="1:4" x14ac:dyDescent="0.2">
      <c r="A77" s="4">
        <v>2</v>
      </c>
      <c r="B77" s="46" t="s">
        <v>134</v>
      </c>
      <c r="C77" s="58"/>
      <c r="D77" s="8">
        <f>D43</f>
        <v>4102.6875026666658</v>
      </c>
    </row>
    <row r="78" spans="1:4" x14ac:dyDescent="0.2">
      <c r="A78" s="4">
        <v>3</v>
      </c>
      <c r="B78" s="46" t="s">
        <v>135</v>
      </c>
      <c r="C78" s="58"/>
      <c r="D78" s="8">
        <f>D53</f>
        <v>434.33473662222224</v>
      </c>
    </row>
    <row r="79" spans="1:4" x14ac:dyDescent="0.2">
      <c r="A79" s="4">
        <v>4</v>
      </c>
      <c r="B79" s="46" t="s">
        <v>136</v>
      </c>
      <c r="C79" s="58"/>
      <c r="D79" s="8">
        <v>0</v>
      </c>
    </row>
    <row r="80" spans="1:4" x14ac:dyDescent="0.2">
      <c r="A80" s="4">
        <v>5</v>
      </c>
      <c r="B80" s="46" t="s">
        <v>137</v>
      </c>
      <c r="C80" s="58"/>
      <c r="D80" s="8">
        <v>0</v>
      </c>
    </row>
    <row r="81" spans="1:4" x14ac:dyDescent="0.2">
      <c r="A81" s="59" t="s">
        <v>113</v>
      </c>
      <c r="B81" s="10"/>
      <c r="C81" s="11"/>
      <c r="D81" s="12">
        <f>SUM(D76:D80)</f>
        <v>12251.062239288887</v>
      </c>
    </row>
    <row r="82" spans="1:4" x14ac:dyDescent="0.2">
      <c r="A82" s="4">
        <v>6</v>
      </c>
      <c r="B82" s="46" t="s">
        <v>138</v>
      </c>
      <c r="C82" s="58"/>
      <c r="D82" s="8">
        <f>D72</f>
        <v>3341.1987925333342</v>
      </c>
    </row>
    <row r="83" spans="1:4" x14ac:dyDescent="0.2">
      <c r="A83" s="178" t="s">
        <v>114</v>
      </c>
      <c r="B83" s="189"/>
      <c r="C83" s="179"/>
      <c r="D83" s="60">
        <f>SUM(D81:D82)</f>
        <v>15592.261031822221</v>
      </c>
    </row>
    <row r="84" spans="1:4" x14ac:dyDescent="0.2">
      <c r="C84" s="108" t="s">
        <v>187</v>
      </c>
      <c r="D84" s="109">
        <f>ROUNDUP(D83/D76,2)</f>
        <v>2.0299999999999998</v>
      </c>
    </row>
    <row r="85" spans="1:4" x14ac:dyDescent="0.2"/>
    <row r="86" spans="1:4" hidden="1" x14ac:dyDescent="0.2">
      <c r="D86" s="111"/>
    </row>
  </sheetData>
  <mergeCells count="22"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</mergeCells>
  <conditionalFormatting sqref="B69">
    <cfRule type="expression" dxfId="18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4EC073-C547-4A0A-8F37-FC8907B8E5F6}">
  <sheetPr codeName="Planilha18"/>
  <dimension ref="A1:D86"/>
  <sheetViews>
    <sheetView zoomScaleNormal="100" workbookViewId="0">
      <selection activeCell="F24" sqref="F24:F31"/>
    </sheetView>
  </sheetViews>
  <sheetFormatPr defaultColWidth="0" defaultRowHeight="12" zeroHeight="1" x14ac:dyDescent="0.2"/>
  <cols>
    <col min="1" max="1" width="5.85546875" style="107" customWidth="1"/>
    <col min="2" max="2" width="83.28515625" style="107" customWidth="1"/>
    <col min="3" max="3" width="12.42578125" style="107" customWidth="1"/>
    <col min="4" max="4" width="15.42578125" style="107" customWidth="1"/>
    <col min="5" max="5" width="9.140625" style="107" hidden="1" customWidth="1"/>
    <col min="6" max="16384" width="9.140625" style="107" hidden="1"/>
  </cols>
  <sheetData>
    <row r="1" spans="1:4" ht="12.75" thickBot="1" x14ac:dyDescent="0.25">
      <c r="A1" s="180" t="str">
        <f>PERFIS!C18</f>
        <v>Administrador de Dados Sênior</v>
      </c>
      <c r="B1" s="181"/>
      <c r="C1" s="181"/>
      <c r="D1" s="182"/>
    </row>
    <row r="2" spans="1:4" x14ac:dyDescent="0.2">
      <c r="A2" s="110"/>
      <c r="B2" s="110"/>
      <c r="C2" s="110"/>
      <c r="D2" s="110"/>
    </row>
    <row r="3" spans="1:4" x14ac:dyDescent="0.2">
      <c r="A3" s="169" t="s">
        <v>93</v>
      </c>
      <c r="B3" s="170"/>
      <c r="C3" s="170"/>
      <c r="D3" s="171"/>
    </row>
    <row r="4" spans="1:4" x14ac:dyDescent="0.2">
      <c r="A4" s="172" t="s">
        <v>94</v>
      </c>
      <c r="B4" s="173"/>
      <c r="C4" s="173"/>
      <c r="D4" s="174"/>
    </row>
    <row r="5" spans="1:4" x14ac:dyDescent="0.2">
      <c r="A5" s="1">
        <v>1</v>
      </c>
      <c r="B5" s="2" t="s">
        <v>115</v>
      </c>
      <c r="C5" s="3"/>
      <c r="D5" s="1" t="s">
        <v>1</v>
      </c>
    </row>
    <row r="6" spans="1:4" x14ac:dyDescent="0.2">
      <c r="A6" s="4" t="s">
        <v>2</v>
      </c>
      <c r="B6" s="5" t="s">
        <v>116</v>
      </c>
      <c r="C6" s="6">
        <v>1</v>
      </c>
      <c r="D6" s="7">
        <f>_xlfn.XLOOKUP(A1,PERFIS!C3:C35,PERFIS!D3:D35)</f>
        <v>11345.668333333335</v>
      </c>
    </row>
    <row r="7" spans="1:4" x14ac:dyDescent="0.2">
      <c r="A7" s="9" t="s">
        <v>95</v>
      </c>
      <c r="B7" s="10"/>
      <c r="C7" s="11"/>
      <c r="D7" s="12">
        <f>SUM(D6)</f>
        <v>11345.668333333335</v>
      </c>
    </row>
    <row r="8" spans="1:4" x14ac:dyDescent="0.2">
      <c r="A8" s="13"/>
      <c r="B8" s="14"/>
      <c r="C8" s="15"/>
      <c r="D8" s="16"/>
    </row>
    <row r="9" spans="1:4" x14ac:dyDescent="0.2">
      <c r="A9" s="172" t="s">
        <v>96</v>
      </c>
      <c r="B9" s="173"/>
      <c r="C9" s="173"/>
      <c r="D9" s="174"/>
    </row>
    <row r="10" spans="1:4" x14ac:dyDescent="0.2">
      <c r="A10" s="175" t="s">
        <v>190</v>
      </c>
      <c r="B10" s="176"/>
      <c r="C10" s="176"/>
      <c r="D10" s="177"/>
    </row>
    <row r="11" spans="1:4" x14ac:dyDescent="0.2">
      <c r="A11" s="17" t="s">
        <v>9</v>
      </c>
      <c r="B11" s="2" t="s">
        <v>115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117</v>
      </c>
      <c r="C12" s="21">
        <f>COMPOSICAO!D3</f>
        <v>8.3333333333333329E-2</v>
      </c>
      <c r="D12" s="22">
        <f>C12*$D$7</f>
        <v>945.47236111111124</v>
      </c>
    </row>
    <row r="13" spans="1:4" x14ac:dyDescent="0.2">
      <c r="A13" s="19" t="s">
        <v>3</v>
      </c>
      <c r="B13" s="20" t="s">
        <v>185</v>
      </c>
      <c r="C13" s="21">
        <f>COMPOSICAO!D4</f>
        <v>7.7777777777777779E-2</v>
      </c>
      <c r="D13" s="22">
        <f>C13*$D$7</f>
        <v>882.44087037037048</v>
      </c>
    </row>
    <row r="14" spans="1:4" x14ac:dyDescent="0.2">
      <c r="A14" s="178" t="s">
        <v>191</v>
      </c>
      <c r="B14" s="179"/>
      <c r="C14" s="23">
        <f>SUM(C12:C13)</f>
        <v>0.16111111111111109</v>
      </c>
      <c r="D14" s="12">
        <f>SUM(D12:D13)</f>
        <v>1827.9132314814817</v>
      </c>
    </row>
    <row r="15" spans="1:4" x14ac:dyDescent="0.2">
      <c r="A15" s="13"/>
      <c r="B15" s="14"/>
      <c r="C15" s="24"/>
      <c r="D15" s="16"/>
    </row>
    <row r="16" spans="1:4" x14ac:dyDescent="0.2">
      <c r="A16" s="194" t="s">
        <v>98</v>
      </c>
      <c r="B16" s="195"/>
      <c r="C16" s="195"/>
      <c r="D16" s="196"/>
    </row>
    <row r="17" spans="1:4" x14ac:dyDescent="0.2">
      <c r="A17" s="17" t="s">
        <v>10</v>
      </c>
      <c r="B17" s="2" t="s">
        <v>115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118</v>
      </c>
      <c r="C18" s="21">
        <v>0.05</v>
      </c>
      <c r="D18" s="22">
        <f>C18*($D$7+$D$14)</f>
        <v>658.67907824074086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329.33953912037043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395.20744694444448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197.60372347222224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131.73581564814816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79.041489388888905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26.347163129629632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1053.8865251851853</v>
      </c>
    </row>
    <row r="26" spans="1:4" x14ac:dyDescent="0.2">
      <c r="A26" s="192" t="s">
        <v>99</v>
      </c>
      <c r="B26" s="193"/>
      <c r="C26" s="27">
        <f>SUM(C18:C25)</f>
        <v>0.21800000000000003</v>
      </c>
      <c r="D26" s="28">
        <f>SUM(D18:D25)</f>
        <v>2871.8407811296302</v>
      </c>
    </row>
    <row r="27" spans="1:4" x14ac:dyDescent="0.2">
      <c r="A27" s="13"/>
      <c r="B27" s="14"/>
      <c r="C27" s="29"/>
      <c r="D27" s="16"/>
    </row>
    <row r="28" spans="1:4" x14ac:dyDescent="0.2">
      <c r="A28" s="194" t="s">
        <v>100</v>
      </c>
      <c r="B28" s="195"/>
      <c r="C28" s="195"/>
      <c r="D28" s="196"/>
    </row>
    <row r="29" spans="1:4" x14ac:dyDescent="0.2">
      <c r="A29" s="17" t="s">
        <v>19</v>
      </c>
      <c r="B29" s="194" t="s">
        <v>115</v>
      </c>
      <c r="C29" s="196"/>
      <c r="D29" s="17" t="s">
        <v>1</v>
      </c>
    </row>
    <row r="30" spans="1:4" x14ac:dyDescent="0.2">
      <c r="A30" s="183" t="s">
        <v>2</v>
      </c>
      <c r="B30" s="30" t="s">
        <v>119</v>
      </c>
      <c r="C30" s="31"/>
      <c r="D30" s="7">
        <f>COMPOSICAO!D20*2*22</f>
        <v>242</v>
      </c>
    </row>
    <row r="31" spans="1:4" x14ac:dyDescent="0.2">
      <c r="A31" s="184"/>
      <c r="B31" s="30" t="s">
        <v>20</v>
      </c>
      <c r="C31" s="31"/>
      <c r="D31" s="7">
        <f>D6*COMPOSICAO!D21</f>
        <v>680.7401000000001</v>
      </c>
    </row>
    <row r="32" spans="1:4" x14ac:dyDescent="0.2">
      <c r="A32" s="185"/>
      <c r="B32" s="88" t="s">
        <v>21</v>
      </c>
      <c r="C32" s="89"/>
      <c r="D32" s="39">
        <f>IF(D30-D31&gt;0,D30-D31,0)</f>
        <v>0</v>
      </c>
    </row>
    <row r="33" spans="1:4" x14ac:dyDescent="0.2">
      <c r="A33" s="183" t="s">
        <v>3</v>
      </c>
      <c r="B33" s="30" t="s">
        <v>120</v>
      </c>
      <c r="D33" s="7">
        <f>COMPOSICAO!D23*22</f>
        <v>814</v>
      </c>
    </row>
    <row r="34" spans="1:4" x14ac:dyDescent="0.2">
      <c r="A34" s="184"/>
      <c r="B34" s="30" t="s">
        <v>181</v>
      </c>
      <c r="C34" s="104" cm="1">
        <f t="array" ref="C34">_xlfn.IFS(D6&lt;2407,COMPOSICAO!D25,D6&lt;4073.39,COMPOSICAO!D26,D6&lt;5924.92,COMPOSICAO!D27,D6&lt;7406.17,COMPOSICAO!D28,D6&lt;9072.58,COMPOSICAO!D29,D6&gt;9072.59,COMPOSICAO!D30)</f>
        <v>0.15</v>
      </c>
      <c r="D34" s="7">
        <f>D33*C34</f>
        <v>122.1</v>
      </c>
    </row>
    <row r="35" spans="1:4" x14ac:dyDescent="0.2">
      <c r="A35" s="185"/>
      <c r="B35" s="88" t="s">
        <v>182</v>
      </c>
      <c r="C35" s="90"/>
      <c r="D35" s="39">
        <f>D33-D34</f>
        <v>691.9</v>
      </c>
    </row>
    <row r="36" spans="1:4" x14ac:dyDescent="0.2">
      <c r="A36" s="4" t="s">
        <v>4</v>
      </c>
      <c r="B36" s="30" t="s">
        <v>167</v>
      </c>
      <c r="C36" s="31"/>
      <c r="D36" s="151">
        <f>COMPOSICAO!D31</f>
        <v>184.85</v>
      </c>
    </row>
    <row r="37" spans="1:4" x14ac:dyDescent="0.2">
      <c r="A37" s="9" t="s">
        <v>101</v>
      </c>
      <c r="B37" s="10"/>
      <c r="C37" s="11"/>
      <c r="D37" s="12">
        <f>SUM(D32,D35,D36)</f>
        <v>876.75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121</v>
      </c>
      <c r="C39" s="33"/>
      <c r="D39" s="17" t="s">
        <v>1</v>
      </c>
    </row>
    <row r="40" spans="1:4" x14ac:dyDescent="0.2">
      <c r="A40" s="4" t="s">
        <v>9</v>
      </c>
      <c r="B40" s="30" t="s">
        <v>122</v>
      </c>
      <c r="C40" s="34"/>
      <c r="D40" s="8">
        <f>D14</f>
        <v>1827.9132314814817</v>
      </c>
    </row>
    <row r="41" spans="1:4" x14ac:dyDescent="0.2">
      <c r="A41" s="4" t="s">
        <v>10</v>
      </c>
      <c r="B41" s="30" t="s">
        <v>123</v>
      </c>
      <c r="C41" s="34"/>
      <c r="D41" s="8">
        <f>D26</f>
        <v>2871.8407811296302</v>
      </c>
    </row>
    <row r="42" spans="1:4" x14ac:dyDescent="0.2">
      <c r="A42" s="4" t="s">
        <v>19</v>
      </c>
      <c r="B42" s="30" t="s">
        <v>124</v>
      </c>
      <c r="C42" s="34"/>
      <c r="D42" s="8">
        <f>D37</f>
        <v>876.75</v>
      </c>
    </row>
    <row r="43" spans="1:4" x14ac:dyDescent="0.2">
      <c r="A43" s="178" t="s">
        <v>102</v>
      </c>
      <c r="B43" s="189"/>
      <c r="C43" s="35"/>
      <c r="D43" s="12">
        <f>SUM(D40:D42)</f>
        <v>5576.5040126111116</v>
      </c>
    </row>
    <row r="44" spans="1:4" x14ac:dyDescent="0.2">
      <c r="A44" s="13"/>
      <c r="B44" s="14"/>
      <c r="C44" s="15"/>
      <c r="D44" s="16"/>
    </row>
    <row r="45" spans="1:4" x14ac:dyDescent="0.2">
      <c r="A45" s="172" t="s">
        <v>103</v>
      </c>
      <c r="B45" s="173"/>
      <c r="C45" s="173"/>
      <c r="D45" s="174"/>
    </row>
    <row r="46" spans="1:4" x14ac:dyDescent="0.2">
      <c r="A46" s="17">
        <v>3</v>
      </c>
      <c r="B46" s="2" t="s">
        <v>115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47.273618055555559</v>
      </c>
    </row>
    <row r="48" spans="1:4" x14ac:dyDescent="0.2">
      <c r="A48" s="4" t="s">
        <v>3</v>
      </c>
      <c r="B48" s="30" t="s">
        <v>125</v>
      </c>
      <c r="C48" s="37">
        <f>COMPOSICAO!D35</f>
        <v>3.3333333333333332E-4</v>
      </c>
      <c r="D48" s="22">
        <f>C48*$D$7</f>
        <v>3.7818894444444449</v>
      </c>
    </row>
    <row r="49" spans="1:4" x14ac:dyDescent="0.2">
      <c r="A49" s="19" t="s">
        <v>4</v>
      </c>
      <c r="B49" s="20" t="s">
        <v>126</v>
      </c>
      <c r="C49" s="37">
        <f>COMPOSICAO!D36</f>
        <v>3.4399999999999993E-2</v>
      </c>
      <c r="D49" s="22">
        <f t="shared" ref="D49:D52" si="1">C49*$D$7</f>
        <v>390.29099066666663</v>
      </c>
    </row>
    <row r="50" spans="1:4" x14ac:dyDescent="0.2">
      <c r="A50" s="4" t="s">
        <v>5</v>
      </c>
      <c r="B50" s="30" t="s">
        <v>127</v>
      </c>
      <c r="C50" s="37">
        <f>COMPOSICAO!D37</f>
        <v>1.2444444444444444E-2</v>
      </c>
      <c r="D50" s="22">
        <f t="shared" si="1"/>
        <v>141.19053925925928</v>
      </c>
    </row>
    <row r="51" spans="1:4" x14ac:dyDescent="0.2">
      <c r="A51" s="4" t="s">
        <v>6</v>
      </c>
      <c r="B51" s="30" t="s">
        <v>128</v>
      </c>
      <c r="C51" s="37">
        <f>COMPOSICAO!D38</f>
        <v>4.5631999999999999E-3</v>
      </c>
      <c r="D51" s="22">
        <f t="shared" si="1"/>
        <v>51.772553738666673</v>
      </c>
    </row>
    <row r="52" spans="1:4" x14ac:dyDescent="0.2">
      <c r="A52" s="4" t="s">
        <v>7</v>
      </c>
      <c r="B52" s="30" t="s">
        <v>129</v>
      </c>
      <c r="C52" s="37">
        <f>COMPOSICAO!D39</f>
        <v>3.9680000000000005E-4</v>
      </c>
      <c r="D52" s="22">
        <f t="shared" si="1"/>
        <v>4.5019611946666682</v>
      </c>
    </row>
    <row r="53" spans="1:4" x14ac:dyDescent="0.2">
      <c r="A53" s="190" t="s">
        <v>104</v>
      </c>
      <c r="B53" s="191"/>
      <c r="C53" s="38">
        <f>SUM(C47:C52)</f>
        <v>5.6304444444444435E-2</v>
      </c>
      <c r="D53" s="39">
        <f>SUM(D47:D52)</f>
        <v>638.81155235925928</v>
      </c>
    </row>
    <row r="54" spans="1:4" x14ac:dyDescent="0.2">
      <c r="A54" s="13"/>
      <c r="B54" s="14"/>
      <c r="C54" s="40"/>
      <c r="D54" s="16"/>
    </row>
    <row r="55" spans="1:4" x14ac:dyDescent="0.2">
      <c r="A55" s="172" t="s">
        <v>105</v>
      </c>
      <c r="B55" s="173"/>
      <c r="C55" s="173"/>
      <c r="D55" s="174"/>
    </row>
    <row r="56" spans="1:4" x14ac:dyDescent="0.2">
      <c r="A56" s="17">
        <v>4</v>
      </c>
      <c r="B56" s="2" t="s">
        <v>115</v>
      </c>
      <c r="C56" s="36" t="s">
        <v>0</v>
      </c>
      <c r="D56" s="17" t="s">
        <v>1</v>
      </c>
    </row>
    <row r="57" spans="1:4" x14ac:dyDescent="0.2">
      <c r="A57" s="190" t="s">
        <v>106</v>
      </c>
      <c r="B57" s="191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2" t="s">
        <v>107</v>
      </c>
      <c r="B59" s="173"/>
      <c r="C59" s="173"/>
      <c r="D59" s="174"/>
    </row>
    <row r="60" spans="1:4" x14ac:dyDescent="0.2">
      <c r="A60" s="17">
        <v>5</v>
      </c>
      <c r="B60" s="43" t="s">
        <v>115</v>
      </c>
      <c r="C60" s="44"/>
      <c r="D60" s="45" t="s">
        <v>1</v>
      </c>
    </row>
    <row r="61" spans="1:4" x14ac:dyDescent="0.2">
      <c r="A61" s="9" t="s">
        <v>108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2" t="s">
        <v>109</v>
      </c>
      <c r="B63" s="173"/>
      <c r="C63" s="173"/>
      <c r="D63" s="174"/>
    </row>
    <row r="64" spans="1:4" x14ac:dyDescent="0.2">
      <c r="A64" s="17">
        <v>6</v>
      </c>
      <c r="B64" s="2" t="s">
        <v>115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130</v>
      </c>
      <c r="C65" s="53">
        <f>COMPOSICAO!D44</f>
        <v>0.05</v>
      </c>
      <c r="D65" s="12">
        <f>C65*$D$81</f>
        <v>878.04919491518547</v>
      </c>
    </row>
    <row r="66" spans="1:4" x14ac:dyDescent="0.2">
      <c r="A66" s="51" t="s">
        <v>3</v>
      </c>
      <c r="B66" s="52" t="s">
        <v>131</v>
      </c>
      <c r="C66" s="53">
        <f>COMPOSICAO!D45</f>
        <v>0.1</v>
      </c>
      <c r="D66" s="12">
        <f>C66*($D$81+$D$65)</f>
        <v>1843.9033093218893</v>
      </c>
    </row>
    <row r="67" spans="1:4" x14ac:dyDescent="0.2">
      <c r="A67" s="51" t="s">
        <v>4</v>
      </c>
      <c r="B67" s="52" t="s">
        <v>132</v>
      </c>
      <c r="C67" s="53">
        <f>COMPOSICAO!D46</f>
        <v>9.2499999999999999E-2</v>
      </c>
      <c r="D67" s="12">
        <f>((D65+D66+D81)/(1-C67))-(D65+D66+D81)</f>
        <v>2067.4067407548464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145.27723043142157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670.51029429886876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447.00686286591258</v>
      </c>
    </row>
    <row r="71" spans="1:4" x14ac:dyDescent="0.2">
      <c r="A71" s="4" t="s">
        <v>29</v>
      </c>
      <c r="B71" s="106" t="s">
        <v>183</v>
      </c>
      <c r="C71" s="37">
        <f>COMPOSICAO!D50</f>
        <v>3.5999999999999997E-2</v>
      </c>
      <c r="D71" s="12">
        <f t="shared" si="2"/>
        <v>804.61235315864258</v>
      </c>
    </row>
    <row r="72" spans="1:4" x14ac:dyDescent="0.2">
      <c r="A72" s="178" t="s">
        <v>110</v>
      </c>
      <c r="B72" s="179"/>
      <c r="C72" s="55">
        <f>SUM(C65:C67)</f>
        <v>0.24250000000000002</v>
      </c>
      <c r="D72" s="12">
        <f>SUM(D65:D67)</f>
        <v>4789.3592449919215</v>
      </c>
    </row>
    <row r="73" spans="1:4" x14ac:dyDescent="0.2">
      <c r="A73" s="13"/>
      <c r="B73" s="14"/>
      <c r="C73" s="15"/>
      <c r="D73" s="16"/>
    </row>
    <row r="74" spans="1:4" x14ac:dyDescent="0.2">
      <c r="A74" s="186" t="s">
        <v>111</v>
      </c>
      <c r="B74" s="187"/>
      <c r="C74" s="187"/>
      <c r="D74" s="188"/>
    </row>
    <row r="75" spans="1:4" x14ac:dyDescent="0.2">
      <c r="A75" s="26" t="s">
        <v>112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133</v>
      </c>
      <c r="C76" s="58"/>
      <c r="D76" s="8">
        <f>D7</f>
        <v>11345.668333333335</v>
      </c>
    </row>
    <row r="77" spans="1:4" x14ac:dyDescent="0.2">
      <c r="A77" s="4">
        <v>2</v>
      </c>
      <c r="B77" s="46" t="s">
        <v>134</v>
      </c>
      <c r="C77" s="58"/>
      <c r="D77" s="8">
        <f>D43</f>
        <v>5576.5040126111116</v>
      </c>
    </row>
    <row r="78" spans="1:4" x14ac:dyDescent="0.2">
      <c r="A78" s="4">
        <v>3</v>
      </c>
      <c r="B78" s="46" t="s">
        <v>135</v>
      </c>
      <c r="C78" s="58"/>
      <c r="D78" s="8">
        <f>D53</f>
        <v>638.81155235925928</v>
      </c>
    </row>
    <row r="79" spans="1:4" x14ac:dyDescent="0.2">
      <c r="A79" s="4">
        <v>4</v>
      </c>
      <c r="B79" s="46" t="s">
        <v>136</v>
      </c>
      <c r="C79" s="58"/>
      <c r="D79" s="8">
        <v>0</v>
      </c>
    </row>
    <row r="80" spans="1:4" x14ac:dyDescent="0.2">
      <c r="A80" s="4">
        <v>5</v>
      </c>
      <c r="B80" s="46" t="s">
        <v>137</v>
      </c>
      <c r="C80" s="58"/>
      <c r="D80" s="8">
        <v>0</v>
      </c>
    </row>
    <row r="81" spans="1:4" x14ac:dyDescent="0.2">
      <c r="A81" s="59" t="s">
        <v>113</v>
      </c>
      <c r="B81" s="10"/>
      <c r="C81" s="11"/>
      <c r="D81" s="12">
        <f>SUM(D76:D80)</f>
        <v>17560.983898303708</v>
      </c>
    </row>
    <row r="82" spans="1:4" x14ac:dyDescent="0.2">
      <c r="A82" s="4">
        <v>6</v>
      </c>
      <c r="B82" s="46" t="s">
        <v>138</v>
      </c>
      <c r="C82" s="58"/>
      <c r="D82" s="8">
        <f>D72</f>
        <v>4789.3592449919215</v>
      </c>
    </row>
    <row r="83" spans="1:4" x14ac:dyDescent="0.2">
      <c r="A83" s="178" t="s">
        <v>114</v>
      </c>
      <c r="B83" s="189"/>
      <c r="C83" s="179"/>
      <c r="D83" s="60">
        <f>SUM(D81:D82)</f>
        <v>22350.343143295628</v>
      </c>
    </row>
    <row r="84" spans="1:4" x14ac:dyDescent="0.2">
      <c r="C84" s="108" t="s">
        <v>187</v>
      </c>
      <c r="D84" s="109">
        <f>ROUNDUP(D83/D76,2)</f>
        <v>1.97</v>
      </c>
    </row>
    <row r="85" spans="1:4" x14ac:dyDescent="0.2"/>
    <row r="86" spans="1:4" hidden="1" x14ac:dyDescent="0.2">
      <c r="D86" s="111"/>
    </row>
  </sheetData>
  <mergeCells count="22"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</mergeCells>
  <conditionalFormatting sqref="B69">
    <cfRule type="expression" dxfId="17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07144A-6ACF-44E7-9DFF-DD8268BBD088}">
  <sheetPr codeName="Planilha19"/>
  <dimension ref="A1:D86"/>
  <sheetViews>
    <sheetView zoomScaleNormal="100" workbookViewId="0">
      <selection activeCell="F24" sqref="F24:F31"/>
    </sheetView>
  </sheetViews>
  <sheetFormatPr defaultColWidth="0" defaultRowHeight="12" zeroHeight="1" x14ac:dyDescent="0.2"/>
  <cols>
    <col min="1" max="1" width="5.85546875" style="107" customWidth="1"/>
    <col min="2" max="2" width="83.28515625" style="107" customWidth="1"/>
    <col min="3" max="3" width="12.42578125" style="107" customWidth="1"/>
    <col min="4" max="4" width="15.42578125" style="107" customWidth="1"/>
    <col min="5" max="5" width="9.140625" style="107" hidden="1" customWidth="1"/>
    <col min="6" max="16384" width="9.140625" style="107" hidden="1"/>
  </cols>
  <sheetData>
    <row r="1" spans="1:4" ht="12.75" thickBot="1" x14ac:dyDescent="0.25">
      <c r="A1" s="180" t="str">
        <f>PERFIS!C19</f>
        <v>Líder Técnico de Desenvolvimento</v>
      </c>
      <c r="B1" s="181"/>
      <c r="C1" s="181"/>
      <c r="D1" s="182"/>
    </row>
    <row r="2" spans="1:4" x14ac:dyDescent="0.2">
      <c r="A2" s="110"/>
      <c r="B2" s="110"/>
      <c r="C2" s="110"/>
      <c r="D2" s="110"/>
    </row>
    <row r="3" spans="1:4" x14ac:dyDescent="0.2">
      <c r="A3" s="169" t="s">
        <v>93</v>
      </c>
      <c r="B3" s="170"/>
      <c r="C3" s="170"/>
      <c r="D3" s="171"/>
    </row>
    <row r="4" spans="1:4" x14ac:dyDescent="0.2">
      <c r="A4" s="172" t="s">
        <v>94</v>
      </c>
      <c r="B4" s="173"/>
      <c r="C4" s="173"/>
      <c r="D4" s="174"/>
    </row>
    <row r="5" spans="1:4" x14ac:dyDescent="0.2">
      <c r="A5" s="1">
        <v>1</v>
      </c>
      <c r="B5" s="2" t="s">
        <v>115</v>
      </c>
      <c r="C5" s="3"/>
      <c r="D5" s="1" t="s">
        <v>1</v>
      </c>
    </row>
    <row r="6" spans="1:4" x14ac:dyDescent="0.2">
      <c r="A6" s="4" t="s">
        <v>2</v>
      </c>
      <c r="B6" s="5" t="s">
        <v>116</v>
      </c>
      <c r="C6" s="6">
        <v>1</v>
      </c>
      <c r="D6" s="7">
        <f>_xlfn.XLOOKUP(A1,PERFIS!C3:C35,PERFIS!D3:D35)</f>
        <v>16966.666666666668</v>
      </c>
    </row>
    <row r="7" spans="1:4" x14ac:dyDescent="0.2">
      <c r="A7" s="9" t="s">
        <v>95</v>
      </c>
      <c r="B7" s="10"/>
      <c r="C7" s="11"/>
      <c r="D7" s="12">
        <f>SUM(D6)</f>
        <v>16966.666666666668</v>
      </c>
    </row>
    <row r="8" spans="1:4" x14ac:dyDescent="0.2">
      <c r="A8" s="13"/>
      <c r="B8" s="14"/>
      <c r="C8" s="15"/>
      <c r="D8" s="16"/>
    </row>
    <row r="9" spans="1:4" x14ac:dyDescent="0.2">
      <c r="A9" s="172" t="s">
        <v>96</v>
      </c>
      <c r="B9" s="173"/>
      <c r="C9" s="173"/>
      <c r="D9" s="174"/>
    </row>
    <row r="10" spans="1:4" x14ac:dyDescent="0.2">
      <c r="A10" s="175" t="s">
        <v>190</v>
      </c>
      <c r="B10" s="176"/>
      <c r="C10" s="176"/>
      <c r="D10" s="177"/>
    </row>
    <row r="11" spans="1:4" x14ac:dyDescent="0.2">
      <c r="A11" s="17" t="s">
        <v>9</v>
      </c>
      <c r="B11" s="2" t="s">
        <v>115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117</v>
      </c>
      <c r="C12" s="21">
        <f>COMPOSICAO!D3</f>
        <v>8.3333333333333329E-2</v>
      </c>
      <c r="D12" s="22">
        <f>C12*$D$7</f>
        <v>1413.8888888888889</v>
      </c>
    </row>
    <row r="13" spans="1:4" x14ac:dyDescent="0.2">
      <c r="A13" s="19" t="s">
        <v>3</v>
      </c>
      <c r="B13" s="20" t="s">
        <v>185</v>
      </c>
      <c r="C13" s="21">
        <f>COMPOSICAO!D4</f>
        <v>7.7777777777777779E-2</v>
      </c>
      <c r="D13" s="22">
        <f>C13*$D$7</f>
        <v>1319.6296296296298</v>
      </c>
    </row>
    <row r="14" spans="1:4" x14ac:dyDescent="0.2">
      <c r="A14" s="178" t="s">
        <v>191</v>
      </c>
      <c r="B14" s="179"/>
      <c r="C14" s="23">
        <f>SUM(C12:C13)</f>
        <v>0.16111111111111109</v>
      </c>
      <c r="D14" s="12">
        <f>SUM(D12:D13)</f>
        <v>2733.5185185185187</v>
      </c>
    </row>
    <row r="15" spans="1:4" x14ac:dyDescent="0.2">
      <c r="A15" s="13"/>
      <c r="B15" s="14"/>
      <c r="C15" s="24"/>
      <c r="D15" s="16"/>
    </row>
    <row r="16" spans="1:4" x14ac:dyDescent="0.2">
      <c r="A16" s="194" t="s">
        <v>98</v>
      </c>
      <c r="B16" s="195"/>
      <c r="C16" s="195"/>
      <c r="D16" s="196"/>
    </row>
    <row r="17" spans="1:4" x14ac:dyDescent="0.2">
      <c r="A17" s="17" t="s">
        <v>10</v>
      </c>
      <c r="B17" s="2" t="s">
        <v>115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118</v>
      </c>
      <c r="C18" s="21">
        <v>0.05</v>
      </c>
      <c r="D18" s="22">
        <f>C18*($D$7+$D$14)</f>
        <v>985.00925925925935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492.50462962962968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591.00555555555559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295.50277777777779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197.00185185185185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118.20111111111112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39.400370370370375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1576.0148148148148</v>
      </c>
    </row>
    <row r="26" spans="1:4" x14ac:dyDescent="0.2">
      <c r="A26" s="192" t="s">
        <v>99</v>
      </c>
      <c r="B26" s="193"/>
      <c r="C26" s="27">
        <f>SUM(C18:C25)</f>
        <v>0.21800000000000003</v>
      </c>
      <c r="D26" s="28">
        <f>SUM(D18:D25)</f>
        <v>4294.64037037037</v>
      </c>
    </row>
    <row r="27" spans="1:4" x14ac:dyDescent="0.2">
      <c r="A27" s="13"/>
      <c r="B27" s="14"/>
      <c r="C27" s="29"/>
      <c r="D27" s="16"/>
    </row>
    <row r="28" spans="1:4" x14ac:dyDescent="0.2">
      <c r="A28" s="194" t="s">
        <v>100</v>
      </c>
      <c r="B28" s="195"/>
      <c r="C28" s="195"/>
      <c r="D28" s="196"/>
    </row>
    <row r="29" spans="1:4" x14ac:dyDescent="0.2">
      <c r="A29" s="17" t="s">
        <v>19</v>
      </c>
      <c r="B29" s="194" t="s">
        <v>115</v>
      </c>
      <c r="C29" s="196"/>
      <c r="D29" s="17" t="s">
        <v>1</v>
      </c>
    </row>
    <row r="30" spans="1:4" x14ac:dyDescent="0.2">
      <c r="A30" s="183" t="s">
        <v>2</v>
      </c>
      <c r="B30" s="30" t="s">
        <v>119</v>
      </c>
      <c r="C30" s="31"/>
      <c r="D30" s="7">
        <f>COMPOSICAO!D20*2*22</f>
        <v>242</v>
      </c>
    </row>
    <row r="31" spans="1:4" x14ac:dyDescent="0.2">
      <c r="A31" s="184"/>
      <c r="B31" s="30" t="s">
        <v>20</v>
      </c>
      <c r="C31" s="31"/>
      <c r="D31" s="7">
        <f>D6*COMPOSICAO!D21</f>
        <v>1018</v>
      </c>
    </row>
    <row r="32" spans="1:4" x14ac:dyDescent="0.2">
      <c r="A32" s="185"/>
      <c r="B32" s="88" t="s">
        <v>21</v>
      </c>
      <c r="C32" s="89"/>
      <c r="D32" s="39">
        <f>IF(D30-D31&gt;0,D30-D31,0)</f>
        <v>0</v>
      </c>
    </row>
    <row r="33" spans="1:4" x14ac:dyDescent="0.2">
      <c r="A33" s="183" t="s">
        <v>3</v>
      </c>
      <c r="B33" s="30" t="s">
        <v>120</v>
      </c>
      <c r="D33" s="7">
        <f>COMPOSICAO!D23*22</f>
        <v>814</v>
      </c>
    </row>
    <row r="34" spans="1:4" x14ac:dyDescent="0.2">
      <c r="A34" s="184"/>
      <c r="B34" s="30" t="s">
        <v>181</v>
      </c>
      <c r="C34" s="104" cm="1">
        <f t="array" ref="C34">_xlfn.IFS(D6&lt;2407,COMPOSICAO!D25,D6&lt;4073.39,COMPOSICAO!D26,D6&lt;5924.92,COMPOSICAO!D27,D6&lt;7406.17,COMPOSICAO!D28,D6&lt;9072.58,COMPOSICAO!D29,D6&gt;9072.59,COMPOSICAO!D30)</f>
        <v>0.15</v>
      </c>
      <c r="D34" s="7">
        <f>D33*C34</f>
        <v>122.1</v>
      </c>
    </row>
    <row r="35" spans="1:4" x14ac:dyDescent="0.2">
      <c r="A35" s="185"/>
      <c r="B35" s="88" t="s">
        <v>182</v>
      </c>
      <c r="C35" s="90"/>
      <c r="D35" s="39">
        <f>D33-D34</f>
        <v>691.9</v>
      </c>
    </row>
    <row r="36" spans="1:4" x14ac:dyDescent="0.2">
      <c r="A36" s="4" t="s">
        <v>4</v>
      </c>
      <c r="B36" s="30" t="s">
        <v>167</v>
      </c>
      <c r="C36" s="31"/>
      <c r="D36" s="151">
        <f>COMPOSICAO!D31</f>
        <v>184.85</v>
      </c>
    </row>
    <row r="37" spans="1:4" x14ac:dyDescent="0.2">
      <c r="A37" s="9" t="s">
        <v>101</v>
      </c>
      <c r="B37" s="10"/>
      <c r="C37" s="11"/>
      <c r="D37" s="12">
        <f>SUM(D32,D35,D36)</f>
        <v>876.75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121</v>
      </c>
      <c r="C39" s="33"/>
      <c r="D39" s="17" t="s">
        <v>1</v>
      </c>
    </row>
    <row r="40" spans="1:4" x14ac:dyDescent="0.2">
      <c r="A40" s="4" t="s">
        <v>9</v>
      </c>
      <c r="B40" s="30" t="s">
        <v>122</v>
      </c>
      <c r="C40" s="34"/>
      <c r="D40" s="8">
        <f>D14</f>
        <v>2733.5185185185187</v>
      </c>
    </row>
    <row r="41" spans="1:4" x14ac:dyDescent="0.2">
      <c r="A41" s="4" t="s">
        <v>10</v>
      </c>
      <c r="B41" s="30" t="s">
        <v>123</v>
      </c>
      <c r="C41" s="34"/>
      <c r="D41" s="8">
        <f>D26</f>
        <v>4294.64037037037</v>
      </c>
    </row>
    <row r="42" spans="1:4" x14ac:dyDescent="0.2">
      <c r="A42" s="4" t="s">
        <v>19</v>
      </c>
      <c r="B42" s="30" t="s">
        <v>124</v>
      </c>
      <c r="C42" s="34"/>
      <c r="D42" s="8">
        <f>D37</f>
        <v>876.75</v>
      </c>
    </row>
    <row r="43" spans="1:4" x14ac:dyDescent="0.2">
      <c r="A43" s="178" t="s">
        <v>102</v>
      </c>
      <c r="B43" s="189"/>
      <c r="C43" s="35"/>
      <c r="D43" s="12">
        <f>SUM(D40:D42)</f>
        <v>7904.9088888888891</v>
      </c>
    </row>
    <row r="44" spans="1:4" x14ac:dyDescent="0.2">
      <c r="A44" s="13"/>
      <c r="B44" s="14"/>
      <c r="C44" s="15"/>
      <c r="D44" s="16"/>
    </row>
    <row r="45" spans="1:4" x14ac:dyDescent="0.2">
      <c r="A45" s="172" t="s">
        <v>103</v>
      </c>
      <c r="B45" s="173"/>
      <c r="C45" s="173"/>
      <c r="D45" s="174"/>
    </row>
    <row r="46" spans="1:4" x14ac:dyDescent="0.2">
      <c r="A46" s="17">
        <v>3</v>
      </c>
      <c r="B46" s="2" t="s">
        <v>115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70.694444444444443</v>
      </c>
    </row>
    <row r="48" spans="1:4" x14ac:dyDescent="0.2">
      <c r="A48" s="4" t="s">
        <v>3</v>
      </c>
      <c r="B48" s="30" t="s">
        <v>125</v>
      </c>
      <c r="C48" s="37">
        <f>COMPOSICAO!D35</f>
        <v>3.3333333333333332E-4</v>
      </c>
      <c r="D48" s="22">
        <f>C48*$D$7</f>
        <v>5.6555555555555559</v>
      </c>
    </row>
    <row r="49" spans="1:4" x14ac:dyDescent="0.2">
      <c r="A49" s="19" t="s">
        <v>4</v>
      </c>
      <c r="B49" s="20" t="s">
        <v>126</v>
      </c>
      <c r="C49" s="37">
        <f>COMPOSICAO!D36</f>
        <v>3.4399999999999993E-2</v>
      </c>
      <c r="D49" s="22">
        <f t="shared" ref="D49:D52" si="1">C49*$D$7</f>
        <v>583.65333333333331</v>
      </c>
    </row>
    <row r="50" spans="1:4" x14ac:dyDescent="0.2">
      <c r="A50" s="4" t="s">
        <v>5</v>
      </c>
      <c r="B50" s="30" t="s">
        <v>127</v>
      </c>
      <c r="C50" s="37">
        <f>COMPOSICAO!D37</f>
        <v>1.2444444444444444E-2</v>
      </c>
      <c r="D50" s="22">
        <f t="shared" si="1"/>
        <v>211.14074074074074</v>
      </c>
    </row>
    <row r="51" spans="1:4" x14ac:dyDescent="0.2">
      <c r="A51" s="4" t="s">
        <v>6</v>
      </c>
      <c r="B51" s="30" t="s">
        <v>128</v>
      </c>
      <c r="C51" s="37">
        <f>COMPOSICAO!D38</f>
        <v>4.5631999999999999E-3</v>
      </c>
      <c r="D51" s="22">
        <f t="shared" si="1"/>
        <v>77.422293333333343</v>
      </c>
    </row>
    <row r="52" spans="1:4" x14ac:dyDescent="0.2">
      <c r="A52" s="4" t="s">
        <v>7</v>
      </c>
      <c r="B52" s="30" t="s">
        <v>129</v>
      </c>
      <c r="C52" s="37">
        <f>COMPOSICAO!D39</f>
        <v>3.9680000000000005E-4</v>
      </c>
      <c r="D52" s="22">
        <f t="shared" si="1"/>
        <v>6.7323733333333351</v>
      </c>
    </row>
    <row r="53" spans="1:4" x14ac:dyDescent="0.2">
      <c r="A53" s="190" t="s">
        <v>104</v>
      </c>
      <c r="B53" s="191"/>
      <c r="C53" s="38">
        <f>SUM(C47:C52)</f>
        <v>5.6304444444444435E-2</v>
      </c>
      <c r="D53" s="39">
        <f>SUM(D47:D52)</f>
        <v>955.29874074074075</v>
      </c>
    </row>
    <row r="54" spans="1:4" x14ac:dyDescent="0.2">
      <c r="A54" s="13"/>
      <c r="B54" s="14"/>
      <c r="C54" s="40"/>
      <c r="D54" s="16"/>
    </row>
    <row r="55" spans="1:4" x14ac:dyDescent="0.2">
      <c r="A55" s="172" t="s">
        <v>105</v>
      </c>
      <c r="B55" s="173"/>
      <c r="C55" s="173"/>
      <c r="D55" s="174"/>
    </row>
    <row r="56" spans="1:4" x14ac:dyDescent="0.2">
      <c r="A56" s="17">
        <v>4</v>
      </c>
      <c r="B56" s="2" t="s">
        <v>115</v>
      </c>
      <c r="C56" s="36" t="s">
        <v>0</v>
      </c>
      <c r="D56" s="17" t="s">
        <v>1</v>
      </c>
    </row>
    <row r="57" spans="1:4" x14ac:dyDescent="0.2">
      <c r="A57" s="190" t="s">
        <v>106</v>
      </c>
      <c r="B57" s="191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2" t="s">
        <v>107</v>
      </c>
      <c r="B59" s="173"/>
      <c r="C59" s="173"/>
      <c r="D59" s="174"/>
    </row>
    <row r="60" spans="1:4" x14ac:dyDescent="0.2">
      <c r="A60" s="17">
        <v>5</v>
      </c>
      <c r="B60" s="43" t="s">
        <v>115</v>
      </c>
      <c r="C60" s="44"/>
      <c r="D60" s="45" t="s">
        <v>1</v>
      </c>
    </row>
    <row r="61" spans="1:4" x14ac:dyDescent="0.2">
      <c r="A61" s="9" t="s">
        <v>108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2" t="s">
        <v>109</v>
      </c>
      <c r="B63" s="173"/>
      <c r="C63" s="173"/>
      <c r="D63" s="174"/>
    </row>
    <row r="64" spans="1:4" x14ac:dyDescent="0.2">
      <c r="A64" s="17">
        <v>6</v>
      </c>
      <c r="B64" s="2" t="s">
        <v>115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130</v>
      </c>
      <c r="C65" s="53">
        <f>COMPOSICAO!D44</f>
        <v>0.05</v>
      </c>
      <c r="D65" s="12">
        <f>C65*$D$81</f>
        <v>1291.343714814815</v>
      </c>
    </row>
    <row r="66" spans="1:4" x14ac:dyDescent="0.2">
      <c r="A66" s="51" t="s">
        <v>3</v>
      </c>
      <c r="B66" s="52" t="s">
        <v>131</v>
      </c>
      <c r="C66" s="53">
        <f>COMPOSICAO!D45</f>
        <v>0.1</v>
      </c>
      <c r="D66" s="12">
        <f>C66*($D$81+$D$65)</f>
        <v>2711.8218011111117</v>
      </c>
    </row>
    <row r="67" spans="1:4" x14ac:dyDescent="0.2">
      <c r="A67" s="51" t="s">
        <v>4</v>
      </c>
      <c r="B67" s="52" t="s">
        <v>132</v>
      </c>
      <c r="C67" s="53">
        <f>COMPOSICAO!D46</f>
        <v>9.2499999999999999E-2</v>
      </c>
      <c r="D67" s="12">
        <f>((D65+D66+D81)/(1-C67))-(D65+D66+D81)</f>
        <v>3040.527473973063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213.6586873602694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986.11701858585866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657.41134572390581</v>
      </c>
    </row>
    <row r="71" spans="1:4" x14ac:dyDescent="0.2">
      <c r="A71" s="4" t="s">
        <v>29</v>
      </c>
      <c r="B71" s="106" t="s">
        <v>183</v>
      </c>
      <c r="C71" s="37">
        <f>COMPOSICAO!D50</f>
        <v>3.5999999999999997E-2</v>
      </c>
      <c r="D71" s="12">
        <f t="shared" si="2"/>
        <v>1183.3404223030304</v>
      </c>
    </row>
    <row r="72" spans="1:4" x14ac:dyDescent="0.2">
      <c r="A72" s="178" t="s">
        <v>110</v>
      </c>
      <c r="B72" s="179"/>
      <c r="C72" s="55">
        <f>SUM(C65:C67)</f>
        <v>0.24250000000000002</v>
      </c>
      <c r="D72" s="12">
        <f>SUM(D65:D67)</f>
        <v>7043.6929898989893</v>
      </c>
    </row>
    <row r="73" spans="1:4" x14ac:dyDescent="0.2">
      <c r="A73" s="13"/>
      <c r="B73" s="14"/>
      <c r="C73" s="15"/>
      <c r="D73" s="16"/>
    </row>
    <row r="74" spans="1:4" x14ac:dyDescent="0.2">
      <c r="A74" s="186" t="s">
        <v>111</v>
      </c>
      <c r="B74" s="187"/>
      <c r="C74" s="187"/>
      <c r="D74" s="188"/>
    </row>
    <row r="75" spans="1:4" x14ac:dyDescent="0.2">
      <c r="A75" s="26" t="s">
        <v>112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133</v>
      </c>
      <c r="C76" s="58"/>
      <c r="D76" s="8">
        <f>D7</f>
        <v>16966.666666666668</v>
      </c>
    </row>
    <row r="77" spans="1:4" x14ac:dyDescent="0.2">
      <c r="A77" s="4">
        <v>2</v>
      </c>
      <c r="B77" s="46" t="s">
        <v>134</v>
      </c>
      <c r="C77" s="58"/>
      <c r="D77" s="8">
        <f>D43</f>
        <v>7904.9088888888891</v>
      </c>
    </row>
    <row r="78" spans="1:4" x14ac:dyDescent="0.2">
      <c r="A78" s="4">
        <v>3</v>
      </c>
      <c r="B78" s="46" t="s">
        <v>135</v>
      </c>
      <c r="C78" s="58"/>
      <c r="D78" s="8">
        <f>D53</f>
        <v>955.29874074074075</v>
      </c>
    </row>
    <row r="79" spans="1:4" x14ac:dyDescent="0.2">
      <c r="A79" s="4">
        <v>4</v>
      </c>
      <c r="B79" s="46" t="s">
        <v>136</v>
      </c>
      <c r="C79" s="58"/>
      <c r="D79" s="8">
        <v>0</v>
      </c>
    </row>
    <row r="80" spans="1:4" x14ac:dyDescent="0.2">
      <c r="A80" s="4">
        <v>5</v>
      </c>
      <c r="B80" s="46" t="s">
        <v>137</v>
      </c>
      <c r="C80" s="58"/>
      <c r="D80" s="8">
        <v>0</v>
      </c>
    </row>
    <row r="81" spans="1:4" x14ac:dyDescent="0.2">
      <c r="A81" s="59" t="s">
        <v>113</v>
      </c>
      <c r="B81" s="10"/>
      <c r="C81" s="11"/>
      <c r="D81" s="12">
        <f>SUM(D76:D80)</f>
        <v>25826.874296296301</v>
      </c>
    </row>
    <row r="82" spans="1:4" x14ac:dyDescent="0.2">
      <c r="A82" s="4">
        <v>6</v>
      </c>
      <c r="B82" s="46" t="s">
        <v>138</v>
      </c>
      <c r="C82" s="58"/>
      <c r="D82" s="8">
        <f>D72</f>
        <v>7043.6929898989893</v>
      </c>
    </row>
    <row r="83" spans="1:4" x14ac:dyDescent="0.2">
      <c r="A83" s="178" t="s">
        <v>114</v>
      </c>
      <c r="B83" s="189"/>
      <c r="C83" s="179"/>
      <c r="D83" s="60">
        <f>SUM(D81:D82)</f>
        <v>32870.567286195292</v>
      </c>
    </row>
    <row r="84" spans="1:4" x14ac:dyDescent="0.2">
      <c r="C84" s="108" t="s">
        <v>187</v>
      </c>
      <c r="D84" s="109">
        <f>ROUNDUP(D83/D76,2)</f>
        <v>1.94</v>
      </c>
    </row>
    <row r="85" spans="1:4" x14ac:dyDescent="0.2"/>
    <row r="86" spans="1:4" hidden="1" x14ac:dyDescent="0.2">
      <c r="D86" s="111"/>
    </row>
  </sheetData>
  <mergeCells count="22"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</mergeCells>
  <conditionalFormatting sqref="B69">
    <cfRule type="expression" dxfId="16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C2032E-2133-4176-9171-6C0EA95FCE2A}">
  <sheetPr codeName="Planilha2"/>
  <dimension ref="A1:U52"/>
  <sheetViews>
    <sheetView workbookViewId="0">
      <selection activeCell="F24" sqref="F24:F31"/>
    </sheetView>
  </sheetViews>
  <sheetFormatPr defaultColWidth="0" defaultRowHeight="14.25" zeroHeight="1" x14ac:dyDescent="0.2"/>
  <cols>
    <col min="1" max="1" width="9.140625" style="84" customWidth="1"/>
    <col min="2" max="2" width="5.85546875" style="84" customWidth="1"/>
    <col min="3" max="3" width="66.140625" style="84" bestFit="1" customWidth="1"/>
    <col min="4" max="4" width="12" style="84" bestFit="1" customWidth="1"/>
    <col min="5" max="5" width="69.5703125" style="84" bestFit="1" customWidth="1"/>
    <col min="6" max="6" width="208.5703125" style="84" bestFit="1" customWidth="1"/>
    <col min="7" max="7" width="46.28515625" style="84" hidden="1" customWidth="1"/>
    <col min="8" max="9" width="41" style="84" hidden="1" customWidth="1"/>
    <col min="10" max="21" width="0" style="84" hidden="1" customWidth="1"/>
    <col min="22" max="16384" width="9.140625" style="84" hidden="1"/>
  </cols>
  <sheetData>
    <row r="1" spans="2:9" x14ac:dyDescent="0.2"/>
    <row r="2" spans="2:9" ht="15" x14ac:dyDescent="0.2">
      <c r="B2" s="155" t="s">
        <v>184</v>
      </c>
      <c r="C2" s="155"/>
      <c r="D2" s="63" t="s">
        <v>0</v>
      </c>
      <c r="E2" s="139" t="s">
        <v>139</v>
      </c>
      <c r="F2" s="139" t="s">
        <v>140</v>
      </c>
    </row>
    <row r="3" spans="2:9" x14ac:dyDescent="0.2">
      <c r="B3" s="64" t="s">
        <v>2</v>
      </c>
      <c r="C3" s="65" t="s">
        <v>117</v>
      </c>
      <c r="D3" s="66">
        <f>1/12</f>
        <v>8.3333333333333329E-2</v>
      </c>
      <c r="E3" s="65" t="s">
        <v>141</v>
      </c>
      <c r="F3" s="65" t="s">
        <v>142</v>
      </c>
    </row>
    <row r="4" spans="2:9" x14ac:dyDescent="0.2">
      <c r="B4" s="64" t="s">
        <v>3</v>
      </c>
      <c r="C4" s="65" t="s">
        <v>185</v>
      </c>
      <c r="D4" s="66">
        <f>(D3*1/3)+(1/20)</f>
        <v>7.7777777777777779E-2</v>
      </c>
      <c r="E4" s="65" t="s">
        <v>186</v>
      </c>
      <c r="F4" s="65" t="s">
        <v>143</v>
      </c>
    </row>
    <row r="5" spans="2:9" ht="15" x14ac:dyDescent="0.25">
      <c r="B5" s="156" t="s">
        <v>97</v>
      </c>
      <c r="C5" s="156"/>
      <c r="D5" s="67">
        <f>SUM(D3:D4)</f>
        <v>0.16111111111111109</v>
      </c>
      <c r="E5" s="67"/>
      <c r="F5" s="140"/>
    </row>
    <row r="6" spans="2:9" x14ac:dyDescent="0.2"/>
    <row r="7" spans="2:9" ht="15" x14ac:dyDescent="0.2">
      <c r="B7" s="155" t="s">
        <v>98</v>
      </c>
      <c r="C7" s="155"/>
      <c r="D7" s="155"/>
      <c r="E7" s="139" t="s">
        <v>139</v>
      </c>
      <c r="F7" s="139" t="s">
        <v>140</v>
      </c>
      <c r="G7" s="85"/>
      <c r="H7" s="85"/>
      <c r="I7" s="85"/>
    </row>
    <row r="8" spans="2:9" ht="15" x14ac:dyDescent="0.2">
      <c r="B8" s="68" t="s">
        <v>10</v>
      </c>
      <c r="C8" s="69" t="s">
        <v>115</v>
      </c>
      <c r="D8" s="68" t="s">
        <v>0</v>
      </c>
      <c r="E8" s="70"/>
      <c r="F8" s="70"/>
      <c r="G8" s="71"/>
      <c r="H8" s="71"/>
      <c r="I8" s="71"/>
    </row>
    <row r="9" spans="2:9" ht="15" x14ac:dyDescent="0.2">
      <c r="B9" s="72" t="s">
        <v>2</v>
      </c>
      <c r="C9" s="141" t="s">
        <v>118</v>
      </c>
      <c r="D9" s="96">
        <v>0.05</v>
      </c>
      <c r="E9" s="73"/>
      <c r="F9" s="142" t="s">
        <v>199</v>
      </c>
      <c r="G9" s="74"/>
      <c r="H9" s="74"/>
      <c r="I9" s="74"/>
    </row>
    <row r="10" spans="2:9" ht="15" x14ac:dyDescent="0.2">
      <c r="B10" s="72" t="s">
        <v>3</v>
      </c>
      <c r="C10" s="143" t="s">
        <v>11</v>
      </c>
      <c r="D10" s="80">
        <v>2.5000000000000001E-2</v>
      </c>
      <c r="E10" s="70"/>
      <c r="F10" s="144" t="s">
        <v>147</v>
      </c>
      <c r="G10" s="75"/>
      <c r="H10" s="75"/>
      <c r="I10" s="75"/>
    </row>
    <row r="11" spans="2:9" ht="15" x14ac:dyDescent="0.2">
      <c r="B11" s="72" t="s">
        <v>4</v>
      </c>
      <c r="C11" s="143" t="s">
        <v>12</v>
      </c>
      <c r="D11" s="80">
        <v>0.03</v>
      </c>
      <c r="E11" s="70"/>
      <c r="F11" s="144" t="s">
        <v>149</v>
      </c>
      <c r="G11" s="75"/>
      <c r="H11" s="75"/>
      <c r="I11" s="75"/>
    </row>
    <row r="12" spans="2:9" ht="15" x14ac:dyDescent="0.2">
      <c r="B12" s="72" t="s">
        <v>5</v>
      </c>
      <c r="C12" s="143" t="s">
        <v>13</v>
      </c>
      <c r="D12" s="80">
        <v>1.4999999999999999E-2</v>
      </c>
      <c r="E12" s="70"/>
      <c r="F12" s="144" t="s">
        <v>144</v>
      </c>
      <c r="G12" s="75"/>
      <c r="H12" s="75"/>
      <c r="I12" s="75"/>
    </row>
    <row r="13" spans="2:9" ht="15" x14ac:dyDescent="0.2">
      <c r="B13" s="72" t="s">
        <v>6</v>
      </c>
      <c r="C13" s="143" t="s">
        <v>14</v>
      </c>
      <c r="D13" s="80">
        <v>0.01</v>
      </c>
      <c r="E13" s="70"/>
      <c r="F13" s="144" t="s">
        <v>145</v>
      </c>
      <c r="G13" s="75"/>
      <c r="H13" s="75"/>
      <c r="I13" s="75"/>
    </row>
    <row r="14" spans="2:9" ht="15" x14ac:dyDescent="0.2">
      <c r="B14" s="72" t="s">
        <v>7</v>
      </c>
      <c r="C14" s="95" t="s">
        <v>15</v>
      </c>
      <c r="D14" s="80">
        <v>6.0000000000000001E-3</v>
      </c>
      <c r="E14" s="70"/>
      <c r="F14" s="144" t="s">
        <v>150</v>
      </c>
      <c r="G14" s="75"/>
      <c r="H14" s="75"/>
      <c r="I14" s="75"/>
    </row>
    <row r="15" spans="2:9" ht="15" x14ac:dyDescent="0.2">
      <c r="B15" s="72" t="s">
        <v>17</v>
      </c>
      <c r="C15" s="143" t="s">
        <v>16</v>
      </c>
      <c r="D15" s="80">
        <v>2E-3</v>
      </c>
      <c r="E15" s="70"/>
      <c r="F15" s="144" t="s">
        <v>146</v>
      </c>
      <c r="G15" s="75"/>
      <c r="H15" s="75"/>
      <c r="I15" s="75"/>
    </row>
    <row r="16" spans="2:9" ht="15" x14ac:dyDescent="0.2">
      <c r="B16" s="72" t="s">
        <v>8</v>
      </c>
      <c r="C16" s="141" t="s">
        <v>18</v>
      </c>
      <c r="D16" s="96">
        <v>0.08</v>
      </c>
      <c r="E16" s="76"/>
      <c r="F16" s="144" t="s">
        <v>148</v>
      </c>
      <c r="G16" s="77"/>
      <c r="H16" s="74"/>
      <c r="I16" s="74"/>
    </row>
    <row r="17" spans="2:9" ht="15" x14ac:dyDescent="0.2">
      <c r="B17" s="162" t="s">
        <v>99</v>
      </c>
      <c r="C17" s="162"/>
      <c r="D17" s="78">
        <f>SUM(D9:D16)</f>
        <v>0.21800000000000003</v>
      </c>
      <c r="E17" s="76"/>
      <c r="F17" s="93"/>
      <c r="G17" s="85"/>
      <c r="H17" s="85"/>
      <c r="I17" s="85"/>
    </row>
    <row r="18" spans="2:9" x14ac:dyDescent="0.2"/>
    <row r="19" spans="2:9" ht="15" x14ac:dyDescent="0.2">
      <c r="B19" s="79" t="s">
        <v>200</v>
      </c>
      <c r="C19" s="146"/>
      <c r="D19" s="139" t="s">
        <v>155</v>
      </c>
      <c r="E19" s="139" t="s">
        <v>139</v>
      </c>
      <c r="F19" s="146" t="s">
        <v>140</v>
      </c>
      <c r="G19" s="99"/>
    </row>
    <row r="20" spans="2:9" x14ac:dyDescent="0.2">
      <c r="B20" s="158" t="s">
        <v>2</v>
      </c>
      <c r="C20" s="82" t="s">
        <v>151</v>
      </c>
      <c r="D20" s="149">
        <v>5.5</v>
      </c>
      <c r="E20" s="65" t="s">
        <v>156</v>
      </c>
      <c r="F20" s="147" t="s">
        <v>152</v>
      </c>
      <c r="G20" s="100"/>
    </row>
    <row r="21" spans="2:9" x14ac:dyDescent="0.2">
      <c r="B21" s="159"/>
      <c r="C21" s="82" t="s">
        <v>20</v>
      </c>
      <c r="D21" s="80">
        <v>0.06</v>
      </c>
      <c r="E21" s="83" t="s">
        <v>157</v>
      </c>
      <c r="F21" s="157" t="s">
        <v>166</v>
      </c>
      <c r="G21" s="100"/>
    </row>
    <row r="22" spans="2:9" x14ac:dyDescent="0.2">
      <c r="B22" s="160"/>
      <c r="C22" s="82" t="s">
        <v>21</v>
      </c>
      <c r="D22" s="80"/>
      <c r="E22" s="83" t="s">
        <v>158</v>
      </c>
      <c r="F22" s="157"/>
      <c r="G22" s="100"/>
    </row>
    <row r="23" spans="2:9" x14ac:dyDescent="0.2">
      <c r="B23" s="161" t="s">
        <v>3</v>
      </c>
      <c r="C23" s="140" t="s">
        <v>153</v>
      </c>
      <c r="D23" s="149">
        <v>37</v>
      </c>
      <c r="E23" s="65" t="s">
        <v>201</v>
      </c>
      <c r="F23" s="140" t="s">
        <v>154</v>
      </c>
      <c r="G23" s="101"/>
    </row>
    <row r="24" spans="2:9" ht="15" x14ac:dyDescent="0.2">
      <c r="B24" s="161"/>
      <c r="C24" s="81" t="s">
        <v>159</v>
      </c>
      <c r="D24" s="86"/>
      <c r="E24" s="86"/>
      <c r="F24" s="157" t="s">
        <v>166</v>
      </c>
    </row>
    <row r="25" spans="2:9" x14ac:dyDescent="0.2">
      <c r="B25" s="161"/>
      <c r="C25" s="82" t="s">
        <v>160</v>
      </c>
      <c r="D25" s="87">
        <v>0</v>
      </c>
      <c r="E25" s="83" t="s">
        <v>157</v>
      </c>
      <c r="F25" s="157"/>
    </row>
    <row r="26" spans="2:9" x14ac:dyDescent="0.2">
      <c r="B26" s="161"/>
      <c r="C26" s="82" t="s">
        <v>161</v>
      </c>
      <c r="D26" s="87">
        <v>3.7499999999999999E-2</v>
      </c>
      <c r="E26" s="83" t="s">
        <v>157</v>
      </c>
      <c r="F26" s="157"/>
    </row>
    <row r="27" spans="2:9" x14ac:dyDescent="0.2">
      <c r="B27" s="161"/>
      <c r="C27" s="82" t="s">
        <v>162</v>
      </c>
      <c r="D27" s="87">
        <v>5.62E-2</v>
      </c>
      <c r="E27" s="83" t="s">
        <v>157</v>
      </c>
      <c r="F27" s="157"/>
    </row>
    <row r="28" spans="2:9" x14ac:dyDescent="0.2">
      <c r="B28" s="161"/>
      <c r="C28" s="82" t="s">
        <v>163</v>
      </c>
      <c r="D28" s="87">
        <v>7.4999999999999997E-2</v>
      </c>
      <c r="E28" s="83" t="s">
        <v>157</v>
      </c>
      <c r="F28" s="157"/>
    </row>
    <row r="29" spans="2:9" x14ac:dyDescent="0.2">
      <c r="B29" s="161"/>
      <c r="C29" s="82" t="s">
        <v>164</v>
      </c>
      <c r="D29" s="87">
        <v>0.1125</v>
      </c>
      <c r="E29" s="83" t="s">
        <v>157</v>
      </c>
      <c r="F29" s="157"/>
    </row>
    <row r="30" spans="2:9" x14ac:dyDescent="0.2">
      <c r="B30" s="161"/>
      <c r="C30" s="82" t="s">
        <v>165</v>
      </c>
      <c r="D30" s="87">
        <v>0.15</v>
      </c>
      <c r="E30" s="83" t="s">
        <v>157</v>
      </c>
      <c r="F30" s="157"/>
    </row>
    <row r="31" spans="2:9" ht="15" customHeight="1" x14ac:dyDescent="0.2">
      <c r="B31" s="145" t="s">
        <v>4</v>
      </c>
      <c r="C31" s="82" t="s">
        <v>167</v>
      </c>
      <c r="D31" s="150">
        <v>184.85</v>
      </c>
      <c r="E31" s="86"/>
      <c r="F31" s="157"/>
    </row>
    <row r="32" spans="2:9" x14ac:dyDescent="0.2"/>
    <row r="33" spans="1:21" ht="15" x14ac:dyDescent="0.2">
      <c r="B33" s="155" t="s">
        <v>135</v>
      </c>
      <c r="C33" s="155"/>
      <c r="D33" s="91" t="s">
        <v>0</v>
      </c>
      <c r="E33" s="139" t="s">
        <v>139</v>
      </c>
      <c r="F33" s="146" t="s">
        <v>140</v>
      </c>
      <c r="G33" s="102"/>
    </row>
    <row r="34" spans="1:21" x14ac:dyDescent="0.2">
      <c r="A34" s="105"/>
      <c r="B34" s="92" t="s">
        <v>2</v>
      </c>
      <c r="C34" s="93" t="s">
        <v>22</v>
      </c>
      <c r="D34" s="94">
        <f>((0.05*(1/12)))</f>
        <v>4.1666666666666666E-3</v>
      </c>
      <c r="E34" s="93" t="s">
        <v>168</v>
      </c>
      <c r="F34" s="144" t="s">
        <v>169</v>
      </c>
      <c r="G34" s="75"/>
    </row>
    <row r="35" spans="1:21" x14ac:dyDescent="0.2">
      <c r="A35" s="105"/>
      <c r="B35" s="92" t="s">
        <v>3</v>
      </c>
      <c r="C35" s="93" t="s">
        <v>125</v>
      </c>
      <c r="D35" s="94">
        <f>0.08*D34</f>
        <v>3.3333333333333332E-4</v>
      </c>
      <c r="E35" s="93" t="s">
        <v>170</v>
      </c>
      <c r="F35" s="144" t="s">
        <v>171</v>
      </c>
      <c r="G35" s="75"/>
    </row>
    <row r="36" spans="1:21" x14ac:dyDescent="0.2">
      <c r="A36" s="105"/>
      <c r="B36" s="72" t="s">
        <v>4</v>
      </c>
      <c r="C36" s="95" t="s">
        <v>126</v>
      </c>
      <c r="D36" s="96">
        <f>0.08 * 0.4 * 0.9 *(1 + 1/12 + 1/12 + (1/3 * 1/12))</f>
        <v>3.4399999999999993E-2</v>
      </c>
      <c r="E36" s="95" t="s">
        <v>172</v>
      </c>
      <c r="F36" s="144" t="s">
        <v>173</v>
      </c>
      <c r="G36" s="75"/>
    </row>
    <row r="37" spans="1:21" x14ac:dyDescent="0.2">
      <c r="A37" s="105"/>
      <c r="B37" s="92" t="s">
        <v>5</v>
      </c>
      <c r="C37" s="93" t="s">
        <v>127</v>
      </c>
      <c r="D37" s="94">
        <f>(((7/30) + (7/30 * 0.1 * 8/12)) / 20)</f>
        <v>1.2444444444444444E-2</v>
      </c>
      <c r="E37" s="93" t="s">
        <v>179</v>
      </c>
      <c r="F37" s="144" t="s">
        <v>174</v>
      </c>
    </row>
    <row r="38" spans="1:21" x14ac:dyDescent="0.2">
      <c r="A38" s="105"/>
      <c r="B38" s="92" t="s">
        <v>6</v>
      </c>
      <c r="C38" s="93" t="s">
        <v>175</v>
      </c>
      <c r="D38" s="94">
        <f>(0.368*0.0124)</f>
        <v>4.5631999999999999E-3</v>
      </c>
      <c r="E38" s="93" t="s">
        <v>180</v>
      </c>
      <c r="F38" s="144" t="s">
        <v>176</v>
      </c>
    </row>
    <row r="39" spans="1:21" x14ac:dyDescent="0.2">
      <c r="A39" s="105"/>
      <c r="B39" s="92" t="s">
        <v>7</v>
      </c>
      <c r="C39" s="93" t="s">
        <v>188</v>
      </c>
      <c r="D39" s="94">
        <f>(0.0124*0.08)*0.4</f>
        <v>3.9680000000000005E-4</v>
      </c>
      <c r="E39" s="93" t="s">
        <v>189</v>
      </c>
      <c r="F39" s="144" t="s">
        <v>177</v>
      </c>
    </row>
    <row r="40" spans="1:21" ht="15" x14ac:dyDescent="0.25">
      <c r="B40" s="165" t="s">
        <v>104</v>
      </c>
      <c r="C40" s="165"/>
      <c r="D40" s="98">
        <f>SUM(D34:D39)</f>
        <v>5.6304444444444435E-2</v>
      </c>
      <c r="E40" s="148" t="s">
        <v>178</v>
      </c>
      <c r="F40" s="148"/>
      <c r="G40" s="103"/>
    </row>
    <row r="41" spans="1:21" x14ac:dyDescent="0.2"/>
    <row r="42" spans="1:21" ht="14.25" customHeight="1" x14ac:dyDescent="0.2">
      <c r="B42" s="164" t="s">
        <v>109</v>
      </c>
      <c r="C42" s="164"/>
      <c r="D42" s="112"/>
      <c r="E42" s="139" t="s">
        <v>139</v>
      </c>
      <c r="F42" s="146" t="s">
        <v>140</v>
      </c>
      <c r="G42" s="122"/>
      <c r="H42" s="122"/>
      <c r="I42" s="122"/>
      <c r="J42" s="122"/>
      <c r="K42" s="101"/>
      <c r="L42" s="101"/>
      <c r="M42" s="101"/>
      <c r="N42" s="101"/>
      <c r="O42" s="101"/>
      <c r="P42" s="101"/>
      <c r="Q42" s="101"/>
      <c r="R42" s="101"/>
      <c r="S42" s="101"/>
      <c r="T42" s="101"/>
      <c r="U42" s="101"/>
    </row>
    <row r="43" spans="1:21" ht="15" x14ac:dyDescent="0.2">
      <c r="B43" s="113">
        <v>6</v>
      </c>
      <c r="C43" s="114" t="s">
        <v>115</v>
      </c>
      <c r="D43" s="115" t="s">
        <v>0</v>
      </c>
    </row>
    <row r="44" spans="1:21" ht="15" x14ac:dyDescent="0.2">
      <c r="B44" s="73" t="s">
        <v>2</v>
      </c>
      <c r="C44" s="97" t="s">
        <v>130</v>
      </c>
      <c r="D44" s="116">
        <v>0.05</v>
      </c>
      <c r="E44" s="86" t="s">
        <v>203</v>
      </c>
      <c r="F44" s="157" t="s">
        <v>202</v>
      </c>
    </row>
    <row r="45" spans="1:21" ht="15" x14ac:dyDescent="0.2">
      <c r="B45" s="73" t="s">
        <v>3</v>
      </c>
      <c r="C45" s="97" t="s">
        <v>131</v>
      </c>
      <c r="D45" s="116">
        <v>0.1</v>
      </c>
      <c r="E45" s="86" t="s">
        <v>204</v>
      </c>
      <c r="F45" s="157"/>
    </row>
    <row r="46" spans="1:21" ht="15" x14ac:dyDescent="0.2">
      <c r="B46" s="73" t="s">
        <v>4</v>
      </c>
      <c r="C46" s="97" t="s">
        <v>132</v>
      </c>
      <c r="D46" s="117">
        <f>SUM(D47:D50)</f>
        <v>9.2499999999999999E-2</v>
      </c>
      <c r="E46" s="86" t="s">
        <v>205</v>
      </c>
      <c r="F46" s="86"/>
    </row>
    <row r="47" spans="1:21" x14ac:dyDescent="0.2">
      <c r="B47" s="72" t="s">
        <v>23</v>
      </c>
      <c r="C47" s="95" t="s">
        <v>24</v>
      </c>
      <c r="D47" s="118">
        <v>6.4999999999999997E-3</v>
      </c>
      <c r="E47" s="86"/>
      <c r="F47" s="152" t="s">
        <v>207</v>
      </c>
    </row>
    <row r="48" spans="1:21" x14ac:dyDescent="0.2">
      <c r="B48" s="72" t="s">
        <v>25</v>
      </c>
      <c r="C48" s="95" t="s">
        <v>26</v>
      </c>
      <c r="D48" s="118">
        <v>0.03</v>
      </c>
      <c r="E48" s="86"/>
      <c r="F48" s="153"/>
    </row>
    <row r="49" spans="2:6" x14ac:dyDescent="0.2">
      <c r="B49" s="92" t="s">
        <v>27</v>
      </c>
      <c r="C49" s="93" t="s">
        <v>28</v>
      </c>
      <c r="D49" s="119">
        <v>0.02</v>
      </c>
      <c r="E49" s="86"/>
      <c r="F49" s="154"/>
    </row>
    <row r="50" spans="2:6" x14ac:dyDescent="0.2">
      <c r="B50" s="92" t="s">
        <v>29</v>
      </c>
      <c r="C50" s="120" t="s">
        <v>183</v>
      </c>
      <c r="D50" s="119">
        <v>3.5999999999999997E-2</v>
      </c>
      <c r="E50" s="86"/>
      <c r="F50" s="142" t="s">
        <v>199</v>
      </c>
    </row>
    <row r="51" spans="2:6" ht="15" x14ac:dyDescent="0.2">
      <c r="B51" s="163" t="s">
        <v>110</v>
      </c>
      <c r="C51" s="163"/>
      <c r="D51" s="121">
        <f>SUM(D44:D46)</f>
        <v>0.24250000000000002</v>
      </c>
      <c r="E51" s="86" t="s">
        <v>206</v>
      </c>
      <c r="F51" s="86"/>
    </row>
    <row r="52" spans="2:6" x14ac:dyDescent="0.2"/>
  </sheetData>
  <mergeCells count="14">
    <mergeCell ref="B51:C51"/>
    <mergeCell ref="B42:C42"/>
    <mergeCell ref="B40:C40"/>
    <mergeCell ref="B33:C33"/>
    <mergeCell ref="F47:F49"/>
    <mergeCell ref="B7:D7"/>
    <mergeCell ref="B2:C2"/>
    <mergeCell ref="B5:C5"/>
    <mergeCell ref="F24:F31"/>
    <mergeCell ref="F44:F45"/>
    <mergeCell ref="B20:B22"/>
    <mergeCell ref="B23:B30"/>
    <mergeCell ref="F21:F22"/>
    <mergeCell ref="B17:C17"/>
  </mergeCells>
  <pageMargins left="0.511811024" right="0.511811024" top="0.78740157499999996" bottom="0.78740157499999996" header="0.31496062000000002" footer="0.3149606200000000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783897-C434-43C5-AD28-00E55A092FEC}">
  <sheetPr codeName="Planilha20"/>
  <dimension ref="A1:D86"/>
  <sheetViews>
    <sheetView zoomScaleNormal="100" workbookViewId="0">
      <selection activeCell="F24" sqref="F24:F31"/>
    </sheetView>
  </sheetViews>
  <sheetFormatPr defaultColWidth="0" defaultRowHeight="12" zeroHeight="1" x14ac:dyDescent="0.2"/>
  <cols>
    <col min="1" max="1" width="5.85546875" style="107" customWidth="1"/>
    <col min="2" max="2" width="83.28515625" style="107" customWidth="1"/>
    <col min="3" max="3" width="12.42578125" style="107" customWidth="1"/>
    <col min="4" max="4" width="15.42578125" style="107" customWidth="1"/>
    <col min="5" max="5" width="9.140625" style="107" hidden="1" customWidth="1"/>
    <col min="6" max="16384" width="9.140625" style="107" hidden="1"/>
  </cols>
  <sheetData>
    <row r="1" spans="1:4" ht="12.75" thickBot="1" x14ac:dyDescent="0.25">
      <c r="A1" s="180" t="str">
        <f>PERFIS!C20</f>
        <v>Scrum Master</v>
      </c>
      <c r="B1" s="181"/>
      <c r="C1" s="181"/>
      <c r="D1" s="182"/>
    </row>
    <row r="2" spans="1:4" x14ac:dyDescent="0.2">
      <c r="A2" s="110"/>
      <c r="B2" s="110"/>
      <c r="C2" s="110"/>
      <c r="D2" s="110"/>
    </row>
    <row r="3" spans="1:4" x14ac:dyDescent="0.2">
      <c r="A3" s="169" t="s">
        <v>93</v>
      </c>
      <c r="B3" s="170"/>
      <c r="C3" s="170"/>
      <c r="D3" s="171"/>
    </row>
    <row r="4" spans="1:4" x14ac:dyDescent="0.2">
      <c r="A4" s="172" t="s">
        <v>94</v>
      </c>
      <c r="B4" s="173"/>
      <c r="C4" s="173"/>
      <c r="D4" s="174"/>
    </row>
    <row r="5" spans="1:4" x14ac:dyDescent="0.2">
      <c r="A5" s="1">
        <v>1</v>
      </c>
      <c r="B5" s="2" t="s">
        <v>115</v>
      </c>
      <c r="C5" s="3"/>
      <c r="D5" s="1" t="s">
        <v>1</v>
      </c>
    </row>
    <row r="6" spans="1:4" x14ac:dyDescent="0.2">
      <c r="A6" s="4" t="s">
        <v>2</v>
      </c>
      <c r="B6" s="5" t="s">
        <v>116</v>
      </c>
      <c r="C6" s="6">
        <v>1</v>
      </c>
      <c r="D6" s="7">
        <f>_xlfn.XLOOKUP(A1,PERFIS!C3:C35,PERFIS!D3:D35)</f>
        <v>11966.666666666666</v>
      </c>
    </row>
    <row r="7" spans="1:4" x14ac:dyDescent="0.2">
      <c r="A7" s="9" t="s">
        <v>95</v>
      </c>
      <c r="B7" s="10"/>
      <c r="C7" s="11"/>
      <c r="D7" s="12">
        <f>SUM(D6)</f>
        <v>11966.666666666666</v>
      </c>
    </row>
    <row r="8" spans="1:4" x14ac:dyDescent="0.2">
      <c r="A8" s="13"/>
      <c r="B8" s="14"/>
      <c r="C8" s="15"/>
      <c r="D8" s="16"/>
    </row>
    <row r="9" spans="1:4" x14ac:dyDescent="0.2">
      <c r="A9" s="172" t="s">
        <v>96</v>
      </c>
      <c r="B9" s="173"/>
      <c r="C9" s="173"/>
      <c r="D9" s="174"/>
    </row>
    <row r="10" spans="1:4" x14ac:dyDescent="0.2">
      <c r="A10" s="175" t="s">
        <v>190</v>
      </c>
      <c r="B10" s="176"/>
      <c r="C10" s="176"/>
      <c r="D10" s="177"/>
    </row>
    <row r="11" spans="1:4" x14ac:dyDescent="0.2">
      <c r="A11" s="17" t="s">
        <v>9</v>
      </c>
      <c r="B11" s="2" t="s">
        <v>115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117</v>
      </c>
      <c r="C12" s="21">
        <f>COMPOSICAO!D3</f>
        <v>8.3333333333333329E-2</v>
      </c>
      <c r="D12" s="22">
        <f>C12*$D$7</f>
        <v>997.22222222222217</v>
      </c>
    </row>
    <row r="13" spans="1:4" x14ac:dyDescent="0.2">
      <c r="A13" s="19" t="s">
        <v>3</v>
      </c>
      <c r="B13" s="20" t="s">
        <v>185</v>
      </c>
      <c r="C13" s="21">
        <f>COMPOSICAO!D4</f>
        <v>7.7777777777777779E-2</v>
      </c>
      <c r="D13" s="22">
        <f>C13*$D$7</f>
        <v>930.74074074074076</v>
      </c>
    </row>
    <row r="14" spans="1:4" x14ac:dyDescent="0.2">
      <c r="A14" s="178" t="s">
        <v>191</v>
      </c>
      <c r="B14" s="179"/>
      <c r="C14" s="23">
        <f>SUM(C12:C13)</f>
        <v>0.16111111111111109</v>
      </c>
      <c r="D14" s="12">
        <f>SUM(D12:D13)</f>
        <v>1927.962962962963</v>
      </c>
    </row>
    <row r="15" spans="1:4" x14ac:dyDescent="0.2">
      <c r="A15" s="13"/>
      <c r="B15" s="14"/>
      <c r="C15" s="24"/>
      <c r="D15" s="16"/>
    </row>
    <row r="16" spans="1:4" x14ac:dyDescent="0.2">
      <c r="A16" s="194" t="s">
        <v>98</v>
      </c>
      <c r="B16" s="195"/>
      <c r="C16" s="195"/>
      <c r="D16" s="196"/>
    </row>
    <row r="17" spans="1:4" x14ac:dyDescent="0.2">
      <c r="A17" s="17" t="s">
        <v>10</v>
      </c>
      <c r="B17" s="2" t="s">
        <v>115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118</v>
      </c>
      <c r="C18" s="21">
        <v>0.05</v>
      </c>
      <c r="D18" s="22">
        <f>C18*($D$7+$D$14)</f>
        <v>694.73148148148152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347.36574074074076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416.83888888888885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208.41944444444442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138.94629629629631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83.367777777777775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27.789259259259261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1111.5703703703705</v>
      </c>
    </row>
    <row r="26" spans="1:4" x14ac:dyDescent="0.2">
      <c r="A26" s="192" t="s">
        <v>99</v>
      </c>
      <c r="B26" s="193"/>
      <c r="C26" s="27">
        <f>SUM(C18:C25)</f>
        <v>0.21800000000000003</v>
      </c>
      <c r="D26" s="28">
        <f>SUM(D18:D25)</f>
        <v>3029.0292592592596</v>
      </c>
    </row>
    <row r="27" spans="1:4" x14ac:dyDescent="0.2">
      <c r="A27" s="13"/>
      <c r="B27" s="14"/>
      <c r="C27" s="29"/>
      <c r="D27" s="16"/>
    </row>
    <row r="28" spans="1:4" x14ac:dyDescent="0.2">
      <c r="A28" s="194" t="s">
        <v>100</v>
      </c>
      <c r="B28" s="195"/>
      <c r="C28" s="195"/>
      <c r="D28" s="196"/>
    </row>
    <row r="29" spans="1:4" x14ac:dyDescent="0.2">
      <c r="A29" s="17" t="s">
        <v>19</v>
      </c>
      <c r="B29" s="194" t="s">
        <v>115</v>
      </c>
      <c r="C29" s="196"/>
      <c r="D29" s="17" t="s">
        <v>1</v>
      </c>
    </row>
    <row r="30" spans="1:4" x14ac:dyDescent="0.2">
      <c r="A30" s="183" t="s">
        <v>2</v>
      </c>
      <c r="B30" s="30" t="s">
        <v>119</v>
      </c>
      <c r="C30" s="31"/>
      <c r="D30" s="7">
        <f>COMPOSICAO!D20*2*22</f>
        <v>242</v>
      </c>
    </row>
    <row r="31" spans="1:4" x14ac:dyDescent="0.2">
      <c r="A31" s="184"/>
      <c r="B31" s="30" t="s">
        <v>20</v>
      </c>
      <c r="C31" s="31"/>
      <c r="D31" s="7">
        <f>D6*COMPOSICAO!D21</f>
        <v>717.99999999999989</v>
      </c>
    </row>
    <row r="32" spans="1:4" x14ac:dyDescent="0.2">
      <c r="A32" s="185"/>
      <c r="B32" s="88" t="s">
        <v>21</v>
      </c>
      <c r="C32" s="89"/>
      <c r="D32" s="39">
        <f>IF(D30-D31&gt;0,D30-D31,0)</f>
        <v>0</v>
      </c>
    </row>
    <row r="33" spans="1:4" x14ac:dyDescent="0.2">
      <c r="A33" s="183" t="s">
        <v>3</v>
      </c>
      <c r="B33" s="30" t="s">
        <v>120</v>
      </c>
      <c r="D33" s="7">
        <f>COMPOSICAO!D23*22</f>
        <v>814</v>
      </c>
    </row>
    <row r="34" spans="1:4" x14ac:dyDescent="0.2">
      <c r="A34" s="184"/>
      <c r="B34" s="30" t="s">
        <v>181</v>
      </c>
      <c r="C34" s="104" cm="1">
        <f t="array" ref="C34">_xlfn.IFS(D6&lt;2407,COMPOSICAO!D25,D6&lt;4073.39,COMPOSICAO!D26,D6&lt;5924.92,COMPOSICAO!D27,D6&lt;7406.17,COMPOSICAO!D28,D6&lt;9072.58,COMPOSICAO!D29,D6&gt;9072.59,COMPOSICAO!D30)</f>
        <v>0.15</v>
      </c>
      <c r="D34" s="7">
        <f>D33*C34</f>
        <v>122.1</v>
      </c>
    </row>
    <row r="35" spans="1:4" x14ac:dyDescent="0.2">
      <c r="A35" s="185"/>
      <c r="B35" s="88" t="s">
        <v>182</v>
      </c>
      <c r="C35" s="90"/>
      <c r="D35" s="39">
        <f>D33-D34</f>
        <v>691.9</v>
      </c>
    </row>
    <row r="36" spans="1:4" x14ac:dyDescent="0.2">
      <c r="A36" s="4" t="s">
        <v>4</v>
      </c>
      <c r="B36" s="30" t="s">
        <v>167</v>
      </c>
      <c r="C36" s="31"/>
      <c r="D36" s="151">
        <f>COMPOSICAO!D31</f>
        <v>184.85</v>
      </c>
    </row>
    <row r="37" spans="1:4" x14ac:dyDescent="0.2">
      <c r="A37" s="9" t="s">
        <v>101</v>
      </c>
      <c r="B37" s="10"/>
      <c r="C37" s="11"/>
      <c r="D37" s="12">
        <f>SUM(D32,D35,D36)</f>
        <v>876.75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121</v>
      </c>
      <c r="C39" s="33"/>
      <c r="D39" s="17" t="s">
        <v>1</v>
      </c>
    </row>
    <row r="40" spans="1:4" x14ac:dyDescent="0.2">
      <c r="A40" s="4" t="s">
        <v>9</v>
      </c>
      <c r="B40" s="30" t="s">
        <v>122</v>
      </c>
      <c r="C40" s="34"/>
      <c r="D40" s="8">
        <f>D14</f>
        <v>1927.962962962963</v>
      </c>
    </row>
    <row r="41" spans="1:4" x14ac:dyDescent="0.2">
      <c r="A41" s="4" t="s">
        <v>10</v>
      </c>
      <c r="B41" s="30" t="s">
        <v>123</v>
      </c>
      <c r="C41" s="34"/>
      <c r="D41" s="8">
        <f>D26</f>
        <v>3029.0292592592596</v>
      </c>
    </row>
    <row r="42" spans="1:4" x14ac:dyDescent="0.2">
      <c r="A42" s="4" t="s">
        <v>19</v>
      </c>
      <c r="B42" s="30" t="s">
        <v>124</v>
      </c>
      <c r="C42" s="34"/>
      <c r="D42" s="8">
        <f>D37</f>
        <v>876.75</v>
      </c>
    </row>
    <row r="43" spans="1:4" x14ac:dyDescent="0.2">
      <c r="A43" s="178" t="s">
        <v>102</v>
      </c>
      <c r="B43" s="189"/>
      <c r="C43" s="35"/>
      <c r="D43" s="12">
        <f>SUM(D40:D42)</f>
        <v>5833.7422222222231</v>
      </c>
    </row>
    <row r="44" spans="1:4" x14ac:dyDescent="0.2">
      <c r="A44" s="13"/>
      <c r="B44" s="14"/>
      <c r="C44" s="15"/>
      <c r="D44" s="16"/>
    </row>
    <row r="45" spans="1:4" x14ac:dyDescent="0.2">
      <c r="A45" s="172" t="s">
        <v>103</v>
      </c>
      <c r="B45" s="173"/>
      <c r="C45" s="173"/>
      <c r="D45" s="174"/>
    </row>
    <row r="46" spans="1:4" x14ac:dyDescent="0.2">
      <c r="A46" s="17">
        <v>3</v>
      </c>
      <c r="B46" s="2" t="s">
        <v>115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49.861111111111107</v>
      </c>
    </row>
    <row r="48" spans="1:4" x14ac:dyDescent="0.2">
      <c r="A48" s="4" t="s">
        <v>3</v>
      </c>
      <c r="B48" s="30" t="s">
        <v>125</v>
      </c>
      <c r="C48" s="37">
        <f>COMPOSICAO!D35</f>
        <v>3.3333333333333332E-4</v>
      </c>
      <c r="D48" s="22">
        <f>C48*$D$7</f>
        <v>3.9888888888888885</v>
      </c>
    </row>
    <row r="49" spans="1:4" x14ac:dyDescent="0.2">
      <c r="A49" s="19" t="s">
        <v>4</v>
      </c>
      <c r="B49" s="20" t="s">
        <v>126</v>
      </c>
      <c r="C49" s="37">
        <f>COMPOSICAO!D36</f>
        <v>3.4399999999999993E-2</v>
      </c>
      <c r="D49" s="22">
        <f t="shared" ref="D49:D52" si="1">C49*$D$7</f>
        <v>411.65333333333325</v>
      </c>
    </row>
    <row r="50" spans="1:4" x14ac:dyDescent="0.2">
      <c r="A50" s="4" t="s">
        <v>5</v>
      </c>
      <c r="B50" s="30" t="s">
        <v>127</v>
      </c>
      <c r="C50" s="37">
        <f>COMPOSICAO!D37</f>
        <v>1.2444444444444444E-2</v>
      </c>
      <c r="D50" s="22">
        <f t="shared" si="1"/>
        <v>148.91851851851851</v>
      </c>
    </row>
    <row r="51" spans="1:4" x14ac:dyDescent="0.2">
      <c r="A51" s="4" t="s">
        <v>6</v>
      </c>
      <c r="B51" s="30" t="s">
        <v>128</v>
      </c>
      <c r="C51" s="37">
        <f>COMPOSICAO!D38</f>
        <v>4.5631999999999999E-3</v>
      </c>
      <c r="D51" s="22">
        <f t="shared" si="1"/>
        <v>54.606293333333326</v>
      </c>
    </row>
    <row r="52" spans="1:4" x14ac:dyDescent="0.2">
      <c r="A52" s="4" t="s">
        <v>7</v>
      </c>
      <c r="B52" s="30" t="s">
        <v>129</v>
      </c>
      <c r="C52" s="37">
        <f>COMPOSICAO!D39</f>
        <v>3.9680000000000005E-4</v>
      </c>
      <c r="D52" s="22">
        <f t="shared" si="1"/>
        <v>4.7483733333333333</v>
      </c>
    </row>
    <row r="53" spans="1:4" x14ac:dyDescent="0.2">
      <c r="A53" s="190" t="s">
        <v>104</v>
      </c>
      <c r="B53" s="191"/>
      <c r="C53" s="38">
        <f>SUM(C47:C52)</f>
        <v>5.6304444444444435E-2</v>
      </c>
      <c r="D53" s="39">
        <f>SUM(D47:D52)</f>
        <v>673.77651851851829</v>
      </c>
    </row>
    <row r="54" spans="1:4" x14ac:dyDescent="0.2">
      <c r="A54" s="13"/>
      <c r="B54" s="14"/>
      <c r="C54" s="40"/>
      <c r="D54" s="16"/>
    </row>
    <row r="55" spans="1:4" x14ac:dyDescent="0.2">
      <c r="A55" s="172" t="s">
        <v>105</v>
      </c>
      <c r="B55" s="173"/>
      <c r="C55" s="173"/>
      <c r="D55" s="174"/>
    </row>
    <row r="56" spans="1:4" x14ac:dyDescent="0.2">
      <c r="A56" s="17">
        <v>4</v>
      </c>
      <c r="B56" s="2" t="s">
        <v>115</v>
      </c>
      <c r="C56" s="36" t="s">
        <v>0</v>
      </c>
      <c r="D56" s="17" t="s">
        <v>1</v>
      </c>
    </row>
    <row r="57" spans="1:4" x14ac:dyDescent="0.2">
      <c r="A57" s="190" t="s">
        <v>106</v>
      </c>
      <c r="B57" s="191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2" t="s">
        <v>107</v>
      </c>
      <c r="B59" s="173"/>
      <c r="C59" s="173"/>
      <c r="D59" s="174"/>
    </row>
    <row r="60" spans="1:4" x14ac:dyDescent="0.2">
      <c r="A60" s="17">
        <v>5</v>
      </c>
      <c r="B60" s="43" t="s">
        <v>115</v>
      </c>
      <c r="C60" s="44"/>
      <c r="D60" s="45" t="s">
        <v>1</v>
      </c>
    </row>
    <row r="61" spans="1:4" x14ac:dyDescent="0.2">
      <c r="A61" s="9" t="s">
        <v>108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2" t="s">
        <v>109</v>
      </c>
      <c r="B63" s="173"/>
      <c r="C63" s="173"/>
      <c r="D63" s="174"/>
    </row>
    <row r="64" spans="1:4" x14ac:dyDescent="0.2">
      <c r="A64" s="17">
        <v>6</v>
      </c>
      <c r="B64" s="2" t="s">
        <v>115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130</v>
      </c>
      <c r="C65" s="53">
        <f>COMPOSICAO!D44</f>
        <v>0.05</v>
      </c>
      <c r="D65" s="12">
        <f>C65*$D$81</f>
        <v>923.7092703703704</v>
      </c>
    </row>
    <row r="66" spans="1:4" x14ac:dyDescent="0.2">
      <c r="A66" s="51" t="s">
        <v>3</v>
      </c>
      <c r="B66" s="52" t="s">
        <v>131</v>
      </c>
      <c r="C66" s="53">
        <f>COMPOSICAO!D45</f>
        <v>0.1</v>
      </c>
      <c r="D66" s="12">
        <f>C66*($D$81+$D$65)</f>
        <v>1939.7894677777779</v>
      </c>
    </row>
    <row r="67" spans="1:4" x14ac:dyDescent="0.2">
      <c r="A67" s="51" t="s">
        <v>4</v>
      </c>
      <c r="B67" s="52" t="s">
        <v>132</v>
      </c>
      <c r="C67" s="53">
        <f>COMPOSICAO!D46</f>
        <v>9.2499999999999999E-2</v>
      </c>
      <c r="D67" s="12">
        <f>((D65+D66+D81)/(1-C67))-(D65+D66+D81)</f>
        <v>2174.9154638720538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152.83189746127945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705.37798828282826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470.25199218855221</v>
      </c>
    </row>
    <row r="71" spans="1:4" x14ac:dyDescent="0.2">
      <c r="A71" s="4" t="s">
        <v>29</v>
      </c>
      <c r="B71" s="106" t="s">
        <v>183</v>
      </c>
      <c r="C71" s="37">
        <f>COMPOSICAO!D50</f>
        <v>3.5999999999999997E-2</v>
      </c>
      <c r="D71" s="12">
        <f t="shared" si="2"/>
        <v>846.45358593939386</v>
      </c>
    </row>
    <row r="72" spans="1:4" x14ac:dyDescent="0.2">
      <c r="A72" s="178" t="s">
        <v>110</v>
      </c>
      <c r="B72" s="179"/>
      <c r="C72" s="55">
        <f>SUM(C65:C67)</f>
        <v>0.24250000000000002</v>
      </c>
      <c r="D72" s="12">
        <f>SUM(D65:D67)</f>
        <v>5038.4142020202016</v>
      </c>
    </row>
    <row r="73" spans="1:4" x14ac:dyDescent="0.2">
      <c r="A73" s="13"/>
      <c r="B73" s="14"/>
      <c r="C73" s="15"/>
      <c r="D73" s="16"/>
    </row>
    <row r="74" spans="1:4" x14ac:dyDescent="0.2">
      <c r="A74" s="186" t="s">
        <v>111</v>
      </c>
      <c r="B74" s="187"/>
      <c r="C74" s="187"/>
      <c r="D74" s="188"/>
    </row>
    <row r="75" spans="1:4" x14ac:dyDescent="0.2">
      <c r="A75" s="26" t="s">
        <v>112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133</v>
      </c>
      <c r="C76" s="58"/>
      <c r="D76" s="8">
        <f>D7</f>
        <v>11966.666666666666</v>
      </c>
    </row>
    <row r="77" spans="1:4" x14ac:dyDescent="0.2">
      <c r="A77" s="4">
        <v>2</v>
      </c>
      <c r="B77" s="46" t="s">
        <v>134</v>
      </c>
      <c r="C77" s="58"/>
      <c r="D77" s="8">
        <f>D43</f>
        <v>5833.7422222222231</v>
      </c>
    </row>
    <row r="78" spans="1:4" x14ac:dyDescent="0.2">
      <c r="A78" s="4">
        <v>3</v>
      </c>
      <c r="B78" s="46" t="s">
        <v>135</v>
      </c>
      <c r="C78" s="58"/>
      <c r="D78" s="8">
        <f>D53</f>
        <v>673.77651851851829</v>
      </c>
    </row>
    <row r="79" spans="1:4" x14ac:dyDescent="0.2">
      <c r="A79" s="4">
        <v>4</v>
      </c>
      <c r="B79" s="46" t="s">
        <v>136</v>
      </c>
      <c r="C79" s="58"/>
      <c r="D79" s="8">
        <v>0</v>
      </c>
    </row>
    <row r="80" spans="1:4" x14ac:dyDescent="0.2">
      <c r="A80" s="4">
        <v>5</v>
      </c>
      <c r="B80" s="46" t="s">
        <v>137</v>
      </c>
      <c r="C80" s="58"/>
      <c r="D80" s="8">
        <v>0</v>
      </c>
    </row>
    <row r="81" spans="1:4" x14ac:dyDescent="0.2">
      <c r="A81" s="59" t="s">
        <v>113</v>
      </c>
      <c r="B81" s="10"/>
      <c r="C81" s="11"/>
      <c r="D81" s="12">
        <f>SUM(D76:D80)</f>
        <v>18474.185407407407</v>
      </c>
    </row>
    <row r="82" spans="1:4" x14ac:dyDescent="0.2">
      <c r="A82" s="4">
        <v>6</v>
      </c>
      <c r="B82" s="46" t="s">
        <v>138</v>
      </c>
      <c r="C82" s="58"/>
      <c r="D82" s="8">
        <f>D72</f>
        <v>5038.4142020202016</v>
      </c>
    </row>
    <row r="83" spans="1:4" x14ac:dyDescent="0.2">
      <c r="A83" s="178" t="s">
        <v>114</v>
      </c>
      <c r="B83" s="189"/>
      <c r="C83" s="179"/>
      <c r="D83" s="60">
        <f>SUM(D81:D82)</f>
        <v>23512.599609427609</v>
      </c>
    </row>
    <row r="84" spans="1:4" x14ac:dyDescent="0.2">
      <c r="C84" s="108" t="s">
        <v>187</v>
      </c>
      <c r="D84" s="109">
        <f>ROUNDUP(D83/D76,2)</f>
        <v>1.97</v>
      </c>
    </row>
    <row r="85" spans="1:4" x14ac:dyDescent="0.2"/>
    <row r="86" spans="1:4" hidden="1" x14ac:dyDescent="0.2">
      <c r="D86" s="111"/>
    </row>
  </sheetData>
  <mergeCells count="22"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</mergeCells>
  <conditionalFormatting sqref="B69">
    <cfRule type="expression" dxfId="15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0E0F8A-BD0D-4821-9C98-D3D22C72FE0C}">
  <sheetPr codeName="Planilha21"/>
  <dimension ref="A1:D86"/>
  <sheetViews>
    <sheetView zoomScaleNormal="100" workbookViewId="0">
      <selection activeCell="F24" sqref="F24:F31"/>
    </sheetView>
  </sheetViews>
  <sheetFormatPr defaultColWidth="0" defaultRowHeight="12" zeroHeight="1" x14ac:dyDescent="0.2"/>
  <cols>
    <col min="1" max="1" width="5.85546875" style="107" customWidth="1"/>
    <col min="2" max="2" width="83.28515625" style="107" customWidth="1"/>
    <col min="3" max="3" width="12.42578125" style="107" customWidth="1"/>
    <col min="4" max="4" width="15.42578125" style="107" customWidth="1"/>
    <col min="5" max="5" width="9.140625" style="107" hidden="1" customWidth="1"/>
    <col min="6" max="16384" width="9.140625" style="107" hidden="1"/>
  </cols>
  <sheetData>
    <row r="1" spans="1:4" ht="12.75" thickBot="1" x14ac:dyDescent="0.25">
      <c r="A1" s="180" t="str">
        <f>PERFIS!C21</f>
        <v>Gerente de projetos de tecnologia da informação</v>
      </c>
      <c r="B1" s="181"/>
      <c r="C1" s="181"/>
      <c r="D1" s="182"/>
    </row>
    <row r="2" spans="1:4" x14ac:dyDescent="0.2">
      <c r="A2" s="110"/>
      <c r="B2" s="110"/>
      <c r="C2" s="110"/>
      <c r="D2" s="110"/>
    </row>
    <row r="3" spans="1:4" x14ac:dyDescent="0.2">
      <c r="A3" s="169" t="s">
        <v>93</v>
      </c>
      <c r="B3" s="170"/>
      <c r="C3" s="170"/>
      <c r="D3" s="171"/>
    </row>
    <row r="4" spans="1:4" x14ac:dyDescent="0.2">
      <c r="A4" s="172" t="s">
        <v>94</v>
      </c>
      <c r="B4" s="173"/>
      <c r="C4" s="173"/>
      <c r="D4" s="174"/>
    </row>
    <row r="5" spans="1:4" x14ac:dyDescent="0.2">
      <c r="A5" s="1">
        <v>1</v>
      </c>
      <c r="B5" s="2" t="s">
        <v>115</v>
      </c>
      <c r="C5" s="3"/>
      <c r="D5" s="1" t="s">
        <v>1</v>
      </c>
    </row>
    <row r="6" spans="1:4" x14ac:dyDescent="0.2">
      <c r="A6" s="4" t="s">
        <v>2</v>
      </c>
      <c r="B6" s="5" t="s">
        <v>116</v>
      </c>
      <c r="C6" s="6">
        <v>1</v>
      </c>
      <c r="D6" s="7">
        <f>_xlfn.XLOOKUP(A1,PERFIS!C3:C35,PERFIS!D3:D35)</f>
        <v>15048.000000000002</v>
      </c>
    </row>
    <row r="7" spans="1:4" x14ac:dyDescent="0.2">
      <c r="A7" s="9" t="s">
        <v>95</v>
      </c>
      <c r="B7" s="10"/>
      <c r="C7" s="11"/>
      <c r="D7" s="12">
        <f>SUM(D6)</f>
        <v>15048.000000000002</v>
      </c>
    </row>
    <row r="8" spans="1:4" x14ac:dyDescent="0.2">
      <c r="A8" s="13"/>
      <c r="B8" s="14"/>
      <c r="C8" s="15"/>
      <c r="D8" s="16"/>
    </row>
    <row r="9" spans="1:4" x14ac:dyDescent="0.2">
      <c r="A9" s="172" t="s">
        <v>96</v>
      </c>
      <c r="B9" s="173"/>
      <c r="C9" s="173"/>
      <c r="D9" s="174"/>
    </row>
    <row r="10" spans="1:4" x14ac:dyDescent="0.2">
      <c r="A10" s="175" t="s">
        <v>190</v>
      </c>
      <c r="B10" s="176"/>
      <c r="C10" s="176"/>
      <c r="D10" s="177"/>
    </row>
    <row r="11" spans="1:4" x14ac:dyDescent="0.2">
      <c r="A11" s="17" t="s">
        <v>9</v>
      </c>
      <c r="B11" s="2" t="s">
        <v>115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117</v>
      </c>
      <c r="C12" s="21">
        <f>COMPOSICAO!D3</f>
        <v>8.3333333333333329E-2</v>
      </c>
      <c r="D12" s="22">
        <f>C12*$D$7</f>
        <v>1254</v>
      </c>
    </row>
    <row r="13" spans="1:4" x14ac:dyDescent="0.2">
      <c r="A13" s="19" t="s">
        <v>3</v>
      </c>
      <c r="B13" s="20" t="s">
        <v>185</v>
      </c>
      <c r="C13" s="21">
        <f>COMPOSICAO!D4</f>
        <v>7.7777777777777779E-2</v>
      </c>
      <c r="D13" s="22">
        <f>C13*$D$7</f>
        <v>1170.4000000000001</v>
      </c>
    </row>
    <row r="14" spans="1:4" x14ac:dyDescent="0.2">
      <c r="A14" s="178" t="s">
        <v>191</v>
      </c>
      <c r="B14" s="179"/>
      <c r="C14" s="23">
        <f>SUM(C12:C13)</f>
        <v>0.16111111111111109</v>
      </c>
      <c r="D14" s="12">
        <f>SUM(D12:D13)</f>
        <v>2424.4</v>
      </c>
    </row>
    <row r="15" spans="1:4" x14ac:dyDescent="0.2">
      <c r="A15" s="13"/>
      <c r="B15" s="14"/>
      <c r="C15" s="24"/>
      <c r="D15" s="16"/>
    </row>
    <row r="16" spans="1:4" x14ac:dyDescent="0.2">
      <c r="A16" s="194" t="s">
        <v>98</v>
      </c>
      <c r="B16" s="195"/>
      <c r="C16" s="195"/>
      <c r="D16" s="196"/>
    </row>
    <row r="17" spans="1:4" x14ac:dyDescent="0.2">
      <c r="A17" s="17" t="s">
        <v>10</v>
      </c>
      <c r="B17" s="2" t="s">
        <v>115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118</v>
      </c>
      <c r="C18" s="21">
        <v>0.05</v>
      </c>
      <c r="D18" s="22">
        <f>C18*($D$7+$D$14)</f>
        <v>873.62000000000012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436.81000000000006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524.17200000000003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262.08600000000001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174.72400000000002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104.83440000000002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34.944800000000001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1397.7920000000001</v>
      </c>
    </row>
    <row r="26" spans="1:4" x14ac:dyDescent="0.2">
      <c r="A26" s="192" t="s">
        <v>99</v>
      </c>
      <c r="B26" s="193"/>
      <c r="C26" s="27">
        <f>SUM(C18:C25)</f>
        <v>0.21800000000000003</v>
      </c>
      <c r="D26" s="28">
        <f>SUM(D18:D25)</f>
        <v>3808.9832000000006</v>
      </c>
    </row>
    <row r="27" spans="1:4" x14ac:dyDescent="0.2">
      <c r="A27" s="13"/>
      <c r="B27" s="14"/>
      <c r="C27" s="29"/>
      <c r="D27" s="16"/>
    </row>
    <row r="28" spans="1:4" x14ac:dyDescent="0.2">
      <c r="A28" s="194" t="s">
        <v>100</v>
      </c>
      <c r="B28" s="195"/>
      <c r="C28" s="195"/>
      <c r="D28" s="196"/>
    </row>
    <row r="29" spans="1:4" x14ac:dyDescent="0.2">
      <c r="A29" s="17" t="s">
        <v>19</v>
      </c>
      <c r="B29" s="194" t="s">
        <v>115</v>
      </c>
      <c r="C29" s="196"/>
      <c r="D29" s="17" t="s">
        <v>1</v>
      </c>
    </row>
    <row r="30" spans="1:4" x14ac:dyDescent="0.2">
      <c r="A30" s="183" t="s">
        <v>2</v>
      </c>
      <c r="B30" s="30" t="s">
        <v>119</v>
      </c>
      <c r="C30" s="31"/>
      <c r="D30" s="7">
        <f>COMPOSICAO!D20*2*22</f>
        <v>242</v>
      </c>
    </row>
    <row r="31" spans="1:4" x14ac:dyDescent="0.2">
      <c r="A31" s="184"/>
      <c r="B31" s="30" t="s">
        <v>20</v>
      </c>
      <c r="C31" s="31"/>
      <c r="D31" s="7">
        <f>D6*COMPOSICAO!D21</f>
        <v>902.88000000000011</v>
      </c>
    </row>
    <row r="32" spans="1:4" x14ac:dyDescent="0.2">
      <c r="A32" s="185"/>
      <c r="B32" s="88" t="s">
        <v>21</v>
      </c>
      <c r="C32" s="89"/>
      <c r="D32" s="39">
        <f>IF(D30-D31&gt;0,D30-D31,0)</f>
        <v>0</v>
      </c>
    </row>
    <row r="33" spans="1:4" x14ac:dyDescent="0.2">
      <c r="A33" s="183" t="s">
        <v>3</v>
      </c>
      <c r="B33" s="30" t="s">
        <v>120</v>
      </c>
      <c r="D33" s="7">
        <f>COMPOSICAO!D23*22</f>
        <v>814</v>
      </c>
    </row>
    <row r="34" spans="1:4" x14ac:dyDescent="0.2">
      <c r="A34" s="184"/>
      <c r="B34" s="30" t="s">
        <v>181</v>
      </c>
      <c r="C34" s="104" cm="1">
        <f t="array" ref="C34">_xlfn.IFS(D6&lt;2407,COMPOSICAO!D25,D6&lt;4073.39,COMPOSICAO!D26,D6&lt;5924.92,COMPOSICAO!D27,D6&lt;7406.17,COMPOSICAO!D28,D6&lt;9072.58,COMPOSICAO!D29,D6&gt;9072.59,COMPOSICAO!D30)</f>
        <v>0.15</v>
      </c>
      <c r="D34" s="7">
        <f>D33*C34</f>
        <v>122.1</v>
      </c>
    </row>
    <row r="35" spans="1:4" x14ac:dyDescent="0.2">
      <c r="A35" s="185"/>
      <c r="B35" s="88" t="s">
        <v>182</v>
      </c>
      <c r="C35" s="90"/>
      <c r="D35" s="39">
        <f>D33-D34</f>
        <v>691.9</v>
      </c>
    </row>
    <row r="36" spans="1:4" x14ac:dyDescent="0.2">
      <c r="A36" s="4" t="s">
        <v>4</v>
      </c>
      <c r="B36" s="30" t="s">
        <v>167</v>
      </c>
      <c r="C36" s="31"/>
      <c r="D36" s="151">
        <f>COMPOSICAO!D31</f>
        <v>184.85</v>
      </c>
    </row>
    <row r="37" spans="1:4" x14ac:dyDescent="0.2">
      <c r="A37" s="9" t="s">
        <v>101</v>
      </c>
      <c r="B37" s="10"/>
      <c r="C37" s="11"/>
      <c r="D37" s="12">
        <f>SUM(D32,D35,D36)</f>
        <v>876.75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121</v>
      </c>
      <c r="C39" s="33"/>
      <c r="D39" s="17" t="s">
        <v>1</v>
      </c>
    </row>
    <row r="40" spans="1:4" x14ac:dyDescent="0.2">
      <c r="A40" s="4" t="s">
        <v>9</v>
      </c>
      <c r="B40" s="30" t="s">
        <v>122</v>
      </c>
      <c r="C40" s="34"/>
      <c r="D40" s="8">
        <f>D14</f>
        <v>2424.4</v>
      </c>
    </row>
    <row r="41" spans="1:4" x14ac:dyDescent="0.2">
      <c r="A41" s="4" t="s">
        <v>10</v>
      </c>
      <c r="B41" s="30" t="s">
        <v>123</v>
      </c>
      <c r="C41" s="34"/>
      <c r="D41" s="8">
        <f>D26</f>
        <v>3808.9832000000006</v>
      </c>
    </row>
    <row r="42" spans="1:4" x14ac:dyDescent="0.2">
      <c r="A42" s="4" t="s">
        <v>19</v>
      </c>
      <c r="B42" s="30" t="s">
        <v>124</v>
      </c>
      <c r="C42" s="34"/>
      <c r="D42" s="8">
        <f>D37</f>
        <v>876.75</v>
      </c>
    </row>
    <row r="43" spans="1:4" x14ac:dyDescent="0.2">
      <c r="A43" s="178" t="s">
        <v>102</v>
      </c>
      <c r="B43" s="189"/>
      <c r="C43" s="35"/>
      <c r="D43" s="12">
        <f>SUM(D40:D42)</f>
        <v>7110.1332000000002</v>
      </c>
    </row>
    <row r="44" spans="1:4" x14ac:dyDescent="0.2">
      <c r="A44" s="13"/>
      <c r="B44" s="14"/>
      <c r="C44" s="15"/>
      <c r="D44" s="16"/>
    </row>
    <row r="45" spans="1:4" x14ac:dyDescent="0.2">
      <c r="A45" s="172" t="s">
        <v>103</v>
      </c>
      <c r="B45" s="173"/>
      <c r="C45" s="173"/>
      <c r="D45" s="174"/>
    </row>
    <row r="46" spans="1:4" x14ac:dyDescent="0.2">
      <c r="A46" s="17">
        <v>3</v>
      </c>
      <c r="B46" s="2" t="s">
        <v>115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62.70000000000001</v>
      </c>
    </row>
    <row r="48" spans="1:4" x14ac:dyDescent="0.2">
      <c r="A48" s="4" t="s">
        <v>3</v>
      </c>
      <c r="B48" s="30" t="s">
        <v>125</v>
      </c>
      <c r="C48" s="37">
        <f>COMPOSICAO!D35</f>
        <v>3.3333333333333332E-4</v>
      </c>
      <c r="D48" s="22">
        <f>C48*$D$7</f>
        <v>5.016</v>
      </c>
    </row>
    <row r="49" spans="1:4" x14ac:dyDescent="0.2">
      <c r="A49" s="19" t="s">
        <v>4</v>
      </c>
      <c r="B49" s="20" t="s">
        <v>126</v>
      </c>
      <c r="C49" s="37">
        <f>COMPOSICAO!D36</f>
        <v>3.4399999999999993E-2</v>
      </c>
      <c r="D49" s="22">
        <f t="shared" ref="D49:D52" si="1">C49*$D$7</f>
        <v>517.6511999999999</v>
      </c>
    </row>
    <row r="50" spans="1:4" x14ac:dyDescent="0.2">
      <c r="A50" s="4" t="s">
        <v>5</v>
      </c>
      <c r="B50" s="30" t="s">
        <v>127</v>
      </c>
      <c r="C50" s="37">
        <f>COMPOSICAO!D37</f>
        <v>1.2444444444444444E-2</v>
      </c>
      <c r="D50" s="22">
        <f t="shared" si="1"/>
        <v>187.26400000000001</v>
      </c>
    </row>
    <row r="51" spans="1:4" x14ac:dyDescent="0.2">
      <c r="A51" s="4" t="s">
        <v>6</v>
      </c>
      <c r="B51" s="30" t="s">
        <v>128</v>
      </c>
      <c r="C51" s="37">
        <f>COMPOSICAO!D38</f>
        <v>4.5631999999999999E-3</v>
      </c>
      <c r="D51" s="22">
        <f t="shared" si="1"/>
        <v>68.667033600000011</v>
      </c>
    </row>
    <row r="52" spans="1:4" x14ac:dyDescent="0.2">
      <c r="A52" s="4" t="s">
        <v>7</v>
      </c>
      <c r="B52" s="30" t="s">
        <v>129</v>
      </c>
      <c r="C52" s="37">
        <f>COMPOSICAO!D39</f>
        <v>3.9680000000000005E-4</v>
      </c>
      <c r="D52" s="22">
        <f t="shared" si="1"/>
        <v>5.9710464000000014</v>
      </c>
    </row>
    <row r="53" spans="1:4" x14ac:dyDescent="0.2">
      <c r="A53" s="190" t="s">
        <v>104</v>
      </c>
      <c r="B53" s="191"/>
      <c r="C53" s="38">
        <f>SUM(C47:C52)</f>
        <v>5.6304444444444435E-2</v>
      </c>
      <c r="D53" s="39">
        <f>SUM(D47:D52)</f>
        <v>847.26927999999987</v>
      </c>
    </row>
    <row r="54" spans="1:4" x14ac:dyDescent="0.2">
      <c r="A54" s="13"/>
      <c r="B54" s="14"/>
      <c r="C54" s="40"/>
      <c r="D54" s="16"/>
    </row>
    <row r="55" spans="1:4" x14ac:dyDescent="0.2">
      <c r="A55" s="172" t="s">
        <v>105</v>
      </c>
      <c r="B55" s="173"/>
      <c r="C55" s="173"/>
      <c r="D55" s="174"/>
    </row>
    <row r="56" spans="1:4" x14ac:dyDescent="0.2">
      <c r="A56" s="17">
        <v>4</v>
      </c>
      <c r="B56" s="2" t="s">
        <v>115</v>
      </c>
      <c r="C56" s="36" t="s">
        <v>0</v>
      </c>
      <c r="D56" s="17" t="s">
        <v>1</v>
      </c>
    </row>
    <row r="57" spans="1:4" x14ac:dyDescent="0.2">
      <c r="A57" s="190" t="s">
        <v>106</v>
      </c>
      <c r="B57" s="191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2" t="s">
        <v>107</v>
      </c>
      <c r="B59" s="173"/>
      <c r="C59" s="173"/>
      <c r="D59" s="174"/>
    </row>
    <row r="60" spans="1:4" x14ac:dyDescent="0.2">
      <c r="A60" s="17">
        <v>5</v>
      </c>
      <c r="B60" s="43" t="s">
        <v>115</v>
      </c>
      <c r="C60" s="44"/>
      <c r="D60" s="45" t="s">
        <v>1</v>
      </c>
    </row>
    <row r="61" spans="1:4" x14ac:dyDescent="0.2">
      <c r="A61" s="9" t="s">
        <v>108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2" t="s">
        <v>109</v>
      </c>
      <c r="B63" s="173"/>
      <c r="C63" s="173"/>
      <c r="D63" s="174"/>
    </row>
    <row r="64" spans="1:4" x14ac:dyDescent="0.2">
      <c r="A64" s="17">
        <v>6</v>
      </c>
      <c r="B64" s="2" t="s">
        <v>115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130</v>
      </c>
      <c r="C65" s="53">
        <f>COMPOSICAO!D44</f>
        <v>0.05</v>
      </c>
      <c r="D65" s="12">
        <f>C65*$D$81</f>
        <v>1150.2701240000004</v>
      </c>
    </row>
    <row r="66" spans="1:4" x14ac:dyDescent="0.2">
      <c r="A66" s="51" t="s">
        <v>3</v>
      </c>
      <c r="B66" s="52" t="s">
        <v>131</v>
      </c>
      <c r="C66" s="53">
        <f>COMPOSICAO!D45</f>
        <v>0.1</v>
      </c>
      <c r="D66" s="12">
        <f>C66*($D$81+$D$65)</f>
        <v>2415.5672604000006</v>
      </c>
    </row>
    <row r="67" spans="1:4" x14ac:dyDescent="0.2">
      <c r="A67" s="51" t="s">
        <v>4</v>
      </c>
      <c r="B67" s="52" t="s">
        <v>132</v>
      </c>
      <c r="C67" s="53">
        <f>COMPOSICAO!D46</f>
        <v>9.2499999999999999E-2</v>
      </c>
      <c r="D67" s="12">
        <f>((D65+D66+D81)/(1-C67))-(D65+D66+D81)</f>
        <v>2708.3632919636366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190.31742051636365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878.38809469090927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585.59206312727281</v>
      </c>
    </row>
    <row r="71" spans="1:4" x14ac:dyDescent="0.2">
      <c r="A71" s="4" t="s">
        <v>29</v>
      </c>
      <c r="B71" s="106" t="s">
        <v>183</v>
      </c>
      <c r="C71" s="37">
        <f>COMPOSICAO!D50</f>
        <v>3.5999999999999997E-2</v>
      </c>
      <c r="D71" s="12">
        <f t="shared" si="2"/>
        <v>1054.0657136290911</v>
      </c>
    </row>
    <row r="72" spans="1:4" x14ac:dyDescent="0.2">
      <c r="A72" s="178" t="s">
        <v>110</v>
      </c>
      <c r="B72" s="179"/>
      <c r="C72" s="55">
        <f>SUM(C65:C67)</f>
        <v>0.24250000000000002</v>
      </c>
      <c r="D72" s="12">
        <f>SUM(D65:D67)</f>
        <v>6274.2006763636373</v>
      </c>
    </row>
    <row r="73" spans="1:4" x14ac:dyDescent="0.2">
      <c r="A73" s="13"/>
      <c r="B73" s="14"/>
      <c r="C73" s="15"/>
      <c r="D73" s="16"/>
    </row>
    <row r="74" spans="1:4" x14ac:dyDescent="0.2">
      <c r="A74" s="186" t="s">
        <v>111</v>
      </c>
      <c r="B74" s="187"/>
      <c r="C74" s="187"/>
      <c r="D74" s="188"/>
    </row>
    <row r="75" spans="1:4" x14ac:dyDescent="0.2">
      <c r="A75" s="26" t="s">
        <v>112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133</v>
      </c>
      <c r="C76" s="58"/>
      <c r="D76" s="8">
        <f>D7</f>
        <v>15048.000000000002</v>
      </c>
    </row>
    <row r="77" spans="1:4" x14ac:dyDescent="0.2">
      <c r="A77" s="4">
        <v>2</v>
      </c>
      <c r="B77" s="46" t="s">
        <v>134</v>
      </c>
      <c r="C77" s="58"/>
      <c r="D77" s="8">
        <f>D43</f>
        <v>7110.1332000000002</v>
      </c>
    </row>
    <row r="78" spans="1:4" x14ac:dyDescent="0.2">
      <c r="A78" s="4">
        <v>3</v>
      </c>
      <c r="B78" s="46" t="s">
        <v>135</v>
      </c>
      <c r="C78" s="58"/>
      <c r="D78" s="8">
        <f>D53</f>
        <v>847.26927999999987</v>
      </c>
    </row>
    <row r="79" spans="1:4" x14ac:dyDescent="0.2">
      <c r="A79" s="4">
        <v>4</v>
      </c>
      <c r="B79" s="46" t="s">
        <v>136</v>
      </c>
      <c r="C79" s="58"/>
      <c r="D79" s="8">
        <v>0</v>
      </c>
    </row>
    <row r="80" spans="1:4" x14ac:dyDescent="0.2">
      <c r="A80" s="4">
        <v>5</v>
      </c>
      <c r="B80" s="46" t="s">
        <v>137</v>
      </c>
      <c r="C80" s="58"/>
      <c r="D80" s="8">
        <v>0</v>
      </c>
    </row>
    <row r="81" spans="1:4" x14ac:dyDescent="0.2">
      <c r="A81" s="59" t="s">
        <v>113</v>
      </c>
      <c r="B81" s="10"/>
      <c r="C81" s="11"/>
      <c r="D81" s="12">
        <f>SUM(D76:D80)</f>
        <v>23005.402480000004</v>
      </c>
    </row>
    <row r="82" spans="1:4" x14ac:dyDescent="0.2">
      <c r="A82" s="4">
        <v>6</v>
      </c>
      <c r="B82" s="46" t="s">
        <v>138</v>
      </c>
      <c r="C82" s="58"/>
      <c r="D82" s="8">
        <f>D72</f>
        <v>6274.2006763636373</v>
      </c>
    </row>
    <row r="83" spans="1:4" x14ac:dyDescent="0.2">
      <c r="A83" s="178" t="s">
        <v>114</v>
      </c>
      <c r="B83" s="189"/>
      <c r="C83" s="179"/>
      <c r="D83" s="60">
        <f>SUM(D81:D82)</f>
        <v>29279.603156363642</v>
      </c>
    </row>
    <row r="84" spans="1:4" x14ac:dyDescent="0.2">
      <c r="C84" s="108" t="s">
        <v>187</v>
      </c>
      <c r="D84" s="109">
        <f>ROUNDUP(D83/D76,2)</f>
        <v>1.95</v>
      </c>
    </row>
    <row r="85" spans="1:4" x14ac:dyDescent="0.2"/>
    <row r="86" spans="1:4" hidden="1" x14ac:dyDescent="0.2">
      <c r="D86" s="111"/>
    </row>
  </sheetData>
  <mergeCells count="22"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</mergeCells>
  <conditionalFormatting sqref="B69">
    <cfRule type="expression" dxfId="14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94CDEB-6E16-44DD-9CFD-43A51CA498A0}">
  <sheetPr codeName="Planilha22"/>
  <dimension ref="A1:D86"/>
  <sheetViews>
    <sheetView zoomScaleNormal="100" workbookViewId="0">
      <selection activeCell="F24" sqref="F24:F31"/>
    </sheetView>
  </sheetViews>
  <sheetFormatPr defaultColWidth="0" defaultRowHeight="12" zeroHeight="1" x14ac:dyDescent="0.2"/>
  <cols>
    <col min="1" max="1" width="5.85546875" style="107" customWidth="1"/>
    <col min="2" max="2" width="83.28515625" style="107" customWidth="1"/>
    <col min="3" max="3" width="12.42578125" style="107" customWidth="1"/>
    <col min="4" max="4" width="15.42578125" style="107" customWidth="1"/>
    <col min="5" max="5" width="9.140625" style="107" hidden="1" customWidth="1"/>
    <col min="6" max="16384" width="9.140625" style="107" hidden="1"/>
  </cols>
  <sheetData>
    <row r="1" spans="1:4" ht="12.75" thickBot="1" x14ac:dyDescent="0.25">
      <c r="A1" s="180" t="str">
        <f>PERFIS!C22</f>
        <v>Analista de UX/UI Pleno</v>
      </c>
      <c r="B1" s="181"/>
      <c r="C1" s="181"/>
      <c r="D1" s="182"/>
    </row>
    <row r="2" spans="1:4" x14ac:dyDescent="0.2">
      <c r="A2" s="110"/>
      <c r="B2" s="110"/>
      <c r="C2" s="110"/>
      <c r="D2" s="110"/>
    </row>
    <row r="3" spans="1:4" x14ac:dyDescent="0.2">
      <c r="A3" s="169" t="s">
        <v>93</v>
      </c>
      <c r="B3" s="170"/>
      <c r="C3" s="170"/>
      <c r="D3" s="171"/>
    </row>
    <row r="4" spans="1:4" x14ac:dyDescent="0.2">
      <c r="A4" s="172" t="s">
        <v>94</v>
      </c>
      <c r="B4" s="173"/>
      <c r="C4" s="173"/>
      <c r="D4" s="174"/>
    </row>
    <row r="5" spans="1:4" x14ac:dyDescent="0.2">
      <c r="A5" s="1">
        <v>1</v>
      </c>
      <c r="B5" s="2" t="s">
        <v>115</v>
      </c>
      <c r="C5" s="3"/>
      <c r="D5" s="1" t="s">
        <v>1</v>
      </c>
    </row>
    <row r="6" spans="1:4" x14ac:dyDescent="0.2">
      <c r="A6" s="4" t="s">
        <v>2</v>
      </c>
      <c r="B6" s="5" t="s">
        <v>116</v>
      </c>
      <c r="C6" s="6">
        <v>1</v>
      </c>
      <c r="D6" s="7">
        <f>_xlfn.XLOOKUP(A1,PERFIS!C3:C35,PERFIS!D3:D35)</f>
        <v>7656.4811111111112</v>
      </c>
    </row>
    <row r="7" spans="1:4" x14ac:dyDescent="0.2">
      <c r="A7" s="9" t="s">
        <v>95</v>
      </c>
      <c r="B7" s="10"/>
      <c r="C7" s="11"/>
      <c r="D7" s="12">
        <f>SUM(D6)</f>
        <v>7656.4811111111112</v>
      </c>
    </row>
    <row r="8" spans="1:4" x14ac:dyDescent="0.2">
      <c r="A8" s="13"/>
      <c r="B8" s="14"/>
      <c r="C8" s="15"/>
      <c r="D8" s="16"/>
    </row>
    <row r="9" spans="1:4" x14ac:dyDescent="0.2">
      <c r="A9" s="172" t="s">
        <v>96</v>
      </c>
      <c r="B9" s="173"/>
      <c r="C9" s="173"/>
      <c r="D9" s="174"/>
    </row>
    <row r="10" spans="1:4" x14ac:dyDescent="0.2">
      <c r="A10" s="175" t="s">
        <v>190</v>
      </c>
      <c r="B10" s="176"/>
      <c r="C10" s="176"/>
      <c r="D10" s="177"/>
    </row>
    <row r="11" spans="1:4" x14ac:dyDescent="0.2">
      <c r="A11" s="17" t="s">
        <v>9</v>
      </c>
      <c r="B11" s="2" t="s">
        <v>115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117</v>
      </c>
      <c r="C12" s="21">
        <f>COMPOSICAO!D3</f>
        <v>8.3333333333333329E-2</v>
      </c>
      <c r="D12" s="22">
        <f>C12*$D$7</f>
        <v>638.0400925925926</v>
      </c>
    </row>
    <row r="13" spans="1:4" x14ac:dyDescent="0.2">
      <c r="A13" s="19" t="s">
        <v>3</v>
      </c>
      <c r="B13" s="20" t="s">
        <v>185</v>
      </c>
      <c r="C13" s="21">
        <f>COMPOSICAO!D4</f>
        <v>7.7777777777777779E-2</v>
      </c>
      <c r="D13" s="22">
        <f>C13*$D$7</f>
        <v>595.50408641975309</v>
      </c>
    </row>
    <row r="14" spans="1:4" x14ac:dyDescent="0.2">
      <c r="A14" s="178" t="s">
        <v>191</v>
      </c>
      <c r="B14" s="179"/>
      <c r="C14" s="23">
        <f>SUM(C12:C13)</f>
        <v>0.16111111111111109</v>
      </c>
      <c r="D14" s="12">
        <f>SUM(D12:D13)</f>
        <v>1233.5441790123457</v>
      </c>
    </row>
    <row r="15" spans="1:4" x14ac:dyDescent="0.2">
      <c r="A15" s="13"/>
      <c r="B15" s="14"/>
      <c r="C15" s="24"/>
      <c r="D15" s="16"/>
    </row>
    <row r="16" spans="1:4" x14ac:dyDescent="0.2">
      <c r="A16" s="194" t="s">
        <v>98</v>
      </c>
      <c r="B16" s="195"/>
      <c r="C16" s="195"/>
      <c r="D16" s="196"/>
    </row>
    <row r="17" spans="1:4" x14ac:dyDescent="0.2">
      <c r="A17" s="17" t="s">
        <v>10</v>
      </c>
      <c r="B17" s="2" t="s">
        <v>115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118</v>
      </c>
      <c r="C18" s="21">
        <v>0.05</v>
      </c>
      <c r="D18" s="22">
        <f>C18*($D$7+$D$14)</f>
        <v>444.50126450617284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222.25063225308642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266.70075870370368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133.35037935185184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88.900252901234566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53.340151740740737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17.780050580246911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711.20202320987653</v>
      </c>
    </row>
    <row r="26" spans="1:4" x14ac:dyDescent="0.2">
      <c r="A26" s="192" t="s">
        <v>99</v>
      </c>
      <c r="B26" s="193"/>
      <c r="C26" s="27">
        <f>SUM(C18:C25)</f>
        <v>0.21800000000000003</v>
      </c>
      <c r="D26" s="28">
        <f>SUM(D18:D25)</f>
        <v>1938.0255132469138</v>
      </c>
    </row>
    <row r="27" spans="1:4" x14ac:dyDescent="0.2">
      <c r="A27" s="13"/>
      <c r="B27" s="14"/>
      <c r="C27" s="29"/>
      <c r="D27" s="16"/>
    </row>
    <row r="28" spans="1:4" x14ac:dyDescent="0.2">
      <c r="A28" s="194" t="s">
        <v>100</v>
      </c>
      <c r="B28" s="195"/>
      <c r="C28" s="195"/>
      <c r="D28" s="196"/>
    </row>
    <row r="29" spans="1:4" x14ac:dyDescent="0.2">
      <c r="A29" s="17" t="s">
        <v>19</v>
      </c>
      <c r="B29" s="194" t="s">
        <v>115</v>
      </c>
      <c r="C29" s="196"/>
      <c r="D29" s="17" t="s">
        <v>1</v>
      </c>
    </row>
    <row r="30" spans="1:4" x14ac:dyDescent="0.2">
      <c r="A30" s="183" t="s">
        <v>2</v>
      </c>
      <c r="B30" s="30" t="s">
        <v>119</v>
      </c>
      <c r="C30" s="31"/>
      <c r="D30" s="7">
        <f>COMPOSICAO!D20*2*22</f>
        <v>242</v>
      </c>
    </row>
    <row r="31" spans="1:4" x14ac:dyDescent="0.2">
      <c r="A31" s="184"/>
      <c r="B31" s="30" t="s">
        <v>20</v>
      </c>
      <c r="C31" s="31"/>
      <c r="D31" s="7">
        <f>D6*COMPOSICAO!D21</f>
        <v>459.38886666666667</v>
      </c>
    </row>
    <row r="32" spans="1:4" x14ac:dyDescent="0.2">
      <c r="A32" s="185"/>
      <c r="B32" s="88" t="s">
        <v>21</v>
      </c>
      <c r="C32" s="89"/>
      <c r="D32" s="39">
        <f>IF(D30-D31&gt;0,D30-D31,0)</f>
        <v>0</v>
      </c>
    </row>
    <row r="33" spans="1:4" x14ac:dyDescent="0.2">
      <c r="A33" s="183" t="s">
        <v>3</v>
      </c>
      <c r="B33" s="30" t="s">
        <v>120</v>
      </c>
      <c r="D33" s="7">
        <f>COMPOSICAO!D23*22</f>
        <v>814</v>
      </c>
    </row>
    <row r="34" spans="1:4" x14ac:dyDescent="0.2">
      <c r="A34" s="184"/>
      <c r="B34" s="30" t="s">
        <v>181</v>
      </c>
      <c r="C34" s="104" cm="1">
        <f t="array" ref="C34">_xlfn.IFS(D6&lt;2407,COMPOSICAO!D25,D6&lt;4073.39,COMPOSICAO!D26,D6&lt;5924.92,COMPOSICAO!D27,D6&lt;7406.17,COMPOSICAO!D28,D6&lt;9072.58,COMPOSICAO!D29,D6&gt;9072.59,COMPOSICAO!D30)</f>
        <v>0.1125</v>
      </c>
      <c r="D34" s="7">
        <f>D33*C34</f>
        <v>91.575000000000003</v>
      </c>
    </row>
    <row r="35" spans="1:4" x14ac:dyDescent="0.2">
      <c r="A35" s="185"/>
      <c r="B35" s="88" t="s">
        <v>182</v>
      </c>
      <c r="C35" s="90"/>
      <c r="D35" s="39">
        <f>D33-D34</f>
        <v>722.42499999999995</v>
      </c>
    </row>
    <row r="36" spans="1:4" x14ac:dyDescent="0.2">
      <c r="A36" s="4" t="s">
        <v>4</v>
      </c>
      <c r="B36" s="30" t="s">
        <v>167</v>
      </c>
      <c r="C36" s="31"/>
      <c r="D36" s="151">
        <f>COMPOSICAO!D31</f>
        <v>184.85</v>
      </c>
    </row>
    <row r="37" spans="1:4" x14ac:dyDescent="0.2">
      <c r="A37" s="9" t="s">
        <v>101</v>
      </c>
      <c r="B37" s="10"/>
      <c r="C37" s="11"/>
      <c r="D37" s="12">
        <f>SUM(D32,D35,D36)</f>
        <v>907.27499999999998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121</v>
      </c>
      <c r="C39" s="33"/>
      <c r="D39" s="17" t="s">
        <v>1</v>
      </c>
    </row>
    <row r="40" spans="1:4" x14ac:dyDescent="0.2">
      <c r="A40" s="4" t="s">
        <v>9</v>
      </c>
      <c r="B40" s="30" t="s">
        <v>122</v>
      </c>
      <c r="C40" s="34"/>
      <c r="D40" s="8">
        <f>D14</f>
        <v>1233.5441790123457</v>
      </c>
    </row>
    <row r="41" spans="1:4" x14ac:dyDescent="0.2">
      <c r="A41" s="4" t="s">
        <v>10</v>
      </c>
      <c r="B41" s="30" t="s">
        <v>123</v>
      </c>
      <c r="C41" s="34"/>
      <c r="D41" s="8">
        <f>D26</f>
        <v>1938.0255132469138</v>
      </c>
    </row>
    <row r="42" spans="1:4" x14ac:dyDescent="0.2">
      <c r="A42" s="4" t="s">
        <v>19</v>
      </c>
      <c r="B42" s="30" t="s">
        <v>124</v>
      </c>
      <c r="C42" s="34"/>
      <c r="D42" s="8">
        <f>D37</f>
        <v>907.27499999999998</v>
      </c>
    </row>
    <row r="43" spans="1:4" x14ac:dyDescent="0.2">
      <c r="A43" s="178" t="s">
        <v>102</v>
      </c>
      <c r="B43" s="189"/>
      <c r="C43" s="35"/>
      <c r="D43" s="12">
        <f>SUM(D40:D42)</f>
        <v>4078.8446922592598</v>
      </c>
    </row>
    <row r="44" spans="1:4" x14ac:dyDescent="0.2">
      <c r="A44" s="13"/>
      <c r="B44" s="14"/>
      <c r="C44" s="15"/>
      <c r="D44" s="16"/>
    </row>
    <row r="45" spans="1:4" x14ac:dyDescent="0.2">
      <c r="A45" s="172" t="s">
        <v>103</v>
      </c>
      <c r="B45" s="173"/>
      <c r="C45" s="173"/>
      <c r="D45" s="174"/>
    </row>
    <row r="46" spans="1:4" x14ac:dyDescent="0.2">
      <c r="A46" s="17">
        <v>3</v>
      </c>
      <c r="B46" s="2" t="s">
        <v>115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31.90200462962963</v>
      </c>
    </row>
    <row r="48" spans="1:4" x14ac:dyDescent="0.2">
      <c r="A48" s="4" t="s">
        <v>3</v>
      </c>
      <c r="B48" s="30" t="s">
        <v>125</v>
      </c>
      <c r="C48" s="37">
        <f>COMPOSICAO!D35</f>
        <v>3.3333333333333332E-4</v>
      </c>
      <c r="D48" s="22">
        <f>C48*$D$7</f>
        <v>2.5521603703703701</v>
      </c>
    </row>
    <row r="49" spans="1:4" x14ac:dyDescent="0.2">
      <c r="A49" s="19" t="s">
        <v>4</v>
      </c>
      <c r="B49" s="20" t="s">
        <v>126</v>
      </c>
      <c r="C49" s="37">
        <f>COMPOSICAO!D36</f>
        <v>3.4399999999999993E-2</v>
      </c>
      <c r="D49" s="22">
        <f t="shared" ref="D49:D52" si="1">C49*$D$7</f>
        <v>263.38295022222218</v>
      </c>
    </row>
    <row r="50" spans="1:4" x14ac:dyDescent="0.2">
      <c r="A50" s="4" t="s">
        <v>5</v>
      </c>
      <c r="B50" s="30" t="s">
        <v>127</v>
      </c>
      <c r="C50" s="37">
        <f>COMPOSICAO!D37</f>
        <v>1.2444444444444444E-2</v>
      </c>
      <c r="D50" s="22">
        <f t="shared" si="1"/>
        <v>95.280653827160492</v>
      </c>
    </row>
    <row r="51" spans="1:4" x14ac:dyDescent="0.2">
      <c r="A51" s="4" t="s">
        <v>6</v>
      </c>
      <c r="B51" s="30" t="s">
        <v>128</v>
      </c>
      <c r="C51" s="37">
        <f>COMPOSICAO!D38</f>
        <v>4.5631999999999999E-3</v>
      </c>
      <c r="D51" s="22">
        <f t="shared" si="1"/>
        <v>34.938054606222224</v>
      </c>
    </row>
    <row r="52" spans="1:4" x14ac:dyDescent="0.2">
      <c r="A52" s="4" t="s">
        <v>7</v>
      </c>
      <c r="B52" s="30" t="s">
        <v>129</v>
      </c>
      <c r="C52" s="37">
        <f>COMPOSICAO!D39</f>
        <v>3.9680000000000005E-4</v>
      </c>
      <c r="D52" s="22">
        <f t="shared" si="1"/>
        <v>3.0380917048888891</v>
      </c>
    </row>
    <row r="53" spans="1:4" x14ac:dyDescent="0.2">
      <c r="A53" s="190" t="s">
        <v>104</v>
      </c>
      <c r="B53" s="191"/>
      <c r="C53" s="38">
        <f>SUM(C47:C52)</f>
        <v>5.6304444444444435E-2</v>
      </c>
      <c r="D53" s="39">
        <f>SUM(D47:D52)</f>
        <v>431.09391536049378</v>
      </c>
    </row>
    <row r="54" spans="1:4" x14ac:dyDescent="0.2">
      <c r="A54" s="13"/>
      <c r="B54" s="14"/>
      <c r="C54" s="40"/>
      <c r="D54" s="16"/>
    </row>
    <row r="55" spans="1:4" x14ac:dyDescent="0.2">
      <c r="A55" s="172" t="s">
        <v>105</v>
      </c>
      <c r="B55" s="173"/>
      <c r="C55" s="173"/>
      <c r="D55" s="174"/>
    </row>
    <row r="56" spans="1:4" x14ac:dyDescent="0.2">
      <c r="A56" s="17">
        <v>4</v>
      </c>
      <c r="B56" s="2" t="s">
        <v>115</v>
      </c>
      <c r="C56" s="36" t="s">
        <v>0</v>
      </c>
      <c r="D56" s="17" t="s">
        <v>1</v>
      </c>
    </row>
    <row r="57" spans="1:4" x14ac:dyDescent="0.2">
      <c r="A57" s="190" t="s">
        <v>106</v>
      </c>
      <c r="B57" s="191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2" t="s">
        <v>107</v>
      </c>
      <c r="B59" s="173"/>
      <c r="C59" s="173"/>
      <c r="D59" s="174"/>
    </row>
    <row r="60" spans="1:4" x14ac:dyDescent="0.2">
      <c r="A60" s="17">
        <v>5</v>
      </c>
      <c r="B60" s="43" t="s">
        <v>115</v>
      </c>
      <c r="C60" s="44"/>
      <c r="D60" s="45" t="s">
        <v>1</v>
      </c>
    </row>
    <row r="61" spans="1:4" x14ac:dyDescent="0.2">
      <c r="A61" s="9" t="s">
        <v>108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2" t="s">
        <v>109</v>
      </c>
      <c r="B63" s="173"/>
      <c r="C63" s="173"/>
      <c r="D63" s="174"/>
    </row>
    <row r="64" spans="1:4" x14ac:dyDescent="0.2">
      <c r="A64" s="17">
        <v>6</v>
      </c>
      <c r="B64" s="2" t="s">
        <v>115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130</v>
      </c>
      <c r="C65" s="53">
        <f>COMPOSICAO!D44</f>
        <v>0.05</v>
      </c>
      <c r="D65" s="12">
        <f>C65*$D$81</f>
        <v>608.32098593654325</v>
      </c>
    </row>
    <row r="66" spans="1:4" x14ac:dyDescent="0.2">
      <c r="A66" s="51" t="s">
        <v>3</v>
      </c>
      <c r="B66" s="52" t="s">
        <v>131</v>
      </c>
      <c r="C66" s="53">
        <f>COMPOSICAO!D45</f>
        <v>0.1</v>
      </c>
      <c r="D66" s="12">
        <f>C66*($D$81+$D$65)</f>
        <v>1277.4740704667411</v>
      </c>
    </row>
    <row r="67" spans="1:4" x14ac:dyDescent="0.2">
      <c r="A67" s="51" t="s">
        <v>4</v>
      </c>
      <c r="B67" s="52" t="s">
        <v>132</v>
      </c>
      <c r="C67" s="53">
        <f>COMPOSICAO!D46</f>
        <v>9.2499999999999999E-2</v>
      </c>
      <c r="D67" s="12">
        <f>((D65+D66+D81)/(1-C67))-(D65+D66+D81)</f>
        <v>1432.3194123414978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100.64947221859171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464.53602562426943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309.69068374951297</v>
      </c>
    </row>
    <row r="71" spans="1:4" x14ac:dyDescent="0.2">
      <c r="A71" s="4" t="s">
        <v>29</v>
      </c>
      <c r="B71" s="106" t="s">
        <v>183</v>
      </c>
      <c r="C71" s="37">
        <f>COMPOSICAO!D50</f>
        <v>3.5999999999999997E-2</v>
      </c>
      <c r="D71" s="12">
        <f t="shared" si="2"/>
        <v>557.44323074912336</v>
      </c>
    </row>
    <row r="72" spans="1:4" x14ac:dyDescent="0.2">
      <c r="A72" s="178" t="s">
        <v>110</v>
      </c>
      <c r="B72" s="179"/>
      <c r="C72" s="55">
        <f>SUM(C65:C67)</f>
        <v>0.24250000000000002</v>
      </c>
      <c r="D72" s="12">
        <f>SUM(D65:D67)</f>
        <v>3318.1144687447822</v>
      </c>
    </row>
    <row r="73" spans="1:4" x14ac:dyDescent="0.2">
      <c r="A73" s="13"/>
      <c r="B73" s="14"/>
      <c r="C73" s="15"/>
      <c r="D73" s="16"/>
    </row>
    <row r="74" spans="1:4" x14ac:dyDescent="0.2">
      <c r="A74" s="186" t="s">
        <v>111</v>
      </c>
      <c r="B74" s="187"/>
      <c r="C74" s="187"/>
      <c r="D74" s="188"/>
    </row>
    <row r="75" spans="1:4" x14ac:dyDescent="0.2">
      <c r="A75" s="26" t="s">
        <v>112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133</v>
      </c>
      <c r="C76" s="58"/>
      <c r="D76" s="8">
        <f>D7</f>
        <v>7656.4811111111112</v>
      </c>
    </row>
    <row r="77" spans="1:4" x14ac:dyDescent="0.2">
      <c r="A77" s="4">
        <v>2</v>
      </c>
      <c r="B77" s="46" t="s">
        <v>134</v>
      </c>
      <c r="C77" s="58"/>
      <c r="D77" s="8">
        <f>D43</f>
        <v>4078.8446922592598</v>
      </c>
    </row>
    <row r="78" spans="1:4" x14ac:dyDescent="0.2">
      <c r="A78" s="4">
        <v>3</v>
      </c>
      <c r="B78" s="46" t="s">
        <v>135</v>
      </c>
      <c r="C78" s="58"/>
      <c r="D78" s="8">
        <f>D53</f>
        <v>431.09391536049378</v>
      </c>
    </row>
    <row r="79" spans="1:4" x14ac:dyDescent="0.2">
      <c r="A79" s="4">
        <v>4</v>
      </c>
      <c r="B79" s="46" t="s">
        <v>136</v>
      </c>
      <c r="C79" s="58"/>
      <c r="D79" s="8">
        <v>0</v>
      </c>
    </row>
    <row r="80" spans="1:4" x14ac:dyDescent="0.2">
      <c r="A80" s="4">
        <v>5</v>
      </c>
      <c r="B80" s="46" t="s">
        <v>137</v>
      </c>
      <c r="C80" s="58"/>
      <c r="D80" s="8">
        <v>0</v>
      </c>
    </row>
    <row r="81" spans="1:4" x14ac:dyDescent="0.2">
      <c r="A81" s="59" t="s">
        <v>113</v>
      </c>
      <c r="B81" s="10"/>
      <c r="C81" s="11"/>
      <c r="D81" s="12">
        <f>SUM(D76:D80)</f>
        <v>12166.419718730865</v>
      </c>
    </row>
    <row r="82" spans="1:4" x14ac:dyDescent="0.2">
      <c r="A82" s="4">
        <v>6</v>
      </c>
      <c r="B82" s="46" t="s">
        <v>138</v>
      </c>
      <c r="C82" s="58"/>
      <c r="D82" s="8">
        <f>D72</f>
        <v>3318.1144687447822</v>
      </c>
    </row>
    <row r="83" spans="1:4" x14ac:dyDescent="0.2">
      <c r="A83" s="178" t="s">
        <v>114</v>
      </c>
      <c r="B83" s="189"/>
      <c r="C83" s="179"/>
      <c r="D83" s="60">
        <f>SUM(D81:D82)</f>
        <v>15484.534187475649</v>
      </c>
    </row>
    <row r="84" spans="1:4" x14ac:dyDescent="0.2">
      <c r="C84" s="108" t="s">
        <v>187</v>
      </c>
      <c r="D84" s="109">
        <f>ROUNDUP(D83/D76,2)</f>
        <v>2.0299999999999998</v>
      </c>
    </row>
    <row r="85" spans="1:4" x14ac:dyDescent="0.2"/>
    <row r="86" spans="1:4" hidden="1" x14ac:dyDescent="0.2">
      <c r="D86" s="111"/>
    </row>
  </sheetData>
  <mergeCells count="22"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</mergeCells>
  <conditionalFormatting sqref="B69">
    <cfRule type="expression" dxfId="13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3B6BC0-C9AA-4B08-A072-D55F805E0D55}">
  <sheetPr codeName="Planilha37"/>
  <dimension ref="A1:D86"/>
  <sheetViews>
    <sheetView zoomScaleNormal="100" workbookViewId="0">
      <selection activeCell="F24" sqref="F24:F31"/>
    </sheetView>
  </sheetViews>
  <sheetFormatPr defaultColWidth="0" defaultRowHeight="12" zeroHeight="1" x14ac:dyDescent="0.2"/>
  <cols>
    <col min="1" max="1" width="5.85546875" style="107" customWidth="1"/>
    <col min="2" max="2" width="83.28515625" style="107" customWidth="1"/>
    <col min="3" max="3" width="12.42578125" style="107" customWidth="1"/>
    <col min="4" max="4" width="15.42578125" style="107" customWidth="1"/>
    <col min="5" max="5" width="9.140625" style="107" hidden="1" customWidth="1"/>
    <col min="6" max="16384" width="9.140625" style="107" hidden="1"/>
  </cols>
  <sheetData>
    <row r="1" spans="1:4" ht="12.75" thickBot="1" x14ac:dyDescent="0.25">
      <c r="A1" s="180" t="str">
        <f>PERFIS!C23</f>
        <v>Analista de UX/UI Sênior</v>
      </c>
      <c r="B1" s="181"/>
      <c r="C1" s="181"/>
      <c r="D1" s="182"/>
    </row>
    <row r="2" spans="1:4" x14ac:dyDescent="0.2">
      <c r="A2" s="110"/>
      <c r="B2" s="110"/>
      <c r="C2" s="110"/>
      <c r="D2" s="110"/>
    </row>
    <row r="3" spans="1:4" x14ac:dyDescent="0.2">
      <c r="A3" s="169" t="s">
        <v>93</v>
      </c>
      <c r="B3" s="170"/>
      <c r="C3" s="170"/>
      <c r="D3" s="171"/>
    </row>
    <row r="4" spans="1:4" x14ac:dyDescent="0.2">
      <c r="A4" s="172" t="s">
        <v>94</v>
      </c>
      <c r="B4" s="173"/>
      <c r="C4" s="173"/>
      <c r="D4" s="174"/>
    </row>
    <row r="5" spans="1:4" x14ac:dyDescent="0.2">
      <c r="A5" s="1">
        <v>1</v>
      </c>
      <c r="B5" s="2" t="s">
        <v>115</v>
      </c>
      <c r="C5" s="3"/>
      <c r="D5" s="1" t="s">
        <v>1</v>
      </c>
    </row>
    <row r="6" spans="1:4" x14ac:dyDescent="0.2">
      <c r="A6" s="4" t="s">
        <v>2</v>
      </c>
      <c r="B6" s="5" t="s">
        <v>116</v>
      </c>
      <c r="C6" s="6">
        <v>1</v>
      </c>
      <c r="D6" s="7">
        <f>_xlfn.XLOOKUP(A1,PERFIS!C3:C35,PERFIS!D3:D35)</f>
        <v>12516.666666666666</v>
      </c>
    </row>
    <row r="7" spans="1:4" x14ac:dyDescent="0.2">
      <c r="A7" s="9" t="s">
        <v>95</v>
      </c>
      <c r="B7" s="10"/>
      <c r="C7" s="11"/>
      <c r="D7" s="12">
        <f>SUM(D6)</f>
        <v>12516.666666666666</v>
      </c>
    </row>
    <row r="8" spans="1:4" x14ac:dyDescent="0.2">
      <c r="A8" s="13"/>
      <c r="B8" s="14"/>
      <c r="C8" s="15"/>
      <c r="D8" s="16"/>
    </row>
    <row r="9" spans="1:4" x14ac:dyDescent="0.2">
      <c r="A9" s="172" t="s">
        <v>96</v>
      </c>
      <c r="B9" s="173"/>
      <c r="C9" s="173"/>
      <c r="D9" s="174"/>
    </row>
    <row r="10" spans="1:4" x14ac:dyDescent="0.2">
      <c r="A10" s="175" t="s">
        <v>190</v>
      </c>
      <c r="B10" s="176"/>
      <c r="C10" s="176"/>
      <c r="D10" s="177"/>
    </row>
    <row r="11" spans="1:4" x14ac:dyDescent="0.2">
      <c r="A11" s="17" t="s">
        <v>9</v>
      </c>
      <c r="B11" s="2" t="s">
        <v>115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117</v>
      </c>
      <c r="C12" s="21">
        <f>COMPOSICAO!D3</f>
        <v>8.3333333333333329E-2</v>
      </c>
      <c r="D12" s="22">
        <f>C12*$D$7</f>
        <v>1043.0555555555554</v>
      </c>
    </row>
    <row r="13" spans="1:4" x14ac:dyDescent="0.2">
      <c r="A13" s="19" t="s">
        <v>3</v>
      </c>
      <c r="B13" s="20" t="s">
        <v>185</v>
      </c>
      <c r="C13" s="21">
        <f>COMPOSICAO!D4</f>
        <v>7.7777777777777779E-2</v>
      </c>
      <c r="D13" s="22">
        <f>C13*$D$7</f>
        <v>973.51851851851848</v>
      </c>
    </row>
    <row r="14" spans="1:4" x14ac:dyDescent="0.2">
      <c r="A14" s="178" t="s">
        <v>191</v>
      </c>
      <c r="B14" s="179"/>
      <c r="C14" s="23">
        <f>SUM(C12:C13)</f>
        <v>0.16111111111111109</v>
      </c>
      <c r="D14" s="12">
        <f>SUM(D12:D13)</f>
        <v>2016.5740740740739</v>
      </c>
    </row>
    <row r="15" spans="1:4" x14ac:dyDescent="0.2">
      <c r="A15" s="13"/>
      <c r="B15" s="14"/>
      <c r="C15" s="24"/>
      <c r="D15" s="16"/>
    </row>
    <row r="16" spans="1:4" x14ac:dyDescent="0.2">
      <c r="A16" s="194" t="s">
        <v>98</v>
      </c>
      <c r="B16" s="195"/>
      <c r="C16" s="195"/>
      <c r="D16" s="196"/>
    </row>
    <row r="17" spans="1:4" x14ac:dyDescent="0.2">
      <c r="A17" s="17" t="s">
        <v>10</v>
      </c>
      <c r="B17" s="2" t="s">
        <v>115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118</v>
      </c>
      <c r="C18" s="21">
        <v>0.05</v>
      </c>
      <c r="D18" s="22">
        <f>C18*($D$7+$D$14)</f>
        <v>726.66203703703707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363.33101851851853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435.99722222222221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217.9986111111111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145.3324074074074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87.199444444444453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29.066481481481482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1162.6592592592592</v>
      </c>
    </row>
    <row r="26" spans="1:4" x14ac:dyDescent="0.2">
      <c r="A26" s="192" t="s">
        <v>99</v>
      </c>
      <c r="B26" s="193"/>
      <c r="C26" s="27">
        <f>SUM(C18:C25)</f>
        <v>0.21800000000000003</v>
      </c>
      <c r="D26" s="28">
        <f>SUM(D18:D25)</f>
        <v>3168.2464814814816</v>
      </c>
    </row>
    <row r="27" spans="1:4" x14ac:dyDescent="0.2">
      <c r="A27" s="13"/>
      <c r="B27" s="14"/>
      <c r="C27" s="29"/>
      <c r="D27" s="16"/>
    </row>
    <row r="28" spans="1:4" x14ac:dyDescent="0.2">
      <c r="A28" s="194" t="s">
        <v>100</v>
      </c>
      <c r="B28" s="195"/>
      <c r="C28" s="195"/>
      <c r="D28" s="196"/>
    </row>
    <row r="29" spans="1:4" x14ac:dyDescent="0.2">
      <c r="A29" s="17" t="s">
        <v>19</v>
      </c>
      <c r="B29" s="194" t="s">
        <v>115</v>
      </c>
      <c r="C29" s="196"/>
      <c r="D29" s="17" t="s">
        <v>1</v>
      </c>
    </row>
    <row r="30" spans="1:4" x14ac:dyDescent="0.2">
      <c r="A30" s="183" t="s">
        <v>2</v>
      </c>
      <c r="B30" s="30" t="s">
        <v>119</v>
      </c>
      <c r="C30" s="31"/>
      <c r="D30" s="7">
        <f>COMPOSICAO!D20*2*22</f>
        <v>242</v>
      </c>
    </row>
    <row r="31" spans="1:4" x14ac:dyDescent="0.2">
      <c r="A31" s="184"/>
      <c r="B31" s="30" t="s">
        <v>20</v>
      </c>
      <c r="C31" s="31"/>
      <c r="D31" s="7">
        <f>D6*COMPOSICAO!D21</f>
        <v>750.99999999999989</v>
      </c>
    </row>
    <row r="32" spans="1:4" x14ac:dyDescent="0.2">
      <c r="A32" s="185"/>
      <c r="B32" s="88" t="s">
        <v>21</v>
      </c>
      <c r="C32" s="89"/>
      <c r="D32" s="39">
        <f>IF(D30-D31&gt;0,D30-D31,0)</f>
        <v>0</v>
      </c>
    </row>
    <row r="33" spans="1:4" x14ac:dyDescent="0.2">
      <c r="A33" s="183" t="s">
        <v>3</v>
      </c>
      <c r="B33" s="30" t="s">
        <v>120</v>
      </c>
      <c r="D33" s="7">
        <f>COMPOSICAO!D23*22</f>
        <v>814</v>
      </c>
    </row>
    <row r="34" spans="1:4" x14ac:dyDescent="0.2">
      <c r="A34" s="184"/>
      <c r="B34" s="30" t="s">
        <v>181</v>
      </c>
      <c r="C34" s="104" cm="1">
        <f t="array" ref="C34">_xlfn.IFS(D6&lt;2407,COMPOSICAO!D25,D6&lt;4073.39,COMPOSICAO!D26,D6&lt;5924.92,COMPOSICAO!D27,D6&lt;7406.17,COMPOSICAO!D28,D6&lt;9072.58,COMPOSICAO!D29,D6&gt;9072.59,COMPOSICAO!D30)</f>
        <v>0.15</v>
      </c>
      <c r="D34" s="7">
        <f>D33*C34</f>
        <v>122.1</v>
      </c>
    </row>
    <row r="35" spans="1:4" x14ac:dyDescent="0.2">
      <c r="A35" s="185"/>
      <c r="B35" s="88" t="s">
        <v>182</v>
      </c>
      <c r="C35" s="90"/>
      <c r="D35" s="39">
        <f>D33-D34</f>
        <v>691.9</v>
      </c>
    </row>
    <row r="36" spans="1:4" x14ac:dyDescent="0.2">
      <c r="A36" s="4" t="s">
        <v>4</v>
      </c>
      <c r="B36" s="30" t="s">
        <v>167</v>
      </c>
      <c r="C36" s="31"/>
      <c r="D36" s="151">
        <f>COMPOSICAO!D31</f>
        <v>184.85</v>
      </c>
    </row>
    <row r="37" spans="1:4" x14ac:dyDescent="0.2">
      <c r="A37" s="9" t="s">
        <v>101</v>
      </c>
      <c r="B37" s="10"/>
      <c r="C37" s="11"/>
      <c r="D37" s="12">
        <f>SUM(D32,D35,D36)</f>
        <v>876.75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121</v>
      </c>
      <c r="C39" s="33"/>
      <c r="D39" s="17" t="s">
        <v>1</v>
      </c>
    </row>
    <row r="40" spans="1:4" x14ac:dyDescent="0.2">
      <c r="A40" s="4" t="s">
        <v>9</v>
      </c>
      <c r="B40" s="30" t="s">
        <v>122</v>
      </c>
      <c r="C40" s="34"/>
      <c r="D40" s="8">
        <f>D14</f>
        <v>2016.5740740740739</v>
      </c>
    </row>
    <row r="41" spans="1:4" x14ac:dyDescent="0.2">
      <c r="A41" s="4" t="s">
        <v>10</v>
      </c>
      <c r="B41" s="30" t="s">
        <v>123</v>
      </c>
      <c r="C41" s="34"/>
      <c r="D41" s="8">
        <f>D26</f>
        <v>3168.2464814814816</v>
      </c>
    </row>
    <row r="42" spans="1:4" x14ac:dyDescent="0.2">
      <c r="A42" s="4" t="s">
        <v>19</v>
      </c>
      <c r="B42" s="30" t="s">
        <v>124</v>
      </c>
      <c r="C42" s="34"/>
      <c r="D42" s="8">
        <f>D37</f>
        <v>876.75</v>
      </c>
    </row>
    <row r="43" spans="1:4" x14ac:dyDescent="0.2">
      <c r="A43" s="178" t="s">
        <v>102</v>
      </c>
      <c r="B43" s="189"/>
      <c r="C43" s="35"/>
      <c r="D43" s="12">
        <f>SUM(D40:D42)</f>
        <v>6061.570555555556</v>
      </c>
    </row>
    <row r="44" spans="1:4" x14ac:dyDescent="0.2">
      <c r="A44" s="13"/>
      <c r="B44" s="14"/>
      <c r="C44" s="15"/>
      <c r="D44" s="16"/>
    </row>
    <row r="45" spans="1:4" x14ac:dyDescent="0.2">
      <c r="A45" s="172" t="s">
        <v>103</v>
      </c>
      <c r="B45" s="173"/>
      <c r="C45" s="173"/>
      <c r="D45" s="174"/>
    </row>
    <row r="46" spans="1:4" x14ac:dyDescent="0.2">
      <c r="A46" s="17">
        <v>3</v>
      </c>
      <c r="B46" s="2" t="s">
        <v>115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52.152777777777771</v>
      </c>
    </row>
    <row r="48" spans="1:4" x14ac:dyDescent="0.2">
      <c r="A48" s="4" t="s">
        <v>3</v>
      </c>
      <c r="B48" s="30" t="s">
        <v>125</v>
      </c>
      <c r="C48" s="37">
        <f>COMPOSICAO!D35</f>
        <v>3.3333333333333332E-4</v>
      </c>
      <c r="D48" s="22">
        <f>C48*$D$7</f>
        <v>4.1722222222222216</v>
      </c>
    </row>
    <row r="49" spans="1:4" x14ac:dyDescent="0.2">
      <c r="A49" s="19" t="s">
        <v>4</v>
      </c>
      <c r="B49" s="20" t="s">
        <v>126</v>
      </c>
      <c r="C49" s="37">
        <f>COMPOSICAO!D36</f>
        <v>3.4399999999999993E-2</v>
      </c>
      <c r="D49" s="22">
        <f t="shared" ref="D49:D52" si="1">C49*$D$7</f>
        <v>430.57333333333321</v>
      </c>
    </row>
    <row r="50" spans="1:4" x14ac:dyDescent="0.2">
      <c r="A50" s="4" t="s">
        <v>5</v>
      </c>
      <c r="B50" s="30" t="s">
        <v>127</v>
      </c>
      <c r="C50" s="37">
        <f>COMPOSICAO!D37</f>
        <v>1.2444444444444444E-2</v>
      </c>
      <c r="D50" s="22">
        <f t="shared" si="1"/>
        <v>155.76296296296294</v>
      </c>
    </row>
    <row r="51" spans="1:4" x14ac:dyDescent="0.2">
      <c r="A51" s="4" t="s">
        <v>6</v>
      </c>
      <c r="B51" s="30" t="s">
        <v>128</v>
      </c>
      <c r="C51" s="37">
        <f>COMPOSICAO!D38</f>
        <v>4.5631999999999999E-3</v>
      </c>
      <c r="D51" s="22">
        <f t="shared" si="1"/>
        <v>57.116053333333326</v>
      </c>
    </row>
    <row r="52" spans="1:4" x14ac:dyDescent="0.2">
      <c r="A52" s="4" t="s">
        <v>7</v>
      </c>
      <c r="B52" s="30" t="s">
        <v>129</v>
      </c>
      <c r="C52" s="37">
        <f>COMPOSICAO!D39</f>
        <v>3.9680000000000005E-4</v>
      </c>
      <c r="D52" s="22">
        <f t="shared" si="1"/>
        <v>4.966613333333334</v>
      </c>
    </row>
    <row r="53" spans="1:4" x14ac:dyDescent="0.2">
      <c r="A53" s="190" t="s">
        <v>104</v>
      </c>
      <c r="B53" s="191"/>
      <c r="C53" s="38">
        <f>SUM(C47:C52)</f>
        <v>5.6304444444444435E-2</v>
      </c>
      <c r="D53" s="39">
        <f>SUM(D47:D52)</f>
        <v>704.74396296296277</v>
      </c>
    </row>
    <row r="54" spans="1:4" x14ac:dyDescent="0.2">
      <c r="A54" s="13"/>
      <c r="B54" s="14"/>
      <c r="C54" s="40"/>
      <c r="D54" s="16"/>
    </row>
    <row r="55" spans="1:4" x14ac:dyDescent="0.2">
      <c r="A55" s="172" t="s">
        <v>105</v>
      </c>
      <c r="B55" s="173"/>
      <c r="C55" s="173"/>
      <c r="D55" s="174"/>
    </row>
    <row r="56" spans="1:4" x14ac:dyDescent="0.2">
      <c r="A56" s="17">
        <v>4</v>
      </c>
      <c r="B56" s="2" t="s">
        <v>115</v>
      </c>
      <c r="C56" s="36" t="s">
        <v>0</v>
      </c>
      <c r="D56" s="17" t="s">
        <v>1</v>
      </c>
    </row>
    <row r="57" spans="1:4" x14ac:dyDescent="0.2">
      <c r="A57" s="190" t="s">
        <v>106</v>
      </c>
      <c r="B57" s="191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2" t="s">
        <v>107</v>
      </c>
      <c r="B59" s="173"/>
      <c r="C59" s="173"/>
      <c r="D59" s="174"/>
    </row>
    <row r="60" spans="1:4" x14ac:dyDescent="0.2">
      <c r="A60" s="17">
        <v>5</v>
      </c>
      <c r="B60" s="43" t="s">
        <v>115</v>
      </c>
      <c r="C60" s="44"/>
      <c r="D60" s="45" t="s">
        <v>1</v>
      </c>
    </row>
    <row r="61" spans="1:4" x14ac:dyDescent="0.2">
      <c r="A61" s="9" t="s">
        <v>108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2" t="s">
        <v>109</v>
      </c>
      <c r="B63" s="173"/>
      <c r="C63" s="173"/>
      <c r="D63" s="174"/>
    </row>
    <row r="64" spans="1:4" x14ac:dyDescent="0.2">
      <c r="A64" s="17">
        <v>6</v>
      </c>
      <c r="B64" s="2" t="s">
        <v>115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130</v>
      </c>
      <c r="C65" s="53">
        <f>COMPOSICAO!D44</f>
        <v>0.05</v>
      </c>
      <c r="D65" s="12">
        <f>C65*$D$81</f>
        <v>964.14905925925927</v>
      </c>
    </row>
    <row r="66" spans="1:4" x14ac:dyDescent="0.2">
      <c r="A66" s="51" t="s">
        <v>3</v>
      </c>
      <c r="B66" s="52" t="s">
        <v>131</v>
      </c>
      <c r="C66" s="53">
        <f>COMPOSICAO!D45</f>
        <v>0.1</v>
      </c>
      <c r="D66" s="12">
        <f>C66*($D$81+$D$65)</f>
        <v>2024.7130244444445</v>
      </c>
    </row>
    <row r="67" spans="1:4" x14ac:dyDescent="0.2">
      <c r="A67" s="51" t="s">
        <v>4</v>
      </c>
      <c r="B67" s="52" t="s">
        <v>132</v>
      </c>
      <c r="C67" s="53">
        <f>COMPOSICAO!D46</f>
        <v>9.2499999999999999E-2</v>
      </c>
      <c r="D67" s="12">
        <f>((D65+D66+D81)/(1-C67))-(D65+D66+D81)</f>
        <v>2270.132784983165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159.52284435016833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736.2592816161615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490.83952107744102</v>
      </c>
    </row>
    <row r="71" spans="1:4" x14ac:dyDescent="0.2">
      <c r="A71" s="4" t="s">
        <v>29</v>
      </c>
      <c r="B71" s="106" t="s">
        <v>183</v>
      </c>
      <c r="C71" s="37">
        <f>COMPOSICAO!D50</f>
        <v>3.5999999999999997E-2</v>
      </c>
      <c r="D71" s="12">
        <f t="shared" si="2"/>
        <v>883.51113793939373</v>
      </c>
    </row>
    <row r="72" spans="1:4" x14ac:dyDescent="0.2">
      <c r="A72" s="178" t="s">
        <v>110</v>
      </c>
      <c r="B72" s="179"/>
      <c r="C72" s="55">
        <f>SUM(C65:C67)</f>
        <v>0.24250000000000002</v>
      </c>
      <c r="D72" s="12">
        <f>SUM(D65:D67)</f>
        <v>5258.9948686868684</v>
      </c>
    </row>
    <row r="73" spans="1:4" x14ac:dyDescent="0.2">
      <c r="A73" s="13"/>
      <c r="B73" s="14"/>
      <c r="C73" s="15"/>
      <c r="D73" s="16"/>
    </row>
    <row r="74" spans="1:4" x14ac:dyDescent="0.2">
      <c r="A74" s="186" t="s">
        <v>111</v>
      </c>
      <c r="B74" s="187"/>
      <c r="C74" s="187"/>
      <c r="D74" s="188"/>
    </row>
    <row r="75" spans="1:4" x14ac:dyDescent="0.2">
      <c r="A75" s="26" t="s">
        <v>112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133</v>
      </c>
      <c r="C76" s="58"/>
      <c r="D76" s="8">
        <f>D7</f>
        <v>12516.666666666666</v>
      </c>
    </row>
    <row r="77" spans="1:4" x14ac:dyDescent="0.2">
      <c r="A77" s="4">
        <v>2</v>
      </c>
      <c r="B77" s="46" t="s">
        <v>134</v>
      </c>
      <c r="C77" s="58"/>
      <c r="D77" s="8">
        <f>D43</f>
        <v>6061.570555555556</v>
      </c>
    </row>
    <row r="78" spans="1:4" x14ac:dyDescent="0.2">
      <c r="A78" s="4">
        <v>3</v>
      </c>
      <c r="B78" s="46" t="s">
        <v>135</v>
      </c>
      <c r="C78" s="58"/>
      <c r="D78" s="8">
        <f>D53</f>
        <v>704.74396296296277</v>
      </c>
    </row>
    <row r="79" spans="1:4" x14ac:dyDescent="0.2">
      <c r="A79" s="4">
        <v>4</v>
      </c>
      <c r="B79" s="46" t="s">
        <v>136</v>
      </c>
      <c r="C79" s="58"/>
      <c r="D79" s="8">
        <v>0</v>
      </c>
    </row>
    <row r="80" spans="1:4" x14ac:dyDescent="0.2">
      <c r="A80" s="4">
        <v>5</v>
      </c>
      <c r="B80" s="46" t="s">
        <v>137</v>
      </c>
      <c r="C80" s="58"/>
      <c r="D80" s="8">
        <v>0</v>
      </c>
    </row>
    <row r="81" spans="1:4" x14ac:dyDescent="0.2">
      <c r="A81" s="59" t="s">
        <v>113</v>
      </c>
      <c r="B81" s="10"/>
      <c r="C81" s="11"/>
      <c r="D81" s="12">
        <f>SUM(D76:D80)</f>
        <v>19282.981185185185</v>
      </c>
    </row>
    <row r="82" spans="1:4" x14ac:dyDescent="0.2">
      <c r="A82" s="4">
        <v>6</v>
      </c>
      <c r="B82" s="46" t="s">
        <v>138</v>
      </c>
      <c r="C82" s="58"/>
      <c r="D82" s="8">
        <f>D72</f>
        <v>5258.9948686868684</v>
      </c>
    </row>
    <row r="83" spans="1:4" x14ac:dyDescent="0.2">
      <c r="A83" s="178" t="s">
        <v>114</v>
      </c>
      <c r="B83" s="189"/>
      <c r="C83" s="179"/>
      <c r="D83" s="60">
        <f>SUM(D81:D82)</f>
        <v>24541.976053872051</v>
      </c>
    </row>
    <row r="84" spans="1:4" x14ac:dyDescent="0.2">
      <c r="C84" s="108" t="s">
        <v>187</v>
      </c>
      <c r="D84" s="109">
        <f>ROUNDUP(D83/D76,2)</f>
        <v>1.97</v>
      </c>
    </row>
    <row r="85" spans="1:4" x14ac:dyDescent="0.2"/>
    <row r="86" spans="1:4" hidden="1" x14ac:dyDescent="0.2">
      <c r="D86" s="111"/>
    </row>
  </sheetData>
  <mergeCells count="22"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</mergeCells>
  <conditionalFormatting sqref="B69">
    <cfRule type="expression" dxfId="12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7D366C-780B-4627-A5FA-33B28476DA4E}">
  <sheetPr codeName="Planilha38"/>
  <dimension ref="A1:D86"/>
  <sheetViews>
    <sheetView zoomScaleNormal="100" workbookViewId="0">
      <selection activeCell="F24" sqref="F24:F31"/>
    </sheetView>
  </sheetViews>
  <sheetFormatPr defaultColWidth="0" defaultRowHeight="12" zeroHeight="1" x14ac:dyDescent="0.2"/>
  <cols>
    <col min="1" max="1" width="5.85546875" style="107" customWidth="1"/>
    <col min="2" max="2" width="83.28515625" style="107" customWidth="1"/>
    <col min="3" max="3" width="12.42578125" style="107" customWidth="1"/>
    <col min="4" max="4" width="15.42578125" style="107" customWidth="1"/>
    <col min="5" max="5" width="9.140625" style="107" hidden="1" customWidth="1"/>
    <col min="6" max="16384" width="9.140625" style="107" hidden="1"/>
  </cols>
  <sheetData>
    <row r="1" spans="1:4" ht="12.75" thickBot="1" x14ac:dyDescent="0.25">
      <c r="A1" s="180" t="str">
        <f>PERFIS!C24</f>
        <v>Cientista de Dados Júnior</v>
      </c>
      <c r="B1" s="181"/>
      <c r="C1" s="181"/>
      <c r="D1" s="182"/>
    </row>
    <row r="2" spans="1:4" x14ac:dyDescent="0.2">
      <c r="A2" s="110"/>
      <c r="B2" s="110"/>
      <c r="C2" s="110"/>
      <c r="D2" s="110"/>
    </row>
    <row r="3" spans="1:4" x14ac:dyDescent="0.2">
      <c r="A3" s="169" t="s">
        <v>93</v>
      </c>
      <c r="B3" s="170"/>
      <c r="C3" s="170"/>
      <c r="D3" s="171"/>
    </row>
    <row r="4" spans="1:4" x14ac:dyDescent="0.2">
      <c r="A4" s="172" t="s">
        <v>94</v>
      </c>
      <c r="B4" s="173"/>
      <c r="C4" s="173"/>
      <c r="D4" s="174"/>
    </row>
    <row r="5" spans="1:4" x14ac:dyDescent="0.2">
      <c r="A5" s="1">
        <v>1</v>
      </c>
      <c r="B5" s="2" t="s">
        <v>115</v>
      </c>
      <c r="C5" s="3"/>
      <c r="D5" s="1" t="s">
        <v>1</v>
      </c>
    </row>
    <row r="6" spans="1:4" x14ac:dyDescent="0.2">
      <c r="A6" s="4" t="s">
        <v>2</v>
      </c>
      <c r="B6" s="5" t="s">
        <v>116</v>
      </c>
      <c r="C6" s="6">
        <v>1</v>
      </c>
      <c r="D6" s="7">
        <f>_xlfn.XLOOKUP(A1,PERFIS!C3:C35,PERFIS!D3:D35)</f>
        <v>8229</v>
      </c>
    </row>
    <row r="7" spans="1:4" x14ac:dyDescent="0.2">
      <c r="A7" s="9" t="s">
        <v>95</v>
      </c>
      <c r="B7" s="10"/>
      <c r="C7" s="11"/>
      <c r="D7" s="12">
        <f>SUM(D6)</f>
        <v>8229</v>
      </c>
    </row>
    <row r="8" spans="1:4" x14ac:dyDescent="0.2">
      <c r="A8" s="13"/>
      <c r="B8" s="14"/>
      <c r="C8" s="15"/>
      <c r="D8" s="16"/>
    </row>
    <row r="9" spans="1:4" x14ac:dyDescent="0.2">
      <c r="A9" s="172" t="s">
        <v>96</v>
      </c>
      <c r="B9" s="173"/>
      <c r="C9" s="173"/>
      <c r="D9" s="174"/>
    </row>
    <row r="10" spans="1:4" x14ac:dyDescent="0.2">
      <c r="A10" s="175" t="s">
        <v>190</v>
      </c>
      <c r="B10" s="176"/>
      <c r="C10" s="176"/>
      <c r="D10" s="177"/>
    </row>
    <row r="11" spans="1:4" x14ac:dyDescent="0.2">
      <c r="A11" s="17" t="s">
        <v>9</v>
      </c>
      <c r="B11" s="2" t="s">
        <v>115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117</v>
      </c>
      <c r="C12" s="21">
        <f>COMPOSICAO!D3</f>
        <v>8.3333333333333329E-2</v>
      </c>
      <c r="D12" s="22">
        <f>C12*$D$7</f>
        <v>685.75</v>
      </c>
    </row>
    <row r="13" spans="1:4" x14ac:dyDescent="0.2">
      <c r="A13" s="19" t="s">
        <v>3</v>
      </c>
      <c r="B13" s="20" t="s">
        <v>185</v>
      </c>
      <c r="C13" s="21">
        <f>COMPOSICAO!D4</f>
        <v>7.7777777777777779E-2</v>
      </c>
      <c r="D13" s="22">
        <f>C13*$D$7</f>
        <v>640.0333333333333</v>
      </c>
    </row>
    <row r="14" spans="1:4" x14ac:dyDescent="0.2">
      <c r="A14" s="178" t="s">
        <v>191</v>
      </c>
      <c r="B14" s="179"/>
      <c r="C14" s="23">
        <f>SUM(C12:C13)</f>
        <v>0.16111111111111109</v>
      </c>
      <c r="D14" s="12">
        <f>SUM(D12:D13)</f>
        <v>1325.7833333333333</v>
      </c>
    </row>
    <row r="15" spans="1:4" x14ac:dyDescent="0.2">
      <c r="A15" s="13"/>
      <c r="B15" s="14"/>
      <c r="C15" s="24"/>
      <c r="D15" s="16"/>
    </row>
    <row r="16" spans="1:4" x14ac:dyDescent="0.2">
      <c r="A16" s="194" t="s">
        <v>98</v>
      </c>
      <c r="B16" s="195"/>
      <c r="C16" s="195"/>
      <c r="D16" s="196"/>
    </row>
    <row r="17" spans="1:4" x14ac:dyDescent="0.2">
      <c r="A17" s="17" t="s">
        <v>10</v>
      </c>
      <c r="B17" s="2" t="s">
        <v>115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118</v>
      </c>
      <c r="C18" s="21">
        <v>0.05</v>
      </c>
      <c r="D18" s="22">
        <f>C18*($D$7+$D$14)</f>
        <v>477.73916666666668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238.86958333333334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286.64349999999996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143.32174999999998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95.54783333333333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57.328699999999998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19.109566666666666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764.38266666666664</v>
      </c>
    </row>
    <row r="26" spans="1:4" x14ac:dyDescent="0.2">
      <c r="A26" s="192" t="s">
        <v>99</v>
      </c>
      <c r="B26" s="193"/>
      <c r="C26" s="27">
        <f>SUM(C18:C25)</f>
        <v>0.21800000000000003</v>
      </c>
      <c r="D26" s="28">
        <f>SUM(D18:D25)</f>
        <v>2082.942766666667</v>
      </c>
    </row>
    <row r="27" spans="1:4" x14ac:dyDescent="0.2">
      <c r="A27" s="13"/>
      <c r="B27" s="14"/>
      <c r="C27" s="29"/>
      <c r="D27" s="16"/>
    </row>
    <row r="28" spans="1:4" x14ac:dyDescent="0.2">
      <c r="A28" s="194" t="s">
        <v>100</v>
      </c>
      <c r="B28" s="195"/>
      <c r="C28" s="195"/>
      <c r="D28" s="196"/>
    </row>
    <row r="29" spans="1:4" x14ac:dyDescent="0.2">
      <c r="A29" s="17" t="s">
        <v>19</v>
      </c>
      <c r="B29" s="194" t="s">
        <v>115</v>
      </c>
      <c r="C29" s="196"/>
      <c r="D29" s="17" t="s">
        <v>1</v>
      </c>
    </row>
    <row r="30" spans="1:4" x14ac:dyDescent="0.2">
      <c r="A30" s="183" t="s">
        <v>2</v>
      </c>
      <c r="B30" s="30" t="s">
        <v>119</v>
      </c>
      <c r="C30" s="31"/>
      <c r="D30" s="7">
        <f>COMPOSICAO!D20*2*22</f>
        <v>242</v>
      </c>
    </row>
    <row r="31" spans="1:4" x14ac:dyDescent="0.2">
      <c r="A31" s="184"/>
      <c r="B31" s="30" t="s">
        <v>20</v>
      </c>
      <c r="C31" s="31"/>
      <c r="D31" s="7">
        <f>D6*COMPOSICAO!D21</f>
        <v>493.74</v>
      </c>
    </row>
    <row r="32" spans="1:4" x14ac:dyDescent="0.2">
      <c r="A32" s="185"/>
      <c r="B32" s="88" t="s">
        <v>21</v>
      </c>
      <c r="C32" s="89"/>
      <c r="D32" s="39">
        <f>IF(D30-D31&gt;0,D30-D31,0)</f>
        <v>0</v>
      </c>
    </row>
    <row r="33" spans="1:4" x14ac:dyDescent="0.2">
      <c r="A33" s="183" t="s">
        <v>3</v>
      </c>
      <c r="B33" s="30" t="s">
        <v>120</v>
      </c>
      <c r="D33" s="7">
        <f>COMPOSICAO!D23*22</f>
        <v>814</v>
      </c>
    </row>
    <row r="34" spans="1:4" x14ac:dyDescent="0.2">
      <c r="A34" s="184"/>
      <c r="B34" s="30" t="s">
        <v>181</v>
      </c>
      <c r="C34" s="104" cm="1">
        <f t="array" ref="C34">_xlfn.IFS(D6&lt;2407,COMPOSICAO!D25,D6&lt;4073.39,COMPOSICAO!D26,D6&lt;5924.92,COMPOSICAO!D27,D6&lt;7406.17,COMPOSICAO!D28,D6&lt;9072.58,COMPOSICAO!D29,D6&gt;9072.59,COMPOSICAO!D30)</f>
        <v>0.1125</v>
      </c>
      <c r="D34" s="7">
        <f>D33*C34</f>
        <v>91.575000000000003</v>
      </c>
    </row>
    <row r="35" spans="1:4" x14ac:dyDescent="0.2">
      <c r="A35" s="185"/>
      <c r="B35" s="88" t="s">
        <v>182</v>
      </c>
      <c r="C35" s="90"/>
      <c r="D35" s="39">
        <f>D33-D34</f>
        <v>722.42499999999995</v>
      </c>
    </row>
    <row r="36" spans="1:4" x14ac:dyDescent="0.2">
      <c r="A36" s="4" t="s">
        <v>4</v>
      </c>
      <c r="B36" s="30" t="s">
        <v>167</v>
      </c>
      <c r="C36" s="31"/>
      <c r="D36" s="151">
        <f>COMPOSICAO!D31</f>
        <v>184.85</v>
      </c>
    </row>
    <row r="37" spans="1:4" x14ac:dyDescent="0.2">
      <c r="A37" s="9" t="s">
        <v>101</v>
      </c>
      <c r="B37" s="10"/>
      <c r="C37" s="11"/>
      <c r="D37" s="12">
        <f>SUM(D32,D35,D36)</f>
        <v>907.27499999999998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121</v>
      </c>
      <c r="C39" s="33"/>
      <c r="D39" s="17" t="s">
        <v>1</v>
      </c>
    </row>
    <row r="40" spans="1:4" x14ac:dyDescent="0.2">
      <c r="A40" s="4" t="s">
        <v>9</v>
      </c>
      <c r="B40" s="30" t="s">
        <v>122</v>
      </c>
      <c r="C40" s="34"/>
      <c r="D40" s="8">
        <f>D14</f>
        <v>1325.7833333333333</v>
      </c>
    </row>
    <row r="41" spans="1:4" x14ac:dyDescent="0.2">
      <c r="A41" s="4" t="s">
        <v>10</v>
      </c>
      <c r="B41" s="30" t="s">
        <v>123</v>
      </c>
      <c r="C41" s="34"/>
      <c r="D41" s="8">
        <f>D26</f>
        <v>2082.942766666667</v>
      </c>
    </row>
    <row r="42" spans="1:4" x14ac:dyDescent="0.2">
      <c r="A42" s="4" t="s">
        <v>19</v>
      </c>
      <c r="B42" s="30" t="s">
        <v>124</v>
      </c>
      <c r="C42" s="34"/>
      <c r="D42" s="8">
        <f>D37</f>
        <v>907.27499999999998</v>
      </c>
    </row>
    <row r="43" spans="1:4" x14ac:dyDescent="0.2">
      <c r="A43" s="178" t="s">
        <v>102</v>
      </c>
      <c r="B43" s="189"/>
      <c r="C43" s="35"/>
      <c r="D43" s="12">
        <f>SUM(D40:D42)</f>
        <v>4316.0011000000004</v>
      </c>
    </row>
    <row r="44" spans="1:4" x14ac:dyDescent="0.2">
      <c r="A44" s="13"/>
      <c r="B44" s="14"/>
      <c r="C44" s="15"/>
      <c r="D44" s="16"/>
    </row>
    <row r="45" spans="1:4" x14ac:dyDescent="0.2">
      <c r="A45" s="172" t="s">
        <v>103</v>
      </c>
      <c r="B45" s="173"/>
      <c r="C45" s="173"/>
      <c r="D45" s="174"/>
    </row>
    <row r="46" spans="1:4" x14ac:dyDescent="0.2">
      <c r="A46" s="17">
        <v>3</v>
      </c>
      <c r="B46" s="2" t="s">
        <v>115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34.287500000000001</v>
      </c>
    </row>
    <row r="48" spans="1:4" x14ac:dyDescent="0.2">
      <c r="A48" s="4" t="s">
        <v>3</v>
      </c>
      <c r="B48" s="30" t="s">
        <v>125</v>
      </c>
      <c r="C48" s="37">
        <f>COMPOSICAO!D35</f>
        <v>3.3333333333333332E-4</v>
      </c>
      <c r="D48" s="22">
        <f>C48*$D$7</f>
        <v>2.7429999999999999</v>
      </c>
    </row>
    <row r="49" spans="1:4" x14ac:dyDescent="0.2">
      <c r="A49" s="19" t="s">
        <v>4</v>
      </c>
      <c r="B49" s="20" t="s">
        <v>126</v>
      </c>
      <c r="C49" s="37">
        <f>COMPOSICAO!D36</f>
        <v>3.4399999999999993E-2</v>
      </c>
      <c r="D49" s="22">
        <f t="shared" ref="D49:D52" si="1">C49*$D$7</f>
        <v>283.07759999999996</v>
      </c>
    </row>
    <row r="50" spans="1:4" x14ac:dyDescent="0.2">
      <c r="A50" s="4" t="s">
        <v>5</v>
      </c>
      <c r="B50" s="30" t="s">
        <v>127</v>
      </c>
      <c r="C50" s="37">
        <f>COMPOSICAO!D37</f>
        <v>1.2444444444444444E-2</v>
      </c>
      <c r="D50" s="22">
        <f t="shared" si="1"/>
        <v>102.40533333333333</v>
      </c>
    </row>
    <row r="51" spans="1:4" x14ac:dyDescent="0.2">
      <c r="A51" s="4" t="s">
        <v>6</v>
      </c>
      <c r="B51" s="30" t="s">
        <v>128</v>
      </c>
      <c r="C51" s="37">
        <f>COMPOSICAO!D38</f>
        <v>4.5631999999999999E-3</v>
      </c>
      <c r="D51" s="22">
        <f t="shared" si="1"/>
        <v>37.550572799999998</v>
      </c>
    </row>
    <row r="52" spans="1:4" x14ac:dyDescent="0.2">
      <c r="A52" s="4" t="s">
        <v>7</v>
      </c>
      <c r="B52" s="30" t="s">
        <v>129</v>
      </c>
      <c r="C52" s="37">
        <f>COMPOSICAO!D39</f>
        <v>3.9680000000000005E-4</v>
      </c>
      <c r="D52" s="22">
        <f t="shared" si="1"/>
        <v>3.2652672000000003</v>
      </c>
    </row>
    <row r="53" spans="1:4" x14ac:dyDescent="0.2">
      <c r="A53" s="190" t="s">
        <v>104</v>
      </c>
      <c r="B53" s="191"/>
      <c r="C53" s="38">
        <f>SUM(C47:C52)</f>
        <v>5.6304444444444435E-2</v>
      </c>
      <c r="D53" s="39">
        <f>SUM(D47:D52)</f>
        <v>463.32927333333328</v>
      </c>
    </row>
    <row r="54" spans="1:4" x14ac:dyDescent="0.2">
      <c r="A54" s="13"/>
      <c r="B54" s="14"/>
      <c r="C54" s="40"/>
      <c r="D54" s="16"/>
    </row>
    <row r="55" spans="1:4" x14ac:dyDescent="0.2">
      <c r="A55" s="172" t="s">
        <v>105</v>
      </c>
      <c r="B55" s="173"/>
      <c r="C55" s="173"/>
      <c r="D55" s="174"/>
    </row>
    <row r="56" spans="1:4" x14ac:dyDescent="0.2">
      <c r="A56" s="17">
        <v>4</v>
      </c>
      <c r="B56" s="2" t="s">
        <v>115</v>
      </c>
      <c r="C56" s="36" t="s">
        <v>0</v>
      </c>
      <c r="D56" s="17" t="s">
        <v>1</v>
      </c>
    </row>
    <row r="57" spans="1:4" x14ac:dyDescent="0.2">
      <c r="A57" s="190" t="s">
        <v>106</v>
      </c>
      <c r="B57" s="191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2" t="s">
        <v>107</v>
      </c>
      <c r="B59" s="173"/>
      <c r="C59" s="173"/>
      <c r="D59" s="174"/>
    </row>
    <row r="60" spans="1:4" x14ac:dyDescent="0.2">
      <c r="A60" s="17">
        <v>5</v>
      </c>
      <c r="B60" s="43" t="s">
        <v>115</v>
      </c>
      <c r="C60" s="44"/>
      <c r="D60" s="45" t="s">
        <v>1</v>
      </c>
    </row>
    <row r="61" spans="1:4" x14ac:dyDescent="0.2">
      <c r="A61" s="9" t="s">
        <v>108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2" t="s">
        <v>109</v>
      </c>
      <c r="B63" s="173"/>
      <c r="C63" s="173"/>
      <c r="D63" s="174"/>
    </row>
    <row r="64" spans="1:4" x14ac:dyDescent="0.2">
      <c r="A64" s="17">
        <v>6</v>
      </c>
      <c r="B64" s="2" t="s">
        <v>115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130</v>
      </c>
      <c r="C65" s="53">
        <f>COMPOSICAO!D44</f>
        <v>0.05</v>
      </c>
      <c r="D65" s="12">
        <f>C65*$D$81</f>
        <v>650.41651866666678</v>
      </c>
    </row>
    <row r="66" spans="1:4" x14ac:dyDescent="0.2">
      <c r="A66" s="51" t="s">
        <v>3</v>
      </c>
      <c r="B66" s="52" t="s">
        <v>131</v>
      </c>
      <c r="C66" s="53">
        <f>COMPOSICAO!D45</f>
        <v>0.1</v>
      </c>
      <c r="D66" s="12">
        <f>C66*($D$81+$D$65)</f>
        <v>1365.8746892000001</v>
      </c>
    </row>
    <row r="67" spans="1:4" x14ac:dyDescent="0.2">
      <c r="A67" s="51" t="s">
        <v>4</v>
      </c>
      <c r="B67" s="52" t="s">
        <v>132</v>
      </c>
      <c r="C67" s="53">
        <f>COMPOSICAO!D46</f>
        <v>9.2499999999999999E-2</v>
      </c>
      <c r="D67" s="12">
        <f>((D65+D66+D81)/(1-C67))-(D65+D66+D81)</f>
        <v>1531.4352575878802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107.61436945212122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496.68170516363642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331.12113677575763</v>
      </c>
    </row>
    <row r="71" spans="1:4" x14ac:dyDescent="0.2">
      <c r="A71" s="4" t="s">
        <v>29</v>
      </c>
      <c r="B71" s="106" t="s">
        <v>183</v>
      </c>
      <c r="C71" s="37">
        <f>COMPOSICAO!D50</f>
        <v>3.5999999999999997E-2</v>
      </c>
      <c r="D71" s="12">
        <f t="shared" si="2"/>
        <v>596.01804619636368</v>
      </c>
    </row>
    <row r="72" spans="1:4" x14ac:dyDescent="0.2">
      <c r="A72" s="178" t="s">
        <v>110</v>
      </c>
      <c r="B72" s="179"/>
      <c r="C72" s="55">
        <f>SUM(C65:C67)</f>
        <v>0.24250000000000002</v>
      </c>
      <c r="D72" s="12">
        <f>SUM(D65:D67)</f>
        <v>3547.726465454547</v>
      </c>
    </row>
    <row r="73" spans="1:4" x14ac:dyDescent="0.2">
      <c r="A73" s="13"/>
      <c r="B73" s="14"/>
      <c r="C73" s="15"/>
      <c r="D73" s="16"/>
    </row>
    <row r="74" spans="1:4" x14ac:dyDescent="0.2">
      <c r="A74" s="186" t="s">
        <v>111</v>
      </c>
      <c r="B74" s="187"/>
      <c r="C74" s="187"/>
      <c r="D74" s="188"/>
    </row>
    <row r="75" spans="1:4" x14ac:dyDescent="0.2">
      <c r="A75" s="26" t="s">
        <v>112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133</v>
      </c>
      <c r="C76" s="58"/>
      <c r="D76" s="8">
        <f>D7</f>
        <v>8229</v>
      </c>
    </row>
    <row r="77" spans="1:4" x14ac:dyDescent="0.2">
      <c r="A77" s="4">
        <v>2</v>
      </c>
      <c r="B77" s="46" t="s">
        <v>134</v>
      </c>
      <c r="C77" s="58"/>
      <c r="D77" s="8">
        <f>D43</f>
        <v>4316.0011000000004</v>
      </c>
    </row>
    <row r="78" spans="1:4" x14ac:dyDescent="0.2">
      <c r="A78" s="4">
        <v>3</v>
      </c>
      <c r="B78" s="46" t="s">
        <v>135</v>
      </c>
      <c r="C78" s="58"/>
      <c r="D78" s="8">
        <f>D53</f>
        <v>463.32927333333328</v>
      </c>
    </row>
    <row r="79" spans="1:4" x14ac:dyDescent="0.2">
      <c r="A79" s="4">
        <v>4</v>
      </c>
      <c r="B79" s="46" t="s">
        <v>136</v>
      </c>
      <c r="C79" s="58"/>
      <c r="D79" s="8">
        <v>0</v>
      </c>
    </row>
    <row r="80" spans="1:4" x14ac:dyDescent="0.2">
      <c r="A80" s="4">
        <v>5</v>
      </c>
      <c r="B80" s="46" t="s">
        <v>137</v>
      </c>
      <c r="C80" s="58"/>
      <c r="D80" s="8">
        <v>0</v>
      </c>
    </row>
    <row r="81" spans="1:4" x14ac:dyDescent="0.2">
      <c r="A81" s="59" t="s">
        <v>113</v>
      </c>
      <c r="B81" s="10"/>
      <c r="C81" s="11"/>
      <c r="D81" s="12">
        <f>SUM(D76:D80)</f>
        <v>13008.330373333334</v>
      </c>
    </row>
    <row r="82" spans="1:4" x14ac:dyDescent="0.2">
      <c r="A82" s="4">
        <v>6</v>
      </c>
      <c r="B82" s="46" t="s">
        <v>138</v>
      </c>
      <c r="C82" s="58"/>
      <c r="D82" s="8">
        <f>D72</f>
        <v>3547.726465454547</v>
      </c>
    </row>
    <row r="83" spans="1:4" x14ac:dyDescent="0.2">
      <c r="A83" s="178" t="s">
        <v>114</v>
      </c>
      <c r="B83" s="189"/>
      <c r="C83" s="179"/>
      <c r="D83" s="60">
        <f>SUM(D81:D82)</f>
        <v>16556.056838787881</v>
      </c>
    </row>
    <row r="84" spans="1:4" x14ac:dyDescent="0.2">
      <c r="C84" s="108" t="s">
        <v>187</v>
      </c>
      <c r="D84" s="109">
        <f>ROUNDUP(D83/D76,2)</f>
        <v>2.0199999999999996</v>
      </c>
    </row>
    <row r="85" spans="1:4" x14ac:dyDescent="0.2"/>
    <row r="86" spans="1:4" hidden="1" x14ac:dyDescent="0.2">
      <c r="D86" s="111"/>
    </row>
  </sheetData>
  <mergeCells count="22"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</mergeCells>
  <conditionalFormatting sqref="B69">
    <cfRule type="expression" dxfId="11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F8A017-B4CF-42E1-8BBF-057307A14AFB}">
  <sheetPr codeName="Planilha39"/>
  <dimension ref="A1:D86"/>
  <sheetViews>
    <sheetView zoomScaleNormal="100" workbookViewId="0">
      <selection activeCell="F24" sqref="F24:F31"/>
    </sheetView>
  </sheetViews>
  <sheetFormatPr defaultColWidth="0" defaultRowHeight="12" zeroHeight="1" x14ac:dyDescent="0.2"/>
  <cols>
    <col min="1" max="1" width="5.85546875" style="107" customWidth="1"/>
    <col min="2" max="2" width="83.28515625" style="107" customWidth="1"/>
    <col min="3" max="3" width="12.42578125" style="107" customWidth="1"/>
    <col min="4" max="4" width="15.42578125" style="107" customWidth="1"/>
    <col min="5" max="5" width="9.140625" style="107" hidden="1" customWidth="1"/>
    <col min="6" max="16384" width="9.140625" style="107" hidden="1"/>
  </cols>
  <sheetData>
    <row r="1" spans="1:4" ht="12.75" thickBot="1" x14ac:dyDescent="0.25">
      <c r="A1" s="180" t="str">
        <f>PERFIS!C25</f>
        <v>Cientista de Dados Pleno</v>
      </c>
      <c r="B1" s="181"/>
      <c r="C1" s="181"/>
      <c r="D1" s="182"/>
    </row>
    <row r="2" spans="1:4" x14ac:dyDescent="0.2">
      <c r="A2" s="110"/>
      <c r="B2" s="110"/>
      <c r="C2" s="110"/>
      <c r="D2" s="110"/>
    </row>
    <row r="3" spans="1:4" x14ac:dyDescent="0.2">
      <c r="A3" s="169" t="s">
        <v>93</v>
      </c>
      <c r="B3" s="170"/>
      <c r="C3" s="170"/>
      <c r="D3" s="171"/>
    </row>
    <row r="4" spans="1:4" x14ac:dyDescent="0.2">
      <c r="A4" s="172" t="s">
        <v>94</v>
      </c>
      <c r="B4" s="173"/>
      <c r="C4" s="173"/>
      <c r="D4" s="174"/>
    </row>
    <row r="5" spans="1:4" x14ac:dyDescent="0.2">
      <c r="A5" s="1">
        <v>1</v>
      </c>
      <c r="B5" s="2" t="s">
        <v>115</v>
      </c>
      <c r="C5" s="3"/>
      <c r="D5" s="1" t="s">
        <v>1</v>
      </c>
    </row>
    <row r="6" spans="1:4" x14ac:dyDescent="0.2">
      <c r="A6" s="4" t="s">
        <v>2</v>
      </c>
      <c r="B6" s="5" t="s">
        <v>116</v>
      </c>
      <c r="C6" s="6">
        <v>1</v>
      </c>
      <c r="D6" s="7">
        <f>_xlfn.XLOOKUP(A1,PERFIS!C3:C35,PERFIS!D3:D35)</f>
        <v>13173.333333333334</v>
      </c>
    </row>
    <row r="7" spans="1:4" x14ac:dyDescent="0.2">
      <c r="A7" s="9" t="s">
        <v>95</v>
      </c>
      <c r="B7" s="10"/>
      <c r="C7" s="11"/>
      <c r="D7" s="12">
        <f>SUM(D6)</f>
        <v>13173.333333333334</v>
      </c>
    </row>
    <row r="8" spans="1:4" x14ac:dyDescent="0.2">
      <c r="A8" s="13"/>
      <c r="B8" s="14"/>
      <c r="C8" s="15"/>
      <c r="D8" s="16"/>
    </row>
    <row r="9" spans="1:4" x14ac:dyDescent="0.2">
      <c r="A9" s="172" t="s">
        <v>96</v>
      </c>
      <c r="B9" s="173"/>
      <c r="C9" s="173"/>
      <c r="D9" s="174"/>
    </row>
    <row r="10" spans="1:4" x14ac:dyDescent="0.2">
      <c r="A10" s="175" t="s">
        <v>190</v>
      </c>
      <c r="B10" s="176"/>
      <c r="C10" s="176"/>
      <c r="D10" s="177"/>
    </row>
    <row r="11" spans="1:4" x14ac:dyDescent="0.2">
      <c r="A11" s="17" t="s">
        <v>9</v>
      </c>
      <c r="B11" s="2" t="s">
        <v>115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117</v>
      </c>
      <c r="C12" s="21">
        <f>COMPOSICAO!D3</f>
        <v>8.3333333333333329E-2</v>
      </c>
      <c r="D12" s="22">
        <f>C12*$D$7</f>
        <v>1097.7777777777778</v>
      </c>
    </row>
    <row r="13" spans="1:4" x14ac:dyDescent="0.2">
      <c r="A13" s="19" t="s">
        <v>3</v>
      </c>
      <c r="B13" s="20" t="s">
        <v>185</v>
      </c>
      <c r="C13" s="21">
        <f>COMPOSICAO!D4</f>
        <v>7.7777777777777779E-2</v>
      </c>
      <c r="D13" s="22">
        <f>C13*$D$7</f>
        <v>1024.5925925925926</v>
      </c>
    </row>
    <row r="14" spans="1:4" x14ac:dyDescent="0.2">
      <c r="A14" s="178" t="s">
        <v>191</v>
      </c>
      <c r="B14" s="179"/>
      <c r="C14" s="23">
        <f>SUM(C12:C13)</f>
        <v>0.16111111111111109</v>
      </c>
      <c r="D14" s="12">
        <f>SUM(D12:D13)</f>
        <v>2122.3703703703704</v>
      </c>
    </row>
    <row r="15" spans="1:4" x14ac:dyDescent="0.2">
      <c r="A15" s="13"/>
      <c r="B15" s="14"/>
      <c r="C15" s="24"/>
      <c r="D15" s="16"/>
    </row>
    <row r="16" spans="1:4" x14ac:dyDescent="0.2">
      <c r="A16" s="194" t="s">
        <v>98</v>
      </c>
      <c r="B16" s="195"/>
      <c r="C16" s="195"/>
      <c r="D16" s="196"/>
    </row>
    <row r="17" spans="1:4" x14ac:dyDescent="0.2">
      <c r="A17" s="17" t="s">
        <v>10</v>
      </c>
      <c r="B17" s="2" t="s">
        <v>115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118</v>
      </c>
      <c r="C18" s="21">
        <v>0.05</v>
      </c>
      <c r="D18" s="22">
        <f>C18*($D$7+$D$14)</f>
        <v>764.78518518518524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382.39259259259262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458.87111111111113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229.43555555555557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152.95703703703705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91.774222222222235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30.591407407407409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1223.6562962962964</v>
      </c>
    </row>
    <row r="26" spans="1:4" x14ac:dyDescent="0.2">
      <c r="A26" s="192" t="s">
        <v>99</v>
      </c>
      <c r="B26" s="193"/>
      <c r="C26" s="27">
        <f>SUM(C18:C25)</f>
        <v>0.21800000000000003</v>
      </c>
      <c r="D26" s="28">
        <f>SUM(D18:D25)</f>
        <v>3334.4634074074074</v>
      </c>
    </row>
    <row r="27" spans="1:4" x14ac:dyDescent="0.2">
      <c r="A27" s="13"/>
      <c r="B27" s="14"/>
      <c r="C27" s="29"/>
      <c r="D27" s="16"/>
    </row>
    <row r="28" spans="1:4" x14ac:dyDescent="0.2">
      <c r="A28" s="194" t="s">
        <v>100</v>
      </c>
      <c r="B28" s="195"/>
      <c r="C28" s="195"/>
      <c r="D28" s="196"/>
    </row>
    <row r="29" spans="1:4" x14ac:dyDescent="0.2">
      <c r="A29" s="17" t="s">
        <v>19</v>
      </c>
      <c r="B29" s="194" t="s">
        <v>115</v>
      </c>
      <c r="C29" s="196"/>
      <c r="D29" s="17" t="s">
        <v>1</v>
      </c>
    </row>
    <row r="30" spans="1:4" x14ac:dyDescent="0.2">
      <c r="A30" s="183" t="s">
        <v>2</v>
      </c>
      <c r="B30" s="30" t="s">
        <v>119</v>
      </c>
      <c r="C30" s="31"/>
      <c r="D30" s="7">
        <f>COMPOSICAO!D20*2*22</f>
        <v>242</v>
      </c>
    </row>
    <row r="31" spans="1:4" x14ac:dyDescent="0.2">
      <c r="A31" s="184"/>
      <c r="B31" s="30" t="s">
        <v>20</v>
      </c>
      <c r="C31" s="31"/>
      <c r="D31" s="7">
        <f>D6*COMPOSICAO!D21</f>
        <v>790.4</v>
      </c>
    </row>
    <row r="32" spans="1:4" x14ac:dyDescent="0.2">
      <c r="A32" s="185"/>
      <c r="B32" s="88" t="s">
        <v>21</v>
      </c>
      <c r="C32" s="89"/>
      <c r="D32" s="39">
        <f>IF(D30-D31&gt;0,D30-D31,0)</f>
        <v>0</v>
      </c>
    </row>
    <row r="33" spans="1:4" x14ac:dyDescent="0.2">
      <c r="A33" s="183" t="s">
        <v>3</v>
      </c>
      <c r="B33" s="30" t="s">
        <v>120</v>
      </c>
      <c r="D33" s="7">
        <f>COMPOSICAO!D23*22</f>
        <v>814</v>
      </c>
    </row>
    <row r="34" spans="1:4" x14ac:dyDescent="0.2">
      <c r="A34" s="184"/>
      <c r="B34" s="30" t="s">
        <v>181</v>
      </c>
      <c r="C34" s="104" cm="1">
        <f t="array" ref="C34">_xlfn.IFS(D6&lt;2407,COMPOSICAO!D25,D6&lt;4073.39,COMPOSICAO!D26,D6&lt;5924.92,COMPOSICAO!D27,D6&lt;7406.17,COMPOSICAO!D28,D6&lt;9072.58,COMPOSICAO!D29,D6&gt;9072.59,COMPOSICAO!D30)</f>
        <v>0.15</v>
      </c>
      <c r="D34" s="7">
        <f>D33*C34</f>
        <v>122.1</v>
      </c>
    </row>
    <row r="35" spans="1:4" x14ac:dyDescent="0.2">
      <c r="A35" s="185"/>
      <c r="B35" s="88" t="s">
        <v>182</v>
      </c>
      <c r="C35" s="90"/>
      <c r="D35" s="39">
        <f>D33-D34</f>
        <v>691.9</v>
      </c>
    </row>
    <row r="36" spans="1:4" x14ac:dyDescent="0.2">
      <c r="A36" s="4" t="s">
        <v>4</v>
      </c>
      <c r="B36" s="30" t="s">
        <v>167</v>
      </c>
      <c r="C36" s="31"/>
      <c r="D36" s="151">
        <f>COMPOSICAO!D31</f>
        <v>184.85</v>
      </c>
    </row>
    <row r="37" spans="1:4" x14ac:dyDescent="0.2">
      <c r="A37" s="9" t="s">
        <v>101</v>
      </c>
      <c r="B37" s="10"/>
      <c r="C37" s="11"/>
      <c r="D37" s="12">
        <f>SUM(D32,D35,D36)</f>
        <v>876.75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121</v>
      </c>
      <c r="C39" s="33"/>
      <c r="D39" s="17" t="s">
        <v>1</v>
      </c>
    </row>
    <row r="40" spans="1:4" x14ac:dyDescent="0.2">
      <c r="A40" s="4" t="s">
        <v>9</v>
      </c>
      <c r="B40" s="30" t="s">
        <v>122</v>
      </c>
      <c r="C40" s="34"/>
      <c r="D40" s="8">
        <f>D14</f>
        <v>2122.3703703703704</v>
      </c>
    </row>
    <row r="41" spans="1:4" x14ac:dyDescent="0.2">
      <c r="A41" s="4" t="s">
        <v>10</v>
      </c>
      <c r="B41" s="30" t="s">
        <v>123</v>
      </c>
      <c r="C41" s="34"/>
      <c r="D41" s="8">
        <f>D26</f>
        <v>3334.4634074074074</v>
      </c>
    </row>
    <row r="42" spans="1:4" x14ac:dyDescent="0.2">
      <c r="A42" s="4" t="s">
        <v>19</v>
      </c>
      <c r="B42" s="30" t="s">
        <v>124</v>
      </c>
      <c r="C42" s="34"/>
      <c r="D42" s="8">
        <f>D37</f>
        <v>876.75</v>
      </c>
    </row>
    <row r="43" spans="1:4" x14ac:dyDescent="0.2">
      <c r="A43" s="178" t="s">
        <v>102</v>
      </c>
      <c r="B43" s="189"/>
      <c r="C43" s="35"/>
      <c r="D43" s="12">
        <f>SUM(D40:D42)</f>
        <v>6333.5837777777779</v>
      </c>
    </row>
    <row r="44" spans="1:4" x14ac:dyDescent="0.2">
      <c r="A44" s="13"/>
      <c r="B44" s="14"/>
      <c r="C44" s="15"/>
      <c r="D44" s="16"/>
    </row>
    <row r="45" spans="1:4" x14ac:dyDescent="0.2">
      <c r="A45" s="172" t="s">
        <v>103</v>
      </c>
      <c r="B45" s="173"/>
      <c r="C45" s="173"/>
      <c r="D45" s="174"/>
    </row>
    <row r="46" spans="1:4" x14ac:dyDescent="0.2">
      <c r="A46" s="17">
        <v>3</v>
      </c>
      <c r="B46" s="2" t="s">
        <v>115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54.888888888888893</v>
      </c>
    </row>
    <row r="48" spans="1:4" x14ac:dyDescent="0.2">
      <c r="A48" s="4" t="s">
        <v>3</v>
      </c>
      <c r="B48" s="30" t="s">
        <v>125</v>
      </c>
      <c r="C48" s="37">
        <f>COMPOSICAO!D35</f>
        <v>3.3333333333333332E-4</v>
      </c>
      <c r="D48" s="22">
        <f>C48*$D$7</f>
        <v>4.391111111111111</v>
      </c>
    </row>
    <row r="49" spans="1:4" x14ac:dyDescent="0.2">
      <c r="A49" s="19" t="s">
        <v>4</v>
      </c>
      <c r="B49" s="20" t="s">
        <v>126</v>
      </c>
      <c r="C49" s="37">
        <f>COMPOSICAO!D36</f>
        <v>3.4399999999999993E-2</v>
      </c>
      <c r="D49" s="22">
        <f t="shared" ref="D49:D52" si="1">C49*$D$7</f>
        <v>453.16266666666661</v>
      </c>
    </row>
    <row r="50" spans="1:4" x14ac:dyDescent="0.2">
      <c r="A50" s="4" t="s">
        <v>5</v>
      </c>
      <c r="B50" s="30" t="s">
        <v>127</v>
      </c>
      <c r="C50" s="37">
        <f>COMPOSICAO!D37</f>
        <v>1.2444444444444444E-2</v>
      </c>
      <c r="D50" s="22">
        <f t="shared" si="1"/>
        <v>163.93481481481481</v>
      </c>
    </row>
    <row r="51" spans="1:4" x14ac:dyDescent="0.2">
      <c r="A51" s="4" t="s">
        <v>6</v>
      </c>
      <c r="B51" s="30" t="s">
        <v>128</v>
      </c>
      <c r="C51" s="37">
        <f>COMPOSICAO!D38</f>
        <v>4.5631999999999999E-3</v>
      </c>
      <c r="D51" s="22">
        <f t="shared" si="1"/>
        <v>60.112554666666668</v>
      </c>
    </row>
    <row r="52" spans="1:4" x14ac:dyDescent="0.2">
      <c r="A52" s="4" t="s">
        <v>7</v>
      </c>
      <c r="B52" s="30" t="s">
        <v>129</v>
      </c>
      <c r="C52" s="37">
        <f>COMPOSICAO!D39</f>
        <v>3.9680000000000005E-4</v>
      </c>
      <c r="D52" s="22">
        <f t="shared" si="1"/>
        <v>5.227178666666668</v>
      </c>
    </row>
    <row r="53" spans="1:4" x14ac:dyDescent="0.2">
      <c r="A53" s="190" t="s">
        <v>104</v>
      </c>
      <c r="B53" s="191"/>
      <c r="C53" s="38">
        <f>SUM(C47:C52)</f>
        <v>5.6304444444444435E-2</v>
      </c>
      <c r="D53" s="39">
        <f>SUM(D47:D52)</f>
        <v>741.71721481481472</v>
      </c>
    </row>
    <row r="54" spans="1:4" x14ac:dyDescent="0.2">
      <c r="A54" s="13"/>
      <c r="B54" s="14"/>
      <c r="C54" s="40"/>
      <c r="D54" s="16"/>
    </row>
    <row r="55" spans="1:4" x14ac:dyDescent="0.2">
      <c r="A55" s="172" t="s">
        <v>105</v>
      </c>
      <c r="B55" s="173"/>
      <c r="C55" s="173"/>
      <c r="D55" s="174"/>
    </row>
    <row r="56" spans="1:4" x14ac:dyDescent="0.2">
      <c r="A56" s="17">
        <v>4</v>
      </c>
      <c r="B56" s="2" t="s">
        <v>115</v>
      </c>
      <c r="C56" s="36" t="s">
        <v>0</v>
      </c>
      <c r="D56" s="17" t="s">
        <v>1</v>
      </c>
    </row>
    <row r="57" spans="1:4" x14ac:dyDescent="0.2">
      <c r="A57" s="190" t="s">
        <v>106</v>
      </c>
      <c r="B57" s="191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2" t="s">
        <v>107</v>
      </c>
      <c r="B59" s="173"/>
      <c r="C59" s="173"/>
      <c r="D59" s="174"/>
    </row>
    <row r="60" spans="1:4" x14ac:dyDescent="0.2">
      <c r="A60" s="17">
        <v>5</v>
      </c>
      <c r="B60" s="43" t="s">
        <v>115</v>
      </c>
      <c r="C60" s="44"/>
      <c r="D60" s="45" t="s">
        <v>1</v>
      </c>
    </row>
    <row r="61" spans="1:4" x14ac:dyDescent="0.2">
      <c r="A61" s="9" t="s">
        <v>108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2" t="s">
        <v>109</v>
      </c>
      <c r="B63" s="173"/>
      <c r="C63" s="173"/>
      <c r="D63" s="174"/>
    </row>
    <row r="64" spans="1:4" x14ac:dyDescent="0.2">
      <c r="A64" s="17">
        <v>6</v>
      </c>
      <c r="B64" s="2" t="s">
        <v>115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130</v>
      </c>
      <c r="C65" s="53">
        <f>COMPOSICAO!D44</f>
        <v>0.05</v>
      </c>
      <c r="D65" s="12">
        <f>C65*$D$81</f>
        <v>1012.4317162962966</v>
      </c>
    </row>
    <row r="66" spans="1:4" x14ac:dyDescent="0.2">
      <c r="A66" s="51" t="s">
        <v>3</v>
      </c>
      <c r="B66" s="52" t="s">
        <v>131</v>
      </c>
      <c r="C66" s="53">
        <f>COMPOSICAO!D45</f>
        <v>0.1</v>
      </c>
      <c r="D66" s="12">
        <f>C66*($D$81+$D$65)</f>
        <v>2126.1066042222228</v>
      </c>
    </row>
    <row r="67" spans="1:4" x14ac:dyDescent="0.2">
      <c r="A67" s="51" t="s">
        <v>4</v>
      </c>
      <c r="B67" s="52" t="s">
        <v>132</v>
      </c>
      <c r="C67" s="53">
        <f>COMPOSICAO!D46</f>
        <v>9.2499999999999999E-2</v>
      </c>
      <c r="D67" s="12">
        <f>((D65+D66+D81)/(1-C67))-(D65+D66+D81)</f>
        <v>2383.8164956430992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167.51142942356907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773.12967426262651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515.41978284175104</v>
      </c>
    </row>
    <row r="71" spans="1:4" x14ac:dyDescent="0.2">
      <c r="A71" s="4" t="s">
        <v>29</v>
      </c>
      <c r="B71" s="106" t="s">
        <v>183</v>
      </c>
      <c r="C71" s="37">
        <f>COMPOSICAO!D50</f>
        <v>3.5999999999999997E-2</v>
      </c>
      <c r="D71" s="12">
        <f t="shared" si="2"/>
        <v>927.75560911515174</v>
      </c>
    </row>
    <row r="72" spans="1:4" x14ac:dyDescent="0.2">
      <c r="A72" s="178" t="s">
        <v>110</v>
      </c>
      <c r="B72" s="179"/>
      <c r="C72" s="55">
        <f>SUM(C65:C67)</f>
        <v>0.24250000000000002</v>
      </c>
      <c r="D72" s="12">
        <f>SUM(D65:D67)</f>
        <v>5522.3548161616181</v>
      </c>
    </row>
    <row r="73" spans="1:4" x14ac:dyDescent="0.2">
      <c r="A73" s="13"/>
      <c r="B73" s="14"/>
      <c r="C73" s="15"/>
      <c r="D73" s="16"/>
    </row>
    <row r="74" spans="1:4" x14ac:dyDescent="0.2">
      <c r="A74" s="186" t="s">
        <v>111</v>
      </c>
      <c r="B74" s="187"/>
      <c r="C74" s="187"/>
      <c r="D74" s="188"/>
    </row>
    <row r="75" spans="1:4" x14ac:dyDescent="0.2">
      <c r="A75" s="26" t="s">
        <v>112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133</v>
      </c>
      <c r="C76" s="58"/>
      <c r="D76" s="8">
        <f>D7</f>
        <v>13173.333333333334</v>
      </c>
    </row>
    <row r="77" spans="1:4" x14ac:dyDescent="0.2">
      <c r="A77" s="4">
        <v>2</v>
      </c>
      <c r="B77" s="46" t="s">
        <v>134</v>
      </c>
      <c r="C77" s="58"/>
      <c r="D77" s="8">
        <f>D43</f>
        <v>6333.5837777777779</v>
      </c>
    </row>
    <row r="78" spans="1:4" x14ac:dyDescent="0.2">
      <c r="A78" s="4">
        <v>3</v>
      </c>
      <c r="B78" s="46" t="s">
        <v>135</v>
      </c>
      <c r="C78" s="58"/>
      <c r="D78" s="8">
        <f>D53</f>
        <v>741.71721481481472</v>
      </c>
    </row>
    <row r="79" spans="1:4" x14ac:dyDescent="0.2">
      <c r="A79" s="4">
        <v>4</v>
      </c>
      <c r="B79" s="46" t="s">
        <v>136</v>
      </c>
      <c r="C79" s="58"/>
      <c r="D79" s="8">
        <v>0</v>
      </c>
    </row>
    <row r="80" spans="1:4" x14ac:dyDescent="0.2">
      <c r="A80" s="4">
        <v>5</v>
      </c>
      <c r="B80" s="46" t="s">
        <v>137</v>
      </c>
      <c r="C80" s="58"/>
      <c r="D80" s="8">
        <v>0</v>
      </c>
    </row>
    <row r="81" spans="1:4" x14ac:dyDescent="0.2">
      <c r="A81" s="59" t="s">
        <v>113</v>
      </c>
      <c r="B81" s="10"/>
      <c r="C81" s="11"/>
      <c r="D81" s="12">
        <f>SUM(D76:D80)</f>
        <v>20248.63432592593</v>
      </c>
    </row>
    <row r="82" spans="1:4" x14ac:dyDescent="0.2">
      <c r="A82" s="4">
        <v>6</v>
      </c>
      <c r="B82" s="46" t="s">
        <v>138</v>
      </c>
      <c r="C82" s="58"/>
      <c r="D82" s="8">
        <f>D72</f>
        <v>5522.3548161616181</v>
      </c>
    </row>
    <row r="83" spans="1:4" x14ac:dyDescent="0.2">
      <c r="A83" s="178" t="s">
        <v>114</v>
      </c>
      <c r="B83" s="189"/>
      <c r="C83" s="179"/>
      <c r="D83" s="60">
        <f>SUM(D81:D82)</f>
        <v>25770.98914208755</v>
      </c>
    </row>
    <row r="84" spans="1:4" x14ac:dyDescent="0.2">
      <c r="C84" s="108" t="s">
        <v>187</v>
      </c>
      <c r="D84" s="109">
        <f>ROUNDUP(D83/D76,2)</f>
        <v>1.96</v>
      </c>
    </row>
    <row r="85" spans="1:4" x14ac:dyDescent="0.2"/>
    <row r="86" spans="1:4" hidden="1" x14ac:dyDescent="0.2">
      <c r="D86" s="111"/>
    </row>
  </sheetData>
  <mergeCells count="22"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</mergeCells>
  <conditionalFormatting sqref="B69">
    <cfRule type="expression" dxfId="10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DC7891-96D8-449A-B944-738EEF44A6AC}">
  <sheetPr codeName="Planilha40"/>
  <dimension ref="A1:D86"/>
  <sheetViews>
    <sheetView zoomScaleNormal="100" workbookViewId="0">
      <selection activeCell="F24" sqref="F24:F31"/>
    </sheetView>
  </sheetViews>
  <sheetFormatPr defaultColWidth="0" defaultRowHeight="12" zeroHeight="1" x14ac:dyDescent="0.2"/>
  <cols>
    <col min="1" max="1" width="5.85546875" style="107" customWidth="1"/>
    <col min="2" max="2" width="83.28515625" style="107" customWidth="1"/>
    <col min="3" max="3" width="12.42578125" style="107" customWidth="1"/>
    <col min="4" max="4" width="15.42578125" style="107" customWidth="1"/>
    <col min="5" max="5" width="9.140625" style="107" hidden="1" customWidth="1"/>
    <col min="6" max="16384" width="9.140625" style="107" hidden="1"/>
  </cols>
  <sheetData>
    <row r="1" spans="1:4" ht="12.75" thickBot="1" x14ac:dyDescent="0.25">
      <c r="A1" s="180" t="str">
        <f>PERFIS!C26</f>
        <v>Cientista de Dados Sênior</v>
      </c>
      <c r="B1" s="181"/>
      <c r="C1" s="181"/>
      <c r="D1" s="182"/>
    </row>
    <row r="2" spans="1:4" x14ac:dyDescent="0.2">
      <c r="A2" s="110"/>
      <c r="B2" s="110"/>
      <c r="C2" s="110"/>
      <c r="D2" s="110"/>
    </row>
    <row r="3" spans="1:4" x14ac:dyDescent="0.2">
      <c r="A3" s="169" t="s">
        <v>93</v>
      </c>
      <c r="B3" s="170"/>
      <c r="C3" s="170"/>
      <c r="D3" s="171"/>
    </row>
    <row r="4" spans="1:4" x14ac:dyDescent="0.2">
      <c r="A4" s="172" t="s">
        <v>94</v>
      </c>
      <c r="B4" s="173"/>
      <c r="C4" s="173"/>
      <c r="D4" s="174"/>
    </row>
    <row r="5" spans="1:4" x14ac:dyDescent="0.2">
      <c r="A5" s="1">
        <v>1</v>
      </c>
      <c r="B5" s="2" t="s">
        <v>115</v>
      </c>
      <c r="C5" s="3"/>
      <c r="D5" s="1" t="s">
        <v>1</v>
      </c>
    </row>
    <row r="6" spans="1:4" x14ac:dyDescent="0.2">
      <c r="A6" s="4" t="s">
        <v>2</v>
      </c>
      <c r="B6" s="5" t="s">
        <v>116</v>
      </c>
      <c r="C6" s="6">
        <v>1</v>
      </c>
      <c r="D6" s="7">
        <f>_xlfn.XLOOKUP(A1,PERFIS!C3:C35,PERFIS!D3:D35)</f>
        <v>19000</v>
      </c>
    </row>
    <row r="7" spans="1:4" x14ac:dyDescent="0.2">
      <c r="A7" s="9" t="s">
        <v>95</v>
      </c>
      <c r="B7" s="10"/>
      <c r="C7" s="11"/>
      <c r="D7" s="12">
        <f>SUM(D6)</f>
        <v>19000</v>
      </c>
    </row>
    <row r="8" spans="1:4" x14ac:dyDescent="0.2">
      <c r="A8" s="13"/>
      <c r="B8" s="14"/>
      <c r="C8" s="15"/>
      <c r="D8" s="16"/>
    </row>
    <row r="9" spans="1:4" x14ac:dyDescent="0.2">
      <c r="A9" s="172" t="s">
        <v>96</v>
      </c>
      <c r="B9" s="173"/>
      <c r="C9" s="173"/>
      <c r="D9" s="174"/>
    </row>
    <row r="10" spans="1:4" x14ac:dyDescent="0.2">
      <c r="A10" s="175" t="s">
        <v>190</v>
      </c>
      <c r="B10" s="176"/>
      <c r="C10" s="176"/>
      <c r="D10" s="177"/>
    </row>
    <row r="11" spans="1:4" x14ac:dyDescent="0.2">
      <c r="A11" s="17" t="s">
        <v>9</v>
      </c>
      <c r="B11" s="2" t="s">
        <v>115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117</v>
      </c>
      <c r="C12" s="21">
        <f>COMPOSICAO!D3</f>
        <v>8.3333333333333329E-2</v>
      </c>
      <c r="D12" s="22">
        <f>C12*$D$7</f>
        <v>1583.3333333333333</v>
      </c>
    </row>
    <row r="13" spans="1:4" x14ac:dyDescent="0.2">
      <c r="A13" s="19" t="s">
        <v>3</v>
      </c>
      <c r="B13" s="20" t="s">
        <v>185</v>
      </c>
      <c r="C13" s="21">
        <f>COMPOSICAO!D4</f>
        <v>7.7777777777777779E-2</v>
      </c>
      <c r="D13" s="22">
        <f>C13*$D$7</f>
        <v>1477.7777777777778</v>
      </c>
    </row>
    <row r="14" spans="1:4" x14ac:dyDescent="0.2">
      <c r="A14" s="178" t="s">
        <v>191</v>
      </c>
      <c r="B14" s="179"/>
      <c r="C14" s="23">
        <f>SUM(C12:C13)</f>
        <v>0.16111111111111109</v>
      </c>
      <c r="D14" s="12">
        <f>SUM(D12:D13)</f>
        <v>3061.1111111111113</v>
      </c>
    </row>
    <row r="15" spans="1:4" x14ac:dyDescent="0.2">
      <c r="A15" s="13"/>
      <c r="B15" s="14"/>
      <c r="C15" s="24"/>
      <c r="D15" s="16"/>
    </row>
    <row r="16" spans="1:4" x14ac:dyDescent="0.2">
      <c r="A16" s="194" t="s">
        <v>98</v>
      </c>
      <c r="B16" s="195"/>
      <c r="C16" s="195"/>
      <c r="D16" s="196"/>
    </row>
    <row r="17" spans="1:4" x14ac:dyDescent="0.2">
      <c r="A17" s="17" t="s">
        <v>10</v>
      </c>
      <c r="B17" s="2" t="s">
        <v>115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118</v>
      </c>
      <c r="C18" s="21">
        <v>0.05</v>
      </c>
      <c r="D18" s="22">
        <f>C18*($D$7+$D$14)</f>
        <v>1103.0555555555554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551.52777777777771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661.83333333333326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330.91666666666663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220.61111111111109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132.36666666666665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44.12222222222222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1764.8888888888887</v>
      </c>
    </row>
    <row r="26" spans="1:4" x14ac:dyDescent="0.2">
      <c r="A26" s="192" t="s">
        <v>99</v>
      </c>
      <c r="B26" s="193"/>
      <c r="C26" s="27">
        <f>SUM(C18:C25)</f>
        <v>0.21800000000000003</v>
      </c>
      <c r="D26" s="28">
        <f>SUM(D18:D25)</f>
        <v>4809.3222222222212</v>
      </c>
    </row>
    <row r="27" spans="1:4" x14ac:dyDescent="0.2">
      <c r="A27" s="13"/>
      <c r="B27" s="14"/>
      <c r="C27" s="29"/>
      <c r="D27" s="16"/>
    </row>
    <row r="28" spans="1:4" x14ac:dyDescent="0.2">
      <c r="A28" s="194" t="s">
        <v>100</v>
      </c>
      <c r="B28" s="195"/>
      <c r="C28" s="195"/>
      <c r="D28" s="196"/>
    </row>
    <row r="29" spans="1:4" x14ac:dyDescent="0.2">
      <c r="A29" s="17" t="s">
        <v>19</v>
      </c>
      <c r="B29" s="194" t="s">
        <v>115</v>
      </c>
      <c r="C29" s="196"/>
      <c r="D29" s="17" t="s">
        <v>1</v>
      </c>
    </row>
    <row r="30" spans="1:4" x14ac:dyDescent="0.2">
      <c r="A30" s="183" t="s">
        <v>2</v>
      </c>
      <c r="B30" s="30" t="s">
        <v>119</v>
      </c>
      <c r="C30" s="31"/>
      <c r="D30" s="7">
        <f>COMPOSICAO!D20*2*22</f>
        <v>242</v>
      </c>
    </row>
    <row r="31" spans="1:4" x14ac:dyDescent="0.2">
      <c r="A31" s="184"/>
      <c r="B31" s="30" t="s">
        <v>20</v>
      </c>
      <c r="C31" s="31"/>
      <c r="D31" s="7">
        <f>D6*COMPOSICAO!D21</f>
        <v>1140</v>
      </c>
    </row>
    <row r="32" spans="1:4" x14ac:dyDescent="0.2">
      <c r="A32" s="185"/>
      <c r="B32" s="88" t="s">
        <v>21</v>
      </c>
      <c r="C32" s="89"/>
      <c r="D32" s="39">
        <f>IF(D30-D31&gt;0,D30-D31,0)</f>
        <v>0</v>
      </c>
    </row>
    <row r="33" spans="1:4" x14ac:dyDescent="0.2">
      <c r="A33" s="183" t="s">
        <v>3</v>
      </c>
      <c r="B33" s="30" t="s">
        <v>120</v>
      </c>
      <c r="D33" s="7">
        <f>COMPOSICAO!D23*22</f>
        <v>814</v>
      </c>
    </row>
    <row r="34" spans="1:4" x14ac:dyDescent="0.2">
      <c r="A34" s="184"/>
      <c r="B34" s="30" t="s">
        <v>181</v>
      </c>
      <c r="C34" s="104" cm="1">
        <f t="array" ref="C34">_xlfn.IFS(D6&lt;2407,COMPOSICAO!D25,D6&lt;4073.39,COMPOSICAO!D26,D6&lt;5924.92,COMPOSICAO!D27,D6&lt;7406.17,COMPOSICAO!D28,D6&lt;9072.58,COMPOSICAO!D29,D6&gt;9072.59,COMPOSICAO!D30)</f>
        <v>0.15</v>
      </c>
      <c r="D34" s="7">
        <f>D33*C34</f>
        <v>122.1</v>
      </c>
    </row>
    <row r="35" spans="1:4" x14ac:dyDescent="0.2">
      <c r="A35" s="185"/>
      <c r="B35" s="88" t="s">
        <v>182</v>
      </c>
      <c r="C35" s="90"/>
      <c r="D35" s="39">
        <f>D33-D34</f>
        <v>691.9</v>
      </c>
    </row>
    <row r="36" spans="1:4" x14ac:dyDescent="0.2">
      <c r="A36" s="4" t="s">
        <v>4</v>
      </c>
      <c r="B36" s="30" t="s">
        <v>167</v>
      </c>
      <c r="C36" s="31"/>
      <c r="D36" s="151">
        <f>COMPOSICAO!D31</f>
        <v>184.85</v>
      </c>
    </row>
    <row r="37" spans="1:4" x14ac:dyDescent="0.2">
      <c r="A37" s="9" t="s">
        <v>101</v>
      </c>
      <c r="B37" s="10"/>
      <c r="C37" s="11"/>
      <c r="D37" s="12">
        <f>SUM(D32,D35,D36)</f>
        <v>876.75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121</v>
      </c>
      <c r="C39" s="33"/>
      <c r="D39" s="17" t="s">
        <v>1</v>
      </c>
    </row>
    <row r="40" spans="1:4" x14ac:dyDescent="0.2">
      <c r="A40" s="4" t="s">
        <v>9</v>
      </c>
      <c r="B40" s="30" t="s">
        <v>122</v>
      </c>
      <c r="C40" s="34"/>
      <c r="D40" s="8">
        <f>D14</f>
        <v>3061.1111111111113</v>
      </c>
    </row>
    <row r="41" spans="1:4" x14ac:dyDescent="0.2">
      <c r="A41" s="4" t="s">
        <v>10</v>
      </c>
      <c r="B41" s="30" t="s">
        <v>123</v>
      </c>
      <c r="C41" s="34"/>
      <c r="D41" s="8">
        <f>D26</f>
        <v>4809.3222222222212</v>
      </c>
    </row>
    <row r="42" spans="1:4" x14ac:dyDescent="0.2">
      <c r="A42" s="4" t="s">
        <v>19</v>
      </c>
      <c r="B42" s="30" t="s">
        <v>124</v>
      </c>
      <c r="C42" s="34"/>
      <c r="D42" s="8">
        <f>D37</f>
        <v>876.75</v>
      </c>
    </row>
    <row r="43" spans="1:4" x14ac:dyDescent="0.2">
      <c r="A43" s="178" t="s">
        <v>102</v>
      </c>
      <c r="B43" s="189"/>
      <c r="C43" s="35"/>
      <c r="D43" s="12">
        <f>SUM(D40:D42)</f>
        <v>8747.1833333333325</v>
      </c>
    </row>
    <row r="44" spans="1:4" x14ac:dyDescent="0.2">
      <c r="A44" s="13"/>
      <c r="B44" s="14"/>
      <c r="C44" s="15"/>
      <c r="D44" s="16"/>
    </row>
    <row r="45" spans="1:4" x14ac:dyDescent="0.2">
      <c r="A45" s="172" t="s">
        <v>103</v>
      </c>
      <c r="B45" s="173"/>
      <c r="C45" s="173"/>
      <c r="D45" s="174"/>
    </row>
    <row r="46" spans="1:4" x14ac:dyDescent="0.2">
      <c r="A46" s="17">
        <v>3</v>
      </c>
      <c r="B46" s="2" t="s">
        <v>115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79.166666666666671</v>
      </c>
    </row>
    <row r="48" spans="1:4" x14ac:dyDescent="0.2">
      <c r="A48" s="4" t="s">
        <v>3</v>
      </c>
      <c r="B48" s="30" t="s">
        <v>125</v>
      </c>
      <c r="C48" s="37">
        <f>COMPOSICAO!D35</f>
        <v>3.3333333333333332E-4</v>
      </c>
      <c r="D48" s="22">
        <f>C48*$D$7</f>
        <v>6.333333333333333</v>
      </c>
    </row>
    <row r="49" spans="1:4" x14ac:dyDescent="0.2">
      <c r="A49" s="19" t="s">
        <v>4</v>
      </c>
      <c r="B49" s="20" t="s">
        <v>126</v>
      </c>
      <c r="C49" s="37">
        <f>COMPOSICAO!D36</f>
        <v>3.4399999999999993E-2</v>
      </c>
      <c r="D49" s="22">
        <f t="shared" ref="D49:D52" si="1">C49*$D$7</f>
        <v>653.59999999999991</v>
      </c>
    </row>
    <row r="50" spans="1:4" x14ac:dyDescent="0.2">
      <c r="A50" s="4" t="s">
        <v>5</v>
      </c>
      <c r="B50" s="30" t="s">
        <v>127</v>
      </c>
      <c r="C50" s="37">
        <f>COMPOSICAO!D37</f>
        <v>1.2444444444444444E-2</v>
      </c>
      <c r="D50" s="22">
        <f t="shared" si="1"/>
        <v>236.44444444444443</v>
      </c>
    </row>
    <row r="51" spans="1:4" x14ac:dyDescent="0.2">
      <c r="A51" s="4" t="s">
        <v>6</v>
      </c>
      <c r="B51" s="30" t="s">
        <v>128</v>
      </c>
      <c r="C51" s="37">
        <f>COMPOSICAO!D38</f>
        <v>4.5631999999999999E-3</v>
      </c>
      <c r="D51" s="22">
        <f t="shared" si="1"/>
        <v>86.700800000000001</v>
      </c>
    </row>
    <row r="52" spans="1:4" x14ac:dyDescent="0.2">
      <c r="A52" s="4" t="s">
        <v>7</v>
      </c>
      <c r="B52" s="30" t="s">
        <v>129</v>
      </c>
      <c r="C52" s="37">
        <f>COMPOSICAO!D39</f>
        <v>3.9680000000000005E-4</v>
      </c>
      <c r="D52" s="22">
        <f t="shared" si="1"/>
        <v>7.539200000000001</v>
      </c>
    </row>
    <row r="53" spans="1:4" x14ac:dyDescent="0.2">
      <c r="A53" s="190" t="s">
        <v>104</v>
      </c>
      <c r="B53" s="191"/>
      <c r="C53" s="38">
        <f>SUM(C47:C52)</f>
        <v>5.6304444444444435E-2</v>
      </c>
      <c r="D53" s="39">
        <f>SUM(D47:D52)</f>
        <v>1069.7844444444443</v>
      </c>
    </row>
    <row r="54" spans="1:4" x14ac:dyDescent="0.2">
      <c r="A54" s="13"/>
      <c r="B54" s="14"/>
      <c r="C54" s="40"/>
      <c r="D54" s="16"/>
    </row>
    <row r="55" spans="1:4" x14ac:dyDescent="0.2">
      <c r="A55" s="172" t="s">
        <v>105</v>
      </c>
      <c r="B55" s="173"/>
      <c r="C55" s="173"/>
      <c r="D55" s="174"/>
    </row>
    <row r="56" spans="1:4" x14ac:dyDescent="0.2">
      <c r="A56" s="17">
        <v>4</v>
      </c>
      <c r="B56" s="2" t="s">
        <v>115</v>
      </c>
      <c r="C56" s="36" t="s">
        <v>0</v>
      </c>
      <c r="D56" s="17" t="s">
        <v>1</v>
      </c>
    </row>
    <row r="57" spans="1:4" x14ac:dyDescent="0.2">
      <c r="A57" s="190" t="s">
        <v>106</v>
      </c>
      <c r="B57" s="191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2" t="s">
        <v>107</v>
      </c>
      <c r="B59" s="173"/>
      <c r="C59" s="173"/>
      <c r="D59" s="174"/>
    </row>
    <row r="60" spans="1:4" x14ac:dyDescent="0.2">
      <c r="A60" s="17">
        <v>5</v>
      </c>
      <c r="B60" s="43" t="s">
        <v>115</v>
      </c>
      <c r="C60" s="44"/>
      <c r="D60" s="45" t="s">
        <v>1</v>
      </c>
    </row>
    <row r="61" spans="1:4" x14ac:dyDescent="0.2">
      <c r="A61" s="9" t="s">
        <v>108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2" t="s">
        <v>109</v>
      </c>
      <c r="B63" s="173"/>
      <c r="C63" s="173"/>
      <c r="D63" s="174"/>
    </row>
    <row r="64" spans="1:4" x14ac:dyDescent="0.2">
      <c r="A64" s="17">
        <v>6</v>
      </c>
      <c r="B64" s="2" t="s">
        <v>115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130</v>
      </c>
      <c r="C65" s="53">
        <f>COMPOSICAO!D44</f>
        <v>0.05</v>
      </c>
      <c r="D65" s="12">
        <f>C65*$D$81</f>
        <v>1440.8483888888891</v>
      </c>
    </row>
    <row r="66" spans="1:4" x14ac:dyDescent="0.2">
      <c r="A66" s="51" t="s">
        <v>3</v>
      </c>
      <c r="B66" s="52" t="s">
        <v>131</v>
      </c>
      <c r="C66" s="53">
        <f>COMPOSICAO!D45</f>
        <v>0.1</v>
      </c>
      <c r="D66" s="12">
        <f>C66*($D$81+$D$65)</f>
        <v>3025.7816166666671</v>
      </c>
    </row>
    <row r="67" spans="1:4" x14ac:dyDescent="0.2">
      <c r="A67" s="51" t="s">
        <v>4</v>
      </c>
      <c r="B67" s="52" t="s">
        <v>132</v>
      </c>
      <c r="C67" s="53">
        <f>COMPOSICAO!D46</f>
        <v>9.2499999999999999E-2</v>
      </c>
      <c r="D67" s="12">
        <f>((D65+D66+D81)/(1-C67))-(D65+D66+D81)</f>
        <v>3392.5430247474796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238.39491525252529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1100.2842242424244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733.52281616161633</v>
      </c>
    </row>
    <row r="71" spans="1:4" x14ac:dyDescent="0.2">
      <c r="A71" s="4" t="s">
        <v>29</v>
      </c>
      <c r="B71" s="106" t="s">
        <v>183</v>
      </c>
      <c r="C71" s="37">
        <f>COMPOSICAO!D50</f>
        <v>3.5999999999999997E-2</v>
      </c>
      <c r="D71" s="12">
        <f t="shared" si="2"/>
        <v>1320.3410690909093</v>
      </c>
    </row>
    <row r="72" spans="1:4" x14ac:dyDescent="0.2">
      <c r="A72" s="178" t="s">
        <v>110</v>
      </c>
      <c r="B72" s="179"/>
      <c r="C72" s="55">
        <f>SUM(C65:C67)</f>
        <v>0.24250000000000002</v>
      </c>
      <c r="D72" s="12">
        <f>SUM(D65:D67)</f>
        <v>7859.1730303030363</v>
      </c>
    </row>
    <row r="73" spans="1:4" x14ac:dyDescent="0.2">
      <c r="A73" s="13"/>
      <c r="B73" s="14"/>
      <c r="C73" s="15"/>
      <c r="D73" s="16"/>
    </row>
    <row r="74" spans="1:4" x14ac:dyDescent="0.2">
      <c r="A74" s="186" t="s">
        <v>111</v>
      </c>
      <c r="B74" s="187"/>
      <c r="C74" s="187"/>
      <c r="D74" s="188"/>
    </row>
    <row r="75" spans="1:4" x14ac:dyDescent="0.2">
      <c r="A75" s="26" t="s">
        <v>112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133</v>
      </c>
      <c r="C76" s="58"/>
      <c r="D76" s="8">
        <f>D7</f>
        <v>19000</v>
      </c>
    </row>
    <row r="77" spans="1:4" x14ac:dyDescent="0.2">
      <c r="A77" s="4">
        <v>2</v>
      </c>
      <c r="B77" s="46" t="s">
        <v>134</v>
      </c>
      <c r="C77" s="58"/>
      <c r="D77" s="8">
        <f>D43</f>
        <v>8747.1833333333325</v>
      </c>
    </row>
    <row r="78" spans="1:4" x14ac:dyDescent="0.2">
      <c r="A78" s="4">
        <v>3</v>
      </c>
      <c r="B78" s="46" t="s">
        <v>135</v>
      </c>
      <c r="C78" s="58"/>
      <c r="D78" s="8">
        <f>D53</f>
        <v>1069.7844444444443</v>
      </c>
    </row>
    <row r="79" spans="1:4" x14ac:dyDescent="0.2">
      <c r="A79" s="4">
        <v>4</v>
      </c>
      <c r="B79" s="46" t="s">
        <v>136</v>
      </c>
      <c r="C79" s="58"/>
      <c r="D79" s="8">
        <v>0</v>
      </c>
    </row>
    <row r="80" spans="1:4" x14ac:dyDescent="0.2">
      <c r="A80" s="4">
        <v>5</v>
      </c>
      <c r="B80" s="46" t="s">
        <v>137</v>
      </c>
      <c r="C80" s="58"/>
      <c r="D80" s="8">
        <v>0</v>
      </c>
    </row>
    <row r="81" spans="1:4" x14ac:dyDescent="0.2">
      <c r="A81" s="59" t="s">
        <v>113</v>
      </c>
      <c r="B81" s="10"/>
      <c r="C81" s="11"/>
      <c r="D81" s="12">
        <f>SUM(D76:D80)</f>
        <v>28816.96777777778</v>
      </c>
    </row>
    <row r="82" spans="1:4" x14ac:dyDescent="0.2">
      <c r="A82" s="4">
        <v>6</v>
      </c>
      <c r="B82" s="46" t="s">
        <v>138</v>
      </c>
      <c r="C82" s="58"/>
      <c r="D82" s="8">
        <f>D72</f>
        <v>7859.1730303030363</v>
      </c>
    </row>
    <row r="83" spans="1:4" x14ac:dyDescent="0.2">
      <c r="A83" s="178" t="s">
        <v>114</v>
      </c>
      <c r="B83" s="189"/>
      <c r="C83" s="179"/>
      <c r="D83" s="60">
        <f>SUM(D81:D82)</f>
        <v>36676.140808080818</v>
      </c>
    </row>
    <row r="84" spans="1:4" x14ac:dyDescent="0.2">
      <c r="C84" s="108" t="s">
        <v>187</v>
      </c>
      <c r="D84" s="109">
        <f>ROUNDUP(D83/D76,2)</f>
        <v>1.94</v>
      </c>
    </row>
    <row r="85" spans="1:4" x14ac:dyDescent="0.2"/>
    <row r="86" spans="1:4" hidden="1" x14ac:dyDescent="0.2">
      <c r="D86" s="111"/>
    </row>
  </sheetData>
  <mergeCells count="22"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</mergeCells>
  <conditionalFormatting sqref="B69">
    <cfRule type="expression" dxfId="9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1AEE12-DA8C-49AB-8AC7-1D519B48CE66}">
  <sheetPr codeName="Planilha41"/>
  <dimension ref="A1:D86"/>
  <sheetViews>
    <sheetView zoomScaleNormal="100" workbookViewId="0">
      <selection activeCell="F24" sqref="F24:F31"/>
    </sheetView>
  </sheetViews>
  <sheetFormatPr defaultColWidth="0" defaultRowHeight="12" zeroHeight="1" x14ac:dyDescent="0.2"/>
  <cols>
    <col min="1" max="1" width="5.85546875" style="107" customWidth="1"/>
    <col min="2" max="2" width="83.28515625" style="107" customWidth="1"/>
    <col min="3" max="3" width="12.42578125" style="107" customWidth="1"/>
    <col min="4" max="4" width="15.42578125" style="107" customWidth="1"/>
    <col min="5" max="5" width="9.140625" style="107" hidden="1" customWidth="1"/>
    <col min="6" max="16384" width="9.140625" style="107" hidden="1"/>
  </cols>
  <sheetData>
    <row r="1" spans="1:4" ht="12.75" thickBot="1" x14ac:dyDescent="0.25">
      <c r="A1" s="180" t="str">
        <f>PERFIS!C27</f>
        <v>Arquiteto de Dados Júnior</v>
      </c>
      <c r="B1" s="181"/>
      <c r="C1" s="181"/>
      <c r="D1" s="182"/>
    </row>
    <row r="2" spans="1:4" x14ac:dyDescent="0.2">
      <c r="A2" s="110"/>
      <c r="B2" s="110"/>
      <c r="C2" s="110"/>
      <c r="D2" s="110"/>
    </row>
    <row r="3" spans="1:4" x14ac:dyDescent="0.2">
      <c r="A3" s="169" t="s">
        <v>93</v>
      </c>
      <c r="B3" s="170"/>
      <c r="C3" s="170"/>
      <c r="D3" s="171"/>
    </row>
    <row r="4" spans="1:4" x14ac:dyDescent="0.2">
      <c r="A4" s="172" t="s">
        <v>94</v>
      </c>
      <c r="B4" s="173"/>
      <c r="C4" s="173"/>
      <c r="D4" s="174"/>
    </row>
    <row r="5" spans="1:4" x14ac:dyDescent="0.2">
      <c r="A5" s="1">
        <v>1</v>
      </c>
      <c r="B5" s="2" t="s">
        <v>115</v>
      </c>
      <c r="C5" s="3"/>
      <c r="D5" s="1" t="s">
        <v>1</v>
      </c>
    </row>
    <row r="6" spans="1:4" x14ac:dyDescent="0.2">
      <c r="A6" s="4" t="s">
        <v>2</v>
      </c>
      <c r="B6" s="5" t="s">
        <v>116</v>
      </c>
      <c r="C6" s="6">
        <v>1</v>
      </c>
      <c r="D6" s="7">
        <f>_xlfn.XLOOKUP(A1,PERFIS!C3:C35,PERFIS!D3:D35)</f>
        <v>9038</v>
      </c>
    </row>
    <row r="7" spans="1:4" x14ac:dyDescent="0.2">
      <c r="A7" s="9" t="s">
        <v>95</v>
      </c>
      <c r="B7" s="10"/>
      <c r="C7" s="11"/>
      <c r="D7" s="12">
        <f>SUM(D6)</f>
        <v>9038</v>
      </c>
    </row>
    <row r="8" spans="1:4" x14ac:dyDescent="0.2">
      <c r="A8" s="13"/>
      <c r="B8" s="14"/>
      <c r="C8" s="15"/>
      <c r="D8" s="16"/>
    </row>
    <row r="9" spans="1:4" x14ac:dyDescent="0.2">
      <c r="A9" s="172" t="s">
        <v>96</v>
      </c>
      <c r="B9" s="173"/>
      <c r="C9" s="173"/>
      <c r="D9" s="174"/>
    </row>
    <row r="10" spans="1:4" x14ac:dyDescent="0.2">
      <c r="A10" s="175" t="s">
        <v>190</v>
      </c>
      <c r="B10" s="176"/>
      <c r="C10" s="176"/>
      <c r="D10" s="177"/>
    </row>
    <row r="11" spans="1:4" x14ac:dyDescent="0.2">
      <c r="A11" s="17" t="s">
        <v>9</v>
      </c>
      <c r="B11" s="2" t="s">
        <v>115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117</v>
      </c>
      <c r="C12" s="21">
        <f>COMPOSICAO!D3</f>
        <v>8.3333333333333329E-2</v>
      </c>
      <c r="D12" s="22">
        <f>C12*$D$7</f>
        <v>753.16666666666663</v>
      </c>
    </row>
    <row r="13" spans="1:4" x14ac:dyDescent="0.2">
      <c r="A13" s="19" t="s">
        <v>3</v>
      </c>
      <c r="B13" s="20" t="s">
        <v>185</v>
      </c>
      <c r="C13" s="21">
        <f>COMPOSICAO!D4</f>
        <v>7.7777777777777779E-2</v>
      </c>
      <c r="D13" s="22">
        <f>C13*$D$7</f>
        <v>702.95555555555552</v>
      </c>
    </row>
    <row r="14" spans="1:4" x14ac:dyDescent="0.2">
      <c r="A14" s="178" t="s">
        <v>191</v>
      </c>
      <c r="B14" s="179"/>
      <c r="C14" s="23">
        <f>SUM(C12:C13)</f>
        <v>0.16111111111111109</v>
      </c>
      <c r="D14" s="12">
        <f>SUM(D12:D13)</f>
        <v>1456.1222222222223</v>
      </c>
    </row>
    <row r="15" spans="1:4" x14ac:dyDescent="0.2">
      <c r="A15" s="13"/>
      <c r="B15" s="14"/>
      <c r="C15" s="24"/>
      <c r="D15" s="16"/>
    </row>
    <row r="16" spans="1:4" x14ac:dyDescent="0.2">
      <c r="A16" s="194" t="s">
        <v>98</v>
      </c>
      <c r="B16" s="195"/>
      <c r="C16" s="195"/>
      <c r="D16" s="196"/>
    </row>
    <row r="17" spans="1:4" x14ac:dyDescent="0.2">
      <c r="A17" s="17" t="s">
        <v>10</v>
      </c>
      <c r="B17" s="2" t="s">
        <v>115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118</v>
      </c>
      <c r="C18" s="21">
        <v>0.05</v>
      </c>
      <c r="D18" s="22">
        <f>C18*($D$7+$D$14)</f>
        <v>524.70611111111111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262.35305555555556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314.82366666666667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157.41183333333333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104.94122222222222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62.964733333333335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20.988244444444444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839.52977777777778</v>
      </c>
    </row>
    <row r="26" spans="1:4" x14ac:dyDescent="0.2">
      <c r="A26" s="192" t="s">
        <v>99</v>
      </c>
      <c r="B26" s="193"/>
      <c r="C26" s="27">
        <f>SUM(C18:C25)</f>
        <v>0.21800000000000003</v>
      </c>
      <c r="D26" s="28">
        <f>SUM(D18:D25)</f>
        <v>2287.7186444444442</v>
      </c>
    </row>
    <row r="27" spans="1:4" x14ac:dyDescent="0.2">
      <c r="A27" s="13"/>
      <c r="B27" s="14"/>
      <c r="C27" s="29"/>
      <c r="D27" s="16"/>
    </row>
    <row r="28" spans="1:4" x14ac:dyDescent="0.2">
      <c r="A28" s="194" t="s">
        <v>100</v>
      </c>
      <c r="B28" s="195"/>
      <c r="C28" s="195"/>
      <c r="D28" s="196"/>
    </row>
    <row r="29" spans="1:4" x14ac:dyDescent="0.2">
      <c r="A29" s="17" t="s">
        <v>19</v>
      </c>
      <c r="B29" s="194" t="s">
        <v>115</v>
      </c>
      <c r="C29" s="196"/>
      <c r="D29" s="17" t="s">
        <v>1</v>
      </c>
    </row>
    <row r="30" spans="1:4" x14ac:dyDescent="0.2">
      <c r="A30" s="183" t="s">
        <v>2</v>
      </c>
      <c r="B30" s="30" t="s">
        <v>119</v>
      </c>
      <c r="C30" s="31"/>
      <c r="D30" s="7">
        <f>COMPOSICAO!D20*2*22</f>
        <v>242</v>
      </c>
    </row>
    <row r="31" spans="1:4" x14ac:dyDescent="0.2">
      <c r="A31" s="184"/>
      <c r="B31" s="30" t="s">
        <v>20</v>
      </c>
      <c r="C31" s="31"/>
      <c r="D31" s="7">
        <f>D6*COMPOSICAO!D21</f>
        <v>542.28</v>
      </c>
    </row>
    <row r="32" spans="1:4" x14ac:dyDescent="0.2">
      <c r="A32" s="185"/>
      <c r="B32" s="88" t="s">
        <v>21</v>
      </c>
      <c r="C32" s="89"/>
      <c r="D32" s="39">
        <f>IF(D30-D31&gt;0,D30-D31,0)</f>
        <v>0</v>
      </c>
    </row>
    <row r="33" spans="1:4" x14ac:dyDescent="0.2">
      <c r="A33" s="183" t="s">
        <v>3</v>
      </c>
      <c r="B33" s="30" t="s">
        <v>120</v>
      </c>
      <c r="D33" s="7">
        <f>COMPOSICAO!D23*22</f>
        <v>814</v>
      </c>
    </row>
    <row r="34" spans="1:4" x14ac:dyDescent="0.2">
      <c r="A34" s="184"/>
      <c r="B34" s="30" t="s">
        <v>181</v>
      </c>
      <c r="C34" s="104" cm="1">
        <f t="array" ref="C34">_xlfn.IFS(D6&lt;2407,COMPOSICAO!D25,D6&lt;4073.39,COMPOSICAO!D26,D6&lt;5924.92,COMPOSICAO!D27,D6&lt;7406.17,COMPOSICAO!D28,D6&lt;9072.58,COMPOSICAO!D29,D6&gt;9072.59,COMPOSICAO!D30)</f>
        <v>0.1125</v>
      </c>
      <c r="D34" s="7">
        <f>D33*C34</f>
        <v>91.575000000000003</v>
      </c>
    </row>
    <row r="35" spans="1:4" x14ac:dyDescent="0.2">
      <c r="A35" s="185"/>
      <c r="B35" s="88" t="s">
        <v>182</v>
      </c>
      <c r="C35" s="90"/>
      <c r="D35" s="39">
        <f>D33-D34</f>
        <v>722.42499999999995</v>
      </c>
    </row>
    <row r="36" spans="1:4" x14ac:dyDescent="0.2">
      <c r="A36" s="4" t="s">
        <v>4</v>
      </c>
      <c r="B36" s="30" t="s">
        <v>167</v>
      </c>
      <c r="C36" s="31"/>
      <c r="D36" s="151">
        <f>COMPOSICAO!D31</f>
        <v>184.85</v>
      </c>
    </row>
    <row r="37" spans="1:4" x14ac:dyDescent="0.2">
      <c r="A37" s="9" t="s">
        <v>101</v>
      </c>
      <c r="B37" s="10"/>
      <c r="C37" s="11"/>
      <c r="D37" s="12">
        <f>SUM(D32,D35,D36)</f>
        <v>907.27499999999998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121</v>
      </c>
      <c r="C39" s="33"/>
      <c r="D39" s="17" t="s">
        <v>1</v>
      </c>
    </row>
    <row r="40" spans="1:4" x14ac:dyDescent="0.2">
      <c r="A40" s="4" t="s">
        <v>9</v>
      </c>
      <c r="B40" s="30" t="s">
        <v>122</v>
      </c>
      <c r="C40" s="34"/>
      <c r="D40" s="8">
        <f>D14</f>
        <v>1456.1222222222223</v>
      </c>
    </row>
    <row r="41" spans="1:4" x14ac:dyDescent="0.2">
      <c r="A41" s="4" t="s">
        <v>10</v>
      </c>
      <c r="B41" s="30" t="s">
        <v>123</v>
      </c>
      <c r="C41" s="34"/>
      <c r="D41" s="8">
        <f>D26</f>
        <v>2287.7186444444442</v>
      </c>
    </row>
    <row r="42" spans="1:4" x14ac:dyDescent="0.2">
      <c r="A42" s="4" t="s">
        <v>19</v>
      </c>
      <c r="B42" s="30" t="s">
        <v>124</v>
      </c>
      <c r="C42" s="34"/>
      <c r="D42" s="8">
        <f>D37</f>
        <v>907.27499999999998</v>
      </c>
    </row>
    <row r="43" spans="1:4" x14ac:dyDescent="0.2">
      <c r="A43" s="178" t="s">
        <v>102</v>
      </c>
      <c r="B43" s="189"/>
      <c r="C43" s="35"/>
      <c r="D43" s="12">
        <f>SUM(D40:D42)</f>
        <v>4651.1158666666661</v>
      </c>
    </row>
    <row r="44" spans="1:4" x14ac:dyDescent="0.2">
      <c r="A44" s="13"/>
      <c r="B44" s="14"/>
      <c r="C44" s="15"/>
      <c r="D44" s="16"/>
    </row>
    <row r="45" spans="1:4" x14ac:dyDescent="0.2">
      <c r="A45" s="172" t="s">
        <v>103</v>
      </c>
      <c r="B45" s="173"/>
      <c r="C45" s="173"/>
      <c r="D45" s="174"/>
    </row>
    <row r="46" spans="1:4" x14ac:dyDescent="0.2">
      <c r="A46" s="17">
        <v>3</v>
      </c>
      <c r="B46" s="2" t="s">
        <v>115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37.658333333333331</v>
      </c>
    </row>
    <row r="48" spans="1:4" x14ac:dyDescent="0.2">
      <c r="A48" s="4" t="s">
        <v>3</v>
      </c>
      <c r="B48" s="30" t="s">
        <v>125</v>
      </c>
      <c r="C48" s="37">
        <f>COMPOSICAO!D35</f>
        <v>3.3333333333333332E-4</v>
      </c>
      <c r="D48" s="22">
        <f>C48*$D$7</f>
        <v>3.0126666666666666</v>
      </c>
    </row>
    <row r="49" spans="1:4" x14ac:dyDescent="0.2">
      <c r="A49" s="19" t="s">
        <v>4</v>
      </c>
      <c r="B49" s="20" t="s">
        <v>126</v>
      </c>
      <c r="C49" s="37">
        <f>COMPOSICAO!D36</f>
        <v>3.4399999999999993E-2</v>
      </c>
      <c r="D49" s="22">
        <f t="shared" ref="D49:D52" si="1">C49*$D$7</f>
        <v>310.90719999999993</v>
      </c>
    </row>
    <row r="50" spans="1:4" x14ac:dyDescent="0.2">
      <c r="A50" s="4" t="s">
        <v>5</v>
      </c>
      <c r="B50" s="30" t="s">
        <v>127</v>
      </c>
      <c r="C50" s="37">
        <f>COMPOSICAO!D37</f>
        <v>1.2444444444444444E-2</v>
      </c>
      <c r="D50" s="22">
        <f t="shared" si="1"/>
        <v>112.47288888888889</v>
      </c>
    </row>
    <row r="51" spans="1:4" x14ac:dyDescent="0.2">
      <c r="A51" s="4" t="s">
        <v>6</v>
      </c>
      <c r="B51" s="30" t="s">
        <v>128</v>
      </c>
      <c r="C51" s="37">
        <f>COMPOSICAO!D38</f>
        <v>4.5631999999999999E-3</v>
      </c>
      <c r="D51" s="22">
        <f t="shared" si="1"/>
        <v>41.242201600000001</v>
      </c>
    </row>
    <row r="52" spans="1:4" x14ac:dyDescent="0.2">
      <c r="A52" s="4" t="s">
        <v>7</v>
      </c>
      <c r="B52" s="30" t="s">
        <v>129</v>
      </c>
      <c r="C52" s="37">
        <f>COMPOSICAO!D39</f>
        <v>3.9680000000000005E-4</v>
      </c>
      <c r="D52" s="22">
        <f t="shared" si="1"/>
        <v>3.5862784000000003</v>
      </c>
    </row>
    <row r="53" spans="1:4" x14ac:dyDescent="0.2">
      <c r="A53" s="190" t="s">
        <v>104</v>
      </c>
      <c r="B53" s="191"/>
      <c r="C53" s="38">
        <f>SUM(C47:C52)</f>
        <v>5.6304444444444435E-2</v>
      </c>
      <c r="D53" s="39">
        <f>SUM(D47:D52)</f>
        <v>508.8795688888888</v>
      </c>
    </row>
    <row r="54" spans="1:4" x14ac:dyDescent="0.2">
      <c r="A54" s="13"/>
      <c r="B54" s="14"/>
      <c r="C54" s="40"/>
      <c r="D54" s="16"/>
    </row>
    <row r="55" spans="1:4" x14ac:dyDescent="0.2">
      <c r="A55" s="172" t="s">
        <v>105</v>
      </c>
      <c r="B55" s="173"/>
      <c r="C55" s="173"/>
      <c r="D55" s="174"/>
    </row>
    <row r="56" spans="1:4" x14ac:dyDescent="0.2">
      <c r="A56" s="17">
        <v>4</v>
      </c>
      <c r="B56" s="2" t="s">
        <v>115</v>
      </c>
      <c r="C56" s="36" t="s">
        <v>0</v>
      </c>
      <c r="D56" s="17" t="s">
        <v>1</v>
      </c>
    </row>
    <row r="57" spans="1:4" x14ac:dyDescent="0.2">
      <c r="A57" s="190" t="s">
        <v>106</v>
      </c>
      <c r="B57" s="191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2" t="s">
        <v>107</v>
      </c>
      <c r="B59" s="173"/>
      <c r="C59" s="173"/>
      <c r="D59" s="174"/>
    </row>
    <row r="60" spans="1:4" x14ac:dyDescent="0.2">
      <c r="A60" s="17">
        <v>5</v>
      </c>
      <c r="B60" s="43" t="s">
        <v>115</v>
      </c>
      <c r="C60" s="44"/>
      <c r="D60" s="45" t="s">
        <v>1</v>
      </c>
    </row>
    <row r="61" spans="1:4" x14ac:dyDescent="0.2">
      <c r="A61" s="9" t="s">
        <v>108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2" t="s">
        <v>109</v>
      </c>
      <c r="B63" s="173"/>
      <c r="C63" s="173"/>
      <c r="D63" s="174"/>
    </row>
    <row r="64" spans="1:4" x14ac:dyDescent="0.2">
      <c r="A64" s="17">
        <v>6</v>
      </c>
      <c r="B64" s="2" t="s">
        <v>115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130</v>
      </c>
      <c r="C65" s="53">
        <f>COMPOSICAO!D44</f>
        <v>0.05</v>
      </c>
      <c r="D65" s="12">
        <f>C65*$D$81</f>
        <v>709.89977177777791</v>
      </c>
    </row>
    <row r="66" spans="1:4" x14ac:dyDescent="0.2">
      <c r="A66" s="51" t="s">
        <v>3</v>
      </c>
      <c r="B66" s="52" t="s">
        <v>131</v>
      </c>
      <c r="C66" s="53">
        <f>COMPOSICAO!D45</f>
        <v>0.1</v>
      </c>
      <c r="D66" s="12">
        <f>C66*($D$81+$D$65)</f>
        <v>1490.7895207333336</v>
      </c>
    </row>
    <row r="67" spans="1:4" x14ac:dyDescent="0.2">
      <c r="A67" s="51" t="s">
        <v>4</v>
      </c>
      <c r="B67" s="52" t="s">
        <v>132</v>
      </c>
      <c r="C67" s="53">
        <f>COMPOSICAO!D46</f>
        <v>9.2499999999999999E-2</v>
      </c>
      <c r="D67" s="12">
        <f>((D65+D66+D81)/(1-C67))-(D65+D66+D81)</f>
        <v>1671.4912808222216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117.45614405777779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542.10528026666668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361.40352017777781</v>
      </c>
    </row>
    <row r="71" spans="1:4" x14ac:dyDescent="0.2">
      <c r="A71" s="4" t="s">
        <v>29</v>
      </c>
      <c r="B71" s="106" t="s">
        <v>183</v>
      </c>
      <c r="C71" s="37">
        <f>COMPOSICAO!D50</f>
        <v>3.5999999999999997E-2</v>
      </c>
      <c r="D71" s="12">
        <f t="shared" si="2"/>
        <v>650.52633632000004</v>
      </c>
    </row>
    <row r="72" spans="1:4" x14ac:dyDescent="0.2">
      <c r="A72" s="178" t="s">
        <v>110</v>
      </c>
      <c r="B72" s="179"/>
      <c r="C72" s="55">
        <f>SUM(C65:C67)</f>
        <v>0.24250000000000002</v>
      </c>
      <c r="D72" s="12">
        <f>SUM(D65:D67)</f>
        <v>3872.1805733333331</v>
      </c>
    </row>
    <row r="73" spans="1:4" x14ac:dyDescent="0.2">
      <c r="A73" s="13"/>
      <c r="B73" s="14"/>
      <c r="C73" s="15"/>
      <c r="D73" s="16"/>
    </row>
    <row r="74" spans="1:4" x14ac:dyDescent="0.2">
      <c r="A74" s="186" t="s">
        <v>111</v>
      </c>
      <c r="B74" s="187"/>
      <c r="C74" s="187"/>
      <c r="D74" s="188"/>
    </row>
    <row r="75" spans="1:4" x14ac:dyDescent="0.2">
      <c r="A75" s="26" t="s">
        <v>112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133</v>
      </c>
      <c r="C76" s="58"/>
      <c r="D76" s="8">
        <f>D7</f>
        <v>9038</v>
      </c>
    </row>
    <row r="77" spans="1:4" x14ac:dyDescent="0.2">
      <c r="A77" s="4">
        <v>2</v>
      </c>
      <c r="B77" s="46" t="s">
        <v>134</v>
      </c>
      <c r="C77" s="58"/>
      <c r="D77" s="8">
        <f>D43</f>
        <v>4651.1158666666661</v>
      </c>
    </row>
    <row r="78" spans="1:4" x14ac:dyDescent="0.2">
      <c r="A78" s="4">
        <v>3</v>
      </c>
      <c r="B78" s="46" t="s">
        <v>135</v>
      </c>
      <c r="C78" s="58"/>
      <c r="D78" s="8">
        <f>D53</f>
        <v>508.8795688888888</v>
      </c>
    </row>
    <row r="79" spans="1:4" x14ac:dyDescent="0.2">
      <c r="A79" s="4">
        <v>4</v>
      </c>
      <c r="B79" s="46" t="s">
        <v>136</v>
      </c>
      <c r="C79" s="58"/>
      <c r="D79" s="8">
        <v>0</v>
      </c>
    </row>
    <row r="80" spans="1:4" x14ac:dyDescent="0.2">
      <c r="A80" s="4">
        <v>5</v>
      </c>
      <c r="B80" s="46" t="s">
        <v>137</v>
      </c>
      <c r="C80" s="58"/>
      <c r="D80" s="8">
        <v>0</v>
      </c>
    </row>
    <row r="81" spans="1:4" x14ac:dyDescent="0.2">
      <c r="A81" s="59" t="s">
        <v>113</v>
      </c>
      <c r="B81" s="10"/>
      <c r="C81" s="11"/>
      <c r="D81" s="12">
        <f>SUM(D76:D80)</f>
        <v>14197.995435555556</v>
      </c>
    </row>
    <row r="82" spans="1:4" x14ac:dyDescent="0.2">
      <c r="A82" s="4">
        <v>6</v>
      </c>
      <c r="B82" s="46" t="s">
        <v>138</v>
      </c>
      <c r="C82" s="58"/>
      <c r="D82" s="8">
        <f>D72</f>
        <v>3872.1805733333331</v>
      </c>
    </row>
    <row r="83" spans="1:4" x14ac:dyDescent="0.2">
      <c r="A83" s="178" t="s">
        <v>114</v>
      </c>
      <c r="B83" s="189"/>
      <c r="C83" s="179"/>
      <c r="D83" s="60">
        <f>SUM(D81:D82)</f>
        <v>18070.176008888891</v>
      </c>
    </row>
    <row r="84" spans="1:4" x14ac:dyDescent="0.2">
      <c r="C84" s="108" t="s">
        <v>187</v>
      </c>
      <c r="D84" s="109">
        <f>ROUNDUP(D83/D76,2)</f>
        <v>2</v>
      </c>
    </row>
    <row r="85" spans="1:4" x14ac:dyDescent="0.2"/>
    <row r="86" spans="1:4" hidden="1" x14ac:dyDescent="0.2">
      <c r="D86" s="111"/>
    </row>
  </sheetData>
  <mergeCells count="22"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</mergeCells>
  <conditionalFormatting sqref="B69">
    <cfRule type="expression" dxfId="8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73CF6A-CB21-4190-9D0A-AAD82AB82995}">
  <sheetPr codeName="Planilha42"/>
  <dimension ref="A1:D86"/>
  <sheetViews>
    <sheetView zoomScaleNormal="100" workbookViewId="0">
      <selection activeCell="F24" sqref="F24:F31"/>
    </sheetView>
  </sheetViews>
  <sheetFormatPr defaultColWidth="0" defaultRowHeight="12" zeroHeight="1" x14ac:dyDescent="0.2"/>
  <cols>
    <col min="1" max="1" width="5.85546875" style="107" customWidth="1"/>
    <col min="2" max="2" width="83.28515625" style="107" customWidth="1"/>
    <col min="3" max="3" width="12.42578125" style="107" customWidth="1"/>
    <col min="4" max="4" width="15.42578125" style="107" customWidth="1"/>
    <col min="5" max="5" width="9.140625" style="107" hidden="1" customWidth="1"/>
    <col min="6" max="16384" width="9.140625" style="107" hidden="1"/>
  </cols>
  <sheetData>
    <row r="1" spans="1:4" ht="12.75" thickBot="1" x14ac:dyDescent="0.25">
      <c r="A1" s="180" t="str">
        <f>PERFIS!C28</f>
        <v>Arquiteto de Dados Pleno</v>
      </c>
      <c r="B1" s="181"/>
      <c r="C1" s="181"/>
      <c r="D1" s="182"/>
    </row>
    <row r="2" spans="1:4" x14ac:dyDescent="0.2">
      <c r="A2" s="110"/>
      <c r="B2" s="110"/>
      <c r="C2" s="110"/>
      <c r="D2" s="110"/>
    </row>
    <row r="3" spans="1:4" x14ac:dyDescent="0.2">
      <c r="A3" s="169" t="s">
        <v>93</v>
      </c>
      <c r="B3" s="170"/>
      <c r="C3" s="170"/>
      <c r="D3" s="171"/>
    </row>
    <row r="4" spans="1:4" x14ac:dyDescent="0.2">
      <c r="A4" s="172" t="s">
        <v>94</v>
      </c>
      <c r="B4" s="173"/>
      <c r="C4" s="173"/>
      <c r="D4" s="174"/>
    </row>
    <row r="5" spans="1:4" x14ac:dyDescent="0.2">
      <c r="A5" s="1">
        <v>1</v>
      </c>
      <c r="B5" s="2" t="s">
        <v>115</v>
      </c>
      <c r="C5" s="3"/>
      <c r="D5" s="1" t="s">
        <v>1</v>
      </c>
    </row>
    <row r="6" spans="1:4" x14ac:dyDescent="0.2">
      <c r="A6" s="4" t="s">
        <v>2</v>
      </c>
      <c r="B6" s="5" t="s">
        <v>116</v>
      </c>
      <c r="C6" s="6">
        <v>1</v>
      </c>
      <c r="D6" s="7">
        <f>_xlfn.XLOOKUP(A1,PERFIS!C3:C35,PERFIS!D3:D35)</f>
        <v>13590</v>
      </c>
    </row>
    <row r="7" spans="1:4" x14ac:dyDescent="0.2">
      <c r="A7" s="9" t="s">
        <v>95</v>
      </c>
      <c r="B7" s="10"/>
      <c r="C7" s="11"/>
      <c r="D7" s="12">
        <f>SUM(D6)</f>
        <v>13590</v>
      </c>
    </row>
    <row r="8" spans="1:4" x14ac:dyDescent="0.2">
      <c r="A8" s="13"/>
      <c r="B8" s="14"/>
      <c r="C8" s="15"/>
      <c r="D8" s="16"/>
    </row>
    <row r="9" spans="1:4" x14ac:dyDescent="0.2">
      <c r="A9" s="172" t="s">
        <v>96</v>
      </c>
      <c r="B9" s="173"/>
      <c r="C9" s="173"/>
      <c r="D9" s="174"/>
    </row>
    <row r="10" spans="1:4" x14ac:dyDescent="0.2">
      <c r="A10" s="175" t="s">
        <v>190</v>
      </c>
      <c r="B10" s="176"/>
      <c r="C10" s="176"/>
      <c r="D10" s="177"/>
    </row>
    <row r="11" spans="1:4" x14ac:dyDescent="0.2">
      <c r="A11" s="17" t="s">
        <v>9</v>
      </c>
      <c r="B11" s="2" t="s">
        <v>115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117</v>
      </c>
      <c r="C12" s="21">
        <f>COMPOSICAO!D3</f>
        <v>8.3333333333333329E-2</v>
      </c>
      <c r="D12" s="22">
        <f>C12*$D$7</f>
        <v>1132.5</v>
      </c>
    </row>
    <row r="13" spans="1:4" x14ac:dyDescent="0.2">
      <c r="A13" s="19" t="s">
        <v>3</v>
      </c>
      <c r="B13" s="20" t="s">
        <v>185</v>
      </c>
      <c r="C13" s="21">
        <f>COMPOSICAO!D4</f>
        <v>7.7777777777777779E-2</v>
      </c>
      <c r="D13" s="22">
        <f>C13*$D$7</f>
        <v>1057</v>
      </c>
    </row>
    <row r="14" spans="1:4" x14ac:dyDescent="0.2">
      <c r="A14" s="178" t="s">
        <v>191</v>
      </c>
      <c r="B14" s="179"/>
      <c r="C14" s="23">
        <f>SUM(C12:C13)</f>
        <v>0.16111111111111109</v>
      </c>
      <c r="D14" s="12">
        <f>SUM(D12:D13)</f>
        <v>2189.5</v>
      </c>
    </row>
    <row r="15" spans="1:4" x14ac:dyDescent="0.2">
      <c r="A15" s="13"/>
      <c r="B15" s="14"/>
      <c r="C15" s="24"/>
      <c r="D15" s="16"/>
    </row>
    <row r="16" spans="1:4" x14ac:dyDescent="0.2">
      <c r="A16" s="194" t="s">
        <v>98</v>
      </c>
      <c r="B16" s="195"/>
      <c r="C16" s="195"/>
      <c r="D16" s="196"/>
    </row>
    <row r="17" spans="1:4" x14ac:dyDescent="0.2">
      <c r="A17" s="17" t="s">
        <v>10</v>
      </c>
      <c r="B17" s="2" t="s">
        <v>115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118</v>
      </c>
      <c r="C18" s="21">
        <v>0.05</v>
      </c>
      <c r="D18" s="22">
        <f>C18*($D$7+$D$14)</f>
        <v>788.97500000000002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394.48750000000001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473.38499999999999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236.6925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157.79500000000002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94.677000000000007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31.559000000000001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1262.3600000000001</v>
      </c>
    </row>
    <row r="26" spans="1:4" x14ac:dyDescent="0.2">
      <c r="A26" s="192" t="s">
        <v>99</v>
      </c>
      <c r="B26" s="193"/>
      <c r="C26" s="27">
        <f>SUM(C18:C25)</f>
        <v>0.21800000000000003</v>
      </c>
      <c r="D26" s="28">
        <f>SUM(D18:D25)</f>
        <v>3439.9310000000005</v>
      </c>
    </row>
    <row r="27" spans="1:4" x14ac:dyDescent="0.2">
      <c r="A27" s="13"/>
      <c r="B27" s="14"/>
      <c r="C27" s="29"/>
      <c r="D27" s="16"/>
    </row>
    <row r="28" spans="1:4" x14ac:dyDescent="0.2">
      <c r="A28" s="194" t="s">
        <v>100</v>
      </c>
      <c r="B28" s="195"/>
      <c r="C28" s="195"/>
      <c r="D28" s="196"/>
    </row>
    <row r="29" spans="1:4" x14ac:dyDescent="0.2">
      <c r="A29" s="17" t="s">
        <v>19</v>
      </c>
      <c r="B29" s="194" t="s">
        <v>115</v>
      </c>
      <c r="C29" s="196"/>
      <c r="D29" s="17" t="s">
        <v>1</v>
      </c>
    </row>
    <row r="30" spans="1:4" x14ac:dyDescent="0.2">
      <c r="A30" s="183" t="s">
        <v>2</v>
      </c>
      <c r="B30" s="30" t="s">
        <v>119</v>
      </c>
      <c r="C30" s="31"/>
      <c r="D30" s="7">
        <f>COMPOSICAO!D20*2*22</f>
        <v>242</v>
      </c>
    </row>
    <row r="31" spans="1:4" x14ac:dyDescent="0.2">
      <c r="A31" s="184"/>
      <c r="B31" s="30" t="s">
        <v>20</v>
      </c>
      <c r="C31" s="31"/>
      <c r="D31" s="7">
        <f>D6*COMPOSICAO!D21</f>
        <v>815.4</v>
      </c>
    </row>
    <row r="32" spans="1:4" x14ac:dyDescent="0.2">
      <c r="A32" s="185"/>
      <c r="B32" s="88" t="s">
        <v>21</v>
      </c>
      <c r="C32" s="89"/>
      <c r="D32" s="39">
        <f>IF(D30-D31&gt;0,D30-D31,0)</f>
        <v>0</v>
      </c>
    </row>
    <row r="33" spans="1:4" x14ac:dyDescent="0.2">
      <c r="A33" s="183" t="s">
        <v>3</v>
      </c>
      <c r="B33" s="30" t="s">
        <v>120</v>
      </c>
      <c r="D33" s="7">
        <f>COMPOSICAO!D23*22</f>
        <v>814</v>
      </c>
    </row>
    <row r="34" spans="1:4" x14ac:dyDescent="0.2">
      <c r="A34" s="184"/>
      <c r="B34" s="30" t="s">
        <v>181</v>
      </c>
      <c r="C34" s="104" cm="1">
        <f t="array" ref="C34">_xlfn.IFS(D6&lt;2407,COMPOSICAO!D25,D6&lt;4073.39,COMPOSICAO!D26,D6&lt;5924.92,COMPOSICAO!D27,D6&lt;7406.17,COMPOSICAO!D28,D6&lt;9072.58,COMPOSICAO!D29,D6&gt;9072.59,COMPOSICAO!D30)</f>
        <v>0.15</v>
      </c>
      <c r="D34" s="7">
        <f>D33*C34</f>
        <v>122.1</v>
      </c>
    </row>
    <row r="35" spans="1:4" x14ac:dyDescent="0.2">
      <c r="A35" s="185"/>
      <c r="B35" s="88" t="s">
        <v>182</v>
      </c>
      <c r="C35" s="90"/>
      <c r="D35" s="39">
        <f>D33-D34</f>
        <v>691.9</v>
      </c>
    </row>
    <row r="36" spans="1:4" x14ac:dyDescent="0.2">
      <c r="A36" s="4" t="s">
        <v>4</v>
      </c>
      <c r="B36" s="30" t="s">
        <v>167</v>
      </c>
      <c r="C36" s="31"/>
      <c r="D36" s="151">
        <f>COMPOSICAO!D31</f>
        <v>184.85</v>
      </c>
    </row>
    <row r="37" spans="1:4" x14ac:dyDescent="0.2">
      <c r="A37" s="9" t="s">
        <v>101</v>
      </c>
      <c r="B37" s="10"/>
      <c r="C37" s="11"/>
      <c r="D37" s="12">
        <f>SUM(D32,D35,D36)</f>
        <v>876.75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121</v>
      </c>
      <c r="C39" s="33"/>
      <c r="D39" s="17" t="s">
        <v>1</v>
      </c>
    </row>
    <row r="40" spans="1:4" x14ac:dyDescent="0.2">
      <c r="A40" s="4" t="s">
        <v>9</v>
      </c>
      <c r="B40" s="30" t="s">
        <v>122</v>
      </c>
      <c r="C40" s="34"/>
      <c r="D40" s="8">
        <f>D14</f>
        <v>2189.5</v>
      </c>
    </row>
    <row r="41" spans="1:4" x14ac:dyDescent="0.2">
      <c r="A41" s="4" t="s">
        <v>10</v>
      </c>
      <c r="B41" s="30" t="s">
        <v>123</v>
      </c>
      <c r="C41" s="34"/>
      <c r="D41" s="8">
        <f>D26</f>
        <v>3439.9310000000005</v>
      </c>
    </row>
    <row r="42" spans="1:4" x14ac:dyDescent="0.2">
      <c r="A42" s="4" t="s">
        <v>19</v>
      </c>
      <c r="B42" s="30" t="s">
        <v>124</v>
      </c>
      <c r="C42" s="34"/>
      <c r="D42" s="8">
        <f>D37</f>
        <v>876.75</v>
      </c>
    </row>
    <row r="43" spans="1:4" x14ac:dyDescent="0.2">
      <c r="A43" s="178" t="s">
        <v>102</v>
      </c>
      <c r="B43" s="189"/>
      <c r="C43" s="35"/>
      <c r="D43" s="12">
        <f>SUM(D40:D42)</f>
        <v>6506.1810000000005</v>
      </c>
    </row>
    <row r="44" spans="1:4" x14ac:dyDescent="0.2">
      <c r="A44" s="13"/>
      <c r="B44" s="14"/>
      <c r="C44" s="15"/>
      <c r="D44" s="16"/>
    </row>
    <row r="45" spans="1:4" x14ac:dyDescent="0.2">
      <c r="A45" s="172" t="s">
        <v>103</v>
      </c>
      <c r="B45" s="173"/>
      <c r="C45" s="173"/>
      <c r="D45" s="174"/>
    </row>
    <row r="46" spans="1:4" x14ac:dyDescent="0.2">
      <c r="A46" s="17">
        <v>3</v>
      </c>
      <c r="B46" s="2" t="s">
        <v>115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56.625</v>
      </c>
    </row>
    <row r="48" spans="1:4" x14ac:dyDescent="0.2">
      <c r="A48" s="4" t="s">
        <v>3</v>
      </c>
      <c r="B48" s="30" t="s">
        <v>125</v>
      </c>
      <c r="C48" s="37">
        <f>COMPOSICAO!D35</f>
        <v>3.3333333333333332E-4</v>
      </c>
      <c r="D48" s="22">
        <f>C48*$D$7</f>
        <v>4.53</v>
      </c>
    </row>
    <row r="49" spans="1:4" x14ac:dyDescent="0.2">
      <c r="A49" s="19" t="s">
        <v>4</v>
      </c>
      <c r="B49" s="20" t="s">
        <v>126</v>
      </c>
      <c r="C49" s="37">
        <f>COMPOSICAO!D36</f>
        <v>3.4399999999999993E-2</v>
      </c>
      <c r="D49" s="22">
        <f t="shared" ref="D49:D52" si="1">C49*$D$7</f>
        <v>467.49599999999992</v>
      </c>
    </row>
    <row r="50" spans="1:4" x14ac:dyDescent="0.2">
      <c r="A50" s="4" t="s">
        <v>5</v>
      </c>
      <c r="B50" s="30" t="s">
        <v>127</v>
      </c>
      <c r="C50" s="37">
        <f>COMPOSICAO!D37</f>
        <v>1.2444444444444444E-2</v>
      </c>
      <c r="D50" s="22">
        <f t="shared" si="1"/>
        <v>169.12</v>
      </c>
    </row>
    <row r="51" spans="1:4" x14ac:dyDescent="0.2">
      <c r="A51" s="4" t="s">
        <v>6</v>
      </c>
      <c r="B51" s="30" t="s">
        <v>128</v>
      </c>
      <c r="C51" s="37">
        <f>COMPOSICAO!D38</f>
        <v>4.5631999999999999E-3</v>
      </c>
      <c r="D51" s="22">
        <f t="shared" si="1"/>
        <v>62.013888000000001</v>
      </c>
    </row>
    <row r="52" spans="1:4" x14ac:dyDescent="0.2">
      <c r="A52" s="4" t="s">
        <v>7</v>
      </c>
      <c r="B52" s="30" t="s">
        <v>129</v>
      </c>
      <c r="C52" s="37">
        <f>COMPOSICAO!D39</f>
        <v>3.9680000000000005E-4</v>
      </c>
      <c r="D52" s="22">
        <f t="shared" si="1"/>
        <v>5.3925120000000009</v>
      </c>
    </row>
    <row r="53" spans="1:4" x14ac:dyDescent="0.2">
      <c r="A53" s="190" t="s">
        <v>104</v>
      </c>
      <c r="B53" s="191"/>
      <c r="C53" s="38">
        <f>SUM(C47:C52)</f>
        <v>5.6304444444444435E-2</v>
      </c>
      <c r="D53" s="39">
        <f>SUM(D47:D52)</f>
        <v>765.17739999999992</v>
      </c>
    </row>
    <row r="54" spans="1:4" x14ac:dyDescent="0.2">
      <c r="A54" s="13"/>
      <c r="B54" s="14"/>
      <c r="C54" s="40"/>
      <c r="D54" s="16"/>
    </row>
    <row r="55" spans="1:4" x14ac:dyDescent="0.2">
      <c r="A55" s="172" t="s">
        <v>105</v>
      </c>
      <c r="B55" s="173"/>
      <c r="C55" s="173"/>
      <c r="D55" s="174"/>
    </row>
    <row r="56" spans="1:4" x14ac:dyDescent="0.2">
      <c r="A56" s="17">
        <v>4</v>
      </c>
      <c r="B56" s="2" t="s">
        <v>115</v>
      </c>
      <c r="C56" s="36" t="s">
        <v>0</v>
      </c>
      <c r="D56" s="17" t="s">
        <v>1</v>
      </c>
    </row>
    <row r="57" spans="1:4" x14ac:dyDescent="0.2">
      <c r="A57" s="190" t="s">
        <v>106</v>
      </c>
      <c r="B57" s="191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2" t="s">
        <v>107</v>
      </c>
      <c r="B59" s="173"/>
      <c r="C59" s="173"/>
      <c r="D59" s="174"/>
    </row>
    <row r="60" spans="1:4" x14ac:dyDescent="0.2">
      <c r="A60" s="17">
        <v>5</v>
      </c>
      <c r="B60" s="43" t="s">
        <v>115</v>
      </c>
      <c r="C60" s="44"/>
      <c r="D60" s="45" t="s">
        <v>1</v>
      </c>
    </row>
    <row r="61" spans="1:4" x14ac:dyDescent="0.2">
      <c r="A61" s="9" t="s">
        <v>108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2" t="s">
        <v>109</v>
      </c>
      <c r="B63" s="173"/>
      <c r="C63" s="173"/>
      <c r="D63" s="174"/>
    </row>
    <row r="64" spans="1:4" x14ac:dyDescent="0.2">
      <c r="A64" s="17">
        <v>6</v>
      </c>
      <c r="B64" s="2" t="s">
        <v>115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130</v>
      </c>
      <c r="C65" s="53">
        <f>COMPOSICAO!D44</f>
        <v>0.05</v>
      </c>
      <c r="D65" s="12">
        <f>C65*$D$81</f>
        <v>1043.0679200000002</v>
      </c>
    </row>
    <row r="66" spans="1:4" x14ac:dyDescent="0.2">
      <c r="A66" s="51" t="s">
        <v>3</v>
      </c>
      <c r="B66" s="52" t="s">
        <v>131</v>
      </c>
      <c r="C66" s="53">
        <f>COMPOSICAO!D45</f>
        <v>0.1</v>
      </c>
      <c r="D66" s="12">
        <f>C66*($D$81+$D$65)</f>
        <v>2190.4426320000002</v>
      </c>
    </row>
    <row r="67" spans="1:4" x14ac:dyDescent="0.2">
      <c r="A67" s="51" t="s">
        <v>4</v>
      </c>
      <c r="B67" s="52" t="s">
        <v>132</v>
      </c>
      <c r="C67" s="53">
        <f>COMPOSICAO!D46</f>
        <v>9.2499999999999999E-2</v>
      </c>
      <c r="D67" s="12">
        <f>((D65+D66+D81)/(1-C67))-(D65+D66+D81)</f>
        <v>2455.9508298181827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172.58032858181818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796.52459345454542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531.01639563636365</v>
      </c>
    </row>
    <row r="71" spans="1:4" x14ac:dyDescent="0.2">
      <c r="A71" s="4" t="s">
        <v>29</v>
      </c>
      <c r="B71" s="106" t="s">
        <v>183</v>
      </c>
      <c r="C71" s="37">
        <f>COMPOSICAO!D50</f>
        <v>3.5999999999999997E-2</v>
      </c>
      <c r="D71" s="12">
        <f t="shared" si="2"/>
        <v>955.82951214545449</v>
      </c>
    </row>
    <row r="72" spans="1:4" x14ac:dyDescent="0.2">
      <c r="A72" s="178" t="s">
        <v>110</v>
      </c>
      <c r="B72" s="179"/>
      <c r="C72" s="55">
        <f>SUM(C65:C67)</f>
        <v>0.24250000000000002</v>
      </c>
      <c r="D72" s="12">
        <f>SUM(D65:D67)</f>
        <v>5689.4613818181833</v>
      </c>
    </row>
    <row r="73" spans="1:4" x14ac:dyDescent="0.2">
      <c r="A73" s="13"/>
      <c r="B73" s="14"/>
      <c r="C73" s="15"/>
      <c r="D73" s="16"/>
    </row>
    <row r="74" spans="1:4" x14ac:dyDescent="0.2">
      <c r="A74" s="186" t="s">
        <v>111</v>
      </c>
      <c r="B74" s="187"/>
      <c r="C74" s="187"/>
      <c r="D74" s="188"/>
    </row>
    <row r="75" spans="1:4" x14ac:dyDescent="0.2">
      <c r="A75" s="26" t="s">
        <v>112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133</v>
      </c>
      <c r="C76" s="58"/>
      <c r="D76" s="8">
        <f>D7</f>
        <v>13590</v>
      </c>
    </row>
    <row r="77" spans="1:4" x14ac:dyDescent="0.2">
      <c r="A77" s="4">
        <v>2</v>
      </c>
      <c r="B77" s="46" t="s">
        <v>134</v>
      </c>
      <c r="C77" s="58"/>
      <c r="D77" s="8">
        <f>D43</f>
        <v>6506.1810000000005</v>
      </c>
    </row>
    <row r="78" spans="1:4" x14ac:dyDescent="0.2">
      <c r="A78" s="4">
        <v>3</v>
      </c>
      <c r="B78" s="46" t="s">
        <v>135</v>
      </c>
      <c r="C78" s="58"/>
      <c r="D78" s="8">
        <f>D53</f>
        <v>765.17739999999992</v>
      </c>
    </row>
    <row r="79" spans="1:4" x14ac:dyDescent="0.2">
      <c r="A79" s="4">
        <v>4</v>
      </c>
      <c r="B79" s="46" t="s">
        <v>136</v>
      </c>
      <c r="C79" s="58"/>
      <c r="D79" s="8">
        <v>0</v>
      </c>
    </row>
    <row r="80" spans="1:4" x14ac:dyDescent="0.2">
      <c r="A80" s="4">
        <v>5</v>
      </c>
      <c r="B80" s="46" t="s">
        <v>137</v>
      </c>
      <c r="C80" s="58"/>
      <c r="D80" s="8">
        <v>0</v>
      </c>
    </row>
    <row r="81" spans="1:4" x14ac:dyDescent="0.2">
      <c r="A81" s="59" t="s">
        <v>113</v>
      </c>
      <c r="B81" s="10"/>
      <c r="C81" s="11"/>
      <c r="D81" s="12">
        <f>SUM(D76:D80)</f>
        <v>20861.358400000001</v>
      </c>
    </row>
    <row r="82" spans="1:4" x14ac:dyDescent="0.2">
      <c r="A82" s="4">
        <v>6</v>
      </c>
      <c r="B82" s="46" t="s">
        <v>138</v>
      </c>
      <c r="C82" s="58"/>
      <c r="D82" s="8">
        <f>D72</f>
        <v>5689.4613818181833</v>
      </c>
    </row>
    <row r="83" spans="1:4" x14ac:dyDescent="0.2">
      <c r="A83" s="178" t="s">
        <v>114</v>
      </c>
      <c r="B83" s="189"/>
      <c r="C83" s="179"/>
      <c r="D83" s="60">
        <f>SUM(D81:D82)</f>
        <v>26550.819781818183</v>
      </c>
    </row>
    <row r="84" spans="1:4" x14ac:dyDescent="0.2">
      <c r="C84" s="108" t="s">
        <v>187</v>
      </c>
      <c r="D84" s="109">
        <f>ROUNDUP(D83/D76,2)</f>
        <v>1.96</v>
      </c>
    </row>
    <row r="85" spans="1:4" x14ac:dyDescent="0.2"/>
    <row r="86" spans="1:4" hidden="1" x14ac:dyDescent="0.2">
      <c r="D86" s="111"/>
    </row>
  </sheetData>
  <mergeCells count="22"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</mergeCells>
  <conditionalFormatting sqref="B69">
    <cfRule type="expression" dxfId="7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A1E985-3BB1-4F33-B2F7-63675A9E5255}">
  <sheetPr codeName="Planilha43"/>
  <dimension ref="A1:D86"/>
  <sheetViews>
    <sheetView zoomScaleNormal="100" workbookViewId="0">
      <selection activeCell="F24" sqref="F24:F31"/>
    </sheetView>
  </sheetViews>
  <sheetFormatPr defaultColWidth="0" defaultRowHeight="12" zeroHeight="1" x14ac:dyDescent="0.2"/>
  <cols>
    <col min="1" max="1" width="5.85546875" style="107" customWidth="1"/>
    <col min="2" max="2" width="83.28515625" style="107" customWidth="1"/>
    <col min="3" max="3" width="12.42578125" style="107" customWidth="1"/>
    <col min="4" max="4" width="15.42578125" style="107" customWidth="1"/>
    <col min="5" max="5" width="9.140625" style="107" hidden="1" customWidth="1"/>
    <col min="6" max="16384" width="9.140625" style="107" hidden="1"/>
  </cols>
  <sheetData>
    <row r="1" spans="1:4" ht="12.75" thickBot="1" x14ac:dyDescent="0.25">
      <c r="A1" s="180" t="str">
        <f>PERFIS!C29</f>
        <v>Arquiteto de Dados Sênior</v>
      </c>
      <c r="B1" s="181"/>
      <c r="C1" s="181"/>
      <c r="D1" s="182"/>
    </row>
    <row r="2" spans="1:4" x14ac:dyDescent="0.2">
      <c r="A2" s="110"/>
      <c r="B2" s="110"/>
      <c r="C2" s="110"/>
      <c r="D2" s="110"/>
    </row>
    <row r="3" spans="1:4" x14ac:dyDescent="0.2">
      <c r="A3" s="169" t="s">
        <v>93</v>
      </c>
      <c r="B3" s="170"/>
      <c r="C3" s="170"/>
      <c r="D3" s="171"/>
    </row>
    <row r="4" spans="1:4" x14ac:dyDescent="0.2">
      <c r="A4" s="172" t="s">
        <v>94</v>
      </c>
      <c r="B4" s="173"/>
      <c r="C4" s="173"/>
      <c r="D4" s="174"/>
    </row>
    <row r="5" spans="1:4" x14ac:dyDescent="0.2">
      <c r="A5" s="1">
        <v>1</v>
      </c>
      <c r="B5" s="2" t="s">
        <v>115</v>
      </c>
      <c r="C5" s="3"/>
      <c r="D5" s="1" t="s">
        <v>1</v>
      </c>
    </row>
    <row r="6" spans="1:4" x14ac:dyDescent="0.2">
      <c r="A6" s="4" t="s">
        <v>2</v>
      </c>
      <c r="B6" s="5" t="s">
        <v>116</v>
      </c>
      <c r="C6" s="6">
        <v>1</v>
      </c>
      <c r="D6" s="7">
        <f>_xlfn.XLOOKUP(A1,PERFIS!C3:C35,PERFIS!D3:D35)</f>
        <v>18000</v>
      </c>
    </row>
    <row r="7" spans="1:4" x14ac:dyDescent="0.2">
      <c r="A7" s="9" t="s">
        <v>95</v>
      </c>
      <c r="B7" s="10"/>
      <c r="C7" s="11"/>
      <c r="D7" s="12">
        <f>SUM(D6)</f>
        <v>18000</v>
      </c>
    </row>
    <row r="8" spans="1:4" x14ac:dyDescent="0.2">
      <c r="A8" s="13"/>
      <c r="B8" s="14"/>
      <c r="C8" s="15"/>
      <c r="D8" s="16"/>
    </row>
    <row r="9" spans="1:4" x14ac:dyDescent="0.2">
      <c r="A9" s="172" t="s">
        <v>96</v>
      </c>
      <c r="B9" s="173"/>
      <c r="C9" s="173"/>
      <c r="D9" s="174"/>
    </row>
    <row r="10" spans="1:4" x14ac:dyDescent="0.2">
      <c r="A10" s="175" t="s">
        <v>190</v>
      </c>
      <c r="B10" s="176"/>
      <c r="C10" s="176"/>
      <c r="D10" s="177"/>
    </row>
    <row r="11" spans="1:4" x14ac:dyDescent="0.2">
      <c r="A11" s="17" t="s">
        <v>9</v>
      </c>
      <c r="B11" s="2" t="s">
        <v>115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117</v>
      </c>
      <c r="C12" s="21">
        <f>COMPOSICAO!D3</f>
        <v>8.3333333333333329E-2</v>
      </c>
      <c r="D12" s="22">
        <f>C12*$D$7</f>
        <v>1500</v>
      </c>
    </row>
    <row r="13" spans="1:4" x14ac:dyDescent="0.2">
      <c r="A13" s="19" t="s">
        <v>3</v>
      </c>
      <c r="B13" s="20" t="s">
        <v>185</v>
      </c>
      <c r="C13" s="21">
        <f>COMPOSICAO!D4</f>
        <v>7.7777777777777779E-2</v>
      </c>
      <c r="D13" s="22">
        <f>C13*$D$7</f>
        <v>1400</v>
      </c>
    </row>
    <row r="14" spans="1:4" x14ac:dyDescent="0.2">
      <c r="A14" s="178" t="s">
        <v>191</v>
      </c>
      <c r="B14" s="179"/>
      <c r="C14" s="23">
        <f>SUM(C12:C13)</f>
        <v>0.16111111111111109</v>
      </c>
      <c r="D14" s="12">
        <f>SUM(D12:D13)</f>
        <v>2900</v>
      </c>
    </row>
    <row r="15" spans="1:4" x14ac:dyDescent="0.2">
      <c r="A15" s="13"/>
      <c r="B15" s="14"/>
      <c r="C15" s="24"/>
      <c r="D15" s="16"/>
    </row>
    <row r="16" spans="1:4" x14ac:dyDescent="0.2">
      <c r="A16" s="194" t="s">
        <v>98</v>
      </c>
      <c r="B16" s="195"/>
      <c r="C16" s="195"/>
      <c r="D16" s="196"/>
    </row>
    <row r="17" spans="1:4" x14ac:dyDescent="0.2">
      <c r="A17" s="17" t="s">
        <v>10</v>
      </c>
      <c r="B17" s="2" t="s">
        <v>115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118</v>
      </c>
      <c r="C18" s="21">
        <v>0.05</v>
      </c>
      <c r="D18" s="22">
        <f>C18*($D$7+$D$14)</f>
        <v>1045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522.5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627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313.5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209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125.4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41.800000000000004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1672</v>
      </c>
    </row>
    <row r="26" spans="1:4" x14ac:dyDescent="0.2">
      <c r="A26" s="192" t="s">
        <v>99</v>
      </c>
      <c r="B26" s="193"/>
      <c r="C26" s="27">
        <f>SUM(C18:C25)</f>
        <v>0.21800000000000003</v>
      </c>
      <c r="D26" s="28">
        <f>SUM(D18:D25)</f>
        <v>4556.2000000000007</v>
      </c>
    </row>
    <row r="27" spans="1:4" x14ac:dyDescent="0.2">
      <c r="A27" s="13"/>
      <c r="B27" s="14"/>
      <c r="C27" s="29"/>
      <c r="D27" s="16"/>
    </row>
    <row r="28" spans="1:4" x14ac:dyDescent="0.2">
      <c r="A28" s="194" t="s">
        <v>100</v>
      </c>
      <c r="B28" s="195"/>
      <c r="C28" s="195"/>
      <c r="D28" s="196"/>
    </row>
    <row r="29" spans="1:4" x14ac:dyDescent="0.2">
      <c r="A29" s="17" t="s">
        <v>19</v>
      </c>
      <c r="B29" s="194" t="s">
        <v>115</v>
      </c>
      <c r="C29" s="196"/>
      <c r="D29" s="17" t="s">
        <v>1</v>
      </c>
    </row>
    <row r="30" spans="1:4" x14ac:dyDescent="0.2">
      <c r="A30" s="183" t="s">
        <v>2</v>
      </c>
      <c r="B30" s="30" t="s">
        <v>119</v>
      </c>
      <c r="C30" s="31"/>
      <c r="D30" s="7">
        <f>COMPOSICAO!D20*2*22</f>
        <v>242</v>
      </c>
    </row>
    <row r="31" spans="1:4" x14ac:dyDescent="0.2">
      <c r="A31" s="184"/>
      <c r="B31" s="30" t="s">
        <v>20</v>
      </c>
      <c r="C31" s="31"/>
      <c r="D31" s="7">
        <f>D6*COMPOSICAO!D21</f>
        <v>1080</v>
      </c>
    </row>
    <row r="32" spans="1:4" x14ac:dyDescent="0.2">
      <c r="A32" s="185"/>
      <c r="B32" s="88" t="s">
        <v>21</v>
      </c>
      <c r="C32" s="89"/>
      <c r="D32" s="39">
        <f>IF(D30-D31&gt;0,D30-D31,0)</f>
        <v>0</v>
      </c>
    </row>
    <row r="33" spans="1:4" x14ac:dyDescent="0.2">
      <c r="A33" s="183" t="s">
        <v>3</v>
      </c>
      <c r="B33" s="30" t="s">
        <v>120</v>
      </c>
      <c r="D33" s="7">
        <f>COMPOSICAO!D23*22</f>
        <v>814</v>
      </c>
    </row>
    <row r="34" spans="1:4" x14ac:dyDescent="0.2">
      <c r="A34" s="184"/>
      <c r="B34" s="30" t="s">
        <v>181</v>
      </c>
      <c r="C34" s="104" cm="1">
        <f t="array" ref="C34">_xlfn.IFS(D6&lt;2407,COMPOSICAO!D25,D6&lt;4073.39,COMPOSICAO!D26,D6&lt;5924.92,COMPOSICAO!D27,D6&lt;7406.17,COMPOSICAO!D28,D6&lt;9072.58,COMPOSICAO!D29,D6&gt;9072.59,COMPOSICAO!D30)</f>
        <v>0.15</v>
      </c>
      <c r="D34" s="7">
        <f>D33*C34</f>
        <v>122.1</v>
      </c>
    </row>
    <row r="35" spans="1:4" x14ac:dyDescent="0.2">
      <c r="A35" s="185"/>
      <c r="B35" s="88" t="s">
        <v>182</v>
      </c>
      <c r="C35" s="90"/>
      <c r="D35" s="39">
        <f>D33-D34</f>
        <v>691.9</v>
      </c>
    </row>
    <row r="36" spans="1:4" x14ac:dyDescent="0.2">
      <c r="A36" s="4" t="s">
        <v>4</v>
      </c>
      <c r="B36" s="30" t="s">
        <v>167</v>
      </c>
      <c r="C36" s="31"/>
      <c r="D36" s="151">
        <f>COMPOSICAO!D31</f>
        <v>184.85</v>
      </c>
    </row>
    <row r="37" spans="1:4" x14ac:dyDescent="0.2">
      <c r="A37" s="9" t="s">
        <v>101</v>
      </c>
      <c r="B37" s="10"/>
      <c r="C37" s="11"/>
      <c r="D37" s="12">
        <f>SUM(D32,D35,D36)</f>
        <v>876.75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121</v>
      </c>
      <c r="C39" s="33"/>
      <c r="D39" s="17" t="s">
        <v>1</v>
      </c>
    </row>
    <row r="40" spans="1:4" x14ac:dyDescent="0.2">
      <c r="A40" s="4" t="s">
        <v>9</v>
      </c>
      <c r="B40" s="30" t="s">
        <v>122</v>
      </c>
      <c r="C40" s="34"/>
      <c r="D40" s="8">
        <f>D14</f>
        <v>2900</v>
      </c>
    </row>
    <row r="41" spans="1:4" x14ac:dyDescent="0.2">
      <c r="A41" s="4" t="s">
        <v>10</v>
      </c>
      <c r="B41" s="30" t="s">
        <v>123</v>
      </c>
      <c r="C41" s="34"/>
      <c r="D41" s="8">
        <f>D26</f>
        <v>4556.2000000000007</v>
      </c>
    </row>
    <row r="42" spans="1:4" x14ac:dyDescent="0.2">
      <c r="A42" s="4" t="s">
        <v>19</v>
      </c>
      <c r="B42" s="30" t="s">
        <v>124</v>
      </c>
      <c r="C42" s="34"/>
      <c r="D42" s="8">
        <f>D37</f>
        <v>876.75</v>
      </c>
    </row>
    <row r="43" spans="1:4" x14ac:dyDescent="0.2">
      <c r="A43" s="178" t="s">
        <v>102</v>
      </c>
      <c r="B43" s="189"/>
      <c r="C43" s="35"/>
      <c r="D43" s="12">
        <f>SUM(D40:D42)</f>
        <v>8332.9500000000007</v>
      </c>
    </row>
    <row r="44" spans="1:4" x14ac:dyDescent="0.2">
      <c r="A44" s="13"/>
      <c r="B44" s="14"/>
      <c r="C44" s="15"/>
      <c r="D44" s="16"/>
    </row>
    <row r="45" spans="1:4" x14ac:dyDescent="0.2">
      <c r="A45" s="172" t="s">
        <v>103</v>
      </c>
      <c r="B45" s="173"/>
      <c r="C45" s="173"/>
      <c r="D45" s="174"/>
    </row>
    <row r="46" spans="1:4" x14ac:dyDescent="0.2">
      <c r="A46" s="17">
        <v>3</v>
      </c>
      <c r="B46" s="2" t="s">
        <v>115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75</v>
      </c>
    </row>
    <row r="48" spans="1:4" x14ac:dyDescent="0.2">
      <c r="A48" s="4" t="s">
        <v>3</v>
      </c>
      <c r="B48" s="30" t="s">
        <v>125</v>
      </c>
      <c r="C48" s="37">
        <f>COMPOSICAO!D35</f>
        <v>3.3333333333333332E-4</v>
      </c>
      <c r="D48" s="22">
        <f>C48*$D$7</f>
        <v>6</v>
      </c>
    </row>
    <row r="49" spans="1:4" x14ac:dyDescent="0.2">
      <c r="A49" s="19" t="s">
        <v>4</v>
      </c>
      <c r="B49" s="20" t="s">
        <v>126</v>
      </c>
      <c r="C49" s="37">
        <f>COMPOSICAO!D36</f>
        <v>3.4399999999999993E-2</v>
      </c>
      <c r="D49" s="22">
        <f t="shared" ref="D49:D52" si="1">C49*$D$7</f>
        <v>619.19999999999993</v>
      </c>
    </row>
    <row r="50" spans="1:4" x14ac:dyDescent="0.2">
      <c r="A50" s="4" t="s">
        <v>5</v>
      </c>
      <c r="B50" s="30" t="s">
        <v>127</v>
      </c>
      <c r="C50" s="37">
        <f>COMPOSICAO!D37</f>
        <v>1.2444444444444444E-2</v>
      </c>
      <c r="D50" s="22">
        <f t="shared" si="1"/>
        <v>224</v>
      </c>
    </row>
    <row r="51" spans="1:4" x14ac:dyDescent="0.2">
      <c r="A51" s="4" t="s">
        <v>6</v>
      </c>
      <c r="B51" s="30" t="s">
        <v>128</v>
      </c>
      <c r="C51" s="37">
        <f>COMPOSICAO!D38</f>
        <v>4.5631999999999999E-3</v>
      </c>
      <c r="D51" s="22">
        <f t="shared" si="1"/>
        <v>82.137599999999992</v>
      </c>
    </row>
    <row r="52" spans="1:4" x14ac:dyDescent="0.2">
      <c r="A52" s="4" t="s">
        <v>7</v>
      </c>
      <c r="B52" s="30" t="s">
        <v>129</v>
      </c>
      <c r="C52" s="37">
        <f>COMPOSICAO!D39</f>
        <v>3.9680000000000005E-4</v>
      </c>
      <c r="D52" s="22">
        <f t="shared" si="1"/>
        <v>7.1424000000000012</v>
      </c>
    </row>
    <row r="53" spans="1:4" x14ac:dyDescent="0.2">
      <c r="A53" s="190" t="s">
        <v>104</v>
      </c>
      <c r="B53" s="191"/>
      <c r="C53" s="38">
        <f>SUM(C47:C52)</f>
        <v>5.6304444444444435E-2</v>
      </c>
      <c r="D53" s="39">
        <f>SUM(D47:D52)</f>
        <v>1013.4799999999999</v>
      </c>
    </row>
    <row r="54" spans="1:4" x14ac:dyDescent="0.2">
      <c r="A54" s="13"/>
      <c r="B54" s="14"/>
      <c r="C54" s="40"/>
      <c r="D54" s="16"/>
    </row>
    <row r="55" spans="1:4" x14ac:dyDescent="0.2">
      <c r="A55" s="172" t="s">
        <v>105</v>
      </c>
      <c r="B55" s="173"/>
      <c r="C55" s="173"/>
      <c r="D55" s="174"/>
    </row>
    <row r="56" spans="1:4" x14ac:dyDescent="0.2">
      <c r="A56" s="17">
        <v>4</v>
      </c>
      <c r="B56" s="2" t="s">
        <v>115</v>
      </c>
      <c r="C56" s="36" t="s">
        <v>0</v>
      </c>
      <c r="D56" s="17" t="s">
        <v>1</v>
      </c>
    </row>
    <row r="57" spans="1:4" x14ac:dyDescent="0.2">
      <c r="A57" s="190" t="s">
        <v>106</v>
      </c>
      <c r="B57" s="191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2" t="s">
        <v>107</v>
      </c>
      <c r="B59" s="173"/>
      <c r="C59" s="173"/>
      <c r="D59" s="174"/>
    </row>
    <row r="60" spans="1:4" x14ac:dyDescent="0.2">
      <c r="A60" s="17">
        <v>5</v>
      </c>
      <c r="B60" s="43" t="s">
        <v>115</v>
      </c>
      <c r="C60" s="44"/>
      <c r="D60" s="45" t="s">
        <v>1</v>
      </c>
    </row>
    <row r="61" spans="1:4" x14ac:dyDescent="0.2">
      <c r="A61" s="9" t="s">
        <v>108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2" t="s">
        <v>109</v>
      </c>
      <c r="B63" s="173"/>
      <c r="C63" s="173"/>
      <c r="D63" s="174"/>
    </row>
    <row r="64" spans="1:4" x14ac:dyDescent="0.2">
      <c r="A64" s="17">
        <v>6</v>
      </c>
      <c r="B64" s="2" t="s">
        <v>115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130</v>
      </c>
      <c r="C65" s="53">
        <f>COMPOSICAO!D44</f>
        <v>0.05</v>
      </c>
      <c r="D65" s="12">
        <f>C65*$D$81</f>
        <v>1367.3215</v>
      </c>
    </row>
    <row r="66" spans="1:4" x14ac:dyDescent="0.2">
      <c r="A66" s="51" t="s">
        <v>3</v>
      </c>
      <c r="B66" s="52" t="s">
        <v>131</v>
      </c>
      <c r="C66" s="53">
        <f>COMPOSICAO!D45</f>
        <v>0.1</v>
      </c>
      <c r="D66" s="12">
        <f>C66*($D$81+$D$65)</f>
        <v>2871.3751499999998</v>
      </c>
    </row>
    <row r="67" spans="1:4" x14ac:dyDescent="0.2">
      <c r="A67" s="51" t="s">
        <v>4</v>
      </c>
      <c r="B67" s="52" t="s">
        <v>132</v>
      </c>
      <c r="C67" s="53">
        <f>COMPOSICAO!D46</f>
        <v>9.2499999999999999E-2</v>
      </c>
      <c r="D67" s="12">
        <f>((D65+D66+D81)/(1-C67))-(D65+D66+D81)</f>
        <v>3219.4206227272734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226.22955727272725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1044.136418181818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696.09094545454548</v>
      </c>
    </row>
    <row r="71" spans="1:4" x14ac:dyDescent="0.2">
      <c r="A71" s="4" t="s">
        <v>29</v>
      </c>
      <c r="B71" s="106" t="s">
        <v>183</v>
      </c>
      <c r="C71" s="37">
        <f>COMPOSICAO!D50</f>
        <v>3.5999999999999997E-2</v>
      </c>
      <c r="D71" s="12">
        <f t="shared" si="2"/>
        <v>1252.9637018181818</v>
      </c>
    </row>
    <row r="72" spans="1:4" x14ac:dyDescent="0.2">
      <c r="A72" s="178" t="s">
        <v>110</v>
      </c>
      <c r="B72" s="179"/>
      <c r="C72" s="55">
        <f>SUM(C65:C67)</f>
        <v>0.24250000000000002</v>
      </c>
      <c r="D72" s="12">
        <f>SUM(D65:D67)</f>
        <v>7458.1172727272733</v>
      </c>
    </row>
    <row r="73" spans="1:4" x14ac:dyDescent="0.2">
      <c r="A73" s="13"/>
      <c r="B73" s="14"/>
      <c r="C73" s="15"/>
      <c r="D73" s="16"/>
    </row>
    <row r="74" spans="1:4" x14ac:dyDescent="0.2">
      <c r="A74" s="186" t="s">
        <v>111</v>
      </c>
      <c r="B74" s="187"/>
      <c r="C74" s="187"/>
      <c r="D74" s="188"/>
    </row>
    <row r="75" spans="1:4" x14ac:dyDescent="0.2">
      <c r="A75" s="26" t="s">
        <v>112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133</v>
      </c>
      <c r="C76" s="58"/>
      <c r="D76" s="8">
        <f>D7</f>
        <v>18000</v>
      </c>
    </row>
    <row r="77" spans="1:4" x14ac:dyDescent="0.2">
      <c r="A77" s="4">
        <v>2</v>
      </c>
      <c r="B77" s="46" t="s">
        <v>134</v>
      </c>
      <c r="C77" s="58"/>
      <c r="D77" s="8">
        <f>D43</f>
        <v>8332.9500000000007</v>
      </c>
    </row>
    <row r="78" spans="1:4" x14ac:dyDescent="0.2">
      <c r="A78" s="4">
        <v>3</v>
      </c>
      <c r="B78" s="46" t="s">
        <v>135</v>
      </c>
      <c r="C78" s="58"/>
      <c r="D78" s="8">
        <f>D53</f>
        <v>1013.4799999999999</v>
      </c>
    </row>
    <row r="79" spans="1:4" x14ac:dyDescent="0.2">
      <c r="A79" s="4">
        <v>4</v>
      </c>
      <c r="B79" s="46" t="s">
        <v>136</v>
      </c>
      <c r="C79" s="58"/>
      <c r="D79" s="8">
        <v>0</v>
      </c>
    </row>
    <row r="80" spans="1:4" x14ac:dyDescent="0.2">
      <c r="A80" s="4">
        <v>5</v>
      </c>
      <c r="B80" s="46" t="s">
        <v>137</v>
      </c>
      <c r="C80" s="58"/>
      <c r="D80" s="8">
        <v>0</v>
      </c>
    </row>
    <row r="81" spans="1:4" x14ac:dyDescent="0.2">
      <c r="A81" s="59" t="s">
        <v>113</v>
      </c>
      <c r="B81" s="10"/>
      <c r="C81" s="11"/>
      <c r="D81" s="12">
        <f>SUM(D76:D80)</f>
        <v>27346.43</v>
      </c>
    </row>
    <row r="82" spans="1:4" x14ac:dyDescent="0.2">
      <c r="A82" s="4">
        <v>6</v>
      </c>
      <c r="B82" s="46" t="s">
        <v>138</v>
      </c>
      <c r="C82" s="58"/>
      <c r="D82" s="8">
        <f>D72</f>
        <v>7458.1172727272733</v>
      </c>
    </row>
    <row r="83" spans="1:4" x14ac:dyDescent="0.2">
      <c r="A83" s="178" t="s">
        <v>114</v>
      </c>
      <c r="B83" s="189"/>
      <c r="C83" s="179"/>
      <c r="D83" s="60">
        <f>SUM(D81:D82)</f>
        <v>34804.547272727272</v>
      </c>
    </row>
    <row r="84" spans="1:4" x14ac:dyDescent="0.2">
      <c r="C84" s="108" t="s">
        <v>187</v>
      </c>
      <c r="D84" s="109">
        <f>ROUNDUP(D83/D76,2)</f>
        <v>1.94</v>
      </c>
    </row>
    <row r="85" spans="1:4" x14ac:dyDescent="0.2"/>
    <row r="86" spans="1:4" hidden="1" x14ac:dyDescent="0.2">
      <c r="D86" s="111"/>
    </row>
  </sheetData>
  <mergeCells count="22"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</mergeCells>
  <conditionalFormatting sqref="B69">
    <cfRule type="expression" dxfId="6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46B854-12FB-45C7-A9CC-1A6116F52A12}">
  <sheetPr codeName="Planilha3"/>
  <dimension ref="A1:D86"/>
  <sheetViews>
    <sheetView zoomScaleNormal="100" workbookViewId="0">
      <selection activeCell="F24" sqref="F24:F31"/>
    </sheetView>
  </sheetViews>
  <sheetFormatPr defaultColWidth="0" defaultRowHeight="12" zeroHeight="1" x14ac:dyDescent="0.2"/>
  <cols>
    <col min="1" max="1" width="5.85546875" style="107" customWidth="1"/>
    <col min="2" max="2" width="83.28515625" style="107" customWidth="1"/>
    <col min="3" max="3" width="12.42578125" style="107" customWidth="1"/>
    <col min="4" max="4" width="15.42578125" style="107" customWidth="1"/>
    <col min="5" max="5" width="9.140625" style="107" hidden="1" customWidth="1"/>
    <col min="6" max="16384" width="9.140625" style="107" hidden="1"/>
  </cols>
  <sheetData>
    <row r="1" spans="1:4" ht="12.75" thickBot="1" x14ac:dyDescent="0.25">
      <c r="A1" s="180" t="str">
        <f>PERFIS!C3</f>
        <v>Arquiteto de Software - Pleno</v>
      </c>
      <c r="B1" s="181"/>
      <c r="C1" s="181"/>
      <c r="D1" s="182"/>
    </row>
    <row r="2" spans="1:4" x14ac:dyDescent="0.2">
      <c r="A2" s="110"/>
      <c r="B2" s="110"/>
      <c r="C2" s="110"/>
      <c r="D2" s="110"/>
    </row>
    <row r="3" spans="1:4" x14ac:dyDescent="0.2">
      <c r="A3" s="169" t="s">
        <v>93</v>
      </c>
      <c r="B3" s="170"/>
      <c r="C3" s="170"/>
      <c r="D3" s="171"/>
    </row>
    <row r="4" spans="1:4" x14ac:dyDescent="0.2">
      <c r="A4" s="172" t="s">
        <v>94</v>
      </c>
      <c r="B4" s="173"/>
      <c r="C4" s="173"/>
      <c r="D4" s="174"/>
    </row>
    <row r="5" spans="1:4" x14ac:dyDescent="0.2">
      <c r="A5" s="1">
        <v>1</v>
      </c>
      <c r="B5" s="2" t="s">
        <v>115</v>
      </c>
      <c r="C5" s="3"/>
      <c r="D5" s="1" t="s">
        <v>1</v>
      </c>
    </row>
    <row r="6" spans="1:4" x14ac:dyDescent="0.2">
      <c r="A6" s="4" t="s">
        <v>2</v>
      </c>
      <c r="B6" s="5" t="s">
        <v>116</v>
      </c>
      <c r="C6" s="6">
        <v>1</v>
      </c>
      <c r="D6" s="7">
        <f>_xlfn.XLOOKUP(A1,PERFIS!C3:C35,PERFIS!D3:D35)</f>
        <v>12073.7</v>
      </c>
    </row>
    <row r="7" spans="1:4" x14ac:dyDescent="0.2">
      <c r="A7" s="9" t="s">
        <v>95</v>
      </c>
      <c r="B7" s="10"/>
      <c r="C7" s="11"/>
      <c r="D7" s="12">
        <f>SUM(D6)</f>
        <v>12073.7</v>
      </c>
    </row>
    <row r="8" spans="1:4" x14ac:dyDescent="0.2">
      <c r="A8" s="13"/>
      <c r="B8" s="14"/>
      <c r="C8" s="15"/>
      <c r="D8" s="16"/>
    </row>
    <row r="9" spans="1:4" x14ac:dyDescent="0.2">
      <c r="A9" s="172" t="s">
        <v>96</v>
      </c>
      <c r="B9" s="173"/>
      <c r="C9" s="173"/>
      <c r="D9" s="174"/>
    </row>
    <row r="10" spans="1:4" x14ac:dyDescent="0.2">
      <c r="A10" s="175" t="s">
        <v>190</v>
      </c>
      <c r="B10" s="176"/>
      <c r="C10" s="176"/>
      <c r="D10" s="177"/>
    </row>
    <row r="11" spans="1:4" x14ac:dyDescent="0.2">
      <c r="A11" s="17" t="s">
        <v>9</v>
      </c>
      <c r="B11" s="2" t="s">
        <v>115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117</v>
      </c>
      <c r="C12" s="21">
        <f>COMPOSICAO!D3</f>
        <v>8.3333333333333329E-2</v>
      </c>
      <c r="D12" s="22">
        <f>C12*$D$7</f>
        <v>1006.1416666666667</v>
      </c>
    </row>
    <row r="13" spans="1:4" x14ac:dyDescent="0.2">
      <c r="A13" s="19" t="s">
        <v>3</v>
      </c>
      <c r="B13" s="20" t="s">
        <v>185</v>
      </c>
      <c r="C13" s="21">
        <f>COMPOSICAO!D4</f>
        <v>7.7777777777777779E-2</v>
      </c>
      <c r="D13" s="22">
        <f>C13*$D$7</f>
        <v>939.06555555555565</v>
      </c>
    </row>
    <row r="14" spans="1:4" x14ac:dyDescent="0.2">
      <c r="A14" s="178" t="s">
        <v>191</v>
      </c>
      <c r="B14" s="179"/>
      <c r="C14" s="23">
        <f>SUM(C12:C13)</f>
        <v>0.16111111111111109</v>
      </c>
      <c r="D14" s="12">
        <f>SUM(D12:D13)</f>
        <v>1945.2072222222223</v>
      </c>
    </row>
    <row r="15" spans="1:4" x14ac:dyDescent="0.2">
      <c r="A15" s="13"/>
      <c r="B15" s="14"/>
      <c r="C15" s="24"/>
      <c r="D15" s="16"/>
    </row>
    <row r="16" spans="1:4" x14ac:dyDescent="0.2">
      <c r="A16" s="166" t="s">
        <v>98</v>
      </c>
      <c r="B16" s="167"/>
      <c r="C16" s="167"/>
      <c r="D16" s="168"/>
    </row>
    <row r="17" spans="1:4" x14ac:dyDescent="0.2">
      <c r="A17" s="17" t="s">
        <v>10</v>
      </c>
      <c r="B17" s="2" t="s">
        <v>115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118</v>
      </c>
      <c r="C18" s="21">
        <v>0.05</v>
      </c>
      <c r="D18" s="22">
        <f>C18*($D$7+$D$14)</f>
        <v>700.9453611111112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350.4726805555556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420.5672166666667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210.28360833333335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140.18907222222225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84.11344333333335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28.03781444444445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1121.512577777778</v>
      </c>
    </row>
    <row r="26" spans="1:4" x14ac:dyDescent="0.2">
      <c r="A26" s="192" t="s">
        <v>99</v>
      </c>
      <c r="B26" s="193"/>
      <c r="C26" s="27">
        <f>SUM(C18:C25)</f>
        <v>0.21800000000000003</v>
      </c>
      <c r="D26" s="28">
        <f>SUM(D18:D25)</f>
        <v>3056.1217744444448</v>
      </c>
    </row>
    <row r="27" spans="1:4" x14ac:dyDescent="0.2">
      <c r="A27" s="13"/>
      <c r="B27" s="14"/>
      <c r="C27" s="29"/>
      <c r="D27" s="16"/>
    </row>
    <row r="28" spans="1:4" x14ac:dyDescent="0.2">
      <c r="A28" s="194" t="s">
        <v>100</v>
      </c>
      <c r="B28" s="195"/>
      <c r="C28" s="195"/>
      <c r="D28" s="196"/>
    </row>
    <row r="29" spans="1:4" x14ac:dyDescent="0.2">
      <c r="A29" s="17" t="s">
        <v>19</v>
      </c>
      <c r="B29" s="194" t="s">
        <v>115</v>
      </c>
      <c r="C29" s="196"/>
      <c r="D29" s="17" t="s">
        <v>1</v>
      </c>
    </row>
    <row r="30" spans="1:4" x14ac:dyDescent="0.2">
      <c r="A30" s="183" t="s">
        <v>2</v>
      </c>
      <c r="B30" s="30" t="s">
        <v>119</v>
      </c>
      <c r="C30" s="31"/>
      <c r="D30" s="7">
        <f>COMPOSICAO!D20*2*22</f>
        <v>242</v>
      </c>
    </row>
    <row r="31" spans="1:4" x14ac:dyDescent="0.2">
      <c r="A31" s="184"/>
      <c r="B31" s="30" t="s">
        <v>20</v>
      </c>
      <c r="C31" s="31"/>
      <c r="D31" s="7">
        <f>D6*COMPOSICAO!D21</f>
        <v>724.42200000000003</v>
      </c>
    </row>
    <row r="32" spans="1:4" x14ac:dyDescent="0.2">
      <c r="A32" s="185"/>
      <c r="B32" s="88" t="s">
        <v>21</v>
      </c>
      <c r="C32" s="89"/>
      <c r="D32" s="39">
        <f>IF(D30-D31&gt;0,D30-D31,0)</f>
        <v>0</v>
      </c>
    </row>
    <row r="33" spans="1:4" x14ac:dyDescent="0.2">
      <c r="A33" s="183" t="s">
        <v>3</v>
      </c>
      <c r="B33" s="30" t="s">
        <v>120</v>
      </c>
      <c r="D33" s="7">
        <f>COMPOSICAO!D23*22</f>
        <v>814</v>
      </c>
    </row>
    <row r="34" spans="1:4" x14ac:dyDescent="0.2">
      <c r="A34" s="184"/>
      <c r="B34" s="30" t="s">
        <v>181</v>
      </c>
      <c r="C34" s="104" cm="1">
        <f t="array" ref="C34">_xlfn.IFS(D6&lt;2407,COMPOSICAO!D25,D6&lt;4073.39,COMPOSICAO!D26,D6&lt;5924.92,COMPOSICAO!D27,D6&lt;7406.17,COMPOSICAO!D28,D6&lt;9072.58,COMPOSICAO!D29,D6&gt;9072.59,COMPOSICAO!D30)</f>
        <v>0.15</v>
      </c>
      <c r="D34" s="7">
        <f>D33*C34</f>
        <v>122.1</v>
      </c>
    </row>
    <row r="35" spans="1:4" x14ac:dyDescent="0.2">
      <c r="A35" s="185"/>
      <c r="B35" s="88" t="s">
        <v>182</v>
      </c>
      <c r="C35" s="90"/>
      <c r="D35" s="39">
        <f>D33-D34</f>
        <v>691.9</v>
      </c>
    </row>
    <row r="36" spans="1:4" x14ac:dyDescent="0.2">
      <c r="A36" s="4" t="s">
        <v>4</v>
      </c>
      <c r="B36" s="30" t="s">
        <v>167</v>
      </c>
      <c r="C36" s="31"/>
      <c r="D36" s="151">
        <f>COMPOSICAO!D31</f>
        <v>184.85</v>
      </c>
    </row>
    <row r="37" spans="1:4" x14ac:dyDescent="0.2">
      <c r="A37" s="9" t="s">
        <v>101</v>
      </c>
      <c r="B37" s="10"/>
      <c r="C37" s="11"/>
      <c r="D37" s="12">
        <f>SUM(D32,D35,D36)</f>
        <v>876.75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121</v>
      </c>
      <c r="C39" s="33"/>
      <c r="D39" s="17" t="s">
        <v>1</v>
      </c>
    </row>
    <row r="40" spans="1:4" x14ac:dyDescent="0.2">
      <c r="A40" s="4" t="s">
        <v>9</v>
      </c>
      <c r="B40" s="30" t="s">
        <v>122</v>
      </c>
      <c r="C40" s="34"/>
      <c r="D40" s="8">
        <f>D14</f>
        <v>1945.2072222222223</v>
      </c>
    </row>
    <row r="41" spans="1:4" x14ac:dyDescent="0.2">
      <c r="A41" s="4" t="s">
        <v>10</v>
      </c>
      <c r="B41" s="30" t="s">
        <v>123</v>
      </c>
      <c r="C41" s="34"/>
      <c r="D41" s="8">
        <f>D26</f>
        <v>3056.1217744444448</v>
      </c>
    </row>
    <row r="42" spans="1:4" x14ac:dyDescent="0.2">
      <c r="A42" s="4" t="s">
        <v>19</v>
      </c>
      <c r="B42" s="30" t="s">
        <v>124</v>
      </c>
      <c r="C42" s="34"/>
      <c r="D42" s="8">
        <f>D37</f>
        <v>876.75</v>
      </c>
    </row>
    <row r="43" spans="1:4" x14ac:dyDescent="0.2">
      <c r="A43" s="178" t="s">
        <v>102</v>
      </c>
      <c r="B43" s="189"/>
      <c r="C43" s="35"/>
      <c r="D43" s="12">
        <f>SUM(D40:D42)</f>
        <v>5878.0789966666671</v>
      </c>
    </row>
    <row r="44" spans="1:4" x14ac:dyDescent="0.2">
      <c r="A44" s="13"/>
      <c r="B44" s="14"/>
      <c r="C44" s="15"/>
      <c r="D44" s="16"/>
    </row>
    <row r="45" spans="1:4" x14ac:dyDescent="0.2">
      <c r="A45" s="172" t="s">
        <v>103</v>
      </c>
      <c r="B45" s="173"/>
      <c r="C45" s="173"/>
      <c r="D45" s="174"/>
    </row>
    <row r="46" spans="1:4" x14ac:dyDescent="0.2">
      <c r="A46" s="17">
        <v>3</v>
      </c>
      <c r="B46" s="2" t="s">
        <v>115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50.307083333333338</v>
      </c>
    </row>
    <row r="48" spans="1:4" x14ac:dyDescent="0.2">
      <c r="A48" s="4" t="s">
        <v>3</v>
      </c>
      <c r="B48" s="30" t="s">
        <v>125</v>
      </c>
      <c r="C48" s="37">
        <f>COMPOSICAO!D35</f>
        <v>3.3333333333333332E-4</v>
      </c>
      <c r="D48" s="22">
        <f>C48*$D$7</f>
        <v>4.0245666666666668</v>
      </c>
    </row>
    <row r="49" spans="1:4" x14ac:dyDescent="0.2">
      <c r="A49" s="19" t="s">
        <v>4</v>
      </c>
      <c r="B49" s="20" t="s">
        <v>126</v>
      </c>
      <c r="C49" s="37">
        <f>COMPOSICAO!D36</f>
        <v>3.4399999999999993E-2</v>
      </c>
      <c r="D49" s="22">
        <f t="shared" ref="D49:D52" si="1">C49*$D$7</f>
        <v>415.33527999999995</v>
      </c>
    </row>
    <row r="50" spans="1:4" x14ac:dyDescent="0.2">
      <c r="A50" s="4" t="s">
        <v>5</v>
      </c>
      <c r="B50" s="30" t="s">
        <v>127</v>
      </c>
      <c r="C50" s="37">
        <f>COMPOSICAO!D37</f>
        <v>1.2444444444444444E-2</v>
      </c>
      <c r="D50" s="22">
        <f t="shared" si="1"/>
        <v>150.2504888888889</v>
      </c>
    </row>
    <row r="51" spans="1:4" x14ac:dyDescent="0.2">
      <c r="A51" s="4" t="s">
        <v>6</v>
      </c>
      <c r="B51" s="30" t="s">
        <v>128</v>
      </c>
      <c r="C51" s="37">
        <f>COMPOSICAO!D38</f>
        <v>4.5631999999999999E-3</v>
      </c>
      <c r="D51" s="22">
        <f t="shared" si="1"/>
        <v>55.094707840000005</v>
      </c>
    </row>
    <row r="52" spans="1:4" x14ac:dyDescent="0.2">
      <c r="A52" s="4" t="s">
        <v>7</v>
      </c>
      <c r="B52" s="30" t="s">
        <v>129</v>
      </c>
      <c r="C52" s="37">
        <f>COMPOSICAO!D39</f>
        <v>3.9680000000000005E-4</v>
      </c>
      <c r="D52" s="22">
        <f t="shared" si="1"/>
        <v>4.7908441600000007</v>
      </c>
    </row>
    <row r="53" spans="1:4" x14ac:dyDescent="0.2">
      <c r="A53" s="190" t="s">
        <v>104</v>
      </c>
      <c r="B53" s="191"/>
      <c r="C53" s="38">
        <f>SUM(C47:C52)</f>
        <v>5.6304444444444435E-2</v>
      </c>
      <c r="D53" s="39">
        <f>SUM(D47:D52)</f>
        <v>679.80297088888881</v>
      </c>
    </row>
    <row r="54" spans="1:4" x14ac:dyDescent="0.2">
      <c r="A54" s="13"/>
      <c r="B54" s="14"/>
      <c r="C54" s="40"/>
      <c r="D54" s="16"/>
    </row>
    <row r="55" spans="1:4" x14ac:dyDescent="0.2">
      <c r="A55" s="172" t="s">
        <v>105</v>
      </c>
      <c r="B55" s="173"/>
      <c r="C55" s="173"/>
      <c r="D55" s="174"/>
    </row>
    <row r="56" spans="1:4" x14ac:dyDescent="0.2">
      <c r="A56" s="17">
        <v>4</v>
      </c>
      <c r="B56" s="2" t="s">
        <v>115</v>
      </c>
      <c r="C56" s="36" t="s">
        <v>0</v>
      </c>
      <c r="D56" s="17" t="s">
        <v>1</v>
      </c>
    </row>
    <row r="57" spans="1:4" x14ac:dyDescent="0.2">
      <c r="A57" s="190" t="s">
        <v>106</v>
      </c>
      <c r="B57" s="191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2" t="s">
        <v>107</v>
      </c>
      <c r="B59" s="173"/>
      <c r="C59" s="173"/>
      <c r="D59" s="174"/>
    </row>
    <row r="60" spans="1:4" x14ac:dyDescent="0.2">
      <c r="A60" s="17">
        <v>5</v>
      </c>
      <c r="B60" s="43" t="s">
        <v>115</v>
      </c>
      <c r="C60" s="44"/>
      <c r="D60" s="45" t="s">
        <v>1</v>
      </c>
    </row>
    <row r="61" spans="1:4" x14ac:dyDescent="0.2">
      <c r="A61" s="9" t="s">
        <v>108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2" t="s">
        <v>109</v>
      </c>
      <c r="B63" s="173"/>
      <c r="C63" s="173"/>
      <c r="D63" s="174"/>
    </row>
    <row r="64" spans="1:4" x14ac:dyDescent="0.2">
      <c r="A64" s="17">
        <v>6</v>
      </c>
      <c r="B64" s="2" t="s">
        <v>115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130</v>
      </c>
      <c r="C65" s="53">
        <f>COMPOSICAO!D44</f>
        <v>0.05</v>
      </c>
      <c r="D65" s="12">
        <f>C65*$D$81</f>
        <v>931.57909837777788</v>
      </c>
    </row>
    <row r="66" spans="1:4" x14ac:dyDescent="0.2">
      <c r="A66" s="51" t="s">
        <v>3</v>
      </c>
      <c r="B66" s="52" t="s">
        <v>131</v>
      </c>
      <c r="C66" s="53">
        <f>COMPOSICAO!D45</f>
        <v>0.1</v>
      </c>
      <c r="D66" s="12">
        <f>C66*($D$81+$D$65)</f>
        <v>1956.3161065933336</v>
      </c>
    </row>
    <row r="67" spans="1:4" x14ac:dyDescent="0.2">
      <c r="A67" s="51" t="s">
        <v>4</v>
      </c>
      <c r="B67" s="52" t="s">
        <v>132</v>
      </c>
      <c r="C67" s="53">
        <f>COMPOSICAO!D46</f>
        <v>9.2499999999999999E-2</v>
      </c>
      <c r="D67" s="12">
        <f>((D65+D66+D81)/(1-C67))-(D65+D66+D81)</f>
        <v>2193.44533163495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154.13399627705053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711.38767512484856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474.25845008323239</v>
      </c>
    </row>
    <row r="71" spans="1:4" x14ac:dyDescent="0.2">
      <c r="A71" s="4" t="s">
        <v>29</v>
      </c>
      <c r="B71" s="106" t="s">
        <v>183</v>
      </c>
      <c r="C71" s="37">
        <f>COMPOSICAO!D50</f>
        <v>3.5999999999999997E-2</v>
      </c>
      <c r="D71" s="12">
        <f t="shared" si="2"/>
        <v>853.66521014981822</v>
      </c>
    </row>
    <row r="72" spans="1:4" x14ac:dyDescent="0.2">
      <c r="A72" s="178" t="s">
        <v>110</v>
      </c>
      <c r="B72" s="179"/>
      <c r="C72" s="55">
        <f>SUM(C65:C67)</f>
        <v>0.24250000000000002</v>
      </c>
      <c r="D72" s="12">
        <f>SUM(D65:D67)</f>
        <v>5081.3405366060615</v>
      </c>
    </row>
    <row r="73" spans="1:4" x14ac:dyDescent="0.2">
      <c r="A73" s="13"/>
      <c r="B73" s="14"/>
      <c r="C73" s="15"/>
      <c r="D73" s="16"/>
    </row>
    <row r="74" spans="1:4" x14ac:dyDescent="0.2">
      <c r="A74" s="186" t="s">
        <v>111</v>
      </c>
      <c r="B74" s="187"/>
      <c r="C74" s="187"/>
      <c r="D74" s="188"/>
    </row>
    <row r="75" spans="1:4" x14ac:dyDescent="0.2">
      <c r="A75" s="26" t="s">
        <v>112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133</v>
      </c>
      <c r="C76" s="58"/>
      <c r="D76" s="8">
        <f>D7</f>
        <v>12073.7</v>
      </c>
    </row>
    <row r="77" spans="1:4" x14ac:dyDescent="0.2">
      <c r="A77" s="4">
        <v>2</v>
      </c>
      <c r="B77" s="46" t="s">
        <v>134</v>
      </c>
      <c r="C77" s="58"/>
      <c r="D77" s="8">
        <f>D43</f>
        <v>5878.0789966666671</v>
      </c>
    </row>
    <row r="78" spans="1:4" x14ac:dyDescent="0.2">
      <c r="A78" s="4">
        <v>3</v>
      </c>
      <c r="B78" s="46" t="s">
        <v>135</v>
      </c>
      <c r="C78" s="58"/>
      <c r="D78" s="8">
        <f>D53</f>
        <v>679.80297088888881</v>
      </c>
    </row>
    <row r="79" spans="1:4" x14ac:dyDescent="0.2">
      <c r="A79" s="4">
        <v>4</v>
      </c>
      <c r="B79" s="46" t="s">
        <v>136</v>
      </c>
      <c r="C79" s="58"/>
      <c r="D79" s="8">
        <v>0</v>
      </c>
    </row>
    <row r="80" spans="1:4" x14ac:dyDescent="0.2">
      <c r="A80" s="4">
        <v>5</v>
      </c>
      <c r="B80" s="46" t="s">
        <v>137</v>
      </c>
      <c r="C80" s="58"/>
      <c r="D80" s="8">
        <v>0</v>
      </c>
    </row>
    <row r="81" spans="1:4" x14ac:dyDescent="0.2">
      <c r="A81" s="59" t="s">
        <v>113</v>
      </c>
      <c r="B81" s="10"/>
      <c r="C81" s="11"/>
      <c r="D81" s="12">
        <f>SUM(D76:D80)</f>
        <v>18631.581967555558</v>
      </c>
    </row>
    <row r="82" spans="1:4" x14ac:dyDescent="0.2">
      <c r="A82" s="4">
        <v>6</v>
      </c>
      <c r="B82" s="46" t="s">
        <v>138</v>
      </c>
      <c r="C82" s="58"/>
      <c r="D82" s="8">
        <f>D72</f>
        <v>5081.3405366060615</v>
      </c>
    </row>
    <row r="83" spans="1:4" x14ac:dyDescent="0.2">
      <c r="A83" s="178" t="s">
        <v>114</v>
      </c>
      <c r="B83" s="189"/>
      <c r="C83" s="179"/>
      <c r="D83" s="60">
        <f>SUM(D81:D82)</f>
        <v>23712.922504161619</v>
      </c>
    </row>
    <row r="84" spans="1:4" x14ac:dyDescent="0.2">
      <c r="C84" s="108" t="s">
        <v>187</v>
      </c>
      <c r="D84" s="109">
        <f>ROUNDUP(D83/D76,2)</f>
        <v>1.97</v>
      </c>
    </row>
    <row r="85" spans="1:4" x14ac:dyDescent="0.2"/>
    <row r="86" spans="1:4" hidden="1" x14ac:dyDescent="0.2">
      <c r="D86" s="111"/>
    </row>
  </sheetData>
  <mergeCells count="22">
    <mergeCell ref="A1:D1"/>
    <mergeCell ref="A30:A32"/>
    <mergeCell ref="A72:B72"/>
    <mergeCell ref="A74:D74"/>
    <mergeCell ref="A83:C83"/>
    <mergeCell ref="A55:D55"/>
    <mergeCell ref="A57:B57"/>
    <mergeCell ref="A59:D59"/>
    <mergeCell ref="A63:D63"/>
    <mergeCell ref="A26:B26"/>
    <mergeCell ref="A28:D28"/>
    <mergeCell ref="B29:C29"/>
    <mergeCell ref="A43:B43"/>
    <mergeCell ref="A45:D45"/>
    <mergeCell ref="A53:B53"/>
    <mergeCell ref="A33:A35"/>
    <mergeCell ref="A16:D16"/>
    <mergeCell ref="A3:D3"/>
    <mergeCell ref="A4:D4"/>
    <mergeCell ref="A9:D9"/>
    <mergeCell ref="A10:D10"/>
    <mergeCell ref="A14:B14"/>
  </mergeCells>
  <pageMargins left="0.511811024" right="0.511811024" top="0.78740157499999996" bottom="0.78740157499999996" header="0.31496062000000002" footer="0.3149606200000000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0E7A33-F58D-4D6C-85E9-9D62B44DA606}">
  <sheetPr codeName="Planilha44"/>
  <dimension ref="A1:D86"/>
  <sheetViews>
    <sheetView zoomScaleNormal="100" workbookViewId="0">
      <selection activeCell="F24" sqref="F24:F31"/>
    </sheetView>
  </sheetViews>
  <sheetFormatPr defaultColWidth="0" defaultRowHeight="12" zeroHeight="1" x14ac:dyDescent="0.2"/>
  <cols>
    <col min="1" max="1" width="5.85546875" style="107" customWidth="1"/>
    <col min="2" max="2" width="83.28515625" style="107" customWidth="1"/>
    <col min="3" max="3" width="12.42578125" style="107" customWidth="1"/>
    <col min="4" max="4" width="15.42578125" style="107" customWidth="1"/>
    <col min="5" max="5" width="9.140625" style="107" hidden="1" customWidth="1"/>
    <col min="6" max="16384" width="9.140625" style="107" hidden="1"/>
  </cols>
  <sheetData>
    <row r="1" spans="1:4" ht="12.75" thickBot="1" x14ac:dyDescent="0.25">
      <c r="A1" s="180" t="str">
        <f>PERFIS!C30</f>
        <v>Engenharia de IA Júnior</v>
      </c>
      <c r="B1" s="181"/>
      <c r="C1" s="181"/>
      <c r="D1" s="182"/>
    </row>
    <row r="2" spans="1:4" x14ac:dyDescent="0.2">
      <c r="A2" s="110"/>
      <c r="B2" s="110"/>
      <c r="C2" s="110"/>
      <c r="D2" s="110"/>
    </row>
    <row r="3" spans="1:4" x14ac:dyDescent="0.2">
      <c r="A3" s="169" t="s">
        <v>93</v>
      </c>
      <c r="B3" s="170"/>
      <c r="C3" s="170"/>
      <c r="D3" s="171"/>
    </row>
    <row r="4" spans="1:4" x14ac:dyDescent="0.2">
      <c r="A4" s="172" t="s">
        <v>94</v>
      </c>
      <c r="B4" s="173"/>
      <c r="C4" s="173"/>
      <c r="D4" s="174"/>
    </row>
    <row r="5" spans="1:4" x14ac:dyDescent="0.2">
      <c r="A5" s="1">
        <v>1</v>
      </c>
      <c r="B5" s="2" t="s">
        <v>115</v>
      </c>
      <c r="C5" s="3"/>
      <c r="D5" s="1" t="s">
        <v>1</v>
      </c>
    </row>
    <row r="6" spans="1:4" x14ac:dyDescent="0.2">
      <c r="A6" s="4" t="s">
        <v>2</v>
      </c>
      <c r="B6" s="5" t="s">
        <v>116</v>
      </c>
      <c r="C6" s="6">
        <v>1</v>
      </c>
      <c r="D6" s="7">
        <f>_xlfn.XLOOKUP(A1,PERFIS!C3:C35,PERFIS!D3:D35)</f>
        <v>8500</v>
      </c>
    </row>
    <row r="7" spans="1:4" x14ac:dyDescent="0.2">
      <c r="A7" s="9" t="s">
        <v>95</v>
      </c>
      <c r="B7" s="10"/>
      <c r="C7" s="11"/>
      <c r="D7" s="12">
        <f>SUM(D6)</f>
        <v>8500</v>
      </c>
    </row>
    <row r="8" spans="1:4" x14ac:dyDescent="0.2">
      <c r="A8" s="13"/>
      <c r="B8" s="14"/>
      <c r="C8" s="15"/>
      <c r="D8" s="16"/>
    </row>
    <row r="9" spans="1:4" x14ac:dyDescent="0.2">
      <c r="A9" s="172" t="s">
        <v>96</v>
      </c>
      <c r="B9" s="173"/>
      <c r="C9" s="173"/>
      <c r="D9" s="174"/>
    </row>
    <row r="10" spans="1:4" x14ac:dyDescent="0.2">
      <c r="A10" s="175" t="s">
        <v>190</v>
      </c>
      <c r="B10" s="176"/>
      <c r="C10" s="176"/>
      <c r="D10" s="177"/>
    </row>
    <row r="11" spans="1:4" x14ac:dyDescent="0.2">
      <c r="A11" s="17" t="s">
        <v>9</v>
      </c>
      <c r="B11" s="2" t="s">
        <v>115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117</v>
      </c>
      <c r="C12" s="21">
        <f>COMPOSICAO!D3</f>
        <v>8.3333333333333329E-2</v>
      </c>
      <c r="D12" s="22">
        <f>C12*$D$7</f>
        <v>708.33333333333326</v>
      </c>
    </row>
    <row r="13" spans="1:4" x14ac:dyDescent="0.2">
      <c r="A13" s="19" t="s">
        <v>3</v>
      </c>
      <c r="B13" s="20" t="s">
        <v>185</v>
      </c>
      <c r="C13" s="21">
        <f>COMPOSICAO!D4</f>
        <v>7.7777777777777779E-2</v>
      </c>
      <c r="D13" s="22">
        <f>C13*$D$7</f>
        <v>661.11111111111109</v>
      </c>
    </row>
    <row r="14" spans="1:4" x14ac:dyDescent="0.2">
      <c r="A14" s="178" t="s">
        <v>191</v>
      </c>
      <c r="B14" s="179"/>
      <c r="C14" s="23">
        <f>SUM(C12:C13)</f>
        <v>0.16111111111111109</v>
      </c>
      <c r="D14" s="12">
        <f>SUM(D12:D13)</f>
        <v>1369.4444444444443</v>
      </c>
    </row>
    <row r="15" spans="1:4" x14ac:dyDescent="0.2">
      <c r="A15" s="13"/>
      <c r="B15" s="14"/>
      <c r="C15" s="24"/>
      <c r="D15" s="16"/>
    </row>
    <row r="16" spans="1:4" x14ac:dyDescent="0.2">
      <c r="A16" s="194" t="s">
        <v>98</v>
      </c>
      <c r="B16" s="195"/>
      <c r="C16" s="195"/>
      <c r="D16" s="196"/>
    </row>
    <row r="17" spans="1:4" x14ac:dyDescent="0.2">
      <c r="A17" s="17" t="s">
        <v>10</v>
      </c>
      <c r="B17" s="2" t="s">
        <v>115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118</v>
      </c>
      <c r="C18" s="21">
        <v>0.05</v>
      </c>
      <c r="D18" s="22">
        <f>C18*($D$7+$D$14)</f>
        <v>493.47222222222229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246.73611111111114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296.08333333333337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148.04166666666669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98.694444444444457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59.216666666666676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19.738888888888891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789.55555555555566</v>
      </c>
    </row>
    <row r="26" spans="1:4" x14ac:dyDescent="0.2">
      <c r="A26" s="192" t="s">
        <v>99</v>
      </c>
      <c r="B26" s="193"/>
      <c r="C26" s="27">
        <f>SUM(C18:C25)</f>
        <v>0.21800000000000003</v>
      </c>
      <c r="D26" s="28">
        <f>SUM(D18:D25)</f>
        <v>2151.5388888888892</v>
      </c>
    </row>
    <row r="27" spans="1:4" x14ac:dyDescent="0.2">
      <c r="A27" s="13"/>
      <c r="B27" s="14"/>
      <c r="C27" s="29"/>
      <c r="D27" s="16"/>
    </row>
    <row r="28" spans="1:4" x14ac:dyDescent="0.2">
      <c r="A28" s="194" t="s">
        <v>100</v>
      </c>
      <c r="B28" s="195"/>
      <c r="C28" s="195"/>
      <c r="D28" s="196"/>
    </row>
    <row r="29" spans="1:4" x14ac:dyDescent="0.2">
      <c r="A29" s="17" t="s">
        <v>19</v>
      </c>
      <c r="B29" s="194" t="s">
        <v>115</v>
      </c>
      <c r="C29" s="196"/>
      <c r="D29" s="17" t="s">
        <v>1</v>
      </c>
    </row>
    <row r="30" spans="1:4" x14ac:dyDescent="0.2">
      <c r="A30" s="183" t="s">
        <v>2</v>
      </c>
      <c r="B30" s="30" t="s">
        <v>119</v>
      </c>
      <c r="C30" s="31"/>
      <c r="D30" s="7">
        <f>COMPOSICAO!D20*2*22</f>
        <v>242</v>
      </c>
    </row>
    <row r="31" spans="1:4" x14ac:dyDescent="0.2">
      <c r="A31" s="184"/>
      <c r="B31" s="30" t="s">
        <v>20</v>
      </c>
      <c r="C31" s="31"/>
      <c r="D31" s="7">
        <f>D6*COMPOSICAO!D21</f>
        <v>510</v>
      </c>
    </row>
    <row r="32" spans="1:4" x14ac:dyDescent="0.2">
      <c r="A32" s="185"/>
      <c r="B32" s="88" t="s">
        <v>21</v>
      </c>
      <c r="C32" s="89"/>
      <c r="D32" s="39">
        <f>IF(D30-D31&gt;0,D30-D31,0)</f>
        <v>0</v>
      </c>
    </row>
    <row r="33" spans="1:4" x14ac:dyDescent="0.2">
      <c r="A33" s="183" t="s">
        <v>3</v>
      </c>
      <c r="B33" s="30" t="s">
        <v>120</v>
      </c>
      <c r="D33" s="7">
        <f>COMPOSICAO!D23*22</f>
        <v>814</v>
      </c>
    </row>
    <row r="34" spans="1:4" x14ac:dyDescent="0.2">
      <c r="A34" s="184"/>
      <c r="B34" s="30" t="s">
        <v>181</v>
      </c>
      <c r="C34" s="104" cm="1">
        <f t="array" ref="C34">_xlfn.IFS(D6&lt;2407,COMPOSICAO!D25,D6&lt;4073.39,COMPOSICAO!D26,D6&lt;5924.92,COMPOSICAO!D27,D6&lt;7406.17,COMPOSICAO!D28,D6&lt;9072.58,COMPOSICAO!D29,D6&gt;9072.59,COMPOSICAO!D30)</f>
        <v>0.1125</v>
      </c>
      <c r="D34" s="7">
        <f>D33*C34</f>
        <v>91.575000000000003</v>
      </c>
    </row>
    <row r="35" spans="1:4" x14ac:dyDescent="0.2">
      <c r="A35" s="185"/>
      <c r="B35" s="88" t="s">
        <v>182</v>
      </c>
      <c r="C35" s="90"/>
      <c r="D35" s="39">
        <f>D33-D34</f>
        <v>722.42499999999995</v>
      </c>
    </row>
    <row r="36" spans="1:4" x14ac:dyDescent="0.2">
      <c r="A36" s="4" t="s">
        <v>4</v>
      </c>
      <c r="B36" s="30" t="s">
        <v>167</v>
      </c>
      <c r="C36" s="31"/>
      <c r="D36" s="151">
        <f>COMPOSICAO!D31</f>
        <v>184.85</v>
      </c>
    </row>
    <row r="37" spans="1:4" x14ac:dyDescent="0.2">
      <c r="A37" s="9" t="s">
        <v>101</v>
      </c>
      <c r="B37" s="10"/>
      <c r="C37" s="11"/>
      <c r="D37" s="12">
        <f>SUM(D32,D35,D36)</f>
        <v>907.27499999999998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121</v>
      </c>
      <c r="C39" s="33"/>
      <c r="D39" s="17" t="s">
        <v>1</v>
      </c>
    </row>
    <row r="40" spans="1:4" x14ac:dyDescent="0.2">
      <c r="A40" s="4" t="s">
        <v>9</v>
      </c>
      <c r="B40" s="30" t="s">
        <v>122</v>
      </c>
      <c r="C40" s="34"/>
      <c r="D40" s="8">
        <f>D14</f>
        <v>1369.4444444444443</v>
      </c>
    </row>
    <row r="41" spans="1:4" x14ac:dyDescent="0.2">
      <c r="A41" s="4" t="s">
        <v>10</v>
      </c>
      <c r="B41" s="30" t="s">
        <v>123</v>
      </c>
      <c r="C41" s="34"/>
      <c r="D41" s="8">
        <f>D26</f>
        <v>2151.5388888888892</v>
      </c>
    </row>
    <row r="42" spans="1:4" x14ac:dyDescent="0.2">
      <c r="A42" s="4" t="s">
        <v>19</v>
      </c>
      <c r="B42" s="30" t="s">
        <v>124</v>
      </c>
      <c r="C42" s="34"/>
      <c r="D42" s="8">
        <f>D37</f>
        <v>907.27499999999998</v>
      </c>
    </row>
    <row r="43" spans="1:4" x14ac:dyDescent="0.2">
      <c r="A43" s="178" t="s">
        <v>102</v>
      </c>
      <c r="B43" s="189"/>
      <c r="C43" s="35"/>
      <c r="D43" s="12">
        <f>SUM(D40:D42)</f>
        <v>4428.2583333333332</v>
      </c>
    </row>
    <row r="44" spans="1:4" x14ac:dyDescent="0.2">
      <c r="A44" s="13"/>
      <c r="B44" s="14"/>
      <c r="C44" s="15"/>
      <c r="D44" s="16"/>
    </row>
    <row r="45" spans="1:4" x14ac:dyDescent="0.2">
      <c r="A45" s="172" t="s">
        <v>103</v>
      </c>
      <c r="B45" s="173"/>
      <c r="C45" s="173"/>
      <c r="D45" s="174"/>
    </row>
    <row r="46" spans="1:4" x14ac:dyDescent="0.2">
      <c r="A46" s="17">
        <v>3</v>
      </c>
      <c r="B46" s="2" t="s">
        <v>115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35.416666666666664</v>
      </c>
    </row>
    <row r="48" spans="1:4" x14ac:dyDescent="0.2">
      <c r="A48" s="4" t="s">
        <v>3</v>
      </c>
      <c r="B48" s="30" t="s">
        <v>125</v>
      </c>
      <c r="C48" s="37">
        <f>COMPOSICAO!D35</f>
        <v>3.3333333333333332E-4</v>
      </c>
      <c r="D48" s="22">
        <f>C48*$D$7</f>
        <v>2.833333333333333</v>
      </c>
    </row>
    <row r="49" spans="1:4" x14ac:dyDescent="0.2">
      <c r="A49" s="19" t="s">
        <v>4</v>
      </c>
      <c r="B49" s="20" t="s">
        <v>126</v>
      </c>
      <c r="C49" s="37">
        <f>COMPOSICAO!D36</f>
        <v>3.4399999999999993E-2</v>
      </c>
      <c r="D49" s="22">
        <f t="shared" ref="D49:D52" si="1">C49*$D$7</f>
        <v>292.39999999999992</v>
      </c>
    </row>
    <row r="50" spans="1:4" x14ac:dyDescent="0.2">
      <c r="A50" s="4" t="s">
        <v>5</v>
      </c>
      <c r="B50" s="30" t="s">
        <v>127</v>
      </c>
      <c r="C50" s="37">
        <f>COMPOSICAO!D37</f>
        <v>1.2444444444444444E-2</v>
      </c>
      <c r="D50" s="22">
        <f t="shared" si="1"/>
        <v>105.77777777777777</v>
      </c>
    </row>
    <row r="51" spans="1:4" x14ac:dyDescent="0.2">
      <c r="A51" s="4" t="s">
        <v>6</v>
      </c>
      <c r="B51" s="30" t="s">
        <v>128</v>
      </c>
      <c r="C51" s="37">
        <f>COMPOSICAO!D38</f>
        <v>4.5631999999999999E-3</v>
      </c>
      <c r="D51" s="22">
        <f t="shared" si="1"/>
        <v>38.787199999999999</v>
      </c>
    </row>
    <row r="52" spans="1:4" x14ac:dyDescent="0.2">
      <c r="A52" s="4" t="s">
        <v>7</v>
      </c>
      <c r="B52" s="30" t="s">
        <v>129</v>
      </c>
      <c r="C52" s="37">
        <f>COMPOSICAO!D39</f>
        <v>3.9680000000000005E-4</v>
      </c>
      <c r="D52" s="22">
        <f t="shared" si="1"/>
        <v>3.3728000000000002</v>
      </c>
    </row>
    <row r="53" spans="1:4" x14ac:dyDescent="0.2">
      <c r="A53" s="190" t="s">
        <v>104</v>
      </c>
      <c r="B53" s="191"/>
      <c r="C53" s="38">
        <f>SUM(C47:C52)</f>
        <v>5.6304444444444435E-2</v>
      </c>
      <c r="D53" s="39">
        <f>SUM(D47:D52)</f>
        <v>478.58777777777766</v>
      </c>
    </row>
    <row r="54" spans="1:4" x14ac:dyDescent="0.2">
      <c r="A54" s="13"/>
      <c r="B54" s="14"/>
      <c r="C54" s="40"/>
      <c r="D54" s="16"/>
    </row>
    <row r="55" spans="1:4" x14ac:dyDescent="0.2">
      <c r="A55" s="172" t="s">
        <v>105</v>
      </c>
      <c r="B55" s="173"/>
      <c r="C55" s="173"/>
      <c r="D55" s="174"/>
    </row>
    <row r="56" spans="1:4" x14ac:dyDescent="0.2">
      <c r="A56" s="17">
        <v>4</v>
      </c>
      <c r="B56" s="2" t="s">
        <v>115</v>
      </c>
      <c r="C56" s="36" t="s">
        <v>0</v>
      </c>
      <c r="D56" s="17" t="s">
        <v>1</v>
      </c>
    </row>
    <row r="57" spans="1:4" x14ac:dyDescent="0.2">
      <c r="A57" s="190" t="s">
        <v>106</v>
      </c>
      <c r="B57" s="191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2" t="s">
        <v>107</v>
      </c>
      <c r="B59" s="173"/>
      <c r="C59" s="173"/>
      <c r="D59" s="174"/>
    </row>
    <row r="60" spans="1:4" x14ac:dyDescent="0.2">
      <c r="A60" s="17">
        <v>5</v>
      </c>
      <c r="B60" s="43" t="s">
        <v>115</v>
      </c>
      <c r="C60" s="44"/>
      <c r="D60" s="45" t="s">
        <v>1</v>
      </c>
    </row>
    <row r="61" spans="1:4" x14ac:dyDescent="0.2">
      <c r="A61" s="9" t="s">
        <v>108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2" t="s">
        <v>109</v>
      </c>
      <c r="B63" s="173"/>
      <c r="C63" s="173"/>
      <c r="D63" s="174"/>
    </row>
    <row r="64" spans="1:4" x14ac:dyDescent="0.2">
      <c r="A64" s="17">
        <v>6</v>
      </c>
      <c r="B64" s="2" t="s">
        <v>115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130</v>
      </c>
      <c r="C65" s="53">
        <f>COMPOSICAO!D44</f>
        <v>0.05</v>
      </c>
      <c r="D65" s="12">
        <f>C65*$D$81</f>
        <v>670.34230555555553</v>
      </c>
    </row>
    <row r="66" spans="1:4" x14ac:dyDescent="0.2">
      <c r="A66" s="51" t="s">
        <v>3</v>
      </c>
      <c r="B66" s="52" t="s">
        <v>131</v>
      </c>
      <c r="C66" s="53">
        <f>COMPOSICAO!D45</f>
        <v>0.1</v>
      </c>
      <c r="D66" s="12">
        <f>C66*($D$81+$D$65)</f>
        <v>1407.7188416666668</v>
      </c>
    </row>
    <row r="67" spans="1:4" x14ac:dyDescent="0.2">
      <c r="A67" s="51" t="s">
        <v>4</v>
      </c>
      <c r="B67" s="52" t="s">
        <v>132</v>
      </c>
      <c r="C67" s="53">
        <f>COMPOSICAO!D46</f>
        <v>9.2499999999999999E-2</v>
      </c>
      <c r="D67" s="12">
        <f>((D65+D66+D81)/(1-C67))-(D65+D66+D81)</f>
        <v>1578.3514285353522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110.91118146464645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511.8977606060605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341.26517373737369</v>
      </c>
    </row>
    <row r="71" spans="1:4" x14ac:dyDescent="0.2">
      <c r="A71" s="4" t="s">
        <v>29</v>
      </c>
      <c r="B71" s="106" t="s">
        <v>183</v>
      </c>
      <c r="C71" s="37">
        <f>COMPOSICAO!D50</f>
        <v>3.5999999999999997E-2</v>
      </c>
      <c r="D71" s="12">
        <f t="shared" si="2"/>
        <v>614.2773127272726</v>
      </c>
    </row>
    <row r="72" spans="1:4" x14ac:dyDescent="0.2">
      <c r="A72" s="178" t="s">
        <v>110</v>
      </c>
      <c r="B72" s="179"/>
      <c r="C72" s="55">
        <f>SUM(C65:C67)</f>
        <v>0.24250000000000002</v>
      </c>
      <c r="D72" s="12">
        <f>SUM(D65:D67)</f>
        <v>3656.4125757575744</v>
      </c>
    </row>
    <row r="73" spans="1:4" x14ac:dyDescent="0.2">
      <c r="A73" s="13"/>
      <c r="B73" s="14"/>
      <c r="C73" s="15"/>
      <c r="D73" s="16"/>
    </row>
    <row r="74" spans="1:4" x14ac:dyDescent="0.2">
      <c r="A74" s="186" t="s">
        <v>111</v>
      </c>
      <c r="B74" s="187"/>
      <c r="C74" s="187"/>
      <c r="D74" s="188"/>
    </row>
    <row r="75" spans="1:4" x14ac:dyDescent="0.2">
      <c r="A75" s="26" t="s">
        <v>112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133</v>
      </c>
      <c r="C76" s="58"/>
      <c r="D76" s="8">
        <f>D7</f>
        <v>8500</v>
      </c>
    </row>
    <row r="77" spans="1:4" x14ac:dyDescent="0.2">
      <c r="A77" s="4">
        <v>2</v>
      </c>
      <c r="B77" s="46" t="s">
        <v>134</v>
      </c>
      <c r="C77" s="58"/>
      <c r="D77" s="8">
        <f>D43</f>
        <v>4428.2583333333332</v>
      </c>
    </row>
    <row r="78" spans="1:4" x14ac:dyDescent="0.2">
      <c r="A78" s="4">
        <v>3</v>
      </c>
      <c r="B78" s="46" t="s">
        <v>135</v>
      </c>
      <c r="C78" s="58"/>
      <c r="D78" s="8">
        <f>D53</f>
        <v>478.58777777777766</v>
      </c>
    </row>
    <row r="79" spans="1:4" x14ac:dyDescent="0.2">
      <c r="A79" s="4">
        <v>4</v>
      </c>
      <c r="B79" s="46" t="s">
        <v>136</v>
      </c>
      <c r="C79" s="58"/>
      <c r="D79" s="8">
        <v>0</v>
      </c>
    </row>
    <row r="80" spans="1:4" x14ac:dyDescent="0.2">
      <c r="A80" s="4">
        <v>5</v>
      </c>
      <c r="B80" s="46" t="s">
        <v>137</v>
      </c>
      <c r="C80" s="58"/>
      <c r="D80" s="8">
        <v>0</v>
      </c>
    </row>
    <row r="81" spans="1:4" x14ac:dyDescent="0.2">
      <c r="A81" s="59" t="s">
        <v>113</v>
      </c>
      <c r="B81" s="10"/>
      <c r="C81" s="11"/>
      <c r="D81" s="12">
        <f>SUM(D76:D80)</f>
        <v>13406.84611111111</v>
      </c>
    </row>
    <row r="82" spans="1:4" x14ac:dyDescent="0.2">
      <c r="A82" s="4">
        <v>6</v>
      </c>
      <c r="B82" s="46" t="s">
        <v>138</v>
      </c>
      <c r="C82" s="58"/>
      <c r="D82" s="8">
        <f>D72</f>
        <v>3656.4125757575744</v>
      </c>
    </row>
    <row r="83" spans="1:4" x14ac:dyDescent="0.2">
      <c r="A83" s="178" t="s">
        <v>114</v>
      </c>
      <c r="B83" s="189"/>
      <c r="C83" s="179"/>
      <c r="D83" s="60">
        <f>SUM(D81:D82)</f>
        <v>17063.258686868685</v>
      </c>
    </row>
    <row r="84" spans="1:4" x14ac:dyDescent="0.2">
      <c r="C84" s="108" t="s">
        <v>187</v>
      </c>
      <c r="D84" s="109">
        <f>ROUNDUP(D83/D76,2)</f>
        <v>2.0099999999999998</v>
      </c>
    </row>
    <row r="85" spans="1:4" x14ac:dyDescent="0.2"/>
    <row r="86" spans="1:4" hidden="1" x14ac:dyDescent="0.2">
      <c r="D86" s="111"/>
    </row>
  </sheetData>
  <mergeCells count="22"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</mergeCells>
  <conditionalFormatting sqref="B69">
    <cfRule type="expression" dxfId="5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317287-1310-4D2B-8CA8-C0A2CC7BCE1D}">
  <sheetPr codeName="Planilha45"/>
  <dimension ref="A1:D86"/>
  <sheetViews>
    <sheetView zoomScaleNormal="100" workbookViewId="0">
      <selection activeCell="F24" sqref="F24:F31"/>
    </sheetView>
  </sheetViews>
  <sheetFormatPr defaultColWidth="0" defaultRowHeight="12" zeroHeight="1" x14ac:dyDescent="0.2"/>
  <cols>
    <col min="1" max="1" width="5.85546875" style="107" customWidth="1"/>
    <col min="2" max="2" width="83.28515625" style="107" customWidth="1"/>
    <col min="3" max="3" width="12.42578125" style="107" customWidth="1"/>
    <col min="4" max="4" width="15.42578125" style="107" customWidth="1"/>
    <col min="5" max="5" width="9.140625" style="107" hidden="1" customWidth="1"/>
    <col min="6" max="16384" width="9.140625" style="107" hidden="1"/>
  </cols>
  <sheetData>
    <row r="1" spans="1:4" ht="12.75" thickBot="1" x14ac:dyDescent="0.25">
      <c r="A1" s="180" t="str">
        <f>PERFIS!C31</f>
        <v>Engenharia de IA Pleno</v>
      </c>
      <c r="B1" s="181"/>
      <c r="C1" s="181"/>
      <c r="D1" s="182"/>
    </row>
    <row r="2" spans="1:4" x14ac:dyDescent="0.2">
      <c r="A2" s="110"/>
      <c r="B2" s="110"/>
      <c r="C2" s="110"/>
      <c r="D2" s="110"/>
    </row>
    <row r="3" spans="1:4" x14ac:dyDescent="0.2">
      <c r="A3" s="169" t="s">
        <v>93</v>
      </c>
      <c r="B3" s="170"/>
      <c r="C3" s="170"/>
      <c r="D3" s="171"/>
    </row>
    <row r="4" spans="1:4" x14ac:dyDescent="0.2">
      <c r="A4" s="172" t="s">
        <v>94</v>
      </c>
      <c r="B4" s="173"/>
      <c r="C4" s="173"/>
      <c r="D4" s="174"/>
    </row>
    <row r="5" spans="1:4" x14ac:dyDescent="0.2">
      <c r="A5" s="1">
        <v>1</v>
      </c>
      <c r="B5" s="2" t="s">
        <v>115</v>
      </c>
      <c r="C5" s="3"/>
      <c r="D5" s="1" t="s">
        <v>1</v>
      </c>
    </row>
    <row r="6" spans="1:4" x14ac:dyDescent="0.2">
      <c r="A6" s="4" t="s">
        <v>2</v>
      </c>
      <c r="B6" s="5" t="s">
        <v>116</v>
      </c>
      <c r="C6" s="6">
        <v>1</v>
      </c>
      <c r="D6" s="7">
        <f>_xlfn.XLOOKUP(A1,PERFIS!C3:C35,PERFIS!D3:D35)</f>
        <v>13966.666666666666</v>
      </c>
    </row>
    <row r="7" spans="1:4" x14ac:dyDescent="0.2">
      <c r="A7" s="9" t="s">
        <v>95</v>
      </c>
      <c r="B7" s="10"/>
      <c r="C7" s="11"/>
      <c r="D7" s="12">
        <f>SUM(D6)</f>
        <v>13966.666666666666</v>
      </c>
    </row>
    <row r="8" spans="1:4" x14ac:dyDescent="0.2">
      <c r="A8" s="13"/>
      <c r="B8" s="14"/>
      <c r="C8" s="15"/>
      <c r="D8" s="16"/>
    </row>
    <row r="9" spans="1:4" x14ac:dyDescent="0.2">
      <c r="A9" s="172" t="s">
        <v>96</v>
      </c>
      <c r="B9" s="173"/>
      <c r="C9" s="173"/>
      <c r="D9" s="174"/>
    </row>
    <row r="10" spans="1:4" x14ac:dyDescent="0.2">
      <c r="A10" s="175" t="s">
        <v>190</v>
      </c>
      <c r="B10" s="176"/>
      <c r="C10" s="176"/>
      <c r="D10" s="177"/>
    </row>
    <row r="11" spans="1:4" x14ac:dyDescent="0.2">
      <c r="A11" s="17" t="s">
        <v>9</v>
      </c>
      <c r="B11" s="2" t="s">
        <v>115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117</v>
      </c>
      <c r="C12" s="21">
        <f>COMPOSICAO!D3</f>
        <v>8.3333333333333329E-2</v>
      </c>
      <c r="D12" s="22">
        <f>C12*$D$7</f>
        <v>1163.8888888888887</v>
      </c>
    </row>
    <row r="13" spans="1:4" x14ac:dyDescent="0.2">
      <c r="A13" s="19" t="s">
        <v>3</v>
      </c>
      <c r="B13" s="20" t="s">
        <v>185</v>
      </c>
      <c r="C13" s="21">
        <f>COMPOSICAO!D4</f>
        <v>7.7777777777777779E-2</v>
      </c>
      <c r="D13" s="22">
        <f>C13*$D$7</f>
        <v>1086.2962962962963</v>
      </c>
    </row>
    <row r="14" spans="1:4" x14ac:dyDescent="0.2">
      <c r="A14" s="178" t="s">
        <v>191</v>
      </c>
      <c r="B14" s="179"/>
      <c r="C14" s="23">
        <f>SUM(C12:C13)</f>
        <v>0.16111111111111109</v>
      </c>
      <c r="D14" s="12">
        <f>SUM(D12:D13)</f>
        <v>2250.1851851851852</v>
      </c>
    </row>
    <row r="15" spans="1:4" x14ac:dyDescent="0.2">
      <c r="A15" s="13"/>
      <c r="B15" s="14"/>
      <c r="C15" s="24"/>
      <c r="D15" s="16"/>
    </row>
    <row r="16" spans="1:4" x14ac:dyDescent="0.2">
      <c r="A16" s="194" t="s">
        <v>98</v>
      </c>
      <c r="B16" s="195"/>
      <c r="C16" s="195"/>
      <c r="D16" s="196"/>
    </row>
    <row r="17" spans="1:4" x14ac:dyDescent="0.2">
      <c r="A17" s="17" t="s">
        <v>10</v>
      </c>
      <c r="B17" s="2" t="s">
        <v>115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118</v>
      </c>
      <c r="C18" s="21">
        <v>0.05</v>
      </c>
      <c r="D18" s="22">
        <f>C18*($D$7+$D$14)</f>
        <v>810.84259259259261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405.4212962962963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486.50555555555547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243.25277777777774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162.16851851851851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97.301111111111098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32.433703703703699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1297.3481481481481</v>
      </c>
    </row>
    <row r="26" spans="1:4" x14ac:dyDescent="0.2">
      <c r="A26" s="192" t="s">
        <v>99</v>
      </c>
      <c r="B26" s="193"/>
      <c r="C26" s="27">
        <f>SUM(C18:C25)</f>
        <v>0.21800000000000003</v>
      </c>
      <c r="D26" s="28">
        <f>SUM(D18:D25)</f>
        <v>3535.2737037037032</v>
      </c>
    </row>
    <row r="27" spans="1:4" x14ac:dyDescent="0.2">
      <c r="A27" s="13"/>
      <c r="B27" s="14"/>
      <c r="C27" s="29"/>
      <c r="D27" s="16"/>
    </row>
    <row r="28" spans="1:4" x14ac:dyDescent="0.2">
      <c r="A28" s="194" t="s">
        <v>100</v>
      </c>
      <c r="B28" s="195"/>
      <c r="C28" s="195"/>
      <c r="D28" s="196"/>
    </row>
    <row r="29" spans="1:4" x14ac:dyDescent="0.2">
      <c r="A29" s="17" t="s">
        <v>19</v>
      </c>
      <c r="B29" s="194" t="s">
        <v>115</v>
      </c>
      <c r="C29" s="196"/>
      <c r="D29" s="17" t="s">
        <v>1</v>
      </c>
    </row>
    <row r="30" spans="1:4" x14ac:dyDescent="0.2">
      <c r="A30" s="183" t="s">
        <v>2</v>
      </c>
      <c r="B30" s="30" t="s">
        <v>119</v>
      </c>
      <c r="C30" s="31"/>
      <c r="D30" s="7">
        <f>COMPOSICAO!D20*2*22</f>
        <v>242</v>
      </c>
    </row>
    <row r="31" spans="1:4" x14ac:dyDescent="0.2">
      <c r="A31" s="184"/>
      <c r="B31" s="30" t="s">
        <v>20</v>
      </c>
      <c r="C31" s="31"/>
      <c r="D31" s="7">
        <f>D6*COMPOSICAO!D21</f>
        <v>837.99999999999989</v>
      </c>
    </row>
    <row r="32" spans="1:4" x14ac:dyDescent="0.2">
      <c r="A32" s="185"/>
      <c r="B32" s="88" t="s">
        <v>21</v>
      </c>
      <c r="C32" s="89"/>
      <c r="D32" s="39">
        <f>IF(D30-D31&gt;0,D30-D31,0)</f>
        <v>0</v>
      </c>
    </row>
    <row r="33" spans="1:4" x14ac:dyDescent="0.2">
      <c r="A33" s="183" t="s">
        <v>3</v>
      </c>
      <c r="B33" s="30" t="s">
        <v>120</v>
      </c>
      <c r="D33" s="7">
        <f>COMPOSICAO!D23*22</f>
        <v>814</v>
      </c>
    </row>
    <row r="34" spans="1:4" x14ac:dyDescent="0.2">
      <c r="A34" s="184"/>
      <c r="B34" s="30" t="s">
        <v>181</v>
      </c>
      <c r="C34" s="104" cm="1">
        <f t="array" ref="C34">_xlfn.IFS(D6&lt;2407,COMPOSICAO!D25,D6&lt;4073.39,COMPOSICAO!D26,D6&lt;5924.92,COMPOSICAO!D27,D6&lt;7406.17,COMPOSICAO!D28,D6&lt;9072.58,COMPOSICAO!D29,D6&gt;9072.59,COMPOSICAO!D30)</f>
        <v>0.15</v>
      </c>
      <c r="D34" s="7">
        <f>D33*C34</f>
        <v>122.1</v>
      </c>
    </row>
    <row r="35" spans="1:4" x14ac:dyDescent="0.2">
      <c r="A35" s="185"/>
      <c r="B35" s="88" t="s">
        <v>182</v>
      </c>
      <c r="C35" s="90"/>
      <c r="D35" s="39">
        <f>D33-D34</f>
        <v>691.9</v>
      </c>
    </row>
    <row r="36" spans="1:4" x14ac:dyDescent="0.2">
      <c r="A36" s="4" t="s">
        <v>4</v>
      </c>
      <c r="B36" s="30" t="s">
        <v>167</v>
      </c>
      <c r="C36" s="31"/>
      <c r="D36" s="151">
        <f>COMPOSICAO!D31</f>
        <v>184.85</v>
      </c>
    </row>
    <row r="37" spans="1:4" x14ac:dyDescent="0.2">
      <c r="A37" s="9" t="s">
        <v>101</v>
      </c>
      <c r="B37" s="10"/>
      <c r="C37" s="11"/>
      <c r="D37" s="12">
        <f>SUM(D32,D35,D36)</f>
        <v>876.75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121</v>
      </c>
      <c r="C39" s="33"/>
      <c r="D39" s="17" t="s">
        <v>1</v>
      </c>
    </row>
    <row r="40" spans="1:4" x14ac:dyDescent="0.2">
      <c r="A40" s="4" t="s">
        <v>9</v>
      </c>
      <c r="B40" s="30" t="s">
        <v>122</v>
      </c>
      <c r="C40" s="34"/>
      <c r="D40" s="8">
        <f>D14</f>
        <v>2250.1851851851852</v>
      </c>
    </row>
    <row r="41" spans="1:4" x14ac:dyDescent="0.2">
      <c r="A41" s="4" t="s">
        <v>10</v>
      </c>
      <c r="B41" s="30" t="s">
        <v>123</v>
      </c>
      <c r="C41" s="34"/>
      <c r="D41" s="8">
        <f>D26</f>
        <v>3535.2737037037032</v>
      </c>
    </row>
    <row r="42" spans="1:4" x14ac:dyDescent="0.2">
      <c r="A42" s="4" t="s">
        <v>19</v>
      </c>
      <c r="B42" s="30" t="s">
        <v>124</v>
      </c>
      <c r="C42" s="34"/>
      <c r="D42" s="8">
        <f>D37</f>
        <v>876.75</v>
      </c>
    </row>
    <row r="43" spans="1:4" x14ac:dyDescent="0.2">
      <c r="A43" s="178" t="s">
        <v>102</v>
      </c>
      <c r="B43" s="189"/>
      <c r="C43" s="35"/>
      <c r="D43" s="12">
        <f>SUM(D40:D42)</f>
        <v>6662.2088888888884</v>
      </c>
    </row>
    <row r="44" spans="1:4" x14ac:dyDescent="0.2">
      <c r="A44" s="13"/>
      <c r="B44" s="14"/>
      <c r="C44" s="15"/>
      <c r="D44" s="16"/>
    </row>
    <row r="45" spans="1:4" x14ac:dyDescent="0.2">
      <c r="A45" s="172" t="s">
        <v>103</v>
      </c>
      <c r="B45" s="173"/>
      <c r="C45" s="173"/>
      <c r="D45" s="174"/>
    </row>
    <row r="46" spans="1:4" x14ac:dyDescent="0.2">
      <c r="A46" s="17">
        <v>3</v>
      </c>
      <c r="B46" s="2" t="s">
        <v>115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58.194444444444443</v>
      </c>
    </row>
    <row r="48" spans="1:4" x14ac:dyDescent="0.2">
      <c r="A48" s="4" t="s">
        <v>3</v>
      </c>
      <c r="B48" s="30" t="s">
        <v>125</v>
      </c>
      <c r="C48" s="37">
        <f>COMPOSICAO!D35</f>
        <v>3.3333333333333332E-4</v>
      </c>
      <c r="D48" s="22">
        <f>C48*$D$7</f>
        <v>4.655555555555555</v>
      </c>
    </row>
    <row r="49" spans="1:4" x14ac:dyDescent="0.2">
      <c r="A49" s="19" t="s">
        <v>4</v>
      </c>
      <c r="B49" s="20" t="s">
        <v>126</v>
      </c>
      <c r="C49" s="37">
        <f>COMPOSICAO!D36</f>
        <v>3.4399999999999993E-2</v>
      </c>
      <c r="D49" s="22">
        <f t="shared" ref="D49:D52" si="1">C49*$D$7</f>
        <v>480.45333333333321</v>
      </c>
    </row>
    <row r="50" spans="1:4" x14ac:dyDescent="0.2">
      <c r="A50" s="4" t="s">
        <v>5</v>
      </c>
      <c r="B50" s="30" t="s">
        <v>127</v>
      </c>
      <c r="C50" s="37">
        <f>COMPOSICAO!D37</f>
        <v>1.2444444444444444E-2</v>
      </c>
      <c r="D50" s="22">
        <f t="shared" si="1"/>
        <v>173.8074074074074</v>
      </c>
    </row>
    <row r="51" spans="1:4" x14ac:dyDescent="0.2">
      <c r="A51" s="4" t="s">
        <v>6</v>
      </c>
      <c r="B51" s="30" t="s">
        <v>128</v>
      </c>
      <c r="C51" s="37">
        <f>COMPOSICAO!D38</f>
        <v>4.5631999999999999E-3</v>
      </c>
      <c r="D51" s="22">
        <f t="shared" si="1"/>
        <v>63.73269333333333</v>
      </c>
    </row>
    <row r="52" spans="1:4" x14ac:dyDescent="0.2">
      <c r="A52" s="4" t="s">
        <v>7</v>
      </c>
      <c r="B52" s="30" t="s">
        <v>129</v>
      </c>
      <c r="C52" s="37">
        <f>COMPOSICAO!D39</f>
        <v>3.9680000000000005E-4</v>
      </c>
      <c r="D52" s="22">
        <f t="shared" si="1"/>
        <v>5.5419733333333339</v>
      </c>
    </row>
    <row r="53" spans="1:4" x14ac:dyDescent="0.2">
      <c r="A53" s="190" t="s">
        <v>104</v>
      </c>
      <c r="B53" s="191"/>
      <c r="C53" s="38">
        <f>SUM(C47:C52)</f>
        <v>5.6304444444444435E-2</v>
      </c>
      <c r="D53" s="39">
        <f>SUM(D47:D52)</f>
        <v>786.38540740740723</v>
      </c>
    </row>
    <row r="54" spans="1:4" x14ac:dyDescent="0.2">
      <c r="A54" s="13"/>
      <c r="B54" s="14"/>
      <c r="C54" s="40"/>
      <c r="D54" s="16"/>
    </row>
    <row r="55" spans="1:4" x14ac:dyDescent="0.2">
      <c r="A55" s="172" t="s">
        <v>105</v>
      </c>
      <c r="B55" s="173"/>
      <c r="C55" s="173"/>
      <c r="D55" s="174"/>
    </row>
    <row r="56" spans="1:4" x14ac:dyDescent="0.2">
      <c r="A56" s="17">
        <v>4</v>
      </c>
      <c r="B56" s="2" t="s">
        <v>115</v>
      </c>
      <c r="C56" s="36" t="s">
        <v>0</v>
      </c>
      <c r="D56" s="17" t="s">
        <v>1</v>
      </c>
    </row>
    <row r="57" spans="1:4" x14ac:dyDescent="0.2">
      <c r="A57" s="190" t="s">
        <v>106</v>
      </c>
      <c r="B57" s="191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2" t="s">
        <v>107</v>
      </c>
      <c r="B59" s="173"/>
      <c r="C59" s="173"/>
      <c r="D59" s="174"/>
    </row>
    <row r="60" spans="1:4" x14ac:dyDescent="0.2">
      <c r="A60" s="17">
        <v>5</v>
      </c>
      <c r="B60" s="43" t="s">
        <v>115</v>
      </c>
      <c r="C60" s="44"/>
      <c r="D60" s="45" t="s">
        <v>1</v>
      </c>
    </row>
    <row r="61" spans="1:4" x14ac:dyDescent="0.2">
      <c r="A61" s="9" t="s">
        <v>108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2" t="s">
        <v>109</v>
      </c>
      <c r="B63" s="173"/>
      <c r="C63" s="173"/>
      <c r="D63" s="174"/>
    </row>
    <row r="64" spans="1:4" x14ac:dyDescent="0.2">
      <c r="A64" s="17">
        <v>6</v>
      </c>
      <c r="B64" s="2" t="s">
        <v>115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130</v>
      </c>
      <c r="C65" s="53">
        <f>COMPOSICAO!D44</f>
        <v>0.05</v>
      </c>
      <c r="D65" s="12">
        <f>C65*$D$81</f>
        <v>1070.7630481481481</v>
      </c>
    </row>
    <row r="66" spans="1:4" x14ac:dyDescent="0.2">
      <c r="A66" s="51" t="s">
        <v>3</v>
      </c>
      <c r="B66" s="52" t="s">
        <v>131</v>
      </c>
      <c r="C66" s="53">
        <f>COMPOSICAO!D45</f>
        <v>0.1</v>
      </c>
      <c r="D66" s="12">
        <f>C66*($D$81+$D$65)</f>
        <v>2248.6024011111108</v>
      </c>
    </row>
    <row r="67" spans="1:4" x14ac:dyDescent="0.2">
      <c r="A67" s="51" t="s">
        <v>4</v>
      </c>
      <c r="B67" s="52" t="s">
        <v>132</v>
      </c>
      <c r="C67" s="53">
        <f>COMPOSICAO!D46</f>
        <v>9.2499999999999999E-2</v>
      </c>
      <c r="D67" s="12">
        <f>((D65+D66+D81)/(1-C67))-(D65+D66+D81)</f>
        <v>2521.1602679124589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177.1626134208754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817.67360040404037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545.11573360269358</v>
      </c>
    </row>
    <row r="71" spans="1:4" x14ac:dyDescent="0.2">
      <c r="A71" s="4" t="s">
        <v>29</v>
      </c>
      <c r="B71" s="106" t="s">
        <v>183</v>
      </c>
      <c r="C71" s="37">
        <f>COMPOSICAO!D50</f>
        <v>3.5999999999999997E-2</v>
      </c>
      <c r="D71" s="12">
        <f t="shared" si="2"/>
        <v>981.2083204848484</v>
      </c>
    </row>
    <row r="72" spans="1:4" x14ac:dyDescent="0.2">
      <c r="A72" s="178" t="s">
        <v>110</v>
      </c>
      <c r="B72" s="179"/>
      <c r="C72" s="55">
        <f>SUM(C65:C67)</f>
        <v>0.24250000000000002</v>
      </c>
      <c r="D72" s="12">
        <f>SUM(D65:D67)</f>
        <v>5840.5257171717176</v>
      </c>
    </row>
    <row r="73" spans="1:4" x14ac:dyDescent="0.2">
      <c r="A73" s="13"/>
      <c r="B73" s="14"/>
      <c r="C73" s="15"/>
      <c r="D73" s="16"/>
    </row>
    <row r="74" spans="1:4" x14ac:dyDescent="0.2">
      <c r="A74" s="186" t="s">
        <v>111</v>
      </c>
      <c r="B74" s="187"/>
      <c r="C74" s="187"/>
      <c r="D74" s="188"/>
    </row>
    <row r="75" spans="1:4" x14ac:dyDescent="0.2">
      <c r="A75" s="26" t="s">
        <v>112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133</v>
      </c>
      <c r="C76" s="58"/>
      <c r="D76" s="8">
        <f>D7</f>
        <v>13966.666666666666</v>
      </c>
    </row>
    <row r="77" spans="1:4" x14ac:dyDescent="0.2">
      <c r="A77" s="4">
        <v>2</v>
      </c>
      <c r="B77" s="46" t="s">
        <v>134</v>
      </c>
      <c r="C77" s="58"/>
      <c r="D77" s="8">
        <f>D43</f>
        <v>6662.2088888888884</v>
      </c>
    </row>
    <row r="78" spans="1:4" x14ac:dyDescent="0.2">
      <c r="A78" s="4">
        <v>3</v>
      </c>
      <c r="B78" s="46" t="s">
        <v>135</v>
      </c>
      <c r="C78" s="58"/>
      <c r="D78" s="8">
        <f>D53</f>
        <v>786.38540740740723</v>
      </c>
    </row>
    <row r="79" spans="1:4" x14ac:dyDescent="0.2">
      <c r="A79" s="4">
        <v>4</v>
      </c>
      <c r="B79" s="46" t="s">
        <v>136</v>
      </c>
      <c r="C79" s="58"/>
      <c r="D79" s="8">
        <v>0</v>
      </c>
    </row>
    <row r="80" spans="1:4" x14ac:dyDescent="0.2">
      <c r="A80" s="4">
        <v>5</v>
      </c>
      <c r="B80" s="46" t="s">
        <v>137</v>
      </c>
      <c r="C80" s="58"/>
      <c r="D80" s="8">
        <v>0</v>
      </c>
    </row>
    <row r="81" spans="1:4" x14ac:dyDescent="0.2">
      <c r="A81" s="59" t="s">
        <v>113</v>
      </c>
      <c r="B81" s="10"/>
      <c r="C81" s="11"/>
      <c r="D81" s="12">
        <f>SUM(D76:D80)</f>
        <v>21415.260962962962</v>
      </c>
    </row>
    <row r="82" spans="1:4" x14ac:dyDescent="0.2">
      <c r="A82" s="4">
        <v>6</v>
      </c>
      <c r="B82" s="46" t="s">
        <v>138</v>
      </c>
      <c r="C82" s="58"/>
      <c r="D82" s="8">
        <f>D72</f>
        <v>5840.5257171717176</v>
      </c>
    </row>
    <row r="83" spans="1:4" x14ac:dyDescent="0.2">
      <c r="A83" s="178" t="s">
        <v>114</v>
      </c>
      <c r="B83" s="189"/>
      <c r="C83" s="179"/>
      <c r="D83" s="60">
        <f>SUM(D81:D82)</f>
        <v>27255.786680134679</v>
      </c>
    </row>
    <row r="84" spans="1:4" x14ac:dyDescent="0.2">
      <c r="C84" s="108" t="s">
        <v>187</v>
      </c>
      <c r="D84" s="109">
        <f>ROUNDUP(D83/D76,2)</f>
        <v>1.96</v>
      </c>
    </row>
    <row r="85" spans="1:4" x14ac:dyDescent="0.2"/>
    <row r="86" spans="1:4" hidden="1" x14ac:dyDescent="0.2">
      <c r="D86" s="111"/>
    </row>
  </sheetData>
  <mergeCells count="22"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</mergeCells>
  <conditionalFormatting sqref="B69">
    <cfRule type="expression" dxfId="4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B4792E-57D5-4F4F-A385-629A88195111}">
  <sheetPr codeName="Planilha46"/>
  <dimension ref="A1:D86"/>
  <sheetViews>
    <sheetView zoomScaleNormal="100" workbookViewId="0">
      <selection activeCell="F24" sqref="F24:F31"/>
    </sheetView>
  </sheetViews>
  <sheetFormatPr defaultColWidth="0" defaultRowHeight="12" zeroHeight="1" x14ac:dyDescent="0.2"/>
  <cols>
    <col min="1" max="1" width="5.85546875" style="107" customWidth="1"/>
    <col min="2" max="2" width="83.28515625" style="107" customWidth="1"/>
    <col min="3" max="3" width="12.42578125" style="107" customWidth="1"/>
    <col min="4" max="4" width="15.42578125" style="107" customWidth="1"/>
    <col min="5" max="5" width="9.140625" style="107" hidden="1" customWidth="1"/>
    <col min="6" max="16384" width="9.140625" style="107" hidden="1"/>
  </cols>
  <sheetData>
    <row r="1" spans="1:4" ht="12.75" thickBot="1" x14ac:dyDescent="0.25">
      <c r="A1" s="180" t="str">
        <f>PERFIS!C32</f>
        <v>Engenharia de IA Sênior</v>
      </c>
      <c r="B1" s="181"/>
      <c r="C1" s="181"/>
      <c r="D1" s="182"/>
    </row>
    <row r="2" spans="1:4" x14ac:dyDescent="0.2">
      <c r="A2" s="110"/>
      <c r="B2" s="110"/>
      <c r="C2" s="110"/>
      <c r="D2" s="110"/>
    </row>
    <row r="3" spans="1:4" x14ac:dyDescent="0.2">
      <c r="A3" s="169" t="s">
        <v>93</v>
      </c>
      <c r="B3" s="170"/>
      <c r="C3" s="170"/>
      <c r="D3" s="171"/>
    </row>
    <row r="4" spans="1:4" x14ac:dyDescent="0.2">
      <c r="A4" s="172" t="s">
        <v>94</v>
      </c>
      <c r="B4" s="173"/>
      <c r="C4" s="173"/>
      <c r="D4" s="174"/>
    </row>
    <row r="5" spans="1:4" x14ac:dyDescent="0.2">
      <c r="A5" s="1">
        <v>1</v>
      </c>
      <c r="B5" s="2" t="s">
        <v>115</v>
      </c>
      <c r="C5" s="3"/>
      <c r="D5" s="1" t="s">
        <v>1</v>
      </c>
    </row>
    <row r="6" spans="1:4" x14ac:dyDescent="0.2">
      <c r="A6" s="4" t="s">
        <v>2</v>
      </c>
      <c r="B6" s="5" t="s">
        <v>116</v>
      </c>
      <c r="C6" s="6">
        <v>1</v>
      </c>
      <c r="D6" s="7">
        <f>_xlfn.XLOOKUP(A1,PERFIS!C3:C35,PERFIS!D3:D35)</f>
        <v>16500</v>
      </c>
    </row>
    <row r="7" spans="1:4" x14ac:dyDescent="0.2">
      <c r="A7" s="9" t="s">
        <v>95</v>
      </c>
      <c r="B7" s="10"/>
      <c r="C7" s="11"/>
      <c r="D7" s="12">
        <f>SUM(D6)</f>
        <v>16500</v>
      </c>
    </row>
    <row r="8" spans="1:4" x14ac:dyDescent="0.2">
      <c r="A8" s="13"/>
      <c r="B8" s="14"/>
      <c r="C8" s="15"/>
      <c r="D8" s="16"/>
    </row>
    <row r="9" spans="1:4" x14ac:dyDescent="0.2">
      <c r="A9" s="172" t="s">
        <v>96</v>
      </c>
      <c r="B9" s="173"/>
      <c r="C9" s="173"/>
      <c r="D9" s="174"/>
    </row>
    <row r="10" spans="1:4" x14ac:dyDescent="0.2">
      <c r="A10" s="175" t="s">
        <v>190</v>
      </c>
      <c r="B10" s="176"/>
      <c r="C10" s="176"/>
      <c r="D10" s="177"/>
    </row>
    <row r="11" spans="1:4" x14ac:dyDescent="0.2">
      <c r="A11" s="17" t="s">
        <v>9</v>
      </c>
      <c r="B11" s="2" t="s">
        <v>115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117</v>
      </c>
      <c r="C12" s="21">
        <f>COMPOSICAO!D3</f>
        <v>8.3333333333333329E-2</v>
      </c>
      <c r="D12" s="22">
        <f>C12*$D$7</f>
        <v>1375</v>
      </c>
    </row>
    <row r="13" spans="1:4" x14ac:dyDescent="0.2">
      <c r="A13" s="19" t="s">
        <v>3</v>
      </c>
      <c r="B13" s="20" t="s">
        <v>185</v>
      </c>
      <c r="C13" s="21">
        <f>COMPOSICAO!D4</f>
        <v>7.7777777777777779E-2</v>
      </c>
      <c r="D13" s="22">
        <f>C13*$D$7</f>
        <v>1283.3333333333333</v>
      </c>
    </row>
    <row r="14" spans="1:4" x14ac:dyDescent="0.2">
      <c r="A14" s="178" t="s">
        <v>191</v>
      </c>
      <c r="B14" s="179"/>
      <c r="C14" s="23">
        <f>SUM(C12:C13)</f>
        <v>0.16111111111111109</v>
      </c>
      <c r="D14" s="12">
        <f>SUM(D12:D13)</f>
        <v>2658.333333333333</v>
      </c>
    </row>
    <row r="15" spans="1:4" x14ac:dyDescent="0.2">
      <c r="A15" s="13"/>
      <c r="B15" s="14"/>
      <c r="C15" s="24"/>
      <c r="D15" s="16"/>
    </row>
    <row r="16" spans="1:4" x14ac:dyDescent="0.2">
      <c r="A16" s="194" t="s">
        <v>98</v>
      </c>
      <c r="B16" s="195"/>
      <c r="C16" s="195"/>
      <c r="D16" s="196"/>
    </row>
    <row r="17" spans="1:4" x14ac:dyDescent="0.2">
      <c r="A17" s="17" t="s">
        <v>10</v>
      </c>
      <c r="B17" s="2" t="s">
        <v>115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118</v>
      </c>
      <c r="C18" s="21">
        <v>0.05</v>
      </c>
      <c r="D18" s="22">
        <f>C18*($D$7+$D$14)</f>
        <v>957.91666666666663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478.95833333333331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574.74999999999989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287.37499999999994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191.58333333333331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114.94999999999999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38.316666666666663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1532.6666666666665</v>
      </c>
    </row>
    <row r="26" spans="1:4" x14ac:dyDescent="0.2">
      <c r="A26" s="192" t="s">
        <v>99</v>
      </c>
      <c r="B26" s="193"/>
      <c r="C26" s="27">
        <f>SUM(C18:C25)</f>
        <v>0.21800000000000003</v>
      </c>
      <c r="D26" s="28">
        <f>SUM(D18:D25)</f>
        <v>4176.5166666666664</v>
      </c>
    </row>
    <row r="27" spans="1:4" x14ac:dyDescent="0.2">
      <c r="A27" s="13"/>
      <c r="B27" s="14"/>
      <c r="C27" s="29"/>
      <c r="D27" s="16"/>
    </row>
    <row r="28" spans="1:4" x14ac:dyDescent="0.2">
      <c r="A28" s="194" t="s">
        <v>100</v>
      </c>
      <c r="B28" s="195"/>
      <c r="C28" s="195"/>
      <c r="D28" s="196"/>
    </row>
    <row r="29" spans="1:4" x14ac:dyDescent="0.2">
      <c r="A29" s="17" t="s">
        <v>19</v>
      </c>
      <c r="B29" s="194" t="s">
        <v>115</v>
      </c>
      <c r="C29" s="196"/>
      <c r="D29" s="17" t="s">
        <v>1</v>
      </c>
    </row>
    <row r="30" spans="1:4" x14ac:dyDescent="0.2">
      <c r="A30" s="183" t="s">
        <v>2</v>
      </c>
      <c r="B30" s="30" t="s">
        <v>119</v>
      </c>
      <c r="C30" s="31"/>
      <c r="D30" s="7">
        <f>COMPOSICAO!D20*2*22</f>
        <v>242</v>
      </c>
    </row>
    <row r="31" spans="1:4" x14ac:dyDescent="0.2">
      <c r="A31" s="184"/>
      <c r="B31" s="30" t="s">
        <v>20</v>
      </c>
      <c r="C31" s="31"/>
      <c r="D31" s="7">
        <f>D6*COMPOSICAO!D21</f>
        <v>990</v>
      </c>
    </row>
    <row r="32" spans="1:4" x14ac:dyDescent="0.2">
      <c r="A32" s="185"/>
      <c r="B32" s="88" t="s">
        <v>21</v>
      </c>
      <c r="C32" s="89"/>
      <c r="D32" s="39">
        <f>IF(D30-D31&gt;0,D30-D31,0)</f>
        <v>0</v>
      </c>
    </row>
    <row r="33" spans="1:4" x14ac:dyDescent="0.2">
      <c r="A33" s="183" t="s">
        <v>3</v>
      </c>
      <c r="B33" s="30" t="s">
        <v>120</v>
      </c>
      <c r="D33" s="7">
        <f>COMPOSICAO!D23*22</f>
        <v>814</v>
      </c>
    </row>
    <row r="34" spans="1:4" x14ac:dyDescent="0.2">
      <c r="A34" s="184"/>
      <c r="B34" s="30" t="s">
        <v>181</v>
      </c>
      <c r="C34" s="104" cm="1">
        <f t="array" ref="C34">_xlfn.IFS(D6&lt;2407,COMPOSICAO!D25,D6&lt;4073.39,COMPOSICAO!D26,D6&lt;5924.92,COMPOSICAO!D27,D6&lt;7406.17,COMPOSICAO!D28,D6&lt;9072.58,COMPOSICAO!D29,D6&gt;9072.59,COMPOSICAO!D30)</f>
        <v>0.15</v>
      </c>
      <c r="D34" s="7">
        <f>D33*C34</f>
        <v>122.1</v>
      </c>
    </row>
    <row r="35" spans="1:4" x14ac:dyDescent="0.2">
      <c r="A35" s="185"/>
      <c r="B35" s="88" t="s">
        <v>182</v>
      </c>
      <c r="C35" s="90"/>
      <c r="D35" s="39">
        <f>D33-D34</f>
        <v>691.9</v>
      </c>
    </row>
    <row r="36" spans="1:4" x14ac:dyDescent="0.2">
      <c r="A36" s="4" t="s">
        <v>4</v>
      </c>
      <c r="B36" s="30" t="s">
        <v>167</v>
      </c>
      <c r="C36" s="31"/>
      <c r="D36" s="151">
        <f>COMPOSICAO!D31</f>
        <v>184.85</v>
      </c>
    </row>
    <row r="37" spans="1:4" x14ac:dyDescent="0.2">
      <c r="A37" s="9" t="s">
        <v>101</v>
      </c>
      <c r="B37" s="10"/>
      <c r="C37" s="11"/>
      <c r="D37" s="12">
        <f>SUM(D32,D35,D36)</f>
        <v>876.75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121</v>
      </c>
      <c r="C39" s="33"/>
      <c r="D39" s="17" t="s">
        <v>1</v>
      </c>
    </row>
    <row r="40" spans="1:4" x14ac:dyDescent="0.2">
      <c r="A40" s="4" t="s">
        <v>9</v>
      </c>
      <c r="B40" s="30" t="s">
        <v>122</v>
      </c>
      <c r="C40" s="34"/>
      <c r="D40" s="8">
        <f>D14</f>
        <v>2658.333333333333</v>
      </c>
    </row>
    <row r="41" spans="1:4" x14ac:dyDescent="0.2">
      <c r="A41" s="4" t="s">
        <v>10</v>
      </c>
      <c r="B41" s="30" t="s">
        <v>123</v>
      </c>
      <c r="C41" s="34"/>
      <c r="D41" s="8">
        <f>D26</f>
        <v>4176.5166666666664</v>
      </c>
    </row>
    <row r="42" spans="1:4" x14ac:dyDescent="0.2">
      <c r="A42" s="4" t="s">
        <v>19</v>
      </c>
      <c r="B42" s="30" t="s">
        <v>124</v>
      </c>
      <c r="C42" s="34"/>
      <c r="D42" s="8">
        <f>D37</f>
        <v>876.75</v>
      </c>
    </row>
    <row r="43" spans="1:4" x14ac:dyDescent="0.2">
      <c r="A43" s="178" t="s">
        <v>102</v>
      </c>
      <c r="B43" s="189"/>
      <c r="C43" s="35"/>
      <c r="D43" s="12">
        <f>SUM(D40:D42)</f>
        <v>7711.5999999999995</v>
      </c>
    </row>
    <row r="44" spans="1:4" x14ac:dyDescent="0.2">
      <c r="A44" s="13"/>
      <c r="B44" s="14"/>
      <c r="C44" s="15"/>
      <c r="D44" s="16"/>
    </row>
    <row r="45" spans="1:4" x14ac:dyDescent="0.2">
      <c r="A45" s="172" t="s">
        <v>103</v>
      </c>
      <c r="B45" s="173"/>
      <c r="C45" s="173"/>
      <c r="D45" s="174"/>
    </row>
    <row r="46" spans="1:4" x14ac:dyDescent="0.2">
      <c r="A46" s="17">
        <v>3</v>
      </c>
      <c r="B46" s="2" t="s">
        <v>115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68.75</v>
      </c>
    </row>
    <row r="48" spans="1:4" x14ac:dyDescent="0.2">
      <c r="A48" s="4" t="s">
        <v>3</v>
      </c>
      <c r="B48" s="30" t="s">
        <v>125</v>
      </c>
      <c r="C48" s="37">
        <f>COMPOSICAO!D35</f>
        <v>3.3333333333333332E-4</v>
      </c>
      <c r="D48" s="22">
        <f>C48*$D$7</f>
        <v>5.5</v>
      </c>
    </row>
    <row r="49" spans="1:4" x14ac:dyDescent="0.2">
      <c r="A49" s="19" t="s">
        <v>4</v>
      </c>
      <c r="B49" s="20" t="s">
        <v>126</v>
      </c>
      <c r="C49" s="37">
        <f>COMPOSICAO!D36</f>
        <v>3.4399999999999993E-2</v>
      </c>
      <c r="D49" s="22">
        <f t="shared" ref="D49:D52" si="1">C49*$D$7</f>
        <v>567.59999999999991</v>
      </c>
    </row>
    <row r="50" spans="1:4" x14ac:dyDescent="0.2">
      <c r="A50" s="4" t="s">
        <v>5</v>
      </c>
      <c r="B50" s="30" t="s">
        <v>127</v>
      </c>
      <c r="C50" s="37">
        <f>COMPOSICAO!D37</f>
        <v>1.2444444444444444E-2</v>
      </c>
      <c r="D50" s="22">
        <f t="shared" si="1"/>
        <v>205.33333333333331</v>
      </c>
    </row>
    <row r="51" spans="1:4" x14ac:dyDescent="0.2">
      <c r="A51" s="4" t="s">
        <v>6</v>
      </c>
      <c r="B51" s="30" t="s">
        <v>128</v>
      </c>
      <c r="C51" s="37">
        <f>COMPOSICAO!D38</f>
        <v>4.5631999999999999E-3</v>
      </c>
      <c r="D51" s="22">
        <f t="shared" si="1"/>
        <v>75.2928</v>
      </c>
    </row>
    <row r="52" spans="1:4" x14ac:dyDescent="0.2">
      <c r="A52" s="4" t="s">
        <v>7</v>
      </c>
      <c r="B52" s="30" t="s">
        <v>129</v>
      </c>
      <c r="C52" s="37">
        <f>COMPOSICAO!D39</f>
        <v>3.9680000000000005E-4</v>
      </c>
      <c r="D52" s="22">
        <f t="shared" si="1"/>
        <v>6.547200000000001</v>
      </c>
    </row>
    <row r="53" spans="1:4" x14ac:dyDescent="0.2">
      <c r="A53" s="190" t="s">
        <v>104</v>
      </c>
      <c r="B53" s="191"/>
      <c r="C53" s="38">
        <f>SUM(C47:C52)</f>
        <v>5.6304444444444435E-2</v>
      </c>
      <c r="D53" s="39">
        <f>SUM(D47:D52)</f>
        <v>929.02333333333308</v>
      </c>
    </row>
    <row r="54" spans="1:4" x14ac:dyDescent="0.2">
      <c r="A54" s="13"/>
      <c r="B54" s="14"/>
      <c r="C54" s="40"/>
      <c r="D54" s="16"/>
    </row>
    <row r="55" spans="1:4" x14ac:dyDescent="0.2">
      <c r="A55" s="172" t="s">
        <v>105</v>
      </c>
      <c r="B55" s="173"/>
      <c r="C55" s="173"/>
      <c r="D55" s="174"/>
    </row>
    <row r="56" spans="1:4" x14ac:dyDescent="0.2">
      <c r="A56" s="17">
        <v>4</v>
      </c>
      <c r="B56" s="2" t="s">
        <v>115</v>
      </c>
      <c r="C56" s="36" t="s">
        <v>0</v>
      </c>
      <c r="D56" s="17" t="s">
        <v>1</v>
      </c>
    </row>
    <row r="57" spans="1:4" x14ac:dyDescent="0.2">
      <c r="A57" s="190" t="s">
        <v>106</v>
      </c>
      <c r="B57" s="191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2" t="s">
        <v>107</v>
      </c>
      <c r="B59" s="173"/>
      <c r="C59" s="173"/>
      <c r="D59" s="174"/>
    </row>
    <row r="60" spans="1:4" x14ac:dyDescent="0.2">
      <c r="A60" s="17">
        <v>5</v>
      </c>
      <c r="B60" s="43" t="s">
        <v>115</v>
      </c>
      <c r="C60" s="44"/>
      <c r="D60" s="45" t="s">
        <v>1</v>
      </c>
    </row>
    <row r="61" spans="1:4" x14ac:dyDescent="0.2">
      <c r="A61" s="9" t="s">
        <v>108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2" t="s">
        <v>109</v>
      </c>
      <c r="B63" s="173"/>
      <c r="C63" s="173"/>
      <c r="D63" s="174"/>
    </row>
    <row r="64" spans="1:4" x14ac:dyDescent="0.2">
      <c r="A64" s="17">
        <v>6</v>
      </c>
      <c r="B64" s="2" t="s">
        <v>115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130</v>
      </c>
      <c r="C65" s="53">
        <f>COMPOSICAO!D44</f>
        <v>0.05</v>
      </c>
      <c r="D65" s="12">
        <f>C65*$D$81</f>
        <v>1257.0311666666666</v>
      </c>
    </row>
    <row r="66" spans="1:4" x14ac:dyDescent="0.2">
      <c r="A66" s="51" t="s">
        <v>3</v>
      </c>
      <c r="B66" s="52" t="s">
        <v>131</v>
      </c>
      <c r="C66" s="53">
        <f>COMPOSICAO!D45</f>
        <v>0.1</v>
      </c>
      <c r="D66" s="12">
        <f>C66*($D$81+$D$65)</f>
        <v>2639.7654500000003</v>
      </c>
    </row>
    <row r="67" spans="1:4" x14ac:dyDescent="0.2">
      <c r="A67" s="51" t="s">
        <v>4</v>
      </c>
      <c r="B67" s="52" t="s">
        <v>132</v>
      </c>
      <c r="C67" s="53">
        <f>COMPOSICAO!D46</f>
        <v>9.2499999999999999E-2</v>
      </c>
      <c r="D67" s="12">
        <f>((D65+D66+D81)/(1-C67))-(D65+D66+D81)</f>
        <v>2959.7370196969714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207.98152030303029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959.91470909090913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639.94313939393942</v>
      </c>
    </row>
    <row r="71" spans="1:4" x14ac:dyDescent="0.2">
      <c r="A71" s="4" t="s">
        <v>29</v>
      </c>
      <c r="B71" s="106" t="s">
        <v>183</v>
      </c>
      <c r="C71" s="37">
        <f>COMPOSICAO!D50</f>
        <v>3.5999999999999997E-2</v>
      </c>
      <c r="D71" s="12">
        <f t="shared" si="2"/>
        <v>1151.8976509090908</v>
      </c>
    </row>
    <row r="72" spans="1:4" x14ac:dyDescent="0.2">
      <c r="A72" s="178" t="s">
        <v>110</v>
      </c>
      <c r="B72" s="179"/>
      <c r="C72" s="55">
        <f>SUM(C65:C67)</f>
        <v>0.24250000000000002</v>
      </c>
      <c r="D72" s="12">
        <f>SUM(D65:D67)</f>
        <v>6856.5336363636379</v>
      </c>
    </row>
    <row r="73" spans="1:4" x14ac:dyDescent="0.2">
      <c r="A73" s="13"/>
      <c r="B73" s="14"/>
      <c r="C73" s="15"/>
      <c r="D73" s="16"/>
    </row>
    <row r="74" spans="1:4" x14ac:dyDescent="0.2">
      <c r="A74" s="186" t="s">
        <v>111</v>
      </c>
      <c r="B74" s="187"/>
      <c r="C74" s="187"/>
      <c r="D74" s="188"/>
    </row>
    <row r="75" spans="1:4" x14ac:dyDescent="0.2">
      <c r="A75" s="26" t="s">
        <v>112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133</v>
      </c>
      <c r="C76" s="58"/>
      <c r="D76" s="8">
        <f>D7</f>
        <v>16500</v>
      </c>
    </row>
    <row r="77" spans="1:4" x14ac:dyDescent="0.2">
      <c r="A77" s="4">
        <v>2</v>
      </c>
      <c r="B77" s="46" t="s">
        <v>134</v>
      </c>
      <c r="C77" s="58"/>
      <c r="D77" s="8">
        <f>D43</f>
        <v>7711.5999999999995</v>
      </c>
    </row>
    <row r="78" spans="1:4" x14ac:dyDescent="0.2">
      <c r="A78" s="4">
        <v>3</v>
      </c>
      <c r="B78" s="46" t="s">
        <v>135</v>
      </c>
      <c r="C78" s="58"/>
      <c r="D78" s="8">
        <f>D53</f>
        <v>929.02333333333308</v>
      </c>
    </row>
    <row r="79" spans="1:4" x14ac:dyDescent="0.2">
      <c r="A79" s="4">
        <v>4</v>
      </c>
      <c r="B79" s="46" t="s">
        <v>136</v>
      </c>
      <c r="C79" s="58"/>
      <c r="D79" s="8">
        <v>0</v>
      </c>
    </row>
    <row r="80" spans="1:4" x14ac:dyDescent="0.2">
      <c r="A80" s="4">
        <v>5</v>
      </c>
      <c r="B80" s="46" t="s">
        <v>137</v>
      </c>
      <c r="C80" s="58"/>
      <c r="D80" s="8">
        <v>0</v>
      </c>
    </row>
    <row r="81" spans="1:4" x14ac:dyDescent="0.2">
      <c r="A81" s="59" t="s">
        <v>113</v>
      </c>
      <c r="B81" s="10"/>
      <c r="C81" s="11"/>
      <c r="D81" s="12">
        <f>SUM(D76:D80)</f>
        <v>25140.623333333333</v>
      </c>
    </row>
    <row r="82" spans="1:4" x14ac:dyDescent="0.2">
      <c r="A82" s="4">
        <v>6</v>
      </c>
      <c r="B82" s="46" t="s">
        <v>138</v>
      </c>
      <c r="C82" s="58"/>
      <c r="D82" s="8">
        <f>D72</f>
        <v>6856.5336363636379</v>
      </c>
    </row>
    <row r="83" spans="1:4" x14ac:dyDescent="0.2">
      <c r="A83" s="178" t="s">
        <v>114</v>
      </c>
      <c r="B83" s="189"/>
      <c r="C83" s="179"/>
      <c r="D83" s="60">
        <f>SUM(D81:D82)</f>
        <v>31997.156969696971</v>
      </c>
    </row>
    <row r="84" spans="1:4" x14ac:dyDescent="0.2">
      <c r="C84" s="108" t="s">
        <v>187</v>
      </c>
      <c r="D84" s="109">
        <f>ROUNDUP(D83/D76,2)</f>
        <v>1.94</v>
      </c>
    </row>
    <row r="85" spans="1:4" x14ac:dyDescent="0.2"/>
    <row r="86" spans="1:4" hidden="1" x14ac:dyDescent="0.2">
      <c r="D86" s="111"/>
    </row>
  </sheetData>
  <mergeCells count="22"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</mergeCells>
  <conditionalFormatting sqref="B69">
    <cfRule type="expression" dxfId="3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9AC7C1-ABCA-40B3-9D7F-E922D4C4E173}">
  <sheetPr codeName="Planilha47"/>
  <dimension ref="A1:D86"/>
  <sheetViews>
    <sheetView zoomScaleNormal="100" workbookViewId="0">
      <selection activeCell="F24" sqref="F24:F31"/>
    </sheetView>
  </sheetViews>
  <sheetFormatPr defaultColWidth="0" defaultRowHeight="12" zeroHeight="1" x14ac:dyDescent="0.2"/>
  <cols>
    <col min="1" max="1" width="5.85546875" style="107" customWidth="1"/>
    <col min="2" max="2" width="83.28515625" style="107" customWidth="1"/>
    <col min="3" max="3" width="12.42578125" style="107" customWidth="1"/>
    <col min="4" max="4" width="15.42578125" style="107" customWidth="1"/>
    <col min="5" max="5" width="9.140625" style="107" hidden="1" customWidth="1"/>
    <col min="6" max="16384" width="9.140625" style="107" hidden="1"/>
  </cols>
  <sheetData>
    <row r="1" spans="1:4" ht="12.75" thickBot="1" x14ac:dyDescent="0.25">
      <c r="A1" s="180" t="str">
        <f>PERFIS!C33</f>
        <v>Analista de Métricas - Júnior</v>
      </c>
      <c r="B1" s="181"/>
      <c r="C1" s="181"/>
      <c r="D1" s="182"/>
    </row>
    <row r="2" spans="1:4" x14ac:dyDescent="0.2">
      <c r="A2" s="110"/>
      <c r="B2" s="110"/>
      <c r="C2" s="110"/>
      <c r="D2" s="110"/>
    </row>
    <row r="3" spans="1:4" x14ac:dyDescent="0.2">
      <c r="A3" s="169" t="s">
        <v>93</v>
      </c>
      <c r="B3" s="170"/>
      <c r="C3" s="170"/>
      <c r="D3" s="171"/>
    </row>
    <row r="4" spans="1:4" x14ac:dyDescent="0.2">
      <c r="A4" s="172" t="s">
        <v>94</v>
      </c>
      <c r="B4" s="173"/>
      <c r="C4" s="173"/>
      <c r="D4" s="174"/>
    </row>
    <row r="5" spans="1:4" x14ac:dyDescent="0.2">
      <c r="A5" s="1">
        <v>1</v>
      </c>
      <c r="B5" s="2" t="s">
        <v>115</v>
      </c>
      <c r="C5" s="3"/>
      <c r="D5" s="1" t="s">
        <v>1</v>
      </c>
    </row>
    <row r="6" spans="1:4" x14ac:dyDescent="0.2">
      <c r="A6" s="4" t="s">
        <v>2</v>
      </c>
      <c r="B6" s="5" t="s">
        <v>116</v>
      </c>
      <c r="C6" s="6">
        <v>1</v>
      </c>
      <c r="D6" s="7">
        <f>_xlfn.XLOOKUP(A1,PERFIS!C3:C35,PERFIS!D3:D35)</f>
        <v>5412.32</v>
      </c>
    </row>
    <row r="7" spans="1:4" x14ac:dyDescent="0.2">
      <c r="A7" s="9" t="s">
        <v>95</v>
      </c>
      <c r="B7" s="10"/>
      <c r="C7" s="11"/>
      <c r="D7" s="12">
        <f>SUM(D6)</f>
        <v>5412.32</v>
      </c>
    </row>
    <row r="8" spans="1:4" x14ac:dyDescent="0.2">
      <c r="A8" s="13"/>
      <c r="B8" s="14"/>
      <c r="C8" s="15"/>
      <c r="D8" s="16"/>
    </row>
    <row r="9" spans="1:4" x14ac:dyDescent="0.2">
      <c r="A9" s="172" t="s">
        <v>96</v>
      </c>
      <c r="B9" s="173"/>
      <c r="C9" s="173"/>
      <c r="D9" s="174"/>
    </row>
    <row r="10" spans="1:4" x14ac:dyDescent="0.2">
      <c r="A10" s="175" t="s">
        <v>190</v>
      </c>
      <c r="B10" s="176"/>
      <c r="C10" s="176"/>
      <c r="D10" s="177"/>
    </row>
    <row r="11" spans="1:4" x14ac:dyDescent="0.2">
      <c r="A11" s="17" t="s">
        <v>9</v>
      </c>
      <c r="B11" s="2" t="s">
        <v>115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117</v>
      </c>
      <c r="C12" s="21">
        <f>COMPOSICAO!D3</f>
        <v>8.3333333333333329E-2</v>
      </c>
      <c r="D12" s="22">
        <f>C12*$D$7</f>
        <v>451.02666666666664</v>
      </c>
    </row>
    <row r="13" spans="1:4" x14ac:dyDescent="0.2">
      <c r="A13" s="19" t="s">
        <v>3</v>
      </c>
      <c r="B13" s="20" t="s">
        <v>185</v>
      </c>
      <c r="C13" s="21">
        <f>COMPOSICAO!D4</f>
        <v>7.7777777777777779E-2</v>
      </c>
      <c r="D13" s="22">
        <f>C13*$D$7</f>
        <v>420.95822222222222</v>
      </c>
    </row>
    <row r="14" spans="1:4" x14ac:dyDescent="0.2">
      <c r="A14" s="178" t="s">
        <v>191</v>
      </c>
      <c r="B14" s="179"/>
      <c r="C14" s="23">
        <f>SUM(C12:C13)</f>
        <v>0.16111111111111109</v>
      </c>
      <c r="D14" s="12">
        <f>SUM(D12:D13)</f>
        <v>871.98488888888892</v>
      </c>
    </row>
    <row r="15" spans="1:4" x14ac:dyDescent="0.2">
      <c r="A15" s="13"/>
      <c r="B15" s="14"/>
      <c r="C15" s="24"/>
      <c r="D15" s="16"/>
    </row>
    <row r="16" spans="1:4" x14ac:dyDescent="0.2">
      <c r="A16" s="194" t="s">
        <v>98</v>
      </c>
      <c r="B16" s="195"/>
      <c r="C16" s="195"/>
      <c r="D16" s="196"/>
    </row>
    <row r="17" spans="1:4" x14ac:dyDescent="0.2">
      <c r="A17" s="17" t="s">
        <v>10</v>
      </c>
      <c r="B17" s="2" t="s">
        <v>115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118</v>
      </c>
      <c r="C18" s="21">
        <v>0.05</v>
      </c>
      <c r="D18" s="22">
        <f>C18*($D$7+$D$14)</f>
        <v>314.21524444444447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157.10762222222223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188.52914666666666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94.264573333333331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62.843048888888887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37.705829333333334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12.568609777777779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502.7443911111111</v>
      </c>
    </row>
    <row r="26" spans="1:4" x14ac:dyDescent="0.2">
      <c r="A26" s="192" t="s">
        <v>99</v>
      </c>
      <c r="B26" s="193"/>
      <c r="C26" s="27">
        <f>SUM(C18:C25)</f>
        <v>0.21800000000000003</v>
      </c>
      <c r="D26" s="28">
        <f>SUM(D18:D25)</f>
        <v>1369.9784657777777</v>
      </c>
    </row>
    <row r="27" spans="1:4" x14ac:dyDescent="0.2">
      <c r="A27" s="13"/>
      <c r="B27" s="14"/>
      <c r="C27" s="29"/>
      <c r="D27" s="16"/>
    </row>
    <row r="28" spans="1:4" x14ac:dyDescent="0.2">
      <c r="A28" s="194" t="s">
        <v>100</v>
      </c>
      <c r="B28" s="195"/>
      <c r="C28" s="195"/>
      <c r="D28" s="196"/>
    </row>
    <row r="29" spans="1:4" x14ac:dyDescent="0.2">
      <c r="A29" s="17" t="s">
        <v>19</v>
      </c>
      <c r="B29" s="194" t="s">
        <v>115</v>
      </c>
      <c r="C29" s="196"/>
      <c r="D29" s="17" t="s">
        <v>1</v>
      </c>
    </row>
    <row r="30" spans="1:4" x14ac:dyDescent="0.2">
      <c r="A30" s="183" t="s">
        <v>2</v>
      </c>
      <c r="B30" s="30" t="s">
        <v>119</v>
      </c>
      <c r="C30" s="31"/>
      <c r="D30" s="7">
        <f>COMPOSICAO!D20*2*22</f>
        <v>242</v>
      </c>
    </row>
    <row r="31" spans="1:4" x14ac:dyDescent="0.2">
      <c r="A31" s="184"/>
      <c r="B31" s="30" t="s">
        <v>20</v>
      </c>
      <c r="C31" s="31"/>
      <c r="D31" s="7">
        <f>D6*COMPOSICAO!D21</f>
        <v>324.73919999999998</v>
      </c>
    </row>
    <row r="32" spans="1:4" x14ac:dyDescent="0.2">
      <c r="A32" s="185"/>
      <c r="B32" s="88" t="s">
        <v>21</v>
      </c>
      <c r="C32" s="89"/>
      <c r="D32" s="39">
        <f>IF(D30-D31&gt;0,D30-D31,0)</f>
        <v>0</v>
      </c>
    </row>
    <row r="33" spans="1:4" x14ac:dyDescent="0.2">
      <c r="A33" s="183" t="s">
        <v>3</v>
      </c>
      <c r="B33" s="30" t="s">
        <v>120</v>
      </c>
      <c r="D33" s="7">
        <f>COMPOSICAO!D23*22</f>
        <v>814</v>
      </c>
    </row>
    <row r="34" spans="1:4" x14ac:dyDescent="0.2">
      <c r="A34" s="184"/>
      <c r="B34" s="30" t="s">
        <v>181</v>
      </c>
      <c r="C34" s="104" cm="1">
        <f t="array" ref="C34">_xlfn.IFS(D6&lt;2407,COMPOSICAO!D25,D6&lt;4073.39,COMPOSICAO!D26,D6&lt;5924.92,COMPOSICAO!D27,D6&lt;7406.17,COMPOSICAO!D28,D6&lt;9072.58,COMPOSICAO!D29,D6&gt;9072.59,COMPOSICAO!D30)</f>
        <v>5.62E-2</v>
      </c>
      <c r="D34" s="7">
        <f>D33*C34</f>
        <v>45.7468</v>
      </c>
    </row>
    <row r="35" spans="1:4" x14ac:dyDescent="0.2">
      <c r="A35" s="185"/>
      <c r="B35" s="88" t="s">
        <v>182</v>
      </c>
      <c r="C35" s="90"/>
      <c r="D35" s="39">
        <f>D33-D34</f>
        <v>768.25319999999999</v>
      </c>
    </row>
    <row r="36" spans="1:4" x14ac:dyDescent="0.2">
      <c r="A36" s="4" t="s">
        <v>4</v>
      </c>
      <c r="B36" s="30" t="s">
        <v>167</v>
      </c>
      <c r="C36" s="31"/>
      <c r="D36" s="151">
        <f>COMPOSICAO!D31</f>
        <v>184.85</v>
      </c>
    </row>
    <row r="37" spans="1:4" x14ac:dyDescent="0.2">
      <c r="A37" s="9" t="s">
        <v>101</v>
      </c>
      <c r="B37" s="10"/>
      <c r="C37" s="11"/>
      <c r="D37" s="12">
        <f>SUM(D32,D35,D36)</f>
        <v>953.10320000000002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121</v>
      </c>
      <c r="C39" s="33"/>
      <c r="D39" s="17" t="s">
        <v>1</v>
      </c>
    </row>
    <row r="40" spans="1:4" x14ac:dyDescent="0.2">
      <c r="A40" s="4" t="s">
        <v>9</v>
      </c>
      <c r="B40" s="30" t="s">
        <v>122</v>
      </c>
      <c r="C40" s="34"/>
      <c r="D40" s="8">
        <f>D14</f>
        <v>871.98488888888892</v>
      </c>
    </row>
    <row r="41" spans="1:4" x14ac:dyDescent="0.2">
      <c r="A41" s="4" t="s">
        <v>10</v>
      </c>
      <c r="B41" s="30" t="s">
        <v>123</v>
      </c>
      <c r="C41" s="34"/>
      <c r="D41" s="8">
        <f>D26</f>
        <v>1369.9784657777777</v>
      </c>
    </row>
    <row r="42" spans="1:4" x14ac:dyDescent="0.2">
      <c r="A42" s="4" t="s">
        <v>19</v>
      </c>
      <c r="B42" s="30" t="s">
        <v>124</v>
      </c>
      <c r="C42" s="34"/>
      <c r="D42" s="8">
        <f>D37</f>
        <v>953.10320000000002</v>
      </c>
    </row>
    <row r="43" spans="1:4" x14ac:dyDescent="0.2">
      <c r="A43" s="178" t="s">
        <v>102</v>
      </c>
      <c r="B43" s="189"/>
      <c r="C43" s="35"/>
      <c r="D43" s="12">
        <f>SUM(D40:D42)</f>
        <v>3195.0665546666664</v>
      </c>
    </row>
    <row r="44" spans="1:4" x14ac:dyDescent="0.2">
      <c r="A44" s="13"/>
      <c r="B44" s="14"/>
      <c r="C44" s="15"/>
      <c r="D44" s="16"/>
    </row>
    <row r="45" spans="1:4" x14ac:dyDescent="0.2">
      <c r="A45" s="172" t="s">
        <v>103</v>
      </c>
      <c r="B45" s="173"/>
      <c r="C45" s="173"/>
      <c r="D45" s="174"/>
    </row>
    <row r="46" spans="1:4" x14ac:dyDescent="0.2">
      <c r="A46" s="17">
        <v>3</v>
      </c>
      <c r="B46" s="2" t="s">
        <v>115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22.551333333333332</v>
      </c>
    </row>
    <row r="48" spans="1:4" x14ac:dyDescent="0.2">
      <c r="A48" s="4" t="s">
        <v>3</v>
      </c>
      <c r="B48" s="30" t="s">
        <v>125</v>
      </c>
      <c r="C48" s="37">
        <f>COMPOSICAO!D35</f>
        <v>3.3333333333333332E-4</v>
      </c>
      <c r="D48" s="22">
        <f>C48*$D$7</f>
        <v>1.8041066666666665</v>
      </c>
    </row>
    <row r="49" spans="1:4" x14ac:dyDescent="0.2">
      <c r="A49" s="19" t="s">
        <v>4</v>
      </c>
      <c r="B49" s="20" t="s">
        <v>126</v>
      </c>
      <c r="C49" s="37">
        <f>COMPOSICAO!D36</f>
        <v>3.4399999999999993E-2</v>
      </c>
      <c r="D49" s="22">
        <f t="shared" ref="D49:D52" si="1">C49*$D$7</f>
        <v>186.18380799999994</v>
      </c>
    </row>
    <row r="50" spans="1:4" x14ac:dyDescent="0.2">
      <c r="A50" s="4" t="s">
        <v>5</v>
      </c>
      <c r="B50" s="30" t="s">
        <v>127</v>
      </c>
      <c r="C50" s="37">
        <f>COMPOSICAO!D37</f>
        <v>1.2444444444444444E-2</v>
      </c>
      <c r="D50" s="22">
        <f t="shared" si="1"/>
        <v>67.353315555555554</v>
      </c>
    </row>
    <row r="51" spans="1:4" x14ac:dyDescent="0.2">
      <c r="A51" s="4" t="s">
        <v>6</v>
      </c>
      <c r="B51" s="30" t="s">
        <v>128</v>
      </c>
      <c r="C51" s="37">
        <f>COMPOSICAO!D38</f>
        <v>4.5631999999999999E-3</v>
      </c>
      <c r="D51" s="22">
        <f t="shared" si="1"/>
        <v>24.697498623999998</v>
      </c>
    </row>
    <row r="52" spans="1:4" x14ac:dyDescent="0.2">
      <c r="A52" s="4" t="s">
        <v>7</v>
      </c>
      <c r="B52" s="30" t="s">
        <v>129</v>
      </c>
      <c r="C52" s="37">
        <f>COMPOSICAO!D39</f>
        <v>3.9680000000000005E-4</v>
      </c>
      <c r="D52" s="22">
        <f t="shared" si="1"/>
        <v>2.1476085760000001</v>
      </c>
    </row>
    <row r="53" spans="1:4" x14ac:dyDescent="0.2">
      <c r="A53" s="190" t="s">
        <v>104</v>
      </c>
      <c r="B53" s="191"/>
      <c r="C53" s="38">
        <f>SUM(C47:C52)</f>
        <v>5.6304444444444435E-2</v>
      </c>
      <c r="D53" s="39">
        <f>SUM(D47:D52)</f>
        <v>304.73767075555548</v>
      </c>
    </row>
    <row r="54" spans="1:4" x14ac:dyDescent="0.2">
      <c r="A54" s="13"/>
      <c r="B54" s="14"/>
      <c r="C54" s="40"/>
      <c r="D54" s="16"/>
    </row>
    <row r="55" spans="1:4" x14ac:dyDescent="0.2">
      <c r="A55" s="172" t="s">
        <v>105</v>
      </c>
      <c r="B55" s="173"/>
      <c r="C55" s="173"/>
      <c r="D55" s="174"/>
    </row>
    <row r="56" spans="1:4" x14ac:dyDescent="0.2">
      <c r="A56" s="17">
        <v>4</v>
      </c>
      <c r="B56" s="2" t="s">
        <v>115</v>
      </c>
      <c r="C56" s="36" t="s">
        <v>0</v>
      </c>
      <c r="D56" s="17" t="s">
        <v>1</v>
      </c>
    </row>
    <row r="57" spans="1:4" x14ac:dyDescent="0.2">
      <c r="A57" s="190" t="s">
        <v>106</v>
      </c>
      <c r="B57" s="191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2" t="s">
        <v>107</v>
      </c>
      <c r="B59" s="173"/>
      <c r="C59" s="173"/>
      <c r="D59" s="174"/>
    </row>
    <row r="60" spans="1:4" x14ac:dyDescent="0.2">
      <c r="A60" s="17">
        <v>5</v>
      </c>
      <c r="B60" s="43" t="s">
        <v>115</v>
      </c>
      <c r="C60" s="44"/>
      <c r="D60" s="45" t="s">
        <v>1</v>
      </c>
    </row>
    <row r="61" spans="1:4" x14ac:dyDescent="0.2">
      <c r="A61" s="9" t="s">
        <v>108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2" t="s">
        <v>109</v>
      </c>
      <c r="B63" s="173"/>
      <c r="C63" s="173"/>
      <c r="D63" s="174"/>
    </row>
    <row r="64" spans="1:4" x14ac:dyDescent="0.2">
      <c r="A64" s="17">
        <v>6</v>
      </c>
      <c r="B64" s="2" t="s">
        <v>115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130</v>
      </c>
      <c r="C65" s="53">
        <f>COMPOSICAO!D44</f>
        <v>0.05</v>
      </c>
      <c r="D65" s="12">
        <f>C65*$D$81</f>
        <v>445.60621127111108</v>
      </c>
    </row>
    <row r="66" spans="1:4" x14ac:dyDescent="0.2">
      <c r="A66" s="51" t="s">
        <v>3</v>
      </c>
      <c r="B66" s="52" t="s">
        <v>131</v>
      </c>
      <c r="C66" s="53">
        <f>COMPOSICAO!D45</f>
        <v>0.1</v>
      </c>
      <c r="D66" s="12">
        <f>C66*($D$81+$D$65)</f>
        <v>935.77304366933333</v>
      </c>
    </row>
    <row r="67" spans="1:4" x14ac:dyDescent="0.2">
      <c r="A67" s="51" t="s">
        <v>4</v>
      </c>
      <c r="B67" s="52" t="s">
        <v>132</v>
      </c>
      <c r="C67" s="53">
        <f>COMPOSICAO!D46</f>
        <v>9.2499999999999999E-2</v>
      </c>
      <c r="D67" s="12">
        <f>((D65+D66+D81)/(1-C67))-(D65+D66+D81)</f>
        <v>1049.2000792656163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73.727573137583832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340.28110678884843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226.85407119256564</v>
      </c>
    </row>
    <row r="71" spans="1:4" x14ac:dyDescent="0.2">
      <c r="A71" s="4" t="s">
        <v>29</v>
      </c>
      <c r="B71" s="106" t="s">
        <v>183</v>
      </c>
      <c r="C71" s="37">
        <f>COMPOSICAO!D50</f>
        <v>3.5999999999999997E-2</v>
      </c>
      <c r="D71" s="12">
        <f t="shared" si="2"/>
        <v>408.33732814661812</v>
      </c>
    </row>
    <row r="72" spans="1:4" x14ac:dyDescent="0.2">
      <c r="A72" s="178" t="s">
        <v>110</v>
      </c>
      <c r="B72" s="179"/>
      <c r="C72" s="55">
        <f>SUM(C65:C67)</f>
        <v>0.24250000000000002</v>
      </c>
      <c r="D72" s="12">
        <f>SUM(D65:D67)</f>
        <v>2430.5793342060606</v>
      </c>
    </row>
    <row r="73" spans="1:4" x14ac:dyDescent="0.2">
      <c r="A73" s="13"/>
      <c r="B73" s="14"/>
      <c r="C73" s="15"/>
      <c r="D73" s="16"/>
    </row>
    <row r="74" spans="1:4" x14ac:dyDescent="0.2">
      <c r="A74" s="186" t="s">
        <v>111</v>
      </c>
      <c r="B74" s="187"/>
      <c r="C74" s="187"/>
      <c r="D74" s="188"/>
    </row>
    <row r="75" spans="1:4" x14ac:dyDescent="0.2">
      <c r="A75" s="26" t="s">
        <v>112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133</v>
      </c>
      <c r="C76" s="58"/>
      <c r="D76" s="8">
        <f>D7</f>
        <v>5412.32</v>
      </c>
    </row>
    <row r="77" spans="1:4" x14ac:dyDescent="0.2">
      <c r="A77" s="4">
        <v>2</v>
      </c>
      <c r="B77" s="46" t="s">
        <v>134</v>
      </c>
      <c r="C77" s="58"/>
      <c r="D77" s="8">
        <f>D43</f>
        <v>3195.0665546666664</v>
      </c>
    </row>
    <row r="78" spans="1:4" x14ac:dyDescent="0.2">
      <c r="A78" s="4">
        <v>3</v>
      </c>
      <c r="B78" s="46" t="s">
        <v>135</v>
      </c>
      <c r="C78" s="58"/>
      <c r="D78" s="8">
        <f>D53</f>
        <v>304.73767075555548</v>
      </c>
    </row>
    <row r="79" spans="1:4" x14ac:dyDescent="0.2">
      <c r="A79" s="4">
        <v>4</v>
      </c>
      <c r="B79" s="46" t="s">
        <v>136</v>
      </c>
      <c r="C79" s="58"/>
      <c r="D79" s="8">
        <v>0</v>
      </c>
    </row>
    <row r="80" spans="1:4" x14ac:dyDescent="0.2">
      <c r="A80" s="4">
        <v>5</v>
      </c>
      <c r="B80" s="46" t="s">
        <v>137</v>
      </c>
      <c r="C80" s="58"/>
      <c r="D80" s="8">
        <v>0</v>
      </c>
    </row>
    <row r="81" spans="1:4" x14ac:dyDescent="0.2">
      <c r="A81" s="59" t="s">
        <v>113</v>
      </c>
      <c r="B81" s="10"/>
      <c r="C81" s="11"/>
      <c r="D81" s="12">
        <f>SUM(D76:D80)</f>
        <v>8912.1242254222216</v>
      </c>
    </row>
    <row r="82" spans="1:4" x14ac:dyDescent="0.2">
      <c r="A82" s="4">
        <v>6</v>
      </c>
      <c r="B82" s="46" t="s">
        <v>138</v>
      </c>
      <c r="C82" s="58"/>
      <c r="D82" s="8">
        <f>D72</f>
        <v>2430.5793342060606</v>
      </c>
    </row>
    <row r="83" spans="1:4" x14ac:dyDescent="0.2">
      <c r="A83" s="178" t="s">
        <v>114</v>
      </c>
      <c r="B83" s="189"/>
      <c r="C83" s="179"/>
      <c r="D83" s="60">
        <f>SUM(D81:D82)</f>
        <v>11342.703559628282</v>
      </c>
    </row>
    <row r="84" spans="1:4" x14ac:dyDescent="0.2">
      <c r="C84" s="108" t="s">
        <v>187</v>
      </c>
      <c r="D84" s="109">
        <f>ROUNDUP(D83/D76,2)</f>
        <v>2.0999999999999996</v>
      </c>
    </row>
    <row r="85" spans="1:4" x14ac:dyDescent="0.2"/>
    <row r="86" spans="1:4" hidden="1" x14ac:dyDescent="0.2">
      <c r="D86" s="111"/>
    </row>
  </sheetData>
  <mergeCells count="22"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</mergeCells>
  <conditionalFormatting sqref="B69">
    <cfRule type="expression" dxfId="2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E314DD-F799-40C6-9897-34914163F38B}">
  <sheetPr codeName="Planilha48"/>
  <dimension ref="A1:D86"/>
  <sheetViews>
    <sheetView zoomScaleNormal="100" workbookViewId="0">
      <selection activeCell="F24" sqref="F24:F31"/>
    </sheetView>
  </sheetViews>
  <sheetFormatPr defaultColWidth="0" defaultRowHeight="12" zeroHeight="1" x14ac:dyDescent="0.2"/>
  <cols>
    <col min="1" max="1" width="5.85546875" style="107" customWidth="1"/>
    <col min="2" max="2" width="83.28515625" style="107" customWidth="1"/>
    <col min="3" max="3" width="12.42578125" style="107" customWidth="1"/>
    <col min="4" max="4" width="15.42578125" style="107" customWidth="1"/>
    <col min="5" max="5" width="9.140625" style="107" hidden="1" customWidth="1"/>
    <col min="6" max="16384" width="9.140625" style="107" hidden="1"/>
  </cols>
  <sheetData>
    <row r="1" spans="1:4" ht="12.75" thickBot="1" x14ac:dyDescent="0.25">
      <c r="A1" s="180" t="str">
        <f>PERFIS!C34</f>
        <v>Analista de Métricas - Pleno</v>
      </c>
      <c r="B1" s="181"/>
      <c r="C1" s="181"/>
      <c r="D1" s="182"/>
    </row>
    <row r="2" spans="1:4" x14ac:dyDescent="0.2">
      <c r="A2" s="110"/>
      <c r="B2" s="110"/>
      <c r="C2" s="110"/>
      <c r="D2" s="110"/>
    </row>
    <row r="3" spans="1:4" x14ac:dyDescent="0.2">
      <c r="A3" s="169" t="s">
        <v>93</v>
      </c>
      <c r="B3" s="170"/>
      <c r="C3" s="170"/>
      <c r="D3" s="171"/>
    </row>
    <row r="4" spans="1:4" x14ac:dyDescent="0.2">
      <c r="A4" s="172" t="s">
        <v>94</v>
      </c>
      <c r="B4" s="173"/>
      <c r="C4" s="173"/>
      <c r="D4" s="174"/>
    </row>
    <row r="5" spans="1:4" x14ac:dyDescent="0.2">
      <c r="A5" s="1">
        <v>1</v>
      </c>
      <c r="B5" s="2" t="s">
        <v>115</v>
      </c>
      <c r="C5" s="3"/>
      <c r="D5" s="1" t="s">
        <v>1</v>
      </c>
    </row>
    <row r="6" spans="1:4" x14ac:dyDescent="0.2">
      <c r="A6" s="4" t="s">
        <v>2</v>
      </c>
      <c r="B6" s="5" t="s">
        <v>116</v>
      </c>
      <c r="C6" s="6">
        <v>1</v>
      </c>
      <c r="D6" s="7">
        <f>_xlfn.XLOOKUP(A1,PERFIS!C3:C35,PERFIS!D3:D35)</f>
        <v>7795.75</v>
      </c>
    </row>
    <row r="7" spans="1:4" x14ac:dyDescent="0.2">
      <c r="A7" s="9" t="s">
        <v>95</v>
      </c>
      <c r="B7" s="10"/>
      <c r="C7" s="11"/>
      <c r="D7" s="12">
        <f>SUM(D6)</f>
        <v>7795.75</v>
      </c>
    </row>
    <row r="8" spans="1:4" x14ac:dyDescent="0.2">
      <c r="A8" s="13"/>
      <c r="B8" s="14"/>
      <c r="C8" s="15"/>
      <c r="D8" s="16"/>
    </row>
    <row r="9" spans="1:4" x14ac:dyDescent="0.2">
      <c r="A9" s="172" t="s">
        <v>96</v>
      </c>
      <c r="B9" s="173"/>
      <c r="C9" s="173"/>
      <c r="D9" s="174"/>
    </row>
    <row r="10" spans="1:4" x14ac:dyDescent="0.2">
      <c r="A10" s="175" t="s">
        <v>190</v>
      </c>
      <c r="B10" s="176"/>
      <c r="C10" s="176"/>
      <c r="D10" s="177"/>
    </row>
    <row r="11" spans="1:4" x14ac:dyDescent="0.2">
      <c r="A11" s="17" t="s">
        <v>9</v>
      </c>
      <c r="B11" s="2" t="s">
        <v>115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117</v>
      </c>
      <c r="C12" s="21">
        <f>COMPOSICAO!D3</f>
        <v>8.3333333333333329E-2</v>
      </c>
      <c r="D12" s="22">
        <f>C12*$D$7</f>
        <v>649.64583333333326</v>
      </c>
    </row>
    <row r="13" spans="1:4" x14ac:dyDescent="0.2">
      <c r="A13" s="19" t="s">
        <v>3</v>
      </c>
      <c r="B13" s="20" t="s">
        <v>185</v>
      </c>
      <c r="C13" s="21">
        <f>COMPOSICAO!D4</f>
        <v>7.7777777777777779E-2</v>
      </c>
      <c r="D13" s="22">
        <f>C13*$D$7</f>
        <v>606.33611111111111</v>
      </c>
    </row>
    <row r="14" spans="1:4" x14ac:dyDescent="0.2">
      <c r="A14" s="178" t="s">
        <v>191</v>
      </c>
      <c r="B14" s="179"/>
      <c r="C14" s="23">
        <f>SUM(C12:C13)</f>
        <v>0.16111111111111109</v>
      </c>
      <c r="D14" s="12">
        <f>SUM(D12:D13)</f>
        <v>1255.9819444444443</v>
      </c>
    </row>
    <row r="15" spans="1:4" x14ac:dyDescent="0.2">
      <c r="A15" s="13"/>
      <c r="B15" s="14"/>
      <c r="C15" s="24"/>
      <c r="D15" s="16"/>
    </row>
    <row r="16" spans="1:4" x14ac:dyDescent="0.2">
      <c r="A16" s="194" t="s">
        <v>98</v>
      </c>
      <c r="B16" s="195"/>
      <c r="C16" s="195"/>
      <c r="D16" s="196"/>
    </row>
    <row r="17" spans="1:4" x14ac:dyDescent="0.2">
      <c r="A17" s="17" t="s">
        <v>10</v>
      </c>
      <c r="B17" s="2" t="s">
        <v>115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118</v>
      </c>
      <c r="C18" s="21">
        <v>0.05</v>
      </c>
      <c r="D18" s="22">
        <f>C18*($D$7+$D$14)</f>
        <v>452.58659722222222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226.29329861111111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271.55195833333329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135.77597916666664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90.517319444444439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54.310391666666661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18.103463888888889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724.13855555555551</v>
      </c>
    </row>
    <row r="26" spans="1:4" x14ac:dyDescent="0.2">
      <c r="A26" s="192" t="s">
        <v>99</v>
      </c>
      <c r="B26" s="193"/>
      <c r="C26" s="27">
        <f>SUM(C18:C25)</f>
        <v>0.21800000000000003</v>
      </c>
      <c r="D26" s="28">
        <f>SUM(D18:D25)</f>
        <v>1973.2775638888888</v>
      </c>
    </row>
    <row r="27" spans="1:4" x14ac:dyDescent="0.2">
      <c r="A27" s="13"/>
      <c r="B27" s="14"/>
      <c r="C27" s="29"/>
      <c r="D27" s="16"/>
    </row>
    <row r="28" spans="1:4" x14ac:dyDescent="0.2">
      <c r="A28" s="194" t="s">
        <v>100</v>
      </c>
      <c r="B28" s="195"/>
      <c r="C28" s="195"/>
      <c r="D28" s="196"/>
    </row>
    <row r="29" spans="1:4" x14ac:dyDescent="0.2">
      <c r="A29" s="17" t="s">
        <v>19</v>
      </c>
      <c r="B29" s="194" t="s">
        <v>115</v>
      </c>
      <c r="C29" s="196"/>
      <c r="D29" s="17" t="s">
        <v>1</v>
      </c>
    </row>
    <row r="30" spans="1:4" x14ac:dyDescent="0.2">
      <c r="A30" s="183" t="s">
        <v>2</v>
      </c>
      <c r="B30" s="30" t="s">
        <v>119</v>
      </c>
      <c r="C30" s="31"/>
      <c r="D30" s="7">
        <f>COMPOSICAO!D20*2*22</f>
        <v>242</v>
      </c>
    </row>
    <row r="31" spans="1:4" x14ac:dyDescent="0.2">
      <c r="A31" s="184"/>
      <c r="B31" s="30" t="s">
        <v>20</v>
      </c>
      <c r="C31" s="31"/>
      <c r="D31" s="7">
        <f>D6*COMPOSICAO!D21</f>
        <v>467.745</v>
      </c>
    </row>
    <row r="32" spans="1:4" x14ac:dyDescent="0.2">
      <c r="A32" s="185"/>
      <c r="B32" s="88" t="s">
        <v>21</v>
      </c>
      <c r="C32" s="89"/>
      <c r="D32" s="39">
        <f>IF(D30-D31&gt;0,D30-D31,0)</f>
        <v>0</v>
      </c>
    </row>
    <row r="33" spans="1:4" x14ac:dyDescent="0.2">
      <c r="A33" s="183" t="s">
        <v>3</v>
      </c>
      <c r="B33" s="30" t="s">
        <v>120</v>
      </c>
      <c r="D33" s="7">
        <f>COMPOSICAO!D23*22</f>
        <v>814</v>
      </c>
    </row>
    <row r="34" spans="1:4" x14ac:dyDescent="0.2">
      <c r="A34" s="184"/>
      <c r="B34" s="30" t="s">
        <v>181</v>
      </c>
      <c r="C34" s="104" cm="1">
        <f t="array" ref="C34">_xlfn.IFS(D6&lt;2407,COMPOSICAO!D25,D6&lt;4073.39,COMPOSICAO!D26,D6&lt;5924.92,COMPOSICAO!D27,D6&lt;7406.17,COMPOSICAO!D28,D6&lt;9072.58,COMPOSICAO!D29,D6&gt;9072.59,COMPOSICAO!D30)</f>
        <v>0.1125</v>
      </c>
      <c r="D34" s="7">
        <f>D33*C34</f>
        <v>91.575000000000003</v>
      </c>
    </row>
    <row r="35" spans="1:4" x14ac:dyDescent="0.2">
      <c r="A35" s="185"/>
      <c r="B35" s="88" t="s">
        <v>182</v>
      </c>
      <c r="C35" s="90"/>
      <c r="D35" s="39">
        <f>D33-D34</f>
        <v>722.42499999999995</v>
      </c>
    </row>
    <row r="36" spans="1:4" x14ac:dyDescent="0.2">
      <c r="A36" s="4" t="s">
        <v>4</v>
      </c>
      <c r="B36" s="30" t="s">
        <v>167</v>
      </c>
      <c r="C36" s="31"/>
      <c r="D36" s="151">
        <f>COMPOSICAO!D31</f>
        <v>184.85</v>
      </c>
    </row>
    <row r="37" spans="1:4" x14ac:dyDescent="0.2">
      <c r="A37" s="9" t="s">
        <v>101</v>
      </c>
      <c r="B37" s="10"/>
      <c r="C37" s="11"/>
      <c r="D37" s="12">
        <f>SUM(D32,D35,D36)</f>
        <v>907.27499999999998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121</v>
      </c>
      <c r="C39" s="33"/>
      <c r="D39" s="17" t="s">
        <v>1</v>
      </c>
    </row>
    <row r="40" spans="1:4" x14ac:dyDescent="0.2">
      <c r="A40" s="4" t="s">
        <v>9</v>
      </c>
      <c r="B40" s="30" t="s">
        <v>122</v>
      </c>
      <c r="C40" s="34"/>
      <c r="D40" s="8">
        <f>D14</f>
        <v>1255.9819444444443</v>
      </c>
    </row>
    <row r="41" spans="1:4" x14ac:dyDescent="0.2">
      <c r="A41" s="4" t="s">
        <v>10</v>
      </c>
      <c r="B41" s="30" t="s">
        <v>123</v>
      </c>
      <c r="C41" s="34"/>
      <c r="D41" s="8">
        <f>D26</f>
        <v>1973.2775638888888</v>
      </c>
    </row>
    <row r="42" spans="1:4" x14ac:dyDescent="0.2">
      <c r="A42" s="4" t="s">
        <v>19</v>
      </c>
      <c r="B42" s="30" t="s">
        <v>124</v>
      </c>
      <c r="C42" s="34"/>
      <c r="D42" s="8">
        <f>D37</f>
        <v>907.27499999999998</v>
      </c>
    </row>
    <row r="43" spans="1:4" x14ac:dyDescent="0.2">
      <c r="A43" s="178" t="s">
        <v>102</v>
      </c>
      <c r="B43" s="189"/>
      <c r="C43" s="35"/>
      <c r="D43" s="12">
        <f>SUM(D40:D42)</f>
        <v>4136.5345083333332</v>
      </c>
    </row>
    <row r="44" spans="1:4" x14ac:dyDescent="0.2">
      <c r="A44" s="13"/>
      <c r="B44" s="14"/>
      <c r="C44" s="15"/>
      <c r="D44" s="16"/>
    </row>
    <row r="45" spans="1:4" x14ac:dyDescent="0.2">
      <c r="A45" s="172" t="s">
        <v>103</v>
      </c>
      <c r="B45" s="173"/>
      <c r="C45" s="173"/>
      <c r="D45" s="174"/>
    </row>
    <row r="46" spans="1:4" x14ac:dyDescent="0.2">
      <c r="A46" s="17">
        <v>3</v>
      </c>
      <c r="B46" s="2" t="s">
        <v>115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32.482291666666669</v>
      </c>
    </row>
    <row r="48" spans="1:4" x14ac:dyDescent="0.2">
      <c r="A48" s="4" t="s">
        <v>3</v>
      </c>
      <c r="B48" s="30" t="s">
        <v>125</v>
      </c>
      <c r="C48" s="37">
        <f>COMPOSICAO!D35</f>
        <v>3.3333333333333332E-4</v>
      </c>
      <c r="D48" s="22">
        <f>C48*$D$7</f>
        <v>2.5985833333333335</v>
      </c>
    </row>
    <row r="49" spans="1:4" x14ac:dyDescent="0.2">
      <c r="A49" s="19" t="s">
        <v>4</v>
      </c>
      <c r="B49" s="20" t="s">
        <v>126</v>
      </c>
      <c r="C49" s="37">
        <f>COMPOSICAO!D36</f>
        <v>3.4399999999999993E-2</v>
      </c>
      <c r="D49" s="22">
        <f t="shared" ref="D49:D52" si="1">C49*$D$7</f>
        <v>268.17379999999997</v>
      </c>
    </row>
    <row r="50" spans="1:4" x14ac:dyDescent="0.2">
      <c r="A50" s="4" t="s">
        <v>5</v>
      </c>
      <c r="B50" s="30" t="s">
        <v>127</v>
      </c>
      <c r="C50" s="37">
        <f>COMPOSICAO!D37</f>
        <v>1.2444444444444444E-2</v>
      </c>
      <c r="D50" s="22">
        <f t="shared" si="1"/>
        <v>97.013777777777776</v>
      </c>
    </row>
    <row r="51" spans="1:4" x14ac:dyDescent="0.2">
      <c r="A51" s="4" t="s">
        <v>6</v>
      </c>
      <c r="B51" s="30" t="s">
        <v>128</v>
      </c>
      <c r="C51" s="37">
        <f>COMPOSICAO!D38</f>
        <v>4.5631999999999999E-3</v>
      </c>
      <c r="D51" s="22">
        <f t="shared" si="1"/>
        <v>35.573566399999997</v>
      </c>
    </row>
    <row r="52" spans="1:4" x14ac:dyDescent="0.2">
      <c r="A52" s="4" t="s">
        <v>7</v>
      </c>
      <c r="B52" s="30" t="s">
        <v>129</v>
      </c>
      <c r="C52" s="37">
        <f>COMPOSICAO!D39</f>
        <v>3.9680000000000005E-4</v>
      </c>
      <c r="D52" s="22">
        <f t="shared" si="1"/>
        <v>3.0933536000000004</v>
      </c>
    </row>
    <row r="53" spans="1:4" x14ac:dyDescent="0.2">
      <c r="A53" s="190" t="s">
        <v>104</v>
      </c>
      <c r="B53" s="191"/>
      <c r="C53" s="38">
        <f>SUM(C47:C52)</f>
        <v>5.6304444444444435E-2</v>
      </c>
      <c r="D53" s="39">
        <f>SUM(D47:D52)</f>
        <v>438.93537277777773</v>
      </c>
    </row>
    <row r="54" spans="1:4" x14ac:dyDescent="0.2">
      <c r="A54" s="13"/>
      <c r="B54" s="14"/>
      <c r="C54" s="40"/>
      <c r="D54" s="16"/>
    </row>
    <row r="55" spans="1:4" x14ac:dyDescent="0.2">
      <c r="A55" s="172" t="s">
        <v>105</v>
      </c>
      <c r="B55" s="173"/>
      <c r="C55" s="173"/>
      <c r="D55" s="174"/>
    </row>
    <row r="56" spans="1:4" x14ac:dyDescent="0.2">
      <c r="A56" s="17">
        <v>4</v>
      </c>
      <c r="B56" s="2" t="s">
        <v>115</v>
      </c>
      <c r="C56" s="36" t="s">
        <v>0</v>
      </c>
      <c r="D56" s="17" t="s">
        <v>1</v>
      </c>
    </row>
    <row r="57" spans="1:4" x14ac:dyDescent="0.2">
      <c r="A57" s="190" t="s">
        <v>106</v>
      </c>
      <c r="B57" s="191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2" t="s">
        <v>107</v>
      </c>
      <c r="B59" s="173"/>
      <c r="C59" s="173"/>
      <c r="D59" s="174"/>
    </row>
    <row r="60" spans="1:4" x14ac:dyDescent="0.2">
      <c r="A60" s="17">
        <v>5</v>
      </c>
      <c r="B60" s="43" t="s">
        <v>115</v>
      </c>
      <c r="C60" s="44"/>
      <c r="D60" s="45" t="s">
        <v>1</v>
      </c>
    </row>
    <row r="61" spans="1:4" x14ac:dyDescent="0.2">
      <c r="A61" s="9" t="s">
        <v>108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2" t="s">
        <v>109</v>
      </c>
      <c r="B63" s="173"/>
      <c r="C63" s="173"/>
      <c r="D63" s="174"/>
    </row>
    <row r="64" spans="1:4" x14ac:dyDescent="0.2">
      <c r="A64" s="17">
        <v>6</v>
      </c>
      <c r="B64" s="2" t="s">
        <v>115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130</v>
      </c>
      <c r="C65" s="53">
        <f>COMPOSICAO!D44</f>
        <v>0.05</v>
      </c>
      <c r="D65" s="12">
        <f>C65*$D$81</f>
        <v>618.56099405555562</v>
      </c>
    </row>
    <row r="66" spans="1:4" x14ac:dyDescent="0.2">
      <c r="A66" s="51" t="s">
        <v>3</v>
      </c>
      <c r="B66" s="52" t="s">
        <v>131</v>
      </c>
      <c r="C66" s="53">
        <f>COMPOSICAO!D45</f>
        <v>0.1</v>
      </c>
      <c r="D66" s="12">
        <f>C66*($D$81+$D$65)</f>
        <v>1298.9780875166668</v>
      </c>
    </row>
    <row r="67" spans="1:4" x14ac:dyDescent="0.2">
      <c r="A67" s="51" t="s">
        <v>4</v>
      </c>
      <c r="B67" s="52" t="s">
        <v>132</v>
      </c>
      <c r="C67" s="53">
        <f>COMPOSICAO!D46</f>
        <v>9.2499999999999999E-2</v>
      </c>
      <c r="D67" s="12">
        <f>((D65+D66+D81)/(1-C67))-(D65+D66+D81)</f>
        <v>1456.4299769126264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102.34372810737374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472.35566818787879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314.90377879191919</v>
      </c>
    </row>
    <row r="71" spans="1:4" x14ac:dyDescent="0.2">
      <c r="A71" s="4" t="s">
        <v>29</v>
      </c>
      <c r="B71" s="106" t="s">
        <v>183</v>
      </c>
      <c r="C71" s="37">
        <f>COMPOSICAO!D50</f>
        <v>3.5999999999999997E-2</v>
      </c>
      <c r="D71" s="12">
        <f t="shared" si="2"/>
        <v>566.8268018254546</v>
      </c>
    </row>
    <row r="72" spans="1:4" x14ac:dyDescent="0.2">
      <c r="A72" s="178" t="s">
        <v>110</v>
      </c>
      <c r="B72" s="179"/>
      <c r="C72" s="55">
        <f>SUM(C65:C67)</f>
        <v>0.24250000000000002</v>
      </c>
      <c r="D72" s="12">
        <f>SUM(D65:D67)</f>
        <v>3373.969058484849</v>
      </c>
    </row>
    <row r="73" spans="1:4" x14ac:dyDescent="0.2">
      <c r="A73" s="13"/>
      <c r="B73" s="14"/>
      <c r="C73" s="15"/>
      <c r="D73" s="16"/>
    </row>
    <row r="74" spans="1:4" x14ac:dyDescent="0.2">
      <c r="A74" s="186" t="s">
        <v>111</v>
      </c>
      <c r="B74" s="187"/>
      <c r="C74" s="187"/>
      <c r="D74" s="188"/>
    </row>
    <row r="75" spans="1:4" x14ac:dyDescent="0.2">
      <c r="A75" s="26" t="s">
        <v>112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133</v>
      </c>
      <c r="C76" s="58"/>
      <c r="D76" s="8">
        <f>D7</f>
        <v>7795.75</v>
      </c>
    </row>
    <row r="77" spans="1:4" x14ac:dyDescent="0.2">
      <c r="A77" s="4">
        <v>2</v>
      </c>
      <c r="B77" s="46" t="s">
        <v>134</v>
      </c>
      <c r="C77" s="58"/>
      <c r="D77" s="8">
        <f>D43</f>
        <v>4136.5345083333332</v>
      </c>
    </row>
    <row r="78" spans="1:4" x14ac:dyDescent="0.2">
      <c r="A78" s="4">
        <v>3</v>
      </c>
      <c r="B78" s="46" t="s">
        <v>135</v>
      </c>
      <c r="C78" s="58"/>
      <c r="D78" s="8">
        <f>D53</f>
        <v>438.93537277777773</v>
      </c>
    </row>
    <row r="79" spans="1:4" x14ac:dyDescent="0.2">
      <c r="A79" s="4">
        <v>4</v>
      </c>
      <c r="B79" s="46" t="s">
        <v>136</v>
      </c>
      <c r="C79" s="58"/>
      <c r="D79" s="8">
        <v>0</v>
      </c>
    </row>
    <row r="80" spans="1:4" x14ac:dyDescent="0.2">
      <c r="A80" s="4">
        <v>5</v>
      </c>
      <c r="B80" s="46" t="s">
        <v>137</v>
      </c>
      <c r="C80" s="58"/>
      <c r="D80" s="8">
        <v>0</v>
      </c>
    </row>
    <row r="81" spans="1:4" x14ac:dyDescent="0.2">
      <c r="A81" s="59" t="s">
        <v>113</v>
      </c>
      <c r="B81" s="10"/>
      <c r="C81" s="11"/>
      <c r="D81" s="12">
        <f>SUM(D76:D80)</f>
        <v>12371.219881111112</v>
      </c>
    </row>
    <row r="82" spans="1:4" x14ac:dyDescent="0.2">
      <c r="A82" s="4">
        <v>6</v>
      </c>
      <c r="B82" s="46" t="s">
        <v>138</v>
      </c>
      <c r="C82" s="58"/>
      <c r="D82" s="8">
        <f>D72</f>
        <v>3373.969058484849</v>
      </c>
    </row>
    <row r="83" spans="1:4" x14ac:dyDescent="0.2">
      <c r="A83" s="178" t="s">
        <v>114</v>
      </c>
      <c r="B83" s="189"/>
      <c r="C83" s="179"/>
      <c r="D83" s="60">
        <f>SUM(D81:D82)</f>
        <v>15745.188939595961</v>
      </c>
    </row>
    <row r="84" spans="1:4" x14ac:dyDescent="0.2">
      <c r="C84" s="108" t="s">
        <v>187</v>
      </c>
      <c r="D84" s="109">
        <f>ROUNDUP(D83/D76,2)</f>
        <v>2.0199999999999996</v>
      </c>
    </row>
    <row r="85" spans="1:4" x14ac:dyDescent="0.2"/>
    <row r="86" spans="1:4" hidden="1" x14ac:dyDescent="0.2">
      <c r="D86" s="111"/>
    </row>
  </sheetData>
  <mergeCells count="22"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</mergeCells>
  <conditionalFormatting sqref="B69">
    <cfRule type="expression" dxfId="1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AF152F-DB31-414E-90F3-FE8E0F1514DE}">
  <sheetPr codeName="Planilha49"/>
  <dimension ref="A1:D86"/>
  <sheetViews>
    <sheetView zoomScaleNormal="100" workbookViewId="0">
      <selection activeCell="F24" sqref="F24:F31"/>
    </sheetView>
  </sheetViews>
  <sheetFormatPr defaultColWidth="0" defaultRowHeight="12" zeroHeight="1" x14ac:dyDescent="0.2"/>
  <cols>
    <col min="1" max="1" width="5.85546875" style="107" customWidth="1"/>
    <col min="2" max="2" width="83.28515625" style="107" customWidth="1"/>
    <col min="3" max="3" width="12.42578125" style="107" customWidth="1"/>
    <col min="4" max="4" width="15.42578125" style="107" customWidth="1"/>
    <col min="5" max="5" width="9.140625" style="107" hidden="1" customWidth="1"/>
    <col min="6" max="16384" width="9.140625" style="107" hidden="1"/>
  </cols>
  <sheetData>
    <row r="1" spans="1:4" ht="12.75" thickBot="1" x14ac:dyDescent="0.25">
      <c r="A1" s="180" t="str">
        <f>PERFIS!C35</f>
        <v>Analista de Métricas - Sênior</v>
      </c>
      <c r="B1" s="181"/>
      <c r="C1" s="181"/>
      <c r="D1" s="182"/>
    </row>
    <row r="2" spans="1:4" x14ac:dyDescent="0.2">
      <c r="A2" s="110"/>
      <c r="B2" s="110"/>
      <c r="C2" s="110"/>
      <c r="D2" s="110"/>
    </row>
    <row r="3" spans="1:4" x14ac:dyDescent="0.2">
      <c r="A3" s="169" t="s">
        <v>93</v>
      </c>
      <c r="B3" s="170"/>
      <c r="C3" s="170"/>
      <c r="D3" s="171"/>
    </row>
    <row r="4" spans="1:4" x14ac:dyDescent="0.2">
      <c r="A4" s="172" t="s">
        <v>94</v>
      </c>
      <c r="B4" s="173"/>
      <c r="C4" s="173"/>
      <c r="D4" s="174"/>
    </row>
    <row r="5" spans="1:4" x14ac:dyDescent="0.2">
      <c r="A5" s="1">
        <v>1</v>
      </c>
      <c r="B5" s="2" t="s">
        <v>115</v>
      </c>
      <c r="C5" s="3"/>
      <c r="D5" s="1" t="s">
        <v>1</v>
      </c>
    </row>
    <row r="6" spans="1:4" x14ac:dyDescent="0.2">
      <c r="A6" s="4" t="s">
        <v>2</v>
      </c>
      <c r="B6" s="5" t="s">
        <v>116</v>
      </c>
      <c r="C6" s="6">
        <v>1</v>
      </c>
      <c r="D6" s="7">
        <f>_xlfn.XLOOKUP(A1,PERFIS!C3:C35,PERFIS!D3:D35)</f>
        <v>11081.16</v>
      </c>
    </row>
    <row r="7" spans="1:4" x14ac:dyDescent="0.2">
      <c r="A7" s="9" t="s">
        <v>95</v>
      </c>
      <c r="B7" s="10"/>
      <c r="C7" s="11"/>
      <c r="D7" s="12">
        <f>SUM(D6)</f>
        <v>11081.16</v>
      </c>
    </row>
    <row r="8" spans="1:4" x14ac:dyDescent="0.2">
      <c r="A8" s="13"/>
      <c r="B8" s="14"/>
      <c r="C8" s="15"/>
      <c r="D8" s="16"/>
    </row>
    <row r="9" spans="1:4" x14ac:dyDescent="0.2">
      <c r="A9" s="172" t="s">
        <v>96</v>
      </c>
      <c r="B9" s="173"/>
      <c r="C9" s="173"/>
      <c r="D9" s="174"/>
    </row>
    <row r="10" spans="1:4" x14ac:dyDescent="0.2">
      <c r="A10" s="175" t="s">
        <v>190</v>
      </c>
      <c r="B10" s="176"/>
      <c r="C10" s="176"/>
      <c r="D10" s="177"/>
    </row>
    <row r="11" spans="1:4" x14ac:dyDescent="0.2">
      <c r="A11" s="17" t="s">
        <v>9</v>
      </c>
      <c r="B11" s="2" t="s">
        <v>115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117</v>
      </c>
      <c r="C12" s="21">
        <f>COMPOSICAO!D3</f>
        <v>8.3333333333333329E-2</v>
      </c>
      <c r="D12" s="22">
        <f>C12*$D$7</f>
        <v>923.43</v>
      </c>
    </row>
    <row r="13" spans="1:4" x14ac:dyDescent="0.2">
      <c r="A13" s="19" t="s">
        <v>3</v>
      </c>
      <c r="B13" s="20" t="s">
        <v>185</v>
      </c>
      <c r="C13" s="21">
        <f>COMPOSICAO!D4</f>
        <v>7.7777777777777779E-2</v>
      </c>
      <c r="D13" s="22">
        <f>C13*$D$7</f>
        <v>861.86800000000005</v>
      </c>
    </row>
    <row r="14" spans="1:4" x14ac:dyDescent="0.2">
      <c r="A14" s="178" t="s">
        <v>191</v>
      </c>
      <c r="B14" s="179"/>
      <c r="C14" s="23">
        <f>SUM(C12:C13)</f>
        <v>0.16111111111111109</v>
      </c>
      <c r="D14" s="12">
        <f>SUM(D12:D13)</f>
        <v>1785.298</v>
      </c>
    </row>
    <row r="15" spans="1:4" x14ac:dyDescent="0.2">
      <c r="A15" s="13"/>
      <c r="B15" s="14"/>
      <c r="C15" s="24"/>
      <c r="D15" s="16"/>
    </row>
    <row r="16" spans="1:4" x14ac:dyDescent="0.2">
      <c r="A16" s="194" t="s">
        <v>98</v>
      </c>
      <c r="B16" s="195"/>
      <c r="C16" s="195"/>
      <c r="D16" s="196"/>
    </row>
    <row r="17" spans="1:4" x14ac:dyDescent="0.2">
      <c r="A17" s="17" t="s">
        <v>10</v>
      </c>
      <c r="B17" s="2" t="s">
        <v>115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118</v>
      </c>
      <c r="C18" s="21">
        <v>0.05</v>
      </c>
      <c r="D18" s="22">
        <f>C18*($D$7+$D$14)</f>
        <v>643.32290000000012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321.66145000000006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385.99374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192.99687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128.66458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77.198748000000009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25.732916000000003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1029.31664</v>
      </c>
    </row>
    <row r="26" spans="1:4" x14ac:dyDescent="0.2">
      <c r="A26" s="192" t="s">
        <v>99</v>
      </c>
      <c r="B26" s="193"/>
      <c r="C26" s="27">
        <f>SUM(C18:C25)</f>
        <v>0.21800000000000003</v>
      </c>
      <c r="D26" s="28">
        <f>SUM(D18:D25)</f>
        <v>2804.8878439999999</v>
      </c>
    </row>
    <row r="27" spans="1:4" x14ac:dyDescent="0.2">
      <c r="A27" s="13"/>
      <c r="B27" s="14"/>
      <c r="C27" s="29"/>
      <c r="D27" s="16"/>
    </row>
    <row r="28" spans="1:4" x14ac:dyDescent="0.2">
      <c r="A28" s="194" t="s">
        <v>100</v>
      </c>
      <c r="B28" s="195"/>
      <c r="C28" s="195"/>
      <c r="D28" s="196"/>
    </row>
    <row r="29" spans="1:4" x14ac:dyDescent="0.2">
      <c r="A29" s="17" t="s">
        <v>19</v>
      </c>
      <c r="B29" s="194" t="s">
        <v>115</v>
      </c>
      <c r="C29" s="196"/>
      <c r="D29" s="17" t="s">
        <v>1</v>
      </c>
    </row>
    <row r="30" spans="1:4" x14ac:dyDescent="0.2">
      <c r="A30" s="183" t="s">
        <v>2</v>
      </c>
      <c r="B30" s="30" t="s">
        <v>119</v>
      </c>
      <c r="C30" s="31"/>
      <c r="D30" s="7">
        <f>COMPOSICAO!D20*2*22</f>
        <v>242</v>
      </c>
    </row>
    <row r="31" spans="1:4" x14ac:dyDescent="0.2">
      <c r="A31" s="184"/>
      <c r="B31" s="30" t="s">
        <v>20</v>
      </c>
      <c r="C31" s="31"/>
      <c r="D31" s="7">
        <f>D6*COMPOSICAO!D21</f>
        <v>664.86959999999999</v>
      </c>
    </row>
    <row r="32" spans="1:4" x14ac:dyDescent="0.2">
      <c r="A32" s="185"/>
      <c r="B32" s="88" t="s">
        <v>21</v>
      </c>
      <c r="C32" s="89"/>
      <c r="D32" s="39">
        <f>IF(D30-D31&gt;0,D30-D31,0)</f>
        <v>0</v>
      </c>
    </row>
    <row r="33" spans="1:4" x14ac:dyDescent="0.2">
      <c r="A33" s="183" t="s">
        <v>3</v>
      </c>
      <c r="B33" s="30" t="s">
        <v>120</v>
      </c>
      <c r="D33" s="7">
        <f>COMPOSICAO!D23*22</f>
        <v>814</v>
      </c>
    </row>
    <row r="34" spans="1:4" x14ac:dyDescent="0.2">
      <c r="A34" s="184"/>
      <c r="B34" s="30" t="s">
        <v>181</v>
      </c>
      <c r="C34" s="104" cm="1">
        <f t="array" ref="C34">_xlfn.IFS(D6&lt;2407,COMPOSICAO!D25,D6&lt;4073.39,COMPOSICAO!D26,D6&lt;5924.92,COMPOSICAO!D27,D6&lt;7406.17,COMPOSICAO!D28,D6&lt;9072.58,COMPOSICAO!D29,D6&gt;9072.59,COMPOSICAO!D30)</f>
        <v>0.15</v>
      </c>
      <c r="D34" s="7">
        <f>D33*C34</f>
        <v>122.1</v>
      </c>
    </row>
    <row r="35" spans="1:4" x14ac:dyDescent="0.2">
      <c r="A35" s="185"/>
      <c r="B35" s="88" t="s">
        <v>182</v>
      </c>
      <c r="C35" s="90"/>
      <c r="D35" s="39">
        <f>D33-D34</f>
        <v>691.9</v>
      </c>
    </row>
    <row r="36" spans="1:4" x14ac:dyDescent="0.2">
      <c r="A36" s="4" t="s">
        <v>4</v>
      </c>
      <c r="B36" s="30" t="s">
        <v>167</v>
      </c>
      <c r="C36" s="31"/>
      <c r="D36" s="151">
        <f>COMPOSICAO!D31</f>
        <v>184.85</v>
      </c>
    </row>
    <row r="37" spans="1:4" x14ac:dyDescent="0.2">
      <c r="A37" s="9" t="s">
        <v>101</v>
      </c>
      <c r="B37" s="10"/>
      <c r="C37" s="11"/>
      <c r="D37" s="12">
        <f>SUM(D32,D35,D36)</f>
        <v>876.75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121</v>
      </c>
      <c r="C39" s="33"/>
      <c r="D39" s="17" t="s">
        <v>1</v>
      </c>
    </row>
    <row r="40" spans="1:4" x14ac:dyDescent="0.2">
      <c r="A40" s="4" t="s">
        <v>9</v>
      </c>
      <c r="B40" s="30" t="s">
        <v>122</v>
      </c>
      <c r="C40" s="34"/>
      <c r="D40" s="8">
        <f>D14</f>
        <v>1785.298</v>
      </c>
    </row>
    <row r="41" spans="1:4" x14ac:dyDescent="0.2">
      <c r="A41" s="4" t="s">
        <v>10</v>
      </c>
      <c r="B41" s="30" t="s">
        <v>123</v>
      </c>
      <c r="C41" s="34"/>
      <c r="D41" s="8">
        <f>D26</f>
        <v>2804.8878439999999</v>
      </c>
    </row>
    <row r="42" spans="1:4" x14ac:dyDescent="0.2">
      <c r="A42" s="4" t="s">
        <v>19</v>
      </c>
      <c r="B42" s="30" t="s">
        <v>124</v>
      </c>
      <c r="C42" s="34"/>
      <c r="D42" s="8">
        <f>D37</f>
        <v>876.75</v>
      </c>
    </row>
    <row r="43" spans="1:4" x14ac:dyDescent="0.2">
      <c r="A43" s="178" t="s">
        <v>102</v>
      </c>
      <c r="B43" s="189"/>
      <c r="C43" s="35"/>
      <c r="D43" s="12">
        <f>SUM(D40:D42)</f>
        <v>5466.9358439999996</v>
      </c>
    </row>
    <row r="44" spans="1:4" x14ac:dyDescent="0.2">
      <c r="A44" s="13"/>
      <c r="B44" s="14"/>
      <c r="C44" s="15"/>
      <c r="D44" s="16"/>
    </row>
    <row r="45" spans="1:4" x14ac:dyDescent="0.2">
      <c r="A45" s="172" t="s">
        <v>103</v>
      </c>
      <c r="B45" s="173"/>
      <c r="C45" s="173"/>
      <c r="D45" s="174"/>
    </row>
    <row r="46" spans="1:4" x14ac:dyDescent="0.2">
      <c r="A46" s="17">
        <v>3</v>
      </c>
      <c r="B46" s="2" t="s">
        <v>115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46.171500000000002</v>
      </c>
    </row>
    <row r="48" spans="1:4" x14ac:dyDescent="0.2">
      <c r="A48" s="4" t="s">
        <v>3</v>
      </c>
      <c r="B48" s="30" t="s">
        <v>125</v>
      </c>
      <c r="C48" s="37">
        <f>COMPOSICAO!D35</f>
        <v>3.3333333333333332E-4</v>
      </c>
      <c r="D48" s="22">
        <f>C48*$D$7</f>
        <v>3.6937199999999999</v>
      </c>
    </row>
    <row r="49" spans="1:4" x14ac:dyDescent="0.2">
      <c r="A49" s="19" t="s">
        <v>4</v>
      </c>
      <c r="B49" s="20" t="s">
        <v>126</v>
      </c>
      <c r="C49" s="37">
        <f>COMPOSICAO!D36</f>
        <v>3.4399999999999993E-2</v>
      </c>
      <c r="D49" s="22">
        <f t="shared" ref="D49:D52" si="1">C49*$D$7</f>
        <v>381.19190399999991</v>
      </c>
    </row>
    <row r="50" spans="1:4" x14ac:dyDescent="0.2">
      <c r="A50" s="4" t="s">
        <v>5</v>
      </c>
      <c r="B50" s="30" t="s">
        <v>127</v>
      </c>
      <c r="C50" s="37">
        <f>COMPOSICAO!D37</f>
        <v>1.2444444444444444E-2</v>
      </c>
      <c r="D50" s="22">
        <f t="shared" si="1"/>
        <v>137.89887999999999</v>
      </c>
    </row>
    <row r="51" spans="1:4" x14ac:dyDescent="0.2">
      <c r="A51" s="4" t="s">
        <v>6</v>
      </c>
      <c r="B51" s="30" t="s">
        <v>128</v>
      </c>
      <c r="C51" s="37">
        <f>COMPOSICAO!D38</f>
        <v>4.5631999999999999E-3</v>
      </c>
      <c r="D51" s="22">
        <f t="shared" si="1"/>
        <v>50.565549312000002</v>
      </c>
    </row>
    <row r="52" spans="1:4" x14ac:dyDescent="0.2">
      <c r="A52" s="4" t="s">
        <v>7</v>
      </c>
      <c r="B52" s="30" t="s">
        <v>129</v>
      </c>
      <c r="C52" s="37">
        <f>COMPOSICAO!D39</f>
        <v>3.9680000000000005E-4</v>
      </c>
      <c r="D52" s="22">
        <f t="shared" si="1"/>
        <v>4.3970042880000006</v>
      </c>
    </row>
    <row r="53" spans="1:4" x14ac:dyDescent="0.2">
      <c r="A53" s="190" t="s">
        <v>104</v>
      </c>
      <c r="B53" s="191"/>
      <c r="C53" s="38">
        <f>SUM(C47:C52)</f>
        <v>5.6304444444444435E-2</v>
      </c>
      <c r="D53" s="39">
        <f>SUM(D47:D52)</f>
        <v>623.91855759999987</v>
      </c>
    </row>
    <row r="54" spans="1:4" x14ac:dyDescent="0.2">
      <c r="A54" s="13"/>
      <c r="B54" s="14"/>
      <c r="C54" s="40"/>
      <c r="D54" s="16"/>
    </row>
    <row r="55" spans="1:4" x14ac:dyDescent="0.2">
      <c r="A55" s="172" t="s">
        <v>105</v>
      </c>
      <c r="B55" s="173"/>
      <c r="C55" s="173"/>
      <c r="D55" s="174"/>
    </row>
    <row r="56" spans="1:4" x14ac:dyDescent="0.2">
      <c r="A56" s="17">
        <v>4</v>
      </c>
      <c r="B56" s="2" t="s">
        <v>115</v>
      </c>
      <c r="C56" s="36" t="s">
        <v>0</v>
      </c>
      <c r="D56" s="17" t="s">
        <v>1</v>
      </c>
    </row>
    <row r="57" spans="1:4" x14ac:dyDescent="0.2">
      <c r="A57" s="190" t="s">
        <v>106</v>
      </c>
      <c r="B57" s="191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2" t="s">
        <v>107</v>
      </c>
      <c r="B59" s="173"/>
      <c r="C59" s="173"/>
      <c r="D59" s="174"/>
    </row>
    <row r="60" spans="1:4" x14ac:dyDescent="0.2">
      <c r="A60" s="17">
        <v>5</v>
      </c>
      <c r="B60" s="43" t="s">
        <v>115</v>
      </c>
      <c r="C60" s="44"/>
      <c r="D60" s="45" t="s">
        <v>1</v>
      </c>
    </row>
    <row r="61" spans="1:4" x14ac:dyDescent="0.2">
      <c r="A61" s="9" t="s">
        <v>108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2" t="s">
        <v>109</v>
      </c>
      <c r="B63" s="173"/>
      <c r="C63" s="173"/>
      <c r="D63" s="174"/>
    </row>
    <row r="64" spans="1:4" x14ac:dyDescent="0.2">
      <c r="A64" s="17">
        <v>6</v>
      </c>
      <c r="B64" s="2" t="s">
        <v>115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130</v>
      </c>
      <c r="C65" s="53">
        <f>COMPOSICAO!D44</f>
        <v>0.05</v>
      </c>
      <c r="D65" s="12">
        <f>C65*$D$81</f>
        <v>858.60072007999997</v>
      </c>
    </row>
    <row r="66" spans="1:4" x14ac:dyDescent="0.2">
      <c r="A66" s="51" t="s">
        <v>3</v>
      </c>
      <c r="B66" s="52" t="s">
        <v>131</v>
      </c>
      <c r="C66" s="53">
        <f>COMPOSICAO!D45</f>
        <v>0.1</v>
      </c>
      <c r="D66" s="12">
        <f>C66*($D$81+$D$65)</f>
        <v>1803.061512168</v>
      </c>
    </row>
    <row r="67" spans="1:4" x14ac:dyDescent="0.2">
      <c r="A67" s="51" t="s">
        <v>4</v>
      </c>
      <c r="B67" s="52" t="s">
        <v>132</v>
      </c>
      <c r="C67" s="53">
        <f>COMPOSICAO!D46</f>
        <v>9.2499999999999999E-2</v>
      </c>
      <c r="D67" s="12">
        <f>((D65+D66+D81)/(1-C67))-(D65+D66+D81)</f>
        <v>2021.6144227338191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142.05939186778181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655.65873169745453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437.10582113163633</v>
      </c>
    </row>
    <row r="71" spans="1:4" x14ac:dyDescent="0.2">
      <c r="A71" s="4" t="s">
        <v>29</v>
      </c>
      <c r="B71" s="106" t="s">
        <v>183</v>
      </c>
      <c r="C71" s="37">
        <f>COMPOSICAO!D50</f>
        <v>3.5999999999999997E-2</v>
      </c>
      <c r="D71" s="12">
        <f t="shared" si="2"/>
        <v>786.79047803694539</v>
      </c>
    </row>
    <row r="72" spans="1:4" x14ac:dyDescent="0.2">
      <c r="A72" s="178" t="s">
        <v>110</v>
      </c>
      <c r="B72" s="179"/>
      <c r="C72" s="55">
        <f>SUM(C65:C67)</f>
        <v>0.24250000000000002</v>
      </c>
      <c r="D72" s="12">
        <f>SUM(D65:D67)</f>
        <v>4683.2766549818189</v>
      </c>
    </row>
    <row r="73" spans="1:4" x14ac:dyDescent="0.2">
      <c r="A73" s="13"/>
      <c r="B73" s="14"/>
      <c r="C73" s="15"/>
      <c r="D73" s="16"/>
    </row>
    <row r="74" spans="1:4" x14ac:dyDescent="0.2">
      <c r="A74" s="186" t="s">
        <v>111</v>
      </c>
      <c r="B74" s="187"/>
      <c r="C74" s="187"/>
      <c r="D74" s="188"/>
    </row>
    <row r="75" spans="1:4" x14ac:dyDescent="0.2">
      <c r="A75" s="26" t="s">
        <v>112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133</v>
      </c>
      <c r="C76" s="58"/>
      <c r="D76" s="8">
        <f>D7</f>
        <v>11081.16</v>
      </c>
    </row>
    <row r="77" spans="1:4" x14ac:dyDescent="0.2">
      <c r="A77" s="4">
        <v>2</v>
      </c>
      <c r="B77" s="46" t="s">
        <v>134</v>
      </c>
      <c r="C77" s="58"/>
      <c r="D77" s="8">
        <f>D43</f>
        <v>5466.9358439999996</v>
      </c>
    </row>
    <row r="78" spans="1:4" x14ac:dyDescent="0.2">
      <c r="A78" s="4">
        <v>3</v>
      </c>
      <c r="B78" s="46" t="s">
        <v>135</v>
      </c>
      <c r="C78" s="58"/>
      <c r="D78" s="8">
        <f>D53</f>
        <v>623.91855759999987</v>
      </c>
    </row>
    <row r="79" spans="1:4" x14ac:dyDescent="0.2">
      <c r="A79" s="4">
        <v>4</v>
      </c>
      <c r="B79" s="46" t="s">
        <v>136</v>
      </c>
      <c r="C79" s="58"/>
      <c r="D79" s="8">
        <v>0</v>
      </c>
    </row>
    <row r="80" spans="1:4" x14ac:dyDescent="0.2">
      <c r="A80" s="4">
        <v>5</v>
      </c>
      <c r="B80" s="46" t="s">
        <v>137</v>
      </c>
      <c r="C80" s="58"/>
      <c r="D80" s="8">
        <v>0</v>
      </c>
    </row>
    <row r="81" spans="1:4" x14ac:dyDescent="0.2">
      <c r="A81" s="59" t="s">
        <v>113</v>
      </c>
      <c r="B81" s="10"/>
      <c r="C81" s="11"/>
      <c r="D81" s="12">
        <f>SUM(D76:D80)</f>
        <v>17172.014401599998</v>
      </c>
    </row>
    <row r="82" spans="1:4" x14ac:dyDescent="0.2">
      <c r="A82" s="4">
        <v>6</v>
      </c>
      <c r="B82" s="46" t="s">
        <v>138</v>
      </c>
      <c r="C82" s="58"/>
      <c r="D82" s="8">
        <f>D72</f>
        <v>4683.2766549818189</v>
      </c>
    </row>
    <row r="83" spans="1:4" x14ac:dyDescent="0.2">
      <c r="A83" s="178" t="s">
        <v>114</v>
      </c>
      <c r="B83" s="189"/>
      <c r="C83" s="179"/>
      <c r="D83" s="60">
        <f>SUM(D81:D82)</f>
        <v>21855.291056581817</v>
      </c>
    </row>
    <row r="84" spans="1:4" x14ac:dyDescent="0.2">
      <c r="C84" s="108" t="s">
        <v>187</v>
      </c>
      <c r="D84" s="109">
        <f>ROUNDUP(D83/D76,2)</f>
        <v>1.98</v>
      </c>
    </row>
    <row r="85" spans="1:4" x14ac:dyDescent="0.2"/>
    <row r="86" spans="1:4" hidden="1" x14ac:dyDescent="0.2">
      <c r="D86" s="111"/>
    </row>
  </sheetData>
  <mergeCells count="22"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</mergeCells>
  <conditionalFormatting sqref="B69">
    <cfRule type="expression" dxfId="0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ACF5E-1426-449F-BB80-B37447D356BF}">
  <sheetPr codeName="Planilha4"/>
  <dimension ref="A1:D86"/>
  <sheetViews>
    <sheetView zoomScaleNormal="100" workbookViewId="0">
      <selection activeCell="F24" sqref="F24:F31"/>
    </sheetView>
  </sheetViews>
  <sheetFormatPr defaultColWidth="0" defaultRowHeight="12" zeroHeight="1" x14ac:dyDescent="0.2"/>
  <cols>
    <col min="1" max="1" width="5.85546875" style="107" customWidth="1"/>
    <col min="2" max="2" width="83.28515625" style="107" customWidth="1"/>
    <col min="3" max="3" width="12.42578125" style="107" customWidth="1"/>
    <col min="4" max="4" width="15.42578125" style="107" customWidth="1"/>
    <col min="5" max="5" width="9.140625" style="107" hidden="1" customWidth="1"/>
    <col min="6" max="16384" width="9.140625" style="107" hidden="1"/>
  </cols>
  <sheetData>
    <row r="1" spans="1:4" ht="12.75" thickBot="1" x14ac:dyDescent="0.25">
      <c r="A1" s="180" t="str">
        <f>PERFIS!C4</f>
        <v>Arquiteto de Software - Sênior</v>
      </c>
      <c r="B1" s="181"/>
      <c r="C1" s="181"/>
      <c r="D1" s="182"/>
    </row>
    <row r="2" spans="1:4" x14ac:dyDescent="0.2">
      <c r="A2" s="110"/>
      <c r="B2" s="110"/>
      <c r="C2" s="110"/>
      <c r="D2" s="110"/>
    </row>
    <row r="3" spans="1:4" x14ac:dyDescent="0.2">
      <c r="A3" s="169" t="s">
        <v>93</v>
      </c>
      <c r="B3" s="170"/>
      <c r="C3" s="170"/>
      <c r="D3" s="171"/>
    </row>
    <row r="4" spans="1:4" x14ac:dyDescent="0.2">
      <c r="A4" s="172" t="s">
        <v>94</v>
      </c>
      <c r="B4" s="173"/>
      <c r="C4" s="173"/>
      <c r="D4" s="174"/>
    </row>
    <row r="5" spans="1:4" x14ac:dyDescent="0.2">
      <c r="A5" s="1">
        <v>1</v>
      </c>
      <c r="B5" s="2" t="s">
        <v>115</v>
      </c>
      <c r="C5" s="3"/>
      <c r="D5" s="1" t="s">
        <v>1</v>
      </c>
    </row>
    <row r="6" spans="1:4" x14ac:dyDescent="0.2">
      <c r="A6" s="4" t="s">
        <v>2</v>
      </c>
      <c r="B6" s="5" t="s">
        <v>116</v>
      </c>
      <c r="C6" s="6">
        <v>1</v>
      </c>
      <c r="D6" s="7">
        <f>_xlfn.XLOOKUP(A1,PERFIS!C3:C35,PERFIS!D3:D35)</f>
        <v>18542.264999999999</v>
      </c>
    </row>
    <row r="7" spans="1:4" x14ac:dyDescent="0.2">
      <c r="A7" s="9" t="s">
        <v>95</v>
      </c>
      <c r="B7" s="10"/>
      <c r="C7" s="11"/>
      <c r="D7" s="12">
        <f>SUM(D6)</f>
        <v>18542.264999999999</v>
      </c>
    </row>
    <row r="8" spans="1:4" x14ac:dyDescent="0.2">
      <c r="A8" s="13"/>
      <c r="B8" s="14"/>
      <c r="C8" s="15"/>
      <c r="D8" s="16"/>
    </row>
    <row r="9" spans="1:4" x14ac:dyDescent="0.2">
      <c r="A9" s="172" t="s">
        <v>96</v>
      </c>
      <c r="B9" s="173"/>
      <c r="C9" s="173"/>
      <c r="D9" s="174"/>
    </row>
    <row r="10" spans="1:4" x14ac:dyDescent="0.2">
      <c r="A10" s="175" t="s">
        <v>190</v>
      </c>
      <c r="B10" s="176"/>
      <c r="C10" s="176"/>
      <c r="D10" s="177"/>
    </row>
    <row r="11" spans="1:4" x14ac:dyDescent="0.2">
      <c r="A11" s="17" t="s">
        <v>9</v>
      </c>
      <c r="B11" s="2" t="s">
        <v>115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117</v>
      </c>
      <c r="C12" s="21">
        <f>COMPOSICAO!D3</f>
        <v>8.3333333333333329E-2</v>
      </c>
      <c r="D12" s="22">
        <f>C12*$D$7</f>
        <v>1545.1887499999998</v>
      </c>
    </row>
    <row r="13" spans="1:4" x14ac:dyDescent="0.2">
      <c r="A13" s="19" t="s">
        <v>3</v>
      </c>
      <c r="B13" s="20" t="s">
        <v>185</v>
      </c>
      <c r="C13" s="21">
        <f>COMPOSICAO!D4</f>
        <v>7.7777777777777779E-2</v>
      </c>
      <c r="D13" s="22">
        <f>C13*$D$7</f>
        <v>1442.1761666666666</v>
      </c>
    </row>
    <row r="14" spans="1:4" x14ac:dyDescent="0.2">
      <c r="A14" s="178" t="s">
        <v>191</v>
      </c>
      <c r="B14" s="179"/>
      <c r="C14" s="23">
        <f>SUM(C12:C13)</f>
        <v>0.16111111111111109</v>
      </c>
      <c r="D14" s="12">
        <f>SUM(D12:D13)</f>
        <v>2987.3649166666664</v>
      </c>
    </row>
    <row r="15" spans="1:4" x14ac:dyDescent="0.2">
      <c r="A15" s="13"/>
      <c r="B15" s="14"/>
      <c r="C15" s="24"/>
      <c r="D15" s="16"/>
    </row>
    <row r="16" spans="1:4" x14ac:dyDescent="0.2">
      <c r="A16" s="194" t="s">
        <v>98</v>
      </c>
      <c r="B16" s="195"/>
      <c r="C16" s="195"/>
      <c r="D16" s="196"/>
    </row>
    <row r="17" spans="1:4" x14ac:dyDescent="0.2">
      <c r="A17" s="17" t="s">
        <v>10</v>
      </c>
      <c r="B17" s="2" t="s">
        <v>115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118</v>
      </c>
      <c r="C18" s="21">
        <v>0.05</v>
      </c>
      <c r="D18" s="22">
        <f>C18*($D$7+$D$14)</f>
        <v>1076.4814958333334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538.24074791666669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645.88889749999987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322.94444874999994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215.29629916666664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129.17777949999999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43.059259833333329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1722.3703933333331</v>
      </c>
    </row>
    <row r="26" spans="1:4" x14ac:dyDescent="0.2">
      <c r="A26" s="192" t="s">
        <v>99</v>
      </c>
      <c r="B26" s="193"/>
      <c r="C26" s="27">
        <f>SUM(C18:C25)</f>
        <v>0.21800000000000003</v>
      </c>
      <c r="D26" s="28">
        <f>SUM(D18:D25)</f>
        <v>4693.459321833333</v>
      </c>
    </row>
    <row r="27" spans="1:4" x14ac:dyDescent="0.2">
      <c r="A27" s="13"/>
      <c r="B27" s="14"/>
      <c r="C27" s="29"/>
      <c r="D27" s="16"/>
    </row>
    <row r="28" spans="1:4" x14ac:dyDescent="0.2">
      <c r="A28" s="194" t="s">
        <v>100</v>
      </c>
      <c r="B28" s="195"/>
      <c r="C28" s="195"/>
      <c r="D28" s="196"/>
    </row>
    <row r="29" spans="1:4" x14ac:dyDescent="0.2">
      <c r="A29" s="17" t="s">
        <v>19</v>
      </c>
      <c r="B29" s="194" t="s">
        <v>115</v>
      </c>
      <c r="C29" s="196"/>
      <c r="D29" s="17" t="s">
        <v>1</v>
      </c>
    </row>
    <row r="30" spans="1:4" x14ac:dyDescent="0.2">
      <c r="A30" s="183" t="s">
        <v>2</v>
      </c>
      <c r="B30" s="30" t="s">
        <v>119</v>
      </c>
      <c r="C30" s="31"/>
      <c r="D30" s="7">
        <f>COMPOSICAO!D20*2*22</f>
        <v>242</v>
      </c>
    </row>
    <row r="31" spans="1:4" x14ac:dyDescent="0.2">
      <c r="A31" s="184"/>
      <c r="B31" s="30" t="s">
        <v>20</v>
      </c>
      <c r="C31" s="31"/>
      <c r="D31" s="7">
        <f>D6*COMPOSICAO!D21</f>
        <v>1112.5358999999999</v>
      </c>
    </row>
    <row r="32" spans="1:4" x14ac:dyDescent="0.2">
      <c r="A32" s="185"/>
      <c r="B32" s="88" t="s">
        <v>21</v>
      </c>
      <c r="C32" s="89"/>
      <c r="D32" s="39">
        <f>IF(D30-D31&gt;0,D30-D31,0)</f>
        <v>0</v>
      </c>
    </row>
    <row r="33" spans="1:4" x14ac:dyDescent="0.2">
      <c r="A33" s="183" t="s">
        <v>3</v>
      </c>
      <c r="B33" s="30" t="s">
        <v>120</v>
      </c>
      <c r="D33" s="7">
        <f>COMPOSICAO!D23*22</f>
        <v>814</v>
      </c>
    </row>
    <row r="34" spans="1:4" x14ac:dyDescent="0.2">
      <c r="A34" s="184"/>
      <c r="B34" s="30" t="s">
        <v>181</v>
      </c>
      <c r="C34" s="104" cm="1">
        <f t="array" ref="C34">_xlfn.IFS(D6&lt;2407,COMPOSICAO!D25,D6&lt;4073.39,COMPOSICAO!D26,D6&lt;5924.92,COMPOSICAO!D27,D6&lt;7406.17,COMPOSICAO!D28,D6&lt;9072.58,COMPOSICAO!D29,D6&gt;9072.59,COMPOSICAO!D30)</f>
        <v>0.15</v>
      </c>
      <c r="D34" s="7">
        <f>D33*C34</f>
        <v>122.1</v>
      </c>
    </row>
    <row r="35" spans="1:4" x14ac:dyDescent="0.2">
      <c r="A35" s="185"/>
      <c r="B35" s="88" t="s">
        <v>182</v>
      </c>
      <c r="C35" s="90"/>
      <c r="D35" s="39">
        <f>D33-D34</f>
        <v>691.9</v>
      </c>
    </row>
    <row r="36" spans="1:4" x14ac:dyDescent="0.2">
      <c r="A36" s="4" t="s">
        <v>4</v>
      </c>
      <c r="B36" s="30" t="s">
        <v>167</v>
      </c>
      <c r="C36" s="31"/>
      <c r="D36" s="151">
        <f>COMPOSICAO!D31</f>
        <v>184.85</v>
      </c>
    </row>
    <row r="37" spans="1:4" x14ac:dyDescent="0.2">
      <c r="A37" s="9" t="s">
        <v>101</v>
      </c>
      <c r="B37" s="10"/>
      <c r="C37" s="11"/>
      <c r="D37" s="12">
        <f>SUM(D32,D35,D36)</f>
        <v>876.75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121</v>
      </c>
      <c r="C39" s="33"/>
      <c r="D39" s="17" t="s">
        <v>1</v>
      </c>
    </row>
    <row r="40" spans="1:4" x14ac:dyDescent="0.2">
      <c r="A40" s="4" t="s">
        <v>9</v>
      </c>
      <c r="B40" s="30" t="s">
        <v>122</v>
      </c>
      <c r="C40" s="34"/>
      <c r="D40" s="8">
        <f>D14</f>
        <v>2987.3649166666664</v>
      </c>
    </row>
    <row r="41" spans="1:4" x14ac:dyDescent="0.2">
      <c r="A41" s="4" t="s">
        <v>10</v>
      </c>
      <c r="B41" s="30" t="s">
        <v>123</v>
      </c>
      <c r="C41" s="34"/>
      <c r="D41" s="8">
        <f>D26</f>
        <v>4693.459321833333</v>
      </c>
    </row>
    <row r="42" spans="1:4" x14ac:dyDescent="0.2">
      <c r="A42" s="4" t="s">
        <v>19</v>
      </c>
      <c r="B42" s="30" t="s">
        <v>124</v>
      </c>
      <c r="C42" s="34"/>
      <c r="D42" s="8">
        <f>D37</f>
        <v>876.75</v>
      </c>
    </row>
    <row r="43" spans="1:4" x14ac:dyDescent="0.2">
      <c r="A43" s="178" t="s">
        <v>102</v>
      </c>
      <c r="B43" s="189"/>
      <c r="C43" s="35"/>
      <c r="D43" s="12">
        <f>SUM(D40:D42)</f>
        <v>8557.5742384999994</v>
      </c>
    </row>
    <row r="44" spans="1:4" x14ac:dyDescent="0.2">
      <c r="A44" s="13"/>
      <c r="B44" s="14"/>
      <c r="C44" s="15"/>
      <c r="D44" s="16"/>
    </row>
    <row r="45" spans="1:4" x14ac:dyDescent="0.2">
      <c r="A45" s="172" t="s">
        <v>103</v>
      </c>
      <c r="B45" s="173"/>
      <c r="C45" s="173"/>
      <c r="D45" s="174"/>
    </row>
    <row r="46" spans="1:4" x14ac:dyDescent="0.2">
      <c r="A46" s="17">
        <v>3</v>
      </c>
      <c r="B46" s="2" t="s">
        <v>115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77.25943749999999</v>
      </c>
    </row>
    <row r="48" spans="1:4" x14ac:dyDescent="0.2">
      <c r="A48" s="4" t="s">
        <v>3</v>
      </c>
      <c r="B48" s="30" t="s">
        <v>125</v>
      </c>
      <c r="C48" s="37">
        <f>COMPOSICAO!D35</f>
        <v>3.3333333333333332E-4</v>
      </c>
      <c r="D48" s="22">
        <f>C48*$D$7</f>
        <v>6.1807549999999996</v>
      </c>
    </row>
    <row r="49" spans="1:4" x14ac:dyDescent="0.2">
      <c r="A49" s="19" t="s">
        <v>4</v>
      </c>
      <c r="B49" s="20" t="s">
        <v>126</v>
      </c>
      <c r="C49" s="37">
        <f>COMPOSICAO!D36</f>
        <v>3.4399999999999993E-2</v>
      </c>
      <c r="D49" s="22">
        <f t="shared" ref="D49:D52" si="1">C49*$D$7</f>
        <v>637.8539159999998</v>
      </c>
    </row>
    <row r="50" spans="1:4" x14ac:dyDescent="0.2">
      <c r="A50" s="4" t="s">
        <v>5</v>
      </c>
      <c r="B50" s="30" t="s">
        <v>127</v>
      </c>
      <c r="C50" s="37">
        <f>COMPOSICAO!D37</f>
        <v>1.2444444444444444E-2</v>
      </c>
      <c r="D50" s="22">
        <f t="shared" si="1"/>
        <v>230.74818666666664</v>
      </c>
    </row>
    <row r="51" spans="1:4" x14ac:dyDescent="0.2">
      <c r="A51" s="4" t="s">
        <v>6</v>
      </c>
      <c r="B51" s="30" t="s">
        <v>128</v>
      </c>
      <c r="C51" s="37">
        <f>COMPOSICAO!D38</f>
        <v>4.5631999999999999E-3</v>
      </c>
      <c r="D51" s="22">
        <f t="shared" si="1"/>
        <v>84.612063647999989</v>
      </c>
    </row>
    <row r="52" spans="1:4" x14ac:dyDescent="0.2">
      <c r="A52" s="4" t="s">
        <v>7</v>
      </c>
      <c r="B52" s="30" t="s">
        <v>129</v>
      </c>
      <c r="C52" s="37">
        <f>COMPOSICAO!D39</f>
        <v>3.9680000000000005E-4</v>
      </c>
      <c r="D52" s="22">
        <f t="shared" si="1"/>
        <v>7.3575707520000009</v>
      </c>
    </row>
    <row r="53" spans="1:4" x14ac:dyDescent="0.2">
      <c r="A53" s="190" t="s">
        <v>104</v>
      </c>
      <c r="B53" s="191"/>
      <c r="C53" s="38">
        <f>SUM(C47:C52)</f>
        <v>5.6304444444444435E-2</v>
      </c>
      <c r="D53" s="39">
        <f>SUM(D47:D52)</f>
        <v>1044.0119295666664</v>
      </c>
    </row>
    <row r="54" spans="1:4" x14ac:dyDescent="0.2">
      <c r="A54" s="13"/>
      <c r="B54" s="14"/>
      <c r="C54" s="40"/>
      <c r="D54" s="16"/>
    </row>
    <row r="55" spans="1:4" x14ac:dyDescent="0.2">
      <c r="A55" s="172" t="s">
        <v>105</v>
      </c>
      <c r="B55" s="173"/>
      <c r="C55" s="173"/>
      <c r="D55" s="174"/>
    </row>
    <row r="56" spans="1:4" x14ac:dyDescent="0.2">
      <c r="A56" s="17">
        <v>4</v>
      </c>
      <c r="B56" s="2" t="s">
        <v>115</v>
      </c>
      <c r="C56" s="36" t="s">
        <v>0</v>
      </c>
      <c r="D56" s="17" t="s">
        <v>1</v>
      </c>
    </row>
    <row r="57" spans="1:4" x14ac:dyDescent="0.2">
      <c r="A57" s="190" t="s">
        <v>106</v>
      </c>
      <c r="B57" s="191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2" t="s">
        <v>107</v>
      </c>
      <c r="B59" s="173"/>
      <c r="C59" s="173"/>
      <c r="D59" s="174"/>
    </row>
    <row r="60" spans="1:4" x14ac:dyDescent="0.2">
      <c r="A60" s="17">
        <v>5</v>
      </c>
      <c r="B60" s="43" t="s">
        <v>115</v>
      </c>
      <c r="C60" s="44"/>
      <c r="D60" s="45" t="s">
        <v>1</v>
      </c>
    </row>
    <row r="61" spans="1:4" x14ac:dyDescent="0.2">
      <c r="A61" s="9" t="s">
        <v>108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2" t="s">
        <v>109</v>
      </c>
      <c r="B63" s="173"/>
      <c r="C63" s="173"/>
      <c r="D63" s="174"/>
    </row>
    <row r="64" spans="1:4" x14ac:dyDescent="0.2">
      <c r="A64" s="17">
        <v>6</v>
      </c>
      <c r="B64" s="2" t="s">
        <v>115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130</v>
      </c>
      <c r="C65" s="53">
        <f>COMPOSICAO!D44</f>
        <v>0.05</v>
      </c>
      <c r="D65" s="12">
        <f>C65*$D$81</f>
        <v>1407.1925584033334</v>
      </c>
    </row>
    <row r="66" spans="1:4" x14ac:dyDescent="0.2">
      <c r="A66" s="51" t="s">
        <v>3</v>
      </c>
      <c r="B66" s="52" t="s">
        <v>131</v>
      </c>
      <c r="C66" s="53">
        <f>COMPOSICAO!D45</f>
        <v>0.1</v>
      </c>
      <c r="D66" s="12">
        <f>C66*($D$81+$D$65)</f>
        <v>2955.1043726469998</v>
      </c>
    </row>
    <row r="67" spans="1:4" x14ac:dyDescent="0.2">
      <c r="A67" s="51" t="s">
        <v>4</v>
      </c>
      <c r="B67" s="52" t="s">
        <v>132</v>
      </c>
      <c r="C67" s="53">
        <f>COMPOSICAO!D46</f>
        <v>9.2499999999999999E-2</v>
      </c>
      <c r="D67" s="12">
        <f>((D65+D66+D81)/(1-C67))-(D65+D66+D81)</f>
        <v>3313.2988420587571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232.82640511764239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1074.5834082352726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716.3889388235151</v>
      </c>
    </row>
    <row r="71" spans="1:4" x14ac:dyDescent="0.2">
      <c r="A71" s="4" t="s">
        <v>29</v>
      </c>
      <c r="B71" s="106" t="s">
        <v>183</v>
      </c>
      <c r="C71" s="37">
        <f>COMPOSICAO!D50</f>
        <v>3.5999999999999997E-2</v>
      </c>
      <c r="D71" s="12">
        <f t="shared" si="2"/>
        <v>1289.5000898823271</v>
      </c>
    </row>
    <row r="72" spans="1:4" x14ac:dyDescent="0.2">
      <c r="A72" s="178" t="s">
        <v>110</v>
      </c>
      <c r="B72" s="179"/>
      <c r="C72" s="55">
        <f>SUM(C65:C67)</f>
        <v>0.24250000000000002</v>
      </c>
      <c r="D72" s="12">
        <f>SUM(D65:D67)</f>
        <v>7675.5957731090903</v>
      </c>
    </row>
    <row r="73" spans="1:4" x14ac:dyDescent="0.2">
      <c r="A73" s="13"/>
      <c r="B73" s="14"/>
      <c r="C73" s="15"/>
      <c r="D73" s="16"/>
    </row>
    <row r="74" spans="1:4" x14ac:dyDescent="0.2">
      <c r="A74" s="186" t="s">
        <v>111</v>
      </c>
      <c r="B74" s="187"/>
      <c r="C74" s="187"/>
      <c r="D74" s="188"/>
    </row>
    <row r="75" spans="1:4" x14ac:dyDescent="0.2">
      <c r="A75" s="26" t="s">
        <v>112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133</v>
      </c>
      <c r="C76" s="58"/>
      <c r="D76" s="8">
        <f>D7</f>
        <v>18542.264999999999</v>
      </c>
    </row>
    <row r="77" spans="1:4" x14ac:dyDescent="0.2">
      <c r="A77" s="4">
        <v>2</v>
      </c>
      <c r="B77" s="46" t="s">
        <v>134</v>
      </c>
      <c r="C77" s="58"/>
      <c r="D77" s="8">
        <f>D43</f>
        <v>8557.5742384999994</v>
      </c>
    </row>
    <row r="78" spans="1:4" x14ac:dyDescent="0.2">
      <c r="A78" s="4">
        <v>3</v>
      </c>
      <c r="B78" s="46" t="s">
        <v>135</v>
      </c>
      <c r="C78" s="58"/>
      <c r="D78" s="8">
        <f>D53</f>
        <v>1044.0119295666664</v>
      </c>
    </row>
    <row r="79" spans="1:4" x14ac:dyDescent="0.2">
      <c r="A79" s="4">
        <v>4</v>
      </c>
      <c r="B79" s="46" t="s">
        <v>136</v>
      </c>
      <c r="C79" s="58"/>
      <c r="D79" s="8">
        <v>0</v>
      </c>
    </row>
    <row r="80" spans="1:4" x14ac:dyDescent="0.2">
      <c r="A80" s="4">
        <v>5</v>
      </c>
      <c r="B80" s="46" t="s">
        <v>137</v>
      </c>
      <c r="C80" s="58"/>
      <c r="D80" s="8">
        <v>0</v>
      </c>
    </row>
    <row r="81" spans="1:4" x14ac:dyDescent="0.2">
      <c r="A81" s="59" t="s">
        <v>113</v>
      </c>
      <c r="B81" s="10"/>
      <c r="C81" s="11"/>
      <c r="D81" s="12">
        <f>SUM(D76:D80)</f>
        <v>28143.851168066663</v>
      </c>
    </row>
    <row r="82" spans="1:4" x14ac:dyDescent="0.2">
      <c r="A82" s="4">
        <v>6</v>
      </c>
      <c r="B82" s="46" t="s">
        <v>138</v>
      </c>
      <c r="C82" s="58"/>
      <c r="D82" s="8">
        <f>D72</f>
        <v>7675.5957731090903</v>
      </c>
    </row>
    <row r="83" spans="1:4" x14ac:dyDescent="0.2">
      <c r="A83" s="178" t="s">
        <v>114</v>
      </c>
      <c r="B83" s="189"/>
      <c r="C83" s="179"/>
      <c r="D83" s="60">
        <f>SUM(D81:D82)</f>
        <v>35819.446941175753</v>
      </c>
    </row>
    <row r="84" spans="1:4" x14ac:dyDescent="0.2">
      <c r="C84" s="108" t="s">
        <v>187</v>
      </c>
      <c r="D84" s="109">
        <f>ROUNDUP(D83/D76,2)</f>
        <v>1.94</v>
      </c>
    </row>
    <row r="85" spans="1:4" x14ac:dyDescent="0.2"/>
    <row r="86" spans="1:4" hidden="1" x14ac:dyDescent="0.2">
      <c r="D86" s="111"/>
    </row>
  </sheetData>
  <mergeCells count="22"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</mergeCells>
  <conditionalFormatting sqref="B69">
    <cfRule type="expression" dxfId="31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29004C-4296-4DBB-9295-F4EB6038B21B}">
  <sheetPr codeName="Planilha5"/>
  <dimension ref="A1:D86"/>
  <sheetViews>
    <sheetView zoomScaleNormal="100" workbookViewId="0">
      <selection activeCell="F24" sqref="F24:F31"/>
    </sheetView>
  </sheetViews>
  <sheetFormatPr defaultColWidth="0" defaultRowHeight="12" zeroHeight="1" x14ac:dyDescent="0.2"/>
  <cols>
    <col min="1" max="1" width="5.85546875" style="107" customWidth="1"/>
    <col min="2" max="2" width="83.28515625" style="107" customWidth="1"/>
    <col min="3" max="3" width="12.42578125" style="107" customWidth="1"/>
    <col min="4" max="4" width="15.42578125" style="107" customWidth="1"/>
    <col min="5" max="5" width="9.140625" style="107" hidden="1" customWidth="1"/>
    <col min="6" max="16384" width="9.140625" style="107" hidden="1"/>
  </cols>
  <sheetData>
    <row r="1" spans="1:4" ht="12.75" thickBot="1" x14ac:dyDescent="0.25">
      <c r="A1" s="197" t="str">
        <f>PERFIS!C5</f>
        <v>Analista de Testes/Qualidade - Júnior</v>
      </c>
      <c r="B1" s="198"/>
      <c r="C1" s="198"/>
      <c r="D1" s="199"/>
    </row>
    <row r="2" spans="1:4" x14ac:dyDescent="0.2">
      <c r="A2" s="110"/>
      <c r="B2" s="110"/>
      <c r="C2" s="110"/>
      <c r="D2" s="110"/>
    </row>
    <row r="3" spans="1:4" x14ac:dyDescent="0.2">
      <c r="A3" s="169" t="s">
        <v>93</v>
      </c>
      <c r="B3" s="170"/>
      <c r="C3" s="170"/>
      <c r="D3" s="171"/>
    </row>
    <row r="4" spans="1:4" x14ac:dyDescent="0.2">
      <c r="A4" s="172" t="s">
        <v>94</v>
      </c>
      <c r="B4" s="173"/>
      <c r="C4" s="173"/>
      <c r="D4" s="174"/>
    </row>
    <row r="5" spans="1:4" x14ac:dyDescent="0.2">
      <c r="A5" s="1">
        <v>1</v>
      </c>
      <c r="B5" s="2" t="s">
        <v>115</v>
      </c>
      <c r="C5" s="3"/>
      <c r="D5" s="1" t="s">
        <v>1</v>
      </c>
    </row>
    <row r="6" spans="1:4" x14ac:dyDescent="0.2">
      <c r="A6" s="4" t="s">
        <v>2</v>
      </c>
      <c r="B6" s="5" t="s">
        <v>116</v>
      </c>
      <c r="C6" s="6">
        <v>1</v>
      </c>
      <c r="D6" s="7">
        <f>_xlfn.XLOOKUP(A1,PERFIS!C3:C35,PERFIS!D3:D35)</f>
        <v>5412.32</v>
      </c>
    </row>
    <row r="7" spans="1:4" x14ac:dyDescent="0.2">
      <c r="A7" s="9" t="s">
        <v>95</v>
      </c>
      <c r="B7" s="10"/>
      <c r="C7" s="11"/>
      <c r="D7" s="12">
        <f>SUM(D6)</f>
        <v>5412.32</v>
      </c>
    </row>
    <row r="8" spans="1:4" x14ac:dyDescent="0.2">
      <c r="A8" s="13"/>
      <c r="B8" s="14"/>
      <c r="C8" s="15"/>
      <c r="D8" s="16"/>
    </row>
    <row r="9" spans="1:4" x14ac:dyDescent="0.2">
      <c r="A9" s="172" t="s">
        <v>96</v>
      </c>
      <c r="B9" s="173"/>
      <c r="C9" s="173"/>
      <c r="D9" s="174"/>
    </row>
    <row r="10" spans="1:4" x14ac:dyDescent="0.2">
      <c r="A10" s="175" t="s">
        <v>190</v>
      </c>
      <c r="B10" s="176"/>
      <c r="C10" s="176"/>
      <c r="D10" s="177"/>
    </row>
    <row r="11" spans="1:4" x14ac:dyDescent="0.2">
      <c r="A11" s="17" t="s">
        <v>9</v>
      </c>
      <c r="B11" s="2" t="s">
        <v>115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117</v>
      </c>
      <c r="C12" s="21">
        <f>COMPOSICAO!D3</f>
        <v>8.3333333333333329E-2</v>
      </c>
      <c r="D12" s="22">
        <f>C12*$D$7</f>
        <v>451.02666666666664</v>
      </c>
    </row>
    <row r="13" spans="1:4" x14ac:dyDescent="0.2">
      <c r="A13" s="19" t="s">
        <v>3</v>
      </c>
      <c r="B13" s="20" t="s">
        <v>185</v>
      </c>
      <c r="C13" s="21">
        <f>COMPOSICAO!D4</f>
        <v>7.7777777777777779E-2</v>
      </c>
      <c r="D13" s="22">
        <f>C13*$D$7</f>
        <v>420.95822222222222</v>
      </c>
    </row>
    <row r="14" spans="1:4" x14ac:dyDescent="0.2">
      <c r="A14" s="178" t="s">
        <v>191</v>
      </c>
      <c r="B14" s="179"/>
      <c r="C14" s="23">
        <f>SUM(C12:C13)</f>
        <v>0.16111111111111109</v>
      </c>
      <c r="D14" s="12">
        <f>SUM(D12:D13)</f>
        <v>871.98488888888892</v>
      </c>
    </row>
    <row r="15" spans="1:4" x14ac:dyDescent="0.2">
      <c r="A15" s="13"/>
      <c r="B15" s="14"/>
      <c r="C15" s="24"/>
      <c r="D15" s="16"/>
    </row>
    <row r="16" spans="1:4" x14ac:dyDescent="0.2">
      <c r="A16" s="194" t="s">
        <v>98</v>
      </c>
      <c r="B16" s="195"/>
      <c r="C16" s="195"/>
      <c r="D16" s="196"/>
    </row>
    <row r="17" spans="1:4" x14ac:dyDescent="0.2">
      <c r="A17" s="17" t="s">
        <v>10</v>
      </c>
      <c r="B17" s="2" t="s">
        <v>115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118</v>
      </c>
      <c r="C18" s="21">
        <v>0.05</v>
      </c>
      <c r="D18" s="22">
        <f>C18*($D$7+$D$14)</f>
        <v>314.21524444444447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157.10762222222223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188.52914666666666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94.264573333333331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62.843048888888887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37.705829333333334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12.568609777777779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502.7443911111111</v>
      </c>
    </row>
    <row r="26" spans="1:4" x14ac:dyDescent="0.2">
      <c r="A26" s="192" t="s">
        <v>99</v>
      </c>
      <c r="B26" s="193"/>
      <c r="C26" s="27">
        <f>SUM(C18:C25)</f>
        <v>0.21800000000000003</v>
      </c>
      <c r="D26" s="28">
        <f>SUM(D18:D25)</f>
        <v>1369.9784657777777</v>
      </c>
    </row>
    <row r="27" spans="1:4" x14ac:dyDescent="0.2">
      <c r="A27" s="13"/>
      <c r="B27" s="14"/>
      <c r="C27" s="29"/>
      <c r="D27" s="16"/>
    </row>
    <row r="28" spans="1:4" x14ac:dyDescent="0.2">
      <c r="A28" s="194" t="s">
        <v>100</v>
      </c>
      <c r="B28" s="195"/>
      <c r="C28" s="195"/>
      <c r="D28" s="196"/>
    </row>
    <row r="29" spans="1:4" x14ac:dyDescent="0.2">
      <c r="A29" s="17" t="s">
        <v>19</v>
      </c>
      <c r="B29" s="194" t="s">
        <v>115</v>
      </c>
      <c r="C29" s="196"/>
      <c r="D29" s="17" t="s">
        <v>1</v>
      </c>
    </row>
    <row r="30" spans="1:4" x14ac:dyDescent="0.2">
      <c r="A30" s="183" t="s">
        <v>2</v>
      </c>
      <c r="B30" s="30" t="s">
        <v>119</v>
      </c>
      <c r="C30" s="31"/>
      <c r="D30" s="7">
        <f>COMPOSICAO!D20*2*22</f>
        <v>242</v>
      </c>
    </row>
    <row r="31" spans="1:4" x14ac:dyDescent="0.2">
      <c r="A31" s="184"/>
      <c r="B31" s="30" t="s">
        <v>20</v>
      </c>
      <c r="C31" s="31"/>
      <c r="D31" s="7">
        <f>D6*COMPOSICAO!D21</f>
        <v>324.73919999999998</v>
      </c>
    </row>
    <row r="32" spans="1:4" x14ac:dyDescent="0.2">
      <c r="A32" s="185"/>
      <c r="B32" s="88" t="s">
        <v>21</v>
      </c>
      <c r="C32" s="89"/>
      <c r="D32" s="39">
        <f>IF(D30-D31&gt;0,D30-D31,0)</f>
        <v>0</v>
      </c>
    </row>
    <row r="33" spans="1:4" x14ac:dyDescent="0.2">
      <c r="A33" s="183" t="s">
        <v>3</v>
      </c>
      <c r="B33" s="30" t="s">
        <v>120</v>
      </c>
      <c r="D33" s="7">
        <f>COMPOSICAO!D23*22</f>
        <v>814</v>
      </c>
    </row>
    <row r="34" spans="1:4" x14ac:dyDescent="0.2">
      <c r="A34" s="184"/>
      <c r="B34" s="30" t="s">
        <v>181</v>
      </c>
      <c r="C34" s="104" cm="1">
        <f t="array" ref="C34">_xlfn.IFS(D6&lt;2407,COMPOSICAO!D25,D6&lt;4073.39,COMPOSICAO!D26,D6&lt;5924.92,COMPOSICAO!D27,D6&lt;7406.17,COMPOSICAO!D28,D6&lt;9072.58,COMPOSICAO!D29,D6&gt;9072.59,COMPOSICAO!D30)</f>
        <v>5.62E-2</v>
      </c>
      <c r="D34" s="7">
        <f>D33*C34</f>
        <v>45.7468</v>
      </c>
    </row>
    <row r="35" spans="1:4" x14ac:dyDescent="0.2">
      <c r="A35" s="185"/>
      <c r="B35" s="88" t="s">
        <v>182</v>
      </c>
      <c r="C35" s="90"/>
      <c r="D35" s="39">
        <f>D33-D34</f>
        <v>768.25319999999999</v>
      </c>
    </row>
    <row r="36" spans="1:4" x14ac:dyDescent="0.2">
      <c r="A36" s="4" t="s">
        <v>4</v>
      </c>
      <c r="B36" s="30" t="s">
        <v>167</v>
      </c>
      <c r="C36" s="31"/>
      <c r="D36" s="151">
        <f>COMPOSICAO!D31</f>
        <v>184.85</v>
      </c>
    </row>
    <row r="37" spans="1:4" x14ac:dyDescent="0.2">
      <c r="A37" s="9" t="s">
        <v>101</v>
      </c>
      <c r="B37" s="10"/>
      <c r="C37" s="11"/>
      <c r="D37" s="12">
        <f>SUM(D32,D35,D36)</f>
        <v>953.10320000000002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121</v>
      </c>
      <c r="C39" s="33"/>
      <c r="D39" s="17" t="s">
        <v>1</v>
      </c>
    </row>
    <row r="40" spans="1:4" x14ac:dyDescent="0.2">
      <c r="A40" s="4" t="s">
        <v>9</v>
      </c>
      <c r="B40" s="30" t="s">
        <v>122</v>
      </c>
      <c r="C40" s="34"/>
      <c r="D40" s="8">
        <f>D14</f>
        <v>871.98488888888892</v>
      </c>
    </row>
    <row r="41" spans="1:4" x14ac:dyDescent="0.2">
      <c r="A41" s="4" t="s">
        <v>10</v>
      </c>
      <c r="B41" s="30" t="s">
        <v>123</v>
      </c>
      <c r="C41" s="34"/>
      <c r="D41" s="8">
        <f>D26</f>
        <v>1369.9784657777777</v>
      </c>
    </row>
    <row r="42" spans="1:4" x14ac:dyDescent="0.2">
      <c r="A42" s="4" t="s">
        <v>19</v>
      </c>
      <c r="B42" s="30" t="s">
        <v>124</v>
      </c>
      <c r="C42" s="34"/>
      <c r="D42" s="8">
        <f>D37</f>
        <v>953.10320000000002</v>
      </c>
    </row>
    <row r="43" spans="1:4" x14ac:dyDescent="0.2">
      <c r="A43" s="178" t="s">
        <v>102</v>
      </c>
      <c r="B43" s="189"/>
      <c r="C43" s="35"/>
      <c r="D43" s="12">
        <f>SUM(D40:D42)</f>
        <v>3195.0665546666664</v>
      </c>
    </row>
    <row r="44" spans="1:4" x14ac:dyDescent="0.2">
      <c r="A44" s="13"/>
      <c r="B44" s="14"/>
      <c r="C44" s="15"/>
      <c r="D44" s="16"/>
    </row>
    <row r="45" spans="1:4" x14ac:dyDescent="0.2">
      <c r="A45" s="172" t="s">
        <v>103</v>
      </c>
      <c r="B45" s="173"/>
      <c r="C45" s="173"/>
      <c r="D45" s="174"/>
    </row>
    <row r="46" spans="1:4" x14ac:dyDescent="0.2">
      <c r="A46" s="17">
        <v>3</v>
      </c>
      <c r="B46" s="2" t="s">
        <v>115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22.551333333333332</v>
      </c>
    </row>
    <row r="48" spans="1:4" x14ac:dyDescent="0.2">
      <c r="A48" s="4" t="s">
        <v>3</v>
      </c>
      <c r="B48" s="30" t="s">
        <v>125</v>
      </c>
      <c r="C48" s="37">
        <f>COMPOSICAO!D35</f>
        <v>3.3333333333333332E-4</v>
      </c>
      <c r="D48" s="22">
        <f>C48*$D$7</f>
        <v>1.8041066666666665</v>
      </c>
    </row>
    <row r="49" spans="1:4" x14ac:dyDescent="0.2">
      <c r="A49" s="19" t="s">
        <v>4</v>
      </c>
      <c r="B49" s="20" t="s">
        <v>126</v>
      </c>
      <c r="C49" s="37">
        <f>COMPOSICAO!D36</f>
        <v>3.4399999999999993E-2</v>
      </c>
      <c r="D49" s="22">
        <f t="shared" ref="D49:D52" si="1">C49*$D$7</f>
        <v>186.18380799999994</v>
      </c>
    </row>
    <row r="50" spans="1:4" x14ac:dyDescent="0.2">
      <c r="A50" s="4" t="s">
        <v>5</v>
      </c>
      <c r="B50" s="30" t="s">
        <v>127</v>
      </c>
      <c r="C50" s="37">
        <f>COMPOSICAO!D37</f>
        <v>1.2444444444444444E-2</v>
      </c>
      <c r="D50" s="22">
        <f t="shared" si="1"/>
        <v>67.353315555555554</v>
      </c>
    </row>
    <row r="51" spans="1:4" x14ac:dyDescent="0.2">
      <c r="A51" s="4" t="s">
        <v>6</v>
      </c>
      <c r="B51" s="30" t="s">
        <v>128</v>
      </c>
      <c r="C51" s="37">
        <f>COMPOSICAO!D38</f>
        <v>4.5631999999999999E-3</v>
      </c>
      <c r="D51" s="22">
        <f t="shared" si="1"/>
        <v>24.697498623999998</v>
      </c>
    </row>
    <row r="52" spans="1:4" x14ac:dyDescent="0.2">
      <c r="A52" s="4" t="s">
        <v>7</v>
      </c>
      <c r="B52" s="30" t="s">
        <v>129</v>
      </c>
      <c r="C52" s="37">
        <f>COMPOSICAO!D39</f>
        <v>3.9680000000000005E-4</v>
      </c>
      <c r="D52" s="22">
        <f t="shared" si="1"/>
        <v>2.1476085760000001</v>
      </c>
    </row>
    <row r="53" spans="1:4" x14ac:dyDescent="0.2">
      <c r="A53" s="190" t="s">
        <v>104</v>
      </c>
      <c r="B53" s="191"/>
      <c r="C53" s="38">
        <f>SUM(C47:C52)</f>
        <v>5.6304444444444435E-2</v>
      </c>
      <c r="D53" s="39">
        <f>SUM(D47:D52)</f>
        <v>304.73767075555548</v>
      </c>
    </row>
    <row r="54" spans="1:4" x14ac:dyDescent="0.2">
      <c r="A54" s="13"/>
      <c r="B54" s="14"/>
      <c r="C54" s="40"/>
      <c r="D54" s="16"/>
    </row>
    <row r="55" spans="1:4" x14ac:dyDescent="0.2">
      <c r="A55" s="172" t="s">
        <v>105</v>
      </c>
      <c r="B55" s="173"/>
      <c r="C55" s="173"/>
      <c r="D55" s="174"/>
    </row>
    <row r="56" spans="1:4" x14ac:dyDescent="0.2">
      <c r="A56" s="17">
        <v>4</v>
      </c>
      <c r="B56" s="2" t="s">
        <v>115</v>
      </c>
      <c r="C56" s="36" t="s">
        <v>0</v>
      </c>
      <c r="D56" s="17" t="s">
        <v>1</v>
      </c>
    </row>
    <row r="57" spans="1:4" x14ac:dyDescent="0.2">
      <c r="A57" s="190" t="s">
        <v>106</v>
      </c>
      <c r="B57" s="191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2" t="s">
        <v>107</v>
      </c>
      <c r="B59" s="173"/>
      <c r="C59" s="173"/>
      <c r="D59" s="174"/>
    </row>
    <row r="60" spans="1:4" x14ac:dyDescent="0.2">
      <c r="A60" s="17">
        <v>5</v>
      </c>
      <c r="B60" s="43" t="s">
        <v>115</v>
      </c>
      <c r="C60" s="44"/>
      <c r="D60" s="45" t="s">
        <v>1</v>
      </c>
    </row>
    <row r="61" spans="1:4" x14ac:dyDescent="0.2">
      <c r="A61" s="9" t="s">
        <v>108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2" t="s">
        <v>109</v>
      </c>
      <c r="B63" s="173"/>
      <c r="C63" s="173"/>
      <c r="D63" s="174"/>
    </row>
    <row r="64" spans="1:4" x14ac:dyDescent="0.2">
      <c r="A64" s="17">
        <v>6</v>
      </c>
      <c r="B64" s="2" t="s">
        <v>115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130</v>
      </c>
      <c r="C65" s="53">
        <f>COMPOSICAO!D44</f>
        <v>0.05</v>
      </c>
      <c r="D65" s="12">
        <f>C65*$D$81</f>
        <v>445.60621127111108</v>
      </c>
    </row>
    <row r="66" spans="1:4" x14ac:dyDescent="0.2">
      <c r="A66" s="51" t="s">
        <v>3</v>
      </c>
      <c r="B66" s="52" t="s">
        <v>131</v>
      </c>
      <c r="C66" s="53">
        <f>COMPOSICAO!D45</f>
        <v>0.1</v>
      </c>
      <c r="D66" s="12">
        <f>C66*($D$81+$D$65)</f>
        <v>935.77304366933333</v>
      </c>
    </row>
    <row r="67" spans="1:4" x14ac:dyDescent="0.2">
      <c r="A67" s="51" t="s">
        <v>4</v>
      </c>
      <c r="B67" s="52" t="s">
        <v>132</v>
      </c>
      <c r="C67" s="53">
        <f>COMPOSICAO!D46</f>
        <v>9.2499999999999999E-2</v>
      </c>
      <c r="D67" s="12">
        <f>((D65+D66+D81)/(1-C67))-(D65+D66+D81)</f>
        <v>1049.2000792656163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73.727573137583832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340.28110678884843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226.85407119256564</v>
      </c>
    </row>
    <row r="71" spans="1:4" x14ac:dyDescent="0.2">
      <c r="A71" s="4" t="s">
        <v>29</v>
      </c>
      <c r="B71" s="106" t="s">
        <v>183</v>
      </c>
      <c r="C71" s="37">
        <f>COMPOSICAO!D50</f>
        <v>3.5999999999999997E-2</v>
      </c>
      <c r="D71" s="12">
        <f t="shared" si="2"/>
        <v>408.33732814661812</v>
      </c>
    </row>
    <row r="72" spans="1:4" x14ac:dyDescent="0.2">
      <c r="A72" s="178" t="s">
        <v>110</v>
      </c>
      <c r="B72" s="179"/>
      <c r="C72" s="55">
        <f>SUM(C65:C67)</f>
        <v>0.24250000000000002</v>
      </c>
      <c r="D72" s="12">
        <f>SUM(D65:D67)</f>
        <v>2430.5793342060606</v>
      </c>
    </row>
    <row r="73" spans="1:4" x14ac:dyDescent="0.2">
      <c r="A73" s="13"/>
      <c r="B73" s="14"/>
      <c r="C73" s="15"/>
      <c r="D73" s="16"/>
    </row>
    <row r="74" spans="1:4" x14ac:dyDescent="0.2">
      <c r="A74" s="186" t="s">
        <v>111</v>
      </c>
      <c r="B74" s="187"/>
      <c r="C74" s="187"/>
      <c r="D74" s="188"/>
    </row>
    <row r="75" spans="1:4" x14ac:dyDescent="0.2">
      <c r="A75" s="26" t="s">
        <v>112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133</v>
      </c>
      <c r="C76" s="58"/>
      <c r="D76" s="8">
        <f>D7</f>
        <v>5412.32</v>
      </c>
    </row>
    <row r="77" spans="1:4" x14ac:dyDescent="0.2">
      <c r="A77" s="4">
        <v>2</v>
      </c>
      <c r="B77" s="46" t="s">
        <v>134</v>
      </c>
      <c r="C77" s="58"/>
      <c r="D77" s="8">
        <f>D43</f>
        <v>3195.0665546666664</v>
      </c>
    </row>
    <row r="78" spans="1:4" x14ac:dyDescent="0.2">
      <c r="A78" s="4">
        <v>3</v>
      </c>
      <c r="B78" s="46" t="s">
        <v>135</v>
      </c>
      <c r="C78" s="58"/>
      <c r="D78" s="8">
        <f>D53</f>
        <v>304.73767075555548</v>
      </c>
    </row>
    <row r="79" spans="1:4" x14ac:dyDescent="0.2">
      <c r="A79" s="4">
        <v>4</v>
      </c>
      <c r="B79" s="46" t="s">
        <v>136</v>
      </c>
      <c r="C79" s="58"/>
      <c r="D79" s="8">
        <v>0</v>
      </c>
    </row>
    <row r="80" spans="1:4" x14ac:dyDescent="0.2">
      <c r="A80" s="4">
        <v>5</v>
      </c>
      <c r="B80" s="46" t="s">
        <v>137</v>
      </c>
      <c r="C80" s="58"/>
      <c r="D80" s="8">
        <v>0</v>
      </c>
    </row>
    <row r="81" spans="1:4" x14ac:dyDescent="0.2">
      <c r="A81" s="59" t="s">
        <v>113</v>
      </c>
      <c r="B81" s="10"/>
      <c r="C81" s="11"/>
      <c r="D81" s="12">
        <f>SUM(D76:D80)</f>
        <v>8912.1242254222216</v>
      </c>
    </row>
    <row r="82" spans="1:4" x14ac:dyDescent="0.2">
      <c r="A82" s="4">
        <v>6</v>
      </c>
      <c r="B82" s="46" t="s">
        <v>138</v>
      </c>
      <c r="C82" s="58"/>
      <c r="D82" s="8">
        <f>D72</f>
        <v>2430.5793342060606</v>
      </c>
    </row>
    <row r="83" spans="1:4" x14ac:dyDescent="0.2">
      <c r="A83" s="178" t="s">
        <v>114</v>
      </c>
      <c r="B83" s="189"/>
      <c r="C83" s="179"/>
      <c r="D83" s="60">
        <f>SUM(D81:D82)</f>
        <v>11342.703559628282</v>
      </c>
    </row>
    <row r="84" spans="1:4" x14ac:dyDescent="0.2">
      <c r="C84" s="108" t="s">
        <v>187</v>
      </c>
      <c r="D84" s="109">
        <f>ROUNDUP(D83/D76,2)</f>
        <v>2.0999999999999996</v>
      </c>
    </row>
    <row r="85" spans="1:4" x14ac:dyDescent="0.2"/>
    <row r="86" spans="1:4" hidden="1" x14ac:dyDescent="0.2">
      <c r="D86" s="111"/>
    </row>
  </sheetData>
  <mergeCells count="22"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</mergeCells>
  <conditionalFormatting sqref="B69">
    <cfRule type="expression" dxfId="30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78CADF-233A-4E0D-8E4C-0C6AA97C1BB7}">
  <sheetPr codeName="Planilha6"/>
  <dimension ref="A1:D86"/>
  <sheetViews>
    <sheetView zoomScaleNormal="100" workbookViewId="0">
      <selection activeCell="F24" sqref="F24:F31"/>
    </sheetView>
  </sheetViews>
  <sheetFormatPr defaultColWidth="0" defaultRowHeight="12" zeroHeight="1" x14ac:dyDescent="0.2"/>
  <cols>
    <col min="1" max="1" width="5.85546875" style="107" customWidth="1"/>
    <col min="2" max="2" width="83.28515625" style="107" customWidth="1"/>
    <col min="3" max="3" width="12.42578125" style="107" customWidth="1"/>
    <col min="4" max="4" width="15.42578125" style="107" customWidth="1"/>
    <col min="5" max="5" width="9.140625" style="107" hidden="1" customWidth="1"/>
    <col min="6" max="16384" width="9.140625" style="107" hidden="1"/>
  </cols>
  <sheetData>
    <row r="1" spans="1:4" ht="12.75" thickBot="1" x14ac:dyDescent="0.25">
      <c r="A1" s="180" t="str">
        <f>PERFIS!C6</f>
        <v>Analista de Testes/Qualidade - Pleno</v>
      </c>
      <c r="B1" s="181"/>
      <c r="C1" s="181"/>
      <c r="D1" s="182"/>
    </row>
    <row r="2" spans="1:4" x14ac:dyDescent="0.2">
      <c r="A2" s="110"/>
      <c r="B2" s="110"/>
      <c r="C2" s="110"/>
      <c r="D2" s="110"/>
    </row>
    <row r="3" spans="1:4" x14ac:dyDescent="0.2">
      <c r="A3" s="169" t="s">
        <v>93</v>
      </c>
      <c r="B3" s="170"/>
      <c r="C3" s="170"/>
      <c r="D3" s="171"/>
    </row>
    <row r="4" spans="1:4" x14ac:dyDescent="0.2">
      <c r="A4" s="172" t="s">
        <v>94</v>
      </c>
      <c r="B4" s="173"/>
      <c r="C4" s="173"/>
      <c r="D4" s="174"/>
    </row>
    <row r="5" spans="1:4" x14ac:dyDescent="0.2">
      <c r="A5" s="1">
        <v>1</v>
      </c>
      <c r="B5" s="2" t="s">
        <v>115</v>
      </c>
      <c r="C5" s="3"/>
      <c r="D5" s="1" t="s">
        <v>1</v>
      </c>
    </row>
    <row r="6" spans="1:4" x14ac:dyDescent="0.2">
      <c r="A6" s="4" t="s">
        <v>2</v>
      </c>
      <c r="B6" s="5" t="s">
        <v>116</v>
      </c>
      <c r="C6" s="6">
        <v>1</v>
      </c>
      <c r="D6" s="7">
        <f>_xlfn.XLOOKUP(A1,PERFIS!C3:C35,PERFIS!D3:D35)</f>
        <v>7795.75</v>
      </c>
    </row>
    <row r="7" spans="1:4" x14ac:dyDescent="0.2">
      <c r="A7" s="9" t="s">
        <v>95</v>
      </c>
      <c r="B7" s="10"/>
      <c r="C7" s="11"/>
      <c r="D7" s="12">
        <f>SUM(D6)</f>
        <v>7795.75</v>
      </c>
    </row>
    <row r="8" spans="1:4" x14ac:dyDescent="0.2">
      <c r="A8" s="13"/>
      <c r="B8" s="14"/>
      <c r="C8" s="15"/>
      <c r="D8" s="16"/>
    </row>
    <row r="9" spans="1:4" x14ac:dyDescent="0.2">
      <c r="A9" s="172" t="s">
        <v>96</v>
      </c>
      <c r="B9" s="173"/>
      <c r="C9" s="173"/>
      <c r="D9" s="174"/>
    </row>
    <row r="10" spans="1:4" x14ac:dyDescent="0.2">
      <c r="A10" s="175" t="s">
        <v>190</v>
      </c>
      <c r="B10" s="176"/>
      <c r="C10" s="176"/>
      <c r="D10" s="177"/>
    </row>
    <row r="11" spans="1:4" x14ac:dyDescent="0.2">
      <c r="A11" s="17" t="s">
        <v>9</v>
      </c>
      <c r="B11" s="2" t="s">
        <v>115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117</v>
      </c>
      <c r="C12" s="21">
        <f>COMPOSICAO!D3</f>
        <v>8.3333333333333329E-2</v>
      </c>
      <c r="D12" s="22">
        <f>C12*$D$7</f>
        <v>649.64583333333326</v>
      </c>
    </row>
    <row r="13" spans="1:4" x14ac:dyDescent="0.2">
      <c r="A13" s="19" t="s">
        <v>3</v>
      </c>
      <c r="B13" s="20" t="s">
        <v>185</v>
      </c>
      <c r="C13" s="21">
        <f>COMPOSICAO!D4</f>
        <v>7.7777777777777779E-2</v>
      </c>
      <c r="D13" s="22">
        <f>C13*$D$7</f>
        <v>606.33611111111111</v>
      </c>
    </row>
    <row r="14" spans="1:4" x14ac:dyDescent="0.2">
      <c r="A14" s="178" t="s">
        <v>191</v>
      </c>
      <c r="B14" s="179"/>
      <c r="C14" s="23">
        <f>SUM(C12:C13)</f>
        <v>0.16111111111111109</v>
      </c>
      <c r="D14" s="12">
        <f>SUM(D12:D13)</f>
        <v>1255.9819444444443</v>
      </c>
    </row>
    <row r="15" spans="1:4" x14ac:dyDescent="0.2">
      <c r="A15" s="13"/>
      <c r="B15" s="14"/>
      <c r="C15" s="24"/>
      <c r="D15" s="16"/>
    </row>
    <row r="16" spans="1:4" x14ac:dyDescent="0.2">
      <c r="A16" s="194" t="s">
        <v>98</v>
      </c>
      <c r="B16" s="195"/>
      <c r="C16" s="195"/>
      <c r="D16" s="196"/>
    </row>
    <row r="17" spans="1:4" x14ac:dyDescent="0.2">
      <c r="A17" s="17" t="s">
        <v>10</v>
      </c>
      <c r="B17" s="2" t="s">
        <v>115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118</v>
      </c>
      <c r="C18" s="21">
        <v>0.05</v>
      </c>
      <c r="D18" s="22">
        <f>C18*($D$7+$D$14)</f>
        <v>452.58659722222222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226.29329861111111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271.55195833333329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135.77597916666664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90.517319444444439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54.310391666666661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18.103463888888889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724.13855555555551</v>
      </c>
    </row>
    <row r="26" spans="1:4" x14ac:dyDescent="0.2">
      <c r="A26" s="192" t="s">
        <v>99</v>
      </c>
      <c r="B26" s="193"/>
      <c r="C26" s="27">
        <f>SUM(C18:C25)</f>
        <v>0.21800000000000003</v>
      </c>
      <c r="D26" s="28">
        <f>SUM(D18:D25)</f>
        <v>1973.2775638888888</v>
      </c>
    </row>
    <row r="27" spans="1:4" x14ac:dyDescent="0.2">
      <c r="A27" s="13"/>
      <c r="B27" s="14"/>
      <c r="C27" s="29"/>
      <c r="D27" s="16"/>
    </row>
    <row r="28" spans="1:4" x14ac:dyDescent="0.2">
      <c r="A28" s="194" t="s">
        <v>100</v>
      </c>
      <c r="B28" s="195"/>
      <c r="C28" s="195"/>
      <c r="D28" s="196"/>
    </row>
    <row r="29" spans="1:4" x14ac:dyDescent="0.2">
      <c r="A29" s="17" t="s">
        <v>19</v>
      </c>
      <c r="B29" s="194" t="s">
        <v>115</v>
      </c>
      <c r="C29" s="196"/>
      <c r="D29" s="17" t="s">
        <v>1</v>
      </c>
    </row>
    <row r="30" spans="1:4" x14ac:dyDescent="0.2">
      <c r="A30" s="183" t="s">
        <v>2</v>
      </c>
      <c r="B30" s="30" t="s">
        <v>119</v>
      </c>
      <c r="C30" s="31"/>
      <c r="D30" s="7">
        <f>COMPOSICAO!D20*2*22</f>
        <v>242</v>
      </c>
    </row>
    <row r="31" spans="1:4" x14ac:dyDescent="0.2">
      <c r="A31" s="184"/>
      <c r="B31" s="30" t="s">
        <v>20</v>
      </c>
      <c r="C31" s="31"/>
      <c r="D31" s="7">
        <f>D6*COMPOSICAO!D21</f>
        <v>467.745</v>
      </c>
    </row>
    <row r="32" spans="1:4" x14ac:dyDescent="0.2">
      <c r="A32" s="185"/>
      <c r="B32" s="88" t="s">
        <v>21</v>
      </c>
      <c r="C32" s="89"/>
      <c r="D32" s="39">
        <f>IF(D30-D31&gt;0,D30-D31,0)</f>
        <v>0</v>
      </c>
    </row>
    <row r="33" spans="1:4" x14ac:dyDescent="0.2">
      <c r="A33" s="183" t="s">
        <v>3</v>
      </c>
      <c r="B33" s="30" t="s">
        <v>120</v>
      </c>
      <c r="D33" s="7">
        <f>COMPOSICAO!D23*22</f>
        <v>814</v>
      </c>
    </row>
    <row r="34" spans="1:4" x14ac:dyDescent="0.2">
      <c r="A34" s="184"/>
      <c r="B34" s="30" t="s">
        <v>181</v>
      </c>
      <c r="C34" s="104" cm="1">
        <f t="array" ref="C34">_xlfn.IFS(D6&lt;2407,COMPOSICAO!D25,D6&lt;4073.39,COMPOSICAO!D26,D6&lt;5924.92,COMPOSICAO!D27,D6&lt;7406.17,COMPOSICAO!D28,D6&lt;9072.58,COMPOSICAO!D29,D6&gt;9072.59,COMPOSICAO!D30)</f>
        <v>0.1125</v>
      </c>
      <c r="D34" s="7">
        <f>D33*C34</f>
        <v>91.575000000000003</v>
      </c>
    </row>
    <row r="35" spans="1:4" x14ac:dyDescent="0.2">
      <c r="A35" s="185"/>
      <c r="B35" s="88" t="s">
        <v>182</v>
      </c>
      <c r="C35" s="90"/>
      <c r="D35" s="39">
        <f>D33-D34</f>
        <v>722.42499999999995</v>
      </c>
    </row>
    <row r="36" spans="1:4" x14ac:dyDescent="0.2">
      <c r="A36" s="4" t="s">
        <v>4</v>
      </c>
      <c r="B36" s="30" t="s">
        <v>167</v>
      </c>
      <c r="C36" s="31"/>
      <c r="D36" s="151">
        <f>COMPOSICAO!D31</f>
        <v>184.85</v>
      </c>
    </row>
    <row r="37" spans="1:4" x14ac:dyDescent="0.2">
      <c r="A37" s="9" t="s">
        <v>101</v>
      </c>
      <c r="B37" s="10"/>
      <c r="C37" s="11"/>
      <c r="D37" s="12">
        <f>SUM(D32,D35,D36)</f>
        <v>907.27499999999998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121</v>
      </c>
      <c r="C39" s="33"/>
      <c r="D39" s="17" t="s">
        <v>1</v>
      </c>
    </row>
    <row r="40" spans="1:4" x14ac:dyDescent="0.2">
      <c r="A40" s="4" t="s">
        <v>9</v>
      </c>
      <c r="B40" s="30" t="s">
        <v>122</v>
      </c>
      <c r="C40" s="34"/>
      <c r="D40" s="8">
        <f>D14</f>
        <v>1255.9819444444443</v>
      </c>
    </row>
    <row r="41" spans="1:4" x14ac:dyDescent="0.2">
      <c r="A41" s="4" t="s">
        <v>10</v>
      </c>
      <c r="B41" s="30" t="s">
        <v>123</v>
      </c>
      <c r="C41" s="34"/>
      <c r="D41" s="8">
        <f>D26</f>
        <v>1973.2775638888888</v>
      </c>
    </row>
    <row r="42" spans="1:4" x14ac:dyDescent="0.2">
      <c r="A42" s="4" t="s">
        <v>19</v>
      </c>
      <c r="B42" s="30" t="s">
        <v>124</v>
      </c>
      <c r="C42" s="34"/>
      <c r="D42" s="8">
        <f>D37</f>
        <v>907.27499999999998</v>
      </c>
    </row>
    <row r="43" spans="1:4" x14ac:dyDescent="0.2">
      <c r="A43" s="178" t="s">
        <v>102</v>
      </c>
      <c r="B43" s="189"/>
      <c r="C43" s="35"/>
      <c r="D43" s="12">
        <f>SUM(D40:D42)</f>
        <v>4136.5345083333332</v>
      </c>
    </row>
    <row r="44" spans="1:4" x14ac:dyDescent="0.2">
      <c r="A44" s="13"/>
      <c r="B44" s="14"/>
      <c r="C44" s="15"/>
      <c r="D44" s="16"/>
    </row>
    <row r="45" spans="1:4" x14ac:dyDescent="0.2">
      <c r="A45" s="172" t="s">
        <v>103</v>
      </c>
      <c r="B45" s="173"/>
      <c r="C45" s="173"/>
      <c r="D45" s="174"/>
    </row>
    <row r="46" spans="1:4" x14ac:dyDescent="0.2">
      <c r="A46" s="17">
        <v>3</v>
      </c>
      <c r="B46" s="2" t="s">
        <v>115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32.482291666666669</v>
      </c>
    </row>
    <row r="48" spans="1:4" x14ac:dyDescent="0.2">
      <c r="A48" s="4" t="s">
        <v>3</v>
      </c>
      <c r="B48" s="30" t="s">
        <v>125</v>
      </c>
      <c r="C48" s="37">
        <f>COMPOSICAO!D35</f>
        <v>3.3333333333333332E-4</v>
      </c>
      <c r="D48" s="22">
        <f>C48*$D$7</f>
        <v>2.5985833333333335</v>
      </c>
    </row>
    <row r="49" spans="1:4" x14ac:dyDescent="0.2">
      <c r="A49" s="19" t="s">
        <v>4</v>
      </c>
      <c r="B49" s="20" t="s">
        <v>126</v>
      </c>
      <c r="C49" s="37">
        <f>COMPOSICAO!D36</f>
        <v>3.4399999999999993E-2</v>
      </c>
      <c r="D49" s="22">
        <f t="shared" ref="D49:D52" si="1">C49*$D$7</f>
        <v>268.17379999999997</v>
      </c>
    </row>
    <row r="50" spans="1:4" x14ac:dyDescent="0.2">
      <c r="A50" s="4" t="s">
        <v>5</v>
      </c>
      <c r="B50" s="30" t="s">
        <v>127</v>
      </c>
      <c r="C50" s="37">
        <f>COMPOSICAO!D37</f>
        <v>1.2444444444444444E-2</v>
      </c>
      <c r="D50" s="22">
        <f t="shared" si="1"/>
        <v>97.013777777777776</v>
      </c>
    </row>
    <row r="51" spans="1:4" x14ac:dyDescent="0.2">
      <c r="A51" s="4" t="s">
        <v>6</v>
      </c>
      <c r="B51" s="30" t="s">
        <v>128</v>
      </c>
      <c r="C51" s="37">
        <f>COMPOSICAO!D38</f>
        <v>4.5631999999999999E-3</v>
      </c>
      <c r="D51" s="22">
        <f t="shared" si="1"/>
        <v>35.573566399999997</v>
      </c>
    </row>
    <row r="52" spans="1:4" x14ac:dyDescent="0.2">
      <c r="A52" s="4" t="s">
        <v>7</v>
      </c>
      <c r="B52" s="30" t="s">
        <v>129</v>
      </c>
      <c r="C52" s="37">
        <f>COMPOSICAO!D39</f>
        <v>3.9680000000000005E-4</v>
      </c>
      <c r="D52" s="22">
        <f t="shared" si="1"/>
        <v>3.0933536000000004</v>
      </c>
    </row>
    <row r="53" spans="1:4" x14ac:dyDescent="0.2">
      <c r="A53" s="190" t="s">
        <v>104</v>
      </c>
      <c r="B53" s="191"/>
      <c r="C53" s="38">
        <f>SUM(C47:C52)</f>
        <v>5.6304444444444435E-2</v>
      </c>
      <c r="D53" s="39">
        <f>SUM(D47:D52)</f>
        <v>438.93537277777773</v>
      </c>
    </row>
    <row r="54" spans="1:4" x14ac:dyDescent="0.2">
      <c r="A54" s="13"/>
      <c r="B54" s="14"/>
      <c r="C54" s="40"/>
      <c r="D54" s="16"/>
    </row>
    <row r="55" spans="1:4" x14ac:dyDescent="0.2">
      <c r="A55" s="172" t="s">
        <v>105</v>
      </c>
      <c r="B55" s="173"/>
      <c r="C55" s="173"/>
      <c r="D55" s="174"/>
    </row>
    <row r="56" spans="1:4" x14ac:dyDescent="0.2">
      <c r="A56" s="17">
        <v>4</v>
      </c>
      <c r="B56" s="2" t="s">
        <v>115</v>
      </c>
      <c r="C56" s="36" t="s">
        <v>0</v>
      </c>
      <c r="D56" s="17" t="s">
        <v>1</v>
      </c>
    </row>
    <row r="57" spans="1:4" x14ac:dyDescent="0.2">
      <c r="A57" s="190" t="s">
        <v>106</v>
      </c>
      <c r="B57" s="191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2" t="s">
        <v>107</v>
      </c>
      <c r="B59" s="173"/>
      <c r="C59" s="173"/>
      <c r="D59" s="174"/>
    </row>
    <row r="60" spans="1:4" x14ac:dyDescent="0.2">
      <c r="A60" s="17">
        <v>5</v>
      </c>
      <c r="B60" s="43" t="s">
        <v>115</v>
      </c>
      <c r="C60" s="44"/>
      <c r="D60" s="45" t="s">
        <v>1</v>
      </c>
    </row>
    <row r="61" spans="1:4" x14ac:dyDescent="0.2">
      <c r="A61" s="9" t="s">
        <v>108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2" t="s">
        <v>109</v>
      </c>
      <c r="B63" s="173"/>
      <c r="C63" s="173"/>
      <c r="D63" s="174"/>
    </row>
    <row r="64" spans="1:4" x14ac:dyDescent="0.2">
      <c r="A64" s="17">
        <v>6</v>
      </c>
      <c r="B64" s="2" t="s">
        <v>115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130</v>
      </c>
      <c r="C65" s="53">
        <f>COMPOSICAO!D44</f>
        <v>0.05</v>
      </c>
      <c r="D65" s="12">
        <f>C65*$D$81</f>
        <v>618.56099405555562</v>
      </c>
    </row>
    <row r="66" spans="1:4" x14ac:dyDescent="0.2">
      <c r="A66" s="51" t="s">
        <v>3</v>
      </c>
      <c r="B66" s="52" t="s">
        <v>131</v>
      </c>
      <c r="C66" s="53">
        <f>COMPOSICAO!D45</f>
        <v>0.1</v>
      </c>
      <c r="D66" s="12">
        <f>C66*($D$81+$D$65)</f>
        <v>1298.9780875166668</v>
      </c>
    </row>
    <row r="67" spans="1:4" x14ac:dyDescent="0.2">
      <c r="A67" s="51" t="s">
        <v>4</v>
      </c>
      <c r="B67" s="52" t="s">
        <v>132</v>
      </c>
      <c r="C67" s="53">
        <f>COMPOSICAO!D46</f>
        <v>9.2499999999999999E-2</v>
      </c>
      <c r="D67" s="12">
        <f>((D65+D66+D81)/(1-C67))-(D65+D66+D81)</f>
        <v>1456.4299769126264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102.34372810737374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472.35566818787879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314.90377879191919</v>
      </c>
    </row>
    <row r="71" spans="1:4" x14ac:dyDescent="0.2">
      <c r="A71" s="4" t="s">
        <v>29</v>
      </c>
      <c r="B71" s="106" t="s">
        <v>183</v>
      </c>
      <c r="C71" s="37">
        <f>COMPOSICAO!D50</f>
        <v>3.5999999999999997E-2</v>
      </c>
      <c r="D71" s="12">
        <f t="shared" si="2"/>
        <v>566.8268018254546</v>
      </c>
    </row>
    <row r="72" spans="1:4" x14ac:dyDescent="0.2">
      <c r="A72" s="178" t="s">
        <v>110</v>
      </c>
      <c r="B72" s="179"/>
      <c r="C72" s="55">
        <f>SUM(C65:C67)</f>
        <v>0.24250000000000002</v>
      </c>
      <c r="D72" s="12">
        <f>SUM(D65:D67)</f>
        <v>3373.969058484849</v>
      </c>
    </row>
    <row r="73" spans="1:4" x14ac:dyDescent="0.2">
      <c r="A73" s="13"/>
      <c r="B73" s="14"/>
      <c r="C73" s="15"/>
      <c r="D73" s="16"/>
    </row>
    <row r="74" spans="1:4" x14ac:dyDescent="0.2">
      <c r="A74" s="186" t="s">
        <v>111</v>
      </c>
      <c r="B74" s="187"/>
      <c r="C74" s="187"/>
      <c r="D74" s="188"/>
    </row>
    <row r="75" spans="1:4" x14ac:dyDescent="0.2">
      <c r="A75" s="26" t="s">
        <v>112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133</v>
      </c>
      <c r="C76" s="58"/>
      <c r="D76" s="8">
        <f>D7</f>
        <v>7795.75</v>
      </c>
    </row>
    <row r="77" spans="1:4" x14ac:dyDescent="0.2">
      <c r="A77" s="4">
        <v>2</v>
      </c>
      <c r="B77" s="46" t="s">
        <v>134</v>
      </c>
      <c r="C77" s="58"/>
      <c r="D77" s="8">
        <f>D43</f>
        <v>4136.5345083333332</v>
      </c>
    </row>
    <row r="78" spans="1:4" x14ac:dyDescent="0.2">
      <c r="A78" s="4">
        <v>3</v>
      </c>
      <c r="B78" s="46" t="s">
        <v>135</v>
      </c>
      <c r="C78" s="58"/>
      <c r="D78" s="8">
        <f>D53</f>
        <v>438.93537277777773</v>
      </c>
    </row>
    <row r="79" spans="1:4" x14ac:dyDescent="0.2">
      <c r="A79" s="4">
        <v>4</v>
      </c>
      <c r="B79" s="46" t="s">
        <v>136</v>
      </c>
      <c r="C79" s="58"/>
      <c r="D79" s="8">
        <v>0</v>
      </c>
    </row>
    <row r="80" spans="1:4" x14ac:dyDescent="0.2">
      <c r="A80" s="4">
        <v>5</v>
      </c>
      <c r="B80" s="46" t="s">
        <v>137</v>
      </c>
      <c r="C80" s="58"/>
      <c r="D80" s="8">
        <v>0</v>
      </c>
    </row>
    <row r="81" spans="1:4" x14ac:dyDescent="0.2">
      <c r="A81" s="59" t="s">
        <v>113</v>
      </c>
      <c r="B81" s="10"/>
      <c r="C81" s="11"/>
      <c r="D81" s="12">
        <f>SUM(D76:D80)</f>
        <v>12371.219881111112</v>
      </c>
    </row>
    <row r="82" spans="1:4" x14ac:dyDescent="0.2">
      <c r="A82" s="4">
        <v>6</v>
      </c>
      <c r="B82" s="46" t="s">
        <v>138</v>
      </c>
      <c r="C82" s="58"/>
      <c r="D82" s="8">
        <f>D72</f>
        <v>3373.969058484849</v>
      </c>
    </row>
    <row r="83" spans="1:4" x14ac:dyDescent="0.2">
      <c r="A83" s="178" t="s">
        <v>114</v>
      </c>
      <c r="B83" s="189"/>
      <c r="C83" s="179"/>
      <c r="D83" s="60">
        <f>SUM(D81:D82)</f>
        <v>15745.188939595961</v>
      </c>
    </row>
    <row r="84" spans="1:4" x14ac:dyDescent="0.2">
      <c r="C84" s="108" t="s">
        <v>187</v>
      </c>
      <c r="D84" s="109">
        <f>ROUNDUP(D83/D76,2)</f>
        <v>2.0199999999999996</v>
      </c>
    </row>
    <row r="85" spans="1:4" x14ac:dyDescent="0.2"/>
    <row r="86" spans="1:4" hidden="1" x14ac:dyDescent="0.2">
      <c r="D86" s="111"/>
    </row>
  </sheetData>
  <mergeCells count="22"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</mergeCells>
  <conditionalFormatting sqref="B69">
    <cfRule type="expression" dxfId="29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131FDF-75C8-4976-9DAE-8874C84421AF}">
  <sheetPr codeName="Planilha7"/>
  <dimension ref="A1:D86"/>
  <sheetViews>
    <sheetView zoomScaleNormal="100" workbookViewId="0">
      <selection activeCell="F24" sqref="F24:F31"/>
    </sheetView>
  </sheetViews>
  <sheetFormatPr defaultColWidth="0" defaultRowHeight="12" zeroHeight="1" x14ac:dyDescent="0.2"/>
  <cols>
    <col min="1" max="1" width="5.85546875" style="107" customWidth="1"/>
    <col min="2" max="2" width="83.28515625" style="107" customWidth="1"/>
    <col min="3" max="3" width="12.42578125" style="107" customWidth="1"/>
    <col min="4" max="4" width="15.42578125" style="107" customWidth="1"/>
    <col min="5" max="5" width="9.140625" style="107" hidden="1" customWidth="1"/>
    <col min="6" max="16384" width="9.140625" style="107" hidden="1"/>
  </cols>
  <sheetData>
    <row r="1" spans="1:4" ht="12.75" thickBot="1" x14ac:dyDescent="0.25">
      <c r="A1" s="180" t="str">
        <f>PERFIS!C7</f>
        <v>Analista de Testes/Qualidade - Sênior</v>
      </c>
      <c r="B1" s="181"/>
      <c r="C1" s="181"/>
      <c r="D1" s="182"/>
    </row>
    <row r="2" spans="1:4" x14ac:dyDescent="0.2">
      <c r="A2" s="110"/>
      <c r="B2" s="110"/>
      <c r="C2" s="110"/>
      <c r="D2" s="110"/>
    </row>
    <row r="3" spans="1:4" x14ac:dyDescent="0.2">
      <c r="A3" s="169" t="s">
        <v>93</v>
      </c>
      <c r="B3" s="170"/>
      <c r="C3" s="170"/>
      <c r="D3" s="171"/>
    </row>
    <row r="4" spans="1:4" x14ac:dyDescent="0.2">
      <c r="A4" s="172" t="s">
        <v>94</v>
      </c>
      <c r="B4" s="173"/>
      <c r="C4" s="173"/>
      <c r="D4" s="174"/>
    </row>
    <row r="5" spans="1:4" x14ac:dyDescent="0.2">
      <c r="A5" s="1">
        <v>1</v>
      </c>
      <c r="B5" s="2" t="s">
        <v>115</v>
      </c>
      <c r="C5" s="3"/>
      <c r="D5" s="1" t="s">
        <v>1</v>
      </c>
    </row>
    <row r="6" spans="1:4" x14ac:dyDescent="0.2">
      <c r="A6" s="4" t="s">
        <v>2</v>
      </c>
      <c r="B6" s="5" t="s">
        <v>116</v>
      </c>
      <c r="C6" s="6">
        <v>1</v>
      </c>
      <c r="D6" s="7">
        <f>_xlfn.XLOOKUP(A1,PERFIS!C3:C35,PERFIS!D3:D35)</f>
        <v>11081.16</v>
      </c>
    </row>
    <row r="7" spans="1:4" x14ac:dyDescent="0.2">
      <c r="A7" s="9" t="s">
        <v>95</v>
      </c>
      <c r="B7" s="10"/>
      <c r="C7" s="11"/>
      <c r="D7" s="12">
        <f>SUM(D6)</f>
        <v>11081.16</v>
      </c>
    </row>
    <row r="8" spans="1:4" x14ac:dyDescent="0.2">
      <c r="A8" s="13"/>
      <c r="B8" s="14"/>
      <c r="C8" s="15"/>
      <c r="D8" s="16"/>
    </row>
    <row r="9" spans="1:4" x14ac:dyDescent="0.2">
      <c r="A9" s="172" t="s">
        <v>96</v>
      </c>
      <c r="B9" s="173"/>
      <c r="C9" s="173"/>
      <c r="D9" s="174"/>
    </row>
    <row r="10" spans="1:4" x14ac:dyDescent="0.2">
      <c r="A10" s="175" t="s">
        <v>190</v>
      </c>
      <c r="B10" s="176"/>
      <c r="C10" s="176"/>
      <c r="D10" s="177"/>
    </row>
    <row r="11" spans="1:4" x14ac:dyDescent="0.2">
      <c r="A11" s="17" t="s">
        <v>9</v>
      </c>
      <c r="B11" s="2" t="s">
        <v>115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117</v>
      </c>
      <c r="C12" s="21">
        <f>COMPOSICAO!D3</f>
        <v>8.3333333333333329E-2</v>
      </c>
      <c r="D12" s="22">
        <f>C12*$D$7</f>
        <v>923.43</v>
      </c>
    </row>
    <row r="13" spans="1:4" x14ac:dyDescent="0.2">
      <c r="A13" s="19" t="s">
        <v>3</v>
      </c>
      <c r="B13" s="20" t="s">
        <v>185</v>
      </c>
      <c r="C13" s="21">
        <f>COMPOSICAO!D4</f>
        <v>7.7777777777777779E-2</v>
      </c>
      <c r="D13" s="22">
        <f>C13*$D$7</f>
        <v>861.86800000000005</v>
      </c>
    </row>
    <row r="14" spans="1:4" x14ac:dyDescent="0.2">
      <c r="A14" s="178" t="s">
        <v>191</v>
      </c>
      <c r="B14" s="179"/>
      <c r="C14" s="23">
        <f>SUM(C12:C13)</f>
        <v>0.16111111111111109</v>
      </c>
      <c r="D14" s="12">
        <f>SUM(D12:D13)</f>
        <v>1785.298</v>
      </c>
    </row>
    <row r="15" spans="1:4" x14ac:dyDescent="0.2">
      <c r="A15" s="13"/>
      <c r="B15" s="14"/>
      <c r="C15" s="24"/>
      <c r="D15" s="16"/>
    </row>
    <row r="16" spans="1:4" x14ac:dyDescent="0.2">
      <c r="A16" s="194" t="s">
        <v>98</v>
      </c>
      <c r="B16" s="195"/>
      <c r="C16" s="195"/>
      <c r="D16" s="196"/>
    </row>
    <row r="17" spans="1:4" x14ac:dyDescent="0.2">
      <c r="A17" s="17" t="s">
        <v>10</v>
      </c>
      <c r="B17" s="2" t="s">
        <v>115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118</v>
      </c>
      <c r="C18" s="21">
        <v>0.05</v>
      </c>
      <c r="D18" s="22">
        <f>C18*($D$7+$D$14)</f>
        <v>643.32290000000012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321.66145000000006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385.99374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192.99687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128.66458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77.198748000000009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25.732916000000003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1029.31664</v>
      </c>
    </row>
    <row r="26" spans="1:4" x14ac:dyDescent="0.2">
      <c r="A26" s="192" t="s">
        <v>99</v>
      </c>
      <c r="B26" s="193"/>
      <c r="C26" s="27">
        <f>SUM(C18:C25)</f>
        <v>0.21800000000000003</v>
      </c>
      <c r="D26" s="28">
        <f>SUM(D18:D25)</f>
        <v>2804.8878439999999</v>
      </c>
    </row>
    <row r="27" spans="1:4" x14ac:dyDescent="0.2">
      <c r="A27" s="13"/>
      <c r="B27" s="14"/>
      <c r="C27" s="29"/>
      <c r="D27" s="16"/>
    </row>
    <row r="28" spans="1:4" x14ac:dyDescent="0.2">
      <c r="A28" s="194" t="s">
        <v>100</v>
      </c>
      <c r="B28" s="195"/>
      <c r="C28" s="195"/>
      <c r="D28" s="196"/>
    </row>
    <row r="29" spans="1:4" x14ac:dyDescent="0.2">
      <c r="A29" s="17" t="s">
        <v>19</v>
      </c>
      <c r="B29" s="194" t="s">
        <v>115</v>
      </c>
      <c r="C29" s="196"/>
      <c r="D29" s="17" t="s">
        <v>1</v>
      </c>
    </row>
    <row r="30" spans="1:4" x14ac:dyDescent="0.2">
      <c r="A30" s="183" t="s">
        <v>2</v>
      </c>
      <c r="B30" s="30" t="s">
        <v>119</v>
      </c>
      <c r="C30" s="31"/>
      <c r="D30" s="7">
        <f>COMPOSICAO!D20*2*22</f>
        <v>242</v>
      </c>
    </row>
    <row r="31" spans="1:4" x14ac:dyDescent="0.2">
      <c r="A31" s="184"/>
      <c r="B31" s="30" t="s">
        <v>20</v>
      </c>
      <c r="C31" s="31"/>
      <c r="D31" s="7">
        <f>D6*COMPOSICAO!D21</f>
        <v>664.86959999999999</v>
      </c>
    </row>
    <row r="32" spans="1:4" x14ac:dyDescent="0.2">
      <c r="A32" s="185"/>
      <c r="B32" s="88" t="s">
        <v>21</v>
      </c>
      <c r="C32" s="89"/>
      <c r="D32" s="39">
        <f>IF(D30-D31&gt;0,D30-D31,0)</f>
        <v>0</v>
      </c>
    </row>
    <row r="33" spans="1:4" x14ac:dyDescent="0.2">
      <c r="A33" s="183" t="s">
        <v>3</v>
      </c>
      <c r="B33" s="30" t="s">
        <v>120</v>
      </c>
      <c r="D33" s="7">
        <f>COMPOSICAO!D23*22</f>
        <v>814</v>
      </c>
    </row>
    <row r="34" spans="1:4" x14ac:dyDescent="0.2">
      <c r="A34" s="184"/>
      <c r="B34" s="30" t="s">
        <v>181</v>
      </c>
      <c r="C34" s="104" cm="1">
        <f t="array" ref="C34">_xlfn.IFS(D6&lt;2407,COMPOSICAO!D25,D6&lt;4073.39,COMPOSICAO!D26,D6&lt;5924.92,COMPOSICAO!D27,D6&lt;7406.17,COMPOSICAO!D28,D6&lt;9072.58,COMPOSICAO!D29,D6&gt;9072.59,COMPOSICAO!D30)</f>
        <v>0.15</v>
      </c>
      <c r="D34" s="7">
        <f>D33*C34</f>
        <v>122.1</v>
      </c>
    </row>
    <row r="35" spans="1:4" x14ac:dyDescent="0.2">
      <c r="A35" s="185"/>
      <c r="B35" s="88" t="s">
        <v>182</v>
      </c>
      <c r="C35" s="90"/>
      <c r="D35" s="39">
        <f>D33-D34</f>
        <v>691.9</v>
      </c>
    </row>
    <row r="36" spans="1:4" x14ac:dyDescent="0.2">
      <c r="A36" s="4" t="s">
        <v>4</v>
      </c>
      <c r="B36" s="30" t="s">
        <v>167</v>
      </c>
      <c r="C36" s="31"/>
      <c r="D36" s="151">
        <f>COMPOSICAO!D31</f>
        <v>184.85</v>
      </c>
    </row>
    <row r="37" spans="1:4" x14ac:dyDescent="0.2">
      <c r="A37" s="9" t="s">
        <v>101</v>
      </c>
      <c r="B37" s="10"/>
      <c r="C37" s="11"/>
      <c r="D37" s="12">
        <f>SUM(D32,D35,D36)</f>
        <v>876.75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121</v>
      </c>
      <c r="C39" s="33"/>
      <c r="D39" s="17" t="s">
        <v>1</v>
      </c>
    </row>
    <row r="40" spans="1:4" x14ac:dyDescent="0.2">
      <c r="A40" s="4" t="s">
        <v>9</v>
      </c>
      <c r="B40" s="30" t="s">
        <v>122</v>
      </c>
      <c r="C40" s="34"/>
      <c r="D40" s="8">
        <f>D14</f>
        <v>1785.298</v>
      </c>
    </row>
    <row r="41" spans="1:4" x14ac:dyDescent="0.2">
      <c r="A41" s="4" t="s">
        <v>10</v>
      </c>
      <c r="B41" s="30" t="s">
        <v>123</v>
      </c>
      <c r="C41" s="34"/>
      <c r="D41" s="8">
        <f>D26</f>
        <v>2804.8878439999999</v>
      </c>
    </row>
    <row r="42" spans="1:4" x14ac:dyDescent="0.2">
      <c r="A42" s="4" t="s">
        <v>19</v>
      </c>
      <c r="B42" s="30" t="s">
        <v>124</v>
      </c>
      <c r="C42" s="34"/>
      <c r="D42" s="8">
        <f>D37</f>
        <v>876.75</v>
      </c>
    </row>
    <row r="43" spans="1:4" x14ac:dyDescent="0.2">
      <c r="A43" s="178" t="s">
        <v>102</v>
      </c>
      <c r="B43" s="189"/>
      <c r="C43" s="35"/>
      <c r="D43" s="12">
        <f>SUM(D40:D42)</f>
        <v>5466.9358439999996</v>
      </c>
    </row>
    <row r="44" spans="1:4" x14ac:dyDescent="0.2">
      <c r="A44" s="13"/>
      <c r="B44" s="14"/>
      <c r="C44" s="15"/>
      <c r="D44" s="16"/>
    </row>
    <row r="45" spans="1:4" x14ac:dyDescent="0.2">
      <c r="A45" s="172" t="s">
        <v>103</v>
      </c>
      <c r="B45" s="173"/>
      <c r="C45" s="173"/>
      <c r="D45" s="174"/>
    </row>
    <row r="46" spans="1:4" x14ac:dyDescent="0.2">
      <c r="A46" s="17">
        <v>3</v>
      </c>
      <c r="B46" s="2" t="s">
        <v>115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46.171500000000002</v>
      </c>
    </row>
    <row r="48" spans="1:4" x14ac:dyDescent="0.2">
      <c r="A48" s="4" t="s">
        <v>3</v>
      </c>
      <c r="B48" s="30" t="s">
        <v>125</v>
      </c>
      <c r="C48" s="37">
        <f>COMPOSICAO!D35</f>
        <v>3.3333333333333332E-4</v>
      </c>
      <c r="D48" s="22">
        <f>C48*$D$7</f>
        <v>3.6937199999999999</v>
      </c>
    </row>
    <row r="49" spans="1:4" x14ac:dyDescent="0.2">
      <c r="A49" s="19" t="s">
        <v>4</v>
      </c>
      <c r="B49" s="20" t="s">
        <v>126</v>
      </c>
      <c r="C49" s="37">
        <f>COMPOSICAO!D36</f>
        <v>3.4399999999999993E-2</v>
      </c>
      <c r="D49" s="22">
        <f t="shared" ref="D49:D52" si="1">C49*$D$7</f>
        <v>381.19190399999991</v>
      </c>
    </row>
    <row r="50" spans="1:4" x14ac:dyDescent="0.2">
      <c r="A50" s="4" t="s">
        <v>5</v>
      </c>
      <c r="B50" s="30" t="s">
        <v>127</v>
      </c>
      <c r="C50" s="37">
        <f>COMPOSICAO!D37</f>
        <v>1.2444444444444444E-2</v>
      </c>
      <c r="D50" s="22">
        <f t="shared" si="1"/>
        <v>137.89887999999999</v>
      </c>
    </row>
    <row r="51" spans="1:4" x14ac:dyDescent="0.2">
      <c r="A51" s="4" t="s">
        <v>6</v>
      </c>
      <c r="B51" s="30" t="s">
        <v>128</v>
      </c>
      <c r="C51" s="37">
        <f>COMPOSICAO!D38</f>
        <v>4.5631999999999999E-3</v>
      </c>
      <c r="D51" s="22">
        <f t="shared" si="1"/>
        <v>50.565549312000002</v>
      </c>
    </row>
    <row r="52" spans="1:4" x14ac:dyDescent="0.2">
      <c r="A52" s="4" t="s">
        <v>7</v>
      </c>
      <c r="B52" s="30" t="s">
        <v>129</v>
      </c>
      <c r="C52" s="37">
        <f>COMPOSICAO!D39</f>
        <v>3.9680000000000005E-4</v>
      </c>
      <c r="D52" s="22">
        <f t="shared" si="1"/>
        <v>4.3970042880000006</v>
      </c>
    </row>
    <row r="53" spans="1:4" x14ac:dyDescent="0.2">
      <c r="A53" s="190" t="s">
        <v>104</v>
      </c>
      <c r="B53" s="191"/>
      <c r="C53" s="38">
        <f>SUM(C47:C52)</f>
        <v>5.6304444444444435E-2</v>
      </c>
      <c r="D53" s="39">
        <f>SUM(D47:D52)</f>
        <v>623.91855759999987</v>
      </c>
    </row>
    <row r="54" spans="1:4" x14ac:dyDescent="0.2">
      <c r="A54" s="13"/>
      <c r="B54" s="14"/>
      <c r="C54" s="40"/>
      <c r="D54" s="16"/>
    </row>
    <row r="55" spans="1:4" x14ac:dyDescent="0.2">
      <c r="A55" s="172" t="s">
        <v>105</v>
      </c>
      <c r="B55" s="173"/>
      <c r="C55" s="173"/>
      <c r="D55" s="174"/>
    </row>
    <row r="56" spans="1:4" x14ac:dyDescent="0.2">
      <c r="A56" s="17">
        <v>4</v>
      </c>
      <c r="B56" s="2" t="s">
        <v>115</v>
      </c>
      <c r="C56" s="36" t="s">
        <v>0</v>
      </c>
      <c r="D56" s="17" t="s">
        <v>1</v>
      </c>
    </row>
    <row r="57" spans="1:4" x14ac:dyDescent="0.2">
      <c r="A57" s="190" t="s">
        <v>106</v>
      </c>
      <c r="B57" s="191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2" t="s">
        <v>107</v>
      </c>
      <c r="B59" s="173"/>
      <c r="C59" s="173"/>
      <c r="D59" s="174"/>
    </row>
    <row r="60" spans="1:4" x14ac:dyDescent="0.2">
      <c r="A60" s="17">
        <v>5</v>
      </c>
      <c r="B60" s="43" t="s">
        <v>115</v>
      </c>
      <c r="C60" s="44"/>
      <c r="D60" s="45" t="s">
        <v>1</v>
      </c>
    </row>
    <row r="61" spans="1:4" x14ac:dyDescent="0.2">
      <c r="A61" s="9" t="s">
        <v>108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2" t="s">
        <v>109</v>
      </c>
      <c r="B63" s="173"/>
      <c r="C63" s="173"/>
      <c r="D63" s="174"/>
    </row>
    <row r="64" spans="1:4" x14ac:dyDescent="0.2">
      <c r="A64" s="17">
        <v>6</v>
      </c>
      <c r="B64" s="2" t="s">
        <v>115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130</v>
      </c>
      <c r="C65" s="53">
        <f>COMPOSICAO!D44</f>
        <v>0.05</v>
      </c>
      <c r="D65" s="12">
        <f>C65*$D$81</f>
        <v>858.60072007999997</v>
      </c>
    </row>
    <row r="66" spans="1:4" x14ac:dyDescent="0.2">
      <c r="A66" s="51" t="s">
        <v>3</v>
      </c>
      <c r="B66" s="52" t="s">
        <v>131</v>
      </c>
      <c r="C66" s="53">
        <f>COMPOSICAO!D45</f>
        <v>0.1</v>
      </c>
      <c r="D66" s="12">
        <f>C66*($D$81+$D$65)</f>
        <v>1803.061512168</v>
      </c>
    </row>
    <row r="67" spans="1:4" x14ac:dyDescent="0.2">
      <c r="A67" s="51" t="s">
        <v>4</v>
      </c>
      <c r="B67" s="52" t="s">
        <v>132</v>
      </c>
      <c r="C67" s="53">
        <f>COMPOSICAO!D46</f>
        <v>9.2499999999999999E-2</v>
      </c>
      <c r="D67" s="12">
        <f>((D65+D66+D81)/(1-C67))-(D65+D66+D81)</f>
        <v>2021.6144227338191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142.05939186778181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655.65873169745453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437.10582113163633</v>
      </c>
    </row>
    <row r="71" spans="1:4" x14ac:dyDescent="0.2">
      <c r="A71" s="4" t="s">
        <v>29</v>
      </c>
      <c r="B71" s="106" t="s">
        <v>183</v>
      </c>
      <c r="C71" s="37">
        <f>COMPOSICAO!D50</f>
        <v>3.5999999999999997E-2</v>
      </c>
      <c r="D71" s="12">
        <f t="shared" si="2"/>
        <v>786.79047803694539</v>
      </c>
    </row>
    <row r="72" spans="1:4" x14ac:dyDescent="0.2">
      <c r="A72" s="178" t="s">
        <v>110</v>
      </c>
      <c r="B72" s="179"/>
      <c r="C72" s="55">
        <f>SUM(C65:C67)</f>
        <v>0.24250000000000002</v>
      </c>
      <c r="D72" s="12">
        <f>SUM(D65:D67)</f>
        <v>4683.2766549818189</v>
      </c>
    </row>
    <row r="73" spans="1:4" x14ac:dyDescent="0.2">
      <c r="A73" s="13"/>
      <c r="B73" s="14"/>
      <c r="C73" s="15"/>
      <c r="D73" s="16"/>
    </row>
    <row r="74" spans="1:4" x14ac:dyDescent="0.2">
      <c r="A74" s="186" t="s">
        <v>111</v>
      </c>
      <c r="B74" s="187"/>
      <c r="C74" s="187"/>
      <c r="D74" s="188"/>
    </row>
    <row r="75" spans="1:4" x14ac:dyDescent="0.2">
      <c r="A75" s="26" t="s">
        <v>112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133</v>
      </c>
      <c r="C76" s="58"/>
      <c r="D76" s="8">
        <f>D7</f>
        <v>11081.16</v>
      </c>
    </row>
    <row r="77" spans="1:4" x14ac:dyDescent="0.2">
      <c r="A77" s="4">
        <v>2</v>
      </c>
      <c r="B77" s="46" t="s">
        <v>134</v>
      </c>
      <c r="C77" s="58"/>
      <c r="D77" s="8">
        <f>D43</f>
        <v>5466.9358439999996</v>
      </c>
    </row>
    <row r="78" spans="1:4" x14ac:dyDescent="0.2">
      <c r="A78" s="4">
        <v>3</v>
      </c>
      <c r="B78" s="46" t="s">
        <v>135</v>
      </c>
      <c r="C78" s="58"/>
      <c r="D78" s="8">
        <f>D53</f>
        <v>623.91855759999987</v>
      </c>
    </row>
    <row r="79" spans="1:4" x14ac:dyDescent="0.2">
      <c r="A79" s="4">
        <v>4</v>
      </c>
      <c r="B79" s="46" t="s">
        <v>136</v>
      </c>
      <c r="C79" s="58"/>
      <c r="D79" s="8">
        <v>0</v>
      </c>
    </row>
    <row r="80" spans="1:4" x14ac:dyDescent="0.2">
      <c r="A80" s="4">
        <v>5</v>
      </c>
      <c r="B80" s="46" t="s">
        <v>137</v>
      </c>
      <c r="C80" s="58"/>
      <c r="D80" s="8">
        <v>0</v>
      </c>
    </row>
    <row r="81" spans="1:4" x14ac:dyDescent="0.2">
      <c r="A81" s="59" t="s">
        <v>113</v>
      </c>
      <c r="B81" s="10"/>
      <c r="C81" s="11"/>
      <c r="D81" s="12">
        <f>SUM(D76:D80)</f>
        <v>17172.014401599998</v>
      </c>
    </row>
    <row r="82" spans="1:4" x14ac:dyDescent="0.2">
      <c r="A82" s="4">
        <v>6</v>
      </c>
      <c r="B82" s="46" t="s">
        <v>138</v>
      </c>
      <c r="C82" s="58"/>
      <c r="D82" s="8">
        <f>D72</f>
        <v>4683.2766549818189</v>
      </c>
    </row>
    <row r="83" spans="1:4" x14ac:dyDescent="0.2">
      <c r="A83" s="178" t="s">
        <v>114</v>
      </c>
      <c r="B83" s="189"/>
      <c r="C83" s="179"/>
      <c r="D83" s="60">
        <f>SUM(D81:D82)</f>
        <v>21855.291056581817</v>
      </c>
    </row>
    <row r="84" spans="1:4" x14ac:dyDescent="0.2">
      <c r="C84" s="108" t="s">
        <v>187</v>
      </c>
      <c r="D84" s="109">
        <f>ROUNDUP(D83/D76,2)</f>
        <v>1.98</v>
      </c>
    </row>
    <row r="85" spans="1:4" x14ac:dyDescent="0.2"/>
    <row r="86" spans="1:4" hidden="1" x14ac:dyDescent="0.2">
      <c r="D86" s="111"/>
    </row>
  </sheetData>
  <mergeCells count="22"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</mergeCells>
  <conditionalFormatting sqref="B69">
    <cfRule type="expression" dxfId="28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DD006-AE2A-4885-B337-554AF00447BD}">
  <sheetPr codeName="Planilha8"/>
  <dimension ref="A1:D86"/>
  <sheetViews>
    <sheetView zoomScaleNormal="100" workbookViewId="0">
      <selection activeCell="F24" sqref="F24:F31"/>
    </sheetView>
  </sheetViews>
  <sheetFormatPr defaultColWidth="0" defaultRowHeight="12" zeroHeight="1" x14ac:dyDescent="0.2"/>
  <cols>
    <col min="1" max="1" width="5.85546875" style="107" customWidth="1"/>
    <col min="2" max="2" width="83.28515625" style="107" customWidth="1"/>
    <col min="3" max="3" width="12.42578125" style="107" customWidth="1"/>
    <col min="4" max="4" width="15.42578125" style="107" customWidth="1"/>
    <col min="5" max="5" width="9.140625" style="107" hidden="1" customWidth="1"/>
    <col min="6" max="16384" width="9.140625" style="107" hidden="1"/>
  </cols>
  <sheetData>
    <row r="1" spans="1:4" ht="12.75" thickBot="1" x14ac:dyDescent="0.25">
      <c r="A1" s="180" t="str">
        <f>PERFIS!C8</f>
        <v>Desenvolvedor de Software - Júnior</v>
      </c>
      <c r="B1" s="181"/>
      <c r="C1" s="181"/>
      <c r="D1" s="182"/>
    </row>
    <row r="2" spans="1:4" x14ac:dyDescent="0.2">
      <c r="A2" s="110"/>
      <c r="B2" s="110"/>
      <c r="C2" s="110"/>
      <c r="D2" s="110"/>
    </row>
    <row r="3" spans="1:4" x14ac:dyDescent="0.2">
      <c r="A3" s="169" t="s">
        <v>93</v>
      </c>
      <c r="B3" s="170"/>
      <c r="C3" s="170"/>
      <c r="D3" s="171"/>
    </row>
    <row r="4" spans="1:4" x14ac:dyDescent="0.2">
      <c r="A4" s="172" t="s">
        <v>94</v>
      </c>
      <c r="B4" s="173"/>
      <c r="C4" s="173"/>
      <c r="D4" s="174"/>
    </row>
    <row r="5" spans="1:4" x14ac:dyDescent="0.2">
      <c r="A5" s="1">
        <v>1</v>
      </c>
      <c r="B5" s="2" t="s">
        <v>115</v>
      </c>
      <c r="C5" s="3"/>
      <c r="D5" s="1" t="s">
        <v>1</v>
      </c>
    </row>
    <row r="6" spans="1:4" x14ac:dyDescent="0.2">
      <c r="A6" s="4" t="s">
        <v>2</v>
      </c>
      <c r="B6" s="5" t="s">
        <v>116</v>
      </c>
      <c r="C6" s="6">
        <v>1</v>
      </c>
      <c r="D6" s="7">
        <f>_xlfn.XLOOKUP(A1,PERFIS!C3:C35,PERFIS!D3:D35)</f>
        <v>6500</v>
      </c>
    </row>
    <row r="7" spans="1:4" x14ac:dyDescent="0.2">
      <c r="A7" s="9" t="s">
        <v>95</v>
      </c>
      <c r="B7" s="10"/>
      <c r="C7" s="11"/>
      <c r="D7" s="12">
        <f>_xlfn.XLOOKUP(A1,PERFIS!C3:C35,PERFIS!D3:D35)</f>
        <v>6500</v>
      </c>
    </row>
    <row r="8" spans="1:4" x14ac:dyDescent="0.2">
      <c r="A8" s="13"/>
      <c r="B8" s="14"/>
      <c r="C8" s="15"/>
      <c r="D8" s="16"/>
    </row>
    <row r="9" spans="1:4" x14ac:dyDescent="0.2">
      <c r="A9" s="172" t="s">
        <v>96</v>
      </c>
      <c r="B9" s="173"/>
      <c r="C9" s="173"/>
      <c r="D9" s="174"/>
    </row>
    <row r="10" spans="1:4" x14ac:dyDescent="0.2">
      <c r="A10" s="175" t="s">
        <v>190</v>
      </c>
      <c r="B10" s="176"/>
      <c r="C10" s="176"/>
      <c r="D10" s="177"/>
    </row>
    <row r="11" spans="1:4" x14ac:dyDescent="0.2">
      <c r="A11" s="17" t="s">
        <v>9</v>
      </c>
      <c r="B11" s="2" t="s">
        <v>115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117</v>
      </c>
      <c r="C12" s="21">
        <f>COMPOSICAO!D3</f>
        <v>8.3333333333333329E-2</v>
      </c>
      <c r="D12" s="22">
        <f>C12*$D$7</f>
        <v>541.66666666666663</v>
      </c>
    </row>
    <row r="13" spans="1:4" x14ac:dyDescent="0.2">
      <c r="A13" s="19" t="s">
        <v>3</v>
      </c>
      <c r="B13" s="20" t="s">
        <v>185</v>
      </c>
      <c r="C13" s="21">
        <f>COMPOSICAO!D4</f>
        <v>7.7777777777777779E-2</v>
      </c>
      <c r="D13" s="22">
        <f>C13*$D$7</f>
        <v>505.55555555555554</v>
      </c>
    </row>
    <row r="14" spans="1:4" x14ac:dyDescent="0.2">
      <c r="A14" s="178" t="s">
        <v>191</v>
      </c>
      <c r="B14" s="179"/>
      <c r="C14" s="23">
        <f>SUM(C12:C13)</f>
        <v>0.16111111111111109</v>
      </c>
      <c r="D14" s="12">
        <f>SUM(D12:D13)</f>
        <v>1047.2222222222222</v>
      </c>
    </row>
    <row r="15" spans="1:4" x14ac:dyDescent="0.2">
      <c r="A15" s="13"/>
      <c r="B15" s="14"/>
      <c r="C15" s="24"/>
      <c r="D15" s="16"/>
    </row>
    <row r="16" spans="1:4" x14ac:dyDescent="0.2">
      <c r="A16" s="194" t="s">
        <v>98</v>
      </c>
      <c r="B16" s="195"/>
      <c r="C16" s="195"/>
      <c r="D16" s="196"/>
    </row>
    <row r="17" spans="1:4" x14ac:dyDescent="0.2">
      <c r="A17" s="17" t="s">
        <v>10</v>
      </c>
      <c r="B17" s="2" t="s">
        <v>115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118</v>
      </c>
      <c r="C18" s="21">
        <v>0.05</v>
      </c>
      <c r="D18" s="22">
        <f>C18*($D$7+$D$14)</f>
        <v>377.36111111111114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188.68055555555557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226.41666666666666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113.20833333333333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75.472222222222229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45.283333333333339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15.094444444444445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603.77777777777783</v>
      </c>
    </row>
    <row r="26" spans="1:4" x14ac:dyDescent="0.2">
      <c r="A26" s="192" t="s">
        <v>99</v>
      </c>
      <c r="B26" s="193"/>
      <c r="C26" s="27">
        <f>SUM(C18:C25)</f>
        <v>0.21800000000000003</v>
      </c>
      <c r="D26" s="28">
        <f>SUM(D18:D25)</f>
        <v>1645.2944444444445</v>
      </c>
    </row>
    <row r="27" spans="1:4" x14ac:dyDescent="0.2">
      <c r="A27" s="13"/>
      <c r="B27" s="14"/>
      <c r="C27" s="29"/>
      <c r="D27" s="16"/>
    </row>
    <row r="28" spans="1:4" x14ac:dyDescent="0.2">
      <c r="A28" s="194" t="s">
        <v>100</v>
      </c>
      <c r="B28" s="195"/>
      <c r="C28" s="195"/>
      <c r="D28" s="196"/>
    </row>
    <row r="29" spans="1:4" x14ac:dyDescent="0.2">
      <c r="A29" s="17" t="s">
        <v>19</v>
      </c>
      <c r="B29" s="194" t="s">
        <v>115</v>
      </c>
      <c r="C29" s="196"/>
      <c r="D29" s="17" t="s">
        <v>1</v>
      </c>
    </row>
    <row r="30" spans="1:4" x14ac:dyDescent="0.2">
      <c r="A30" s="183" t="s">
        <v>2</v>
      </c>
      <c r="B30" s="30" t="s">
        <v>119</v>
      </c>
      <c r="C30" s="31"/>
      <c r="D30" s="7">
        <f>COMPOSICAO!D20*2*22</f>
        <v>242</v>
      </c>
    </row>
    <row r="31" spans="1:4" x14ac:dyDescent="0.2">
      <c r="A31" s="184"/>
      <c r="B31" s="30" t="s">
        <v>20</v>
      </c>
      <c r="C31" s="31"/>
      <c r="D31" s="7">
        <f>D6*COMPOSICAO!D21</f>
        <v>390</v>
      </c>
    </row>
    <row r="32" spans="1:4" x14ac:dyDescent="0.2">
      <c r="A32" s="185"/>
      <c r="B32" s="88" t="s">
        <v>21</v>
      </c>
      <c r="C32" s="89"/>
      <c r="D32" s="39">
        <f>IF(D30-D31&gt;0,D30-D31,0)</f>
        <v>0</v>
      </c>
    </row>
    <row r="33" spans="1:4" x14ac:dyDescent="0.2">
      <c r="A33" s="183" t="s">
        <v>3</v>
      </c>
      <c r="B33" s="30" t="s">
        <v>120</v>
      </c>
      <c r="D33" s="7">
        <f>COMPOSICAO!D23*22</f>
        <v>814</v>
      </c>
    </row>
    <row r="34" spans="1:4" x14ac:dyDescent="0.2">
      <c r="A34" s="184"/>
      <c r="B34" s="30" t="s">
        <v>181</v>
      </c>
      <c r="C34" s="104" cm="1">
        <f t="array" ref="C34">_xlfn.IFS(D6&lt;2407,COMPOSICAO!D25,D6&lt;4073.39,COMPOSICAO!D26,D6&lt;5924.92,COMPOSICAO!D27,D6&lt;7406.17,COMPOSICAO!D28,D6&lt;9072.58,COMPOSICAO!D29,D6&gt;9072.59,COMPOSICAO!D30)</f>
        <v>7.4999999999999997E-2</v>
      </c>
      <c r="D34" s="7">
        <f>D33*C34</f>
        <v>61.05</v>
      </c>
    </row>
    <row r="35" spans="1:4" x14ac:dyDescent="0.2">
      <c r="A35" s="185"/>
      <c r="B35" s="88" t="s">
        <v>182</v>
      </c>
      <c r="C35" s="90"/>
      <c r="D35" s="39">
        <f>D33-D34</f>
        <v>752.95</v>
      </c>
    </row>
    <row r="36" spans="1:4" x14ac:dyDescent="0.2">
      <c r="A36" s="4" t="s">
        <v>4</v>
      </c>
      <c r="B36" s="30" t="s">
        <v>167</v>
      </c>
      <c r="C36" s="31"/>
      <c r="D36" s="151">
        <f>COMPOSICAO!D31</f>
        <v>184.85</v>
      </c>
    </row>
    <row r="37" spans="1:4" x14ac:dyDescent="0.2">
      <c r="A37" s="9" t="s">
        <v>101</v>
      </c>
      <c r="B37" s="10"/>
      <c r="C37" s="11"/>
      <c r="D37" s="12">
        <f>SUM(D32,D35,D36)</f>
        <v>937.80000000000007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121</v>
      </c>
      <c r="C39" s="33"/>
      <c r="D39" s="17" t="s">
        <v>1</v>
      </c>
    </row>
    <row r="40" spans="1:4" x14ac:dyDescent="0.2">
      <c r="A40" s="4" t="s">
        <v>9</v>
      </c>
      <c r="B40" s="30" t="s">
        <v>122</v>
      </c>
      <c r="C40" s="34"/>
      <c r="D40" s="8">
        <f>D14</f>
        <v>1047.2222222222222</v>
      </c>
    </row>
    <row r="41" spans="1:4" x14ac:dyDescent="0.2">
      <c r="A41" s="4" t="s">
        <v>10</v>
      </c>
      <c r="B41" s="30" t="s">
        <v>123</v>
      </c>
      <c r="C41" s="34"/>
      <c r="D41" s="8">
        <f>D26</f>
        <v>1645.2944444444445</v>
      </c>
    </row>
    <row r="42" spans="1:4" x14ac:dyDescent="0.2">
      <c r="A42" s="4" t="s">
        <v>19</v>
      </c>
      <c r="B42" s="30" t="s">
        <v>124</v>
      </c>
      <c r="C42" s="34"/>
      <c r="D42" s="8">
        <f>D37</f>
        <v>937.80000000000007</v>
      </c>
    </row>
    <row r="43" spans="1:4" x14ac:dyDescent="0.2">
      <c r="A43" s="178" t="s">
        <v>102</v>
      </c>
      <c r="B43" s="189"/>
      <c r="C43" s="35"/>
      <c r="D43" s="12">
        <f>SUM(D40:D42)</f>
        <v>3630.3166666666666</v>
      </c>
    </row>
    <row r="44" spans="1:4" x14ac:dyDescent="0.2">
      <c r="A44" s="13"/>
      <c r="B44" s="14"/>
      <c r="C44" s="15"/>
      <c r="D44" s="16"/>
    </row>
    <row r="45" spans="1:4" x14ac:dyDescent="0.2">
      <c r="A45" s="172" t="s">
        <v>103</v>
      </c>
      <c r="B45" s="173"/>
      <c r="C45" s="173"/>
      <c r="D45" s="174"/>
    </row>
    <row r="46" spans="1:4" x14ac:dyDescent="0.2">
      <c r="A46" s="17">
        <v>3</v>
      </c>
      <c r="B46" s="2" t="s">
        <v>115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27.083333333333332</v>
      </c>
    </row>
    <row r="48" spans="1:4" x14ac:dyDescent="0.2">
      <c r="A48" s="4" t="s">
        <v>3</v>
      </c>
      <c r="B48" s="30" t="s">
        <v>125</v>
      </c>
      <c r="C48" s="37">
        <f>COMPOSICAO!D35</f>
        <v>3.3333333333333332E-4</v>
      </c>
      <c r="D48" s="22">
        <f>C48*$D$7</f>
        <v>2.1666666666666665</v>
      </c>
    </row>
    <row r="49" spans="1:4" x14ac:dyDescent="0.2">
      <c r="A49" s="19" t="s">
        <v>4</v>
      </c>
      <c r="B49" s="20" t="s">
        <v>126</v>
      </c>
      <c r="C49" s="37">
        <f>COMPOSICAO!D36</f>
        <v>3.4399999999999993E-2</v>
      </c>
      <c r="D49" s="22">
        <f t="shared" ref="D49:D52" si="1">C49*$D$7</f>
        <v>223.59999999999997</v>
      </c>
    </row>
    <row r="50" spans="1:4" x14ac:dyDescent="0.2">
      <c r="A50" s="4" t="s">
        <v>5</v>
      </c>
      <c r="B50" s="30" t="s">
        <v>127</v>
      </c>
      <c r="C50" s="37">
        <f>COMPOSICAO!D37</f>
        <v>1.2444444444444444E-2</v>
      </c>
      <c r="D50" s="22">
        <f t="shared" si="1"/>
        <v>80.888888888888886</v>
      </c>
    </row>
    <row r="51" spans="1:4" x14ac:dyDescent="0.2">
      <c r="A51" s="4" t="s">
        <v>6</v>
      </c>
      <c r="B51" s="30" t="s">
        <v>128</v>
      </c>
      <c r="C51" s="37">
        <f>COMPOSICAO!D38</f>
        <v>4.5631999999999999E-3</v>
      </c>
      <c r="D51" s="22">
        <f t="shared" si="1"/>
        <v>29.660799999999998</v>
      </c>
    </row>
    <row r="52" spans="1:4" x14ac:dyDescent="0.2">
      <c r="A52" s="4" t="s">
        <v>7</v>
      </c>
      <c r="B52" s="30" t="s">
        <v>129</v>
      </c>
      <c r="C52" s="37">
        <f>COMPOSICAO!D39</f>
        <v>3.9680000000000005E-4</v>
      </c>
      <c r="D52" s="22">
        <f t="shared" si="1"/>
        <v>2.5792000000000002</v>
      </c>
    </row>
    <row r="53" spans="1:4" x14ac:dyDescent="0.2">
      <c r="A53" s="190" t="s">
        <v>104</v>
      </c>
      <c r="B53" s="191"/>
      <c r="C53" s="38">
        <f>SUM(C47:C52)</f>
        <v>5.6304444444444435E-2</v>
      </c>
      <c r="D53" s="39">
        <f>SUM(D47:D52)</f>
        <v>365.97888888888883</v>
      </c>
    </row>
    <row r="54" spans="1:4" x14ac:dyDescent="0.2">
      <c r="A54" s="13"/>
      <c r="B54" s="14"/>
      <c r="C54" s="40"/>
      <c r="D54" s="16"/>
    </row>
    <row r="55" spans="1:4" x14ac:dyDescent="0.2">
      <c r="A55" s="172" t="s">
        <v>105</v>
      </c>
      <c r="B55" s="173"/>
      <c r="C55" s="173"/>
      <c r="D55" s="174"/>
    </row>
    <row r="56" spans="1:4" x14ac:dyDescent="0.2">
      <c r="A56" s="17">
        <v>4</v>
      </c>
      <c r="B56" s="2" t="s">
        <v>115</v>
      </c>
      <c r="C56" s="36" t="s">
        <v>0</v>
      </c>
      <c r="D56" s="17" t="s">
        <v>1</v>
      </c>
    </row>
    <row r="57" spans="1:4" x14ac:dyDescent="0.2">
      <c r="A57" s="190" t="s">
        <v>106</v>
      </c>
      <c r="B57" s="191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2" t="s">
        <v>107</v>
      </c>
      <c r="B59" s="173"/>
      <c r="C59" s="173"/>
      <c r="D59" s="174"/>
    </row>
    <row r="60" spans="1:4" x14ac:dyDescent="0.2">
      <c r="A60" s="17">
        <v>5</v>
      </c>
      <c r="B60" s="43" t="s">
        <v>115</v>
      </c>
      <c r="C60" s="44"/>
      <c r="D60" s="45" t="s">
        <v>1</v>
      </c>
    </row>
    <row r="61" spans="1:4" x14ac:dyDescent="0.2">
      <c r="A61" s="9" t="s">
        <v>108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2" t="s">
        <v>109</v>
      </c>
      <c r="B63" s="173"/>
      <c r="C63" s="173"/>
      <c r="D63" s="174"/>
    </row>
    <row r="64" spans="1:4" x14ac:dyDescent="0.2">
      <c r="A64" s="17">
        <v>6</v>
      </c>
      <c r="B64" s="2" t="s">
        <v>115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130</v>
      </c>
      <c r="C65" s="53">
        <f>COMPOSICAO!D44</f>
        <v>0.05</v>
      </c>
      <c r="D65" s="12">
        <f>C65*$D$81</f>
        <v>524.81477777777775</v>
      </c>
    </row>
    <row r="66" spans="1:4" x14ac:dyDescent="0.2">
      <c r="A66" s="51" t="s">
        <v>3</v>
      </c>
      <c r="B66" s="52" t="s">
        <v>131</v>
      </c>
      <c r="C66" s="53">
        <f>COMPOSICAO!D45</f>
        <v>0.1</v>
      </c>
      <c r="D66" s="12">
        <f>C66*($D$81+$D$65)</f>
        <v>1102.1110333333334</v>
      </c>
    </row>
    <row r="67" spans="1:4" x14ac:dyDescent="0.2">
      <c r="A67" s="51" t="s">
        <v>4</v>
      </c>
      <c r="B67" s="52" t="s">
        <v>132</v>
      </c>
      <c r="C67" s="53">
        <f>COMPOSICAO!D46</f>
        <v>9.2499999999999999E-2</v>
      </c>
      <c r="D67" s="12">
        <f>((D65+D66+D81)/(1-C67))-(D65+D66+D81)</f>
        <v>1235.7002494949502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86.832990505050503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400.76764848484851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267.17843232323236</v>
      </c>
    </row>
    <row r="71" spans="1:4" x14ac:dyDescent="0.2">
      <c r="A71" s="4" t="s">
        <v>29</v>
      </c>
      <c r="B71" s="106" t="s">
        <v>183</v>
      </c>
      <c r="C71" s="37">
        <f>COMPOSICAO!D50</f>
        <v>3.5999999999999997E-2</v>
      </c>
      <c r="D71" s="12">
        <f t="shared" si="2"/>
        <v>480.92117818181816</v>
      </c>
    </row>
    <row r="72" spans="1:4" x14ac:dyDescent="0.2">
      <c r="A72" s="178" t="s">
        <v>110</v>
      </c>
      <c r="B72" s="179"/>
      <c r="C72" s="55">
        <f>SUM(C65:C67)</f>
        <v>0.24250000000000002</v>
      </c>
      <c r="D72" s="12">
        <f>SUM(D65:D67)</f>
        <v>2862.6260606060614</v>
      </c>
    </row>
    <row r="73" spans="1:4" x14ac:dyDescent="0.2">
      <c r="A73" s="13"/>
      <c r="B73" s="14"/>
      <c r="C73" s="15"/>
      <c r="D73" s="16"/>
    </row>
    <row r="74" spans="1:4" x14ac:dyDescent="0.2">
      <c r="A74" s="186" t="s">
        <v>111</v>
      </c>
      <c r="B74" s="187"/>
      <c r="C74" s="187"/>
      <c r="D74" s="188"/>
    </row>
    <row r="75" spans="1:4" x14ac:dyDescent="0.2">
      <c r="A75" s="26" t="s">
        <v>112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133</v>
      </c>
      <c r="C76" s="58"/>
      <c r="D76" s="8">
        <f>D7</f>
        <v>6500</v>
      </c>
    </row>
    <row r="77" spans="1:4" x14ac:dyDescent="0.2">
      <c r="A77" s="4">
        <v>2</v>
      </c>
      <c r="B77" s="46" t="s">
        <v>134</v>
      </c>
      <c r="C77" s="58"/>
      <c r="D77" s="8">
        <f>D43</f>
        <v>3630.3166666666666</v>
      </c>
    </row>
    <row r="78" spans="1:4" x14ac:dyDescent="0.2">
      <c r="A78" s="4">
        <v>3</v>
      </c>
      <c r="B78" s="46" t="s">
        <v>135</v>
      </c>
      <c r="C78" s="58"/>
      <c r="D78" s="8">
        <f>D53</f>
        <v>365.97888888888883</v>
      </c>
    </row>
    <row r="79" spans="1:4" x14ac:dyDescent="0.2">
      <c r="A79" s="4">
        <v>4</v>
      </c>
      <c r="B79" s="46" t="s">
        <v>136</v>
      </c>
      <c r="C79" s="58"/>
      <c r="D79" s="8">
        <v>0</v>
      </c>
    </row>
    <row r="80" spans="1:4" x14ac:dyDescent="0.2">
      <c r="A80" s="4">
        <v>5</v>
      </c>
      <c r="B80" s="46" t="s">
        <v>137</v>
      </c>
      <c r="C80" s="58"/>
      <c r="D80" s="8">
        <v>0</v>
      </c>
    </row>
    <row r="81" spans="1:4" x14ac:dyDescent="0.2">
      <c r="A81" s="59" t="s">
        <v>113</v>
      </c>
      <c r="B81" s="10"/>
      <c r="C81" s="11"/>
      <c r="D81" s="12">
        <f>SUM(D76:D80)</f>
        <v>10496.295555555555</v>
      </c>
    </row>
    <row r="82" spans="1:4" x14ac:dyDescent="0.2">
      <c r="A82" s="4">
        <v>6</v>
      </c>
      <c r="B82" s="46" t="s">
        <v>138</v>
      </c>
      <c r="C82" s="58"/>
      <c r="D82" s="8">
        <f>D72</f>
        <v>2862.6260606060614</v>
      </c>
    </row>
    <row r="83" spans="1:4" x14ac:dyDescent="0.2">
      <c r="A83" s="178" t="s">
        <v>114</v>
      </c>
      <c r="B83" s="189"/>
      <c r="C83" s="179"/>
      <c r="D83" s="60">
        <f>SUM(D81:D82)</f>
        <v>13358.921616161617</v>
      </c>
    </row>
    <row r="84" spans="1:4" x14ac:dyDescent="0.2">
      <c r="C84" s="108" t="s">
        <v>187</v>
      </c>
      <c r="D84" s="109">
        <f>ROUNDUP(D83/D76,2)</f>
        <v>2.0599999999999996</v>
      </c>
    </row>
    <row r="85" spans="1:4" x14ac:dyDescent="0.2"/>
    <row r="86" spans="1:4" hidden="1" x14ac:dyDescent="0.2">
      <c r="D86" s="111"/>
    </row>
  </sheetData>
  <mergeCells count="22"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</mergeCells>
  <conditionalFormatting sqref="B69">
    <cfRule type="expression" dxfId="27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E01EA7-FD69-4F5E-8524-051BA38017C6}">
  <sheetPr codeName="Planilha9"/>
  <dimension ref="A1:D86"/>
  <sheetViews>
    <sheetView zoomScaleNormal="100" workbookViewId="0">
      <selection activeCell="F24" sqref="F24:F31"/>
    </sheetView>
  </sheetViews>
  <sheetFormatPr defaultColWidth="0" defaultRowHeight="12" zeroHeight="1" x14ac:dyDescent="0.2"/>
  <cols>
    <col min="1" max="1" width="5.85546875" style="107" customWidth="1"/>
    <col min="2" max="2" width="83.28515625" style="107" customWidth="1"/>
    <col min="3" max="3" width="12.42578125" style="107" customWidth="1"/>
    <col min="4" max="4" width="15.42578125" style="107" customWidth="1"/>
    <col min="5" max="5" width="9.140625" style="107" hidden="1" customWidth="1"/>
    <col min="6" max="16384" width="9.140625" style="107" hidden="1"/>
  </cols>
  <sheetData>
    <row r="1" spans="1:4" ht="12.75" thickBot="1" x14ac:dyDescent="0.25">
      <c r="A1" s="180" t="str">
        <f>PERFIS!C9</f>
        <v>Desenvolvedor de Software - Pleno</v>
      </c>
      <c r="B1" s="181"/>
      <c r="C1" s="181"/>
      <c r="D1" s="182"/>
    </row>
    <row r="2" spans="1:4" x14ac:dyDescent="0.2">
      <c r="A2" s="110"/>
      <c r="B2" s="110"/>
      <c r="C2" s="110"/>
      <c r="D2" s="110"/>
    </row>
    <row r="3" spans="1:4" x14ac:dyDescent="0.2">
      <c r="A3" s="169" t="s">
        <v>93</v>
      </c>
      <c r="B3" s="170"/>
      <c r="C3" s="170"/>
      <c r="D3" s="171"/>
    </row>
    <row r="4" spans="1:4" x14ac:dyDescent="0.2">
      <c r="A4" s="172" t="s">
        <v>94</v>
      </c>
      <c r="B4" s="173"/>
      <c r="C4" s="173"/>
      <c r="D4" s="174"/>
    </row>
    <row r="5" spans="1:4" x14ac:dyDescent="0.2">
      <c r="A5" s="1">
        <v>1</v>
      </c>
      <c r="B5" s="2" t="s">
        <v>115</v>
      </c>
      <c r="C5" s="3"/>
      <c r="D5" s="1" t="s">
        <v>1</v>
      </c>
    </row>
    <row r="6" spans="1:4" x14ac:dyDescent="0.2">
      <c r="A6" s="4" t="s">
        <v>2</v>
      </c>
      <c r="B6" s="5" t="s">
        <v>116</v>
      </c>
      <c r="C6" s="6">
        <v>1</v>
      </c>
      <c r="D6" s="7">
        <f>_xlfn.XLOOKUP(A1,PERFIS!C3:C35,PERFIS!D3:D35)</f>
        <v>10713.725</v>
      </c>
    </row>
    <row r="7" spans="1:4" x14ac:dyDescent="0.2">
      <c r="A7" s="9" t="s">
        <v>95</v>
      </c>
      <c r="B7" s="10"/>
      <c r="C7" s="11"/>
      <c r="D7" s="12">
        <f>SUM(D6)</f>
        <v>10713.725</v>
      </c>
    </row>
    <row r="8" spans="1:4" x14ac:dyDescent="0.2">
      <c r="A8" s="13"/>
      <c r="B8" s="14"/>
      <c r="C8" s="15"/>
      <c r="D8" s="16"/>
    </row>
    <row r="9" spans="1:4" x14ac:dyDescent="0.2">
      <c r="A9" s="172" t="s">
        <v>96</v>
      </c>
      <c r="B9" s="173"/>
      <c r="C9" s="173"/>
      <c r="D9" s="174"/>
    </row>
    <row r="10" spans="1:4" x14ac:dyDescent="0.2">
      <c r="A10" s="175" t="s">
        <v>190</v>
      </c>
      <c r="B10" s="176"/>
      <c r="C10" s="176"/>
      <c r="D10" s="177"/>
    </row>
    <row r="11" spans="1:4" x14ac:dyDescent="0.2">
      <c r="A11" s="17" t="s">
        <v>9</v>
      </c>
      <c r="B11" s="2" t="s">
        <v>115</v>
      </c>
      <c r="C11" s="18" t="s">
        <v>0</v>
      </c>
      <c r="D11" s="17" t="s">
        <v>1</v>
      </c>
    </row>
    <row r="12" spans="1:4" x14ac:dyDescent="0.2">
      <c r="A12" s="19" t="s">
        <v>2</v>
      </c>
      <c r="B12" s="20" t="s">
        <v>117</v>
      </c>
      <c r="C12" s="21">
        <f>COMPOSICAO!D3</f>
        <v>8.3333333333333329E-2</v>
      </c>
      <c r="D12" s="22">
        <f>C12*$D$7</f>
        <v>892.8104166666667</v>
      </c>
    </row>
    <row r="13" spans="1:4" x14ac:dyDescent="0.2">
      <c r="A13" s="19" t="s">
        <v>3</v>
      </c>
      <c r="B13" s="20" t="s">
        <v>185</v>
      </c>
      <c r="C13" s="21">
        <f>COMPOSICAO!D4</f>
        <v>7.7777777777777779E-2</v>
      </c>
      <c r="D13" s="22">
        <f>C13*$D$7</f>
        <v>833.28972222222228</v>
      </c>
    </row>
    <row r="14" spans="1:4" x14ac:dyDescent="0.2">
      <c r="A14" s="178" t="s">
        <v>191</v>
      </c>
      <c r="B14" s="179"/>
      <c r="C14" s="23">
        <f>SUM(C12:C13)</f>
        <v>0.16111111111111109</v>
      </c>
      <c r="D14" s="12">
        <f>SUM(D12:D13)</f>
        <v>1726.100138888889</v>
      </c>
    </row>
    <row r="15" spans="1:4" x14ac:dyDescent="0.2">
      <c r="A15" s="13"/>
      <c r="B15" s="14"/>
      <c r="C15" s="24"/>
      <c r="D15" s="16"/>
    </row>
    <row r="16" spans="1:4" x14ac:dyDescent="0.2">
      <c r="A16" s="194" t="s">
        <v>98</v>
      </c>
      <c r="B16" s="195"/>
      <c r="C16" s="195"/>
      <c r="D16" s="196"/>
    </row>
    <row r="17" spans="1:4" x14ac:dyDescent="0.2">
      <c r="A17" s="17" t="s">
        <v>10</v>
      </c>
      <c r="B17" s="2" t="s">
        <v>115</v>
      </c>
      <c r="C17" s="25" t="s">
        <v>0</v>
      </c>
      <c r="D17" s="17" t="s">
        <v>1</v>
      </c>
    </row>
    <row r="18" spans="1:4" x14ac:dyDescent="0.2">
      <c r="A18" s="19" t="s">
        <v>2</v>
      </c>
      <c r="B18" s="61" t="s">
        <v>118</v>
      </c>
      <c r="C18" s="21">
        <v>0.05</v>
      </c>
      <c r="D18" s="22">
        <f>C18*($D$7+$D$14)</f>
        <v>621.99125694444456</v>
      </c>
    </row>
    <row r="19" spans="1:4" x14ac:dyDescent="0.2">
      <c r="A19" s="19" t="s">
        <v>3</v>
      </c>
      <c r="B19" s="62" t="s">
        <v>11</v>
      </c>
      <c r="C19" s="21">
        <f>COMPOSICAO!D10</f>
        <v>2.5000000000000001E-2</v>
      </c>
      <c r="D19" s="22">
        <f t="shared" ref="D19:D24" si="0">C19*($D$7+$D$14)</f>
        <v>310.99562847222228</v>
      </c>
    </row>
    <row r="20" spans="1:4" x14ac:dyDescent="0.2">
      <c r="A20" s="19" t="s">
        <v>4</v>
      </c>
      <c r="B20" s="62" t="s">
        <v>12</v>
      </c>
      <c r="C20" s="21">
        <f>COMPOSICAO!D11</f>
        <v>0.03</v>
      </c>
      <c r="D20" s="22">
        <f t="shared" si="0"/>
        <v>373.19475416666666</v>
      </c>
    </row>
    <row r="21" spans="1:4" x14ac:dyDescent="0.2">
      <c r="A21" s="19" t="s">
        <v>5</v>
      </c>
      <c r="B21" s="62" t="s">
        <v>13</v>
      </c>
      <c r="C21" s="21">
        <f>COMPOSICAO!D12</f>
        <v>1.4999999999999999E-2</v>
      </c>
      <c r="D21" s="22">
        <f t="shared" si="0"/>
        <v>186.59737708333333</v>
      </c>
    </row>
    <row r="22" spans="1:4" x14ac:dyDescent="0.2">
      <c r="A22" s="19" t="s">
        <v>6</v>
      </c>
      <c r="B22" s="62" t="s">
        <v>14</v>
      </c>
      <c r="C22" s="21">
        <f>COMPOSICAO!D13</f>
        <v>0.01</v>
      </c>
      <c r="D22" s="22">
        <f t="shared" si="0"/>
        <v>124.39825138888889</v>
      </c>
    </row>
    <row r="23" spans="1:4" x14ac:dyDescent="0.2">
      <c r="A23" s="19" t="s">
        <v>7</v>
      </c>
      <c r="B23" s="20" t="s">
        <v>15</v>
      </c>
      <c r="C23" s="21">
        <f>COMPOSICAO!D14</f>
        <v>6.0000000000000001E-3</v>
      </c>
      <c r="D23" s="22">
        <f t="shared" si="0"/>
        <v>74.63895083333334</v>
      </c>
    </row>
    <row r="24" spans="1:4" x14ac:dyDescent="0.2">
      <c r="A24" s="19" t="s">
        <v>8</v>
      </c>
      <c r="B24" s="62" t="s">
        <v>16</v>
      </c>
      <c r="C24" s="21">
        <f>COMPOSICAO!D15</f>
        <v>2E-3</v>
      </c>
      <c r="D24" s="22">
        <f t="shared" si="0"/>
        <v>24.879650277777777</v>
      </c>
    </row>
    <row r="25" spans="1:4" x14ac:dyDescent="0.2">
      <c r="A25" s="19" t="s">
        <v>17</v>
      </c>
      <c r="B25" s="61" t="s">
        <v>18</v>
      </c>
      <c r="C25" s="21">
        <f>COMPOSICAO!D16</f>
        <v>0.08</v>
      </c>
      <c r="D25" s="22">
        <f>C25*($D$7+$D$14)</f>
        <v>995.18601111111116</v>
      </c>
    </row>
    <row r="26" spans="1:4" x14ac:dyDescent="0.2">
      <c r="A26" s="192" t="s">
        <v>99</v>
      </c>
      <c r="B26" s="193"/>
      <c r="C26" s="27">
        <f>SUM(C18:C25)</f>
        <v>0.21800000000000003</v>
      </c>
      <c r="D26" s="28">
        <f>SUM(D18:D25)</f>
        <v>2711.8818802777778</v>
      </c>
    </row>
    <row r="27" spans="1:4" x14ac:dyDescent="0.2">
      <c r="A27" s="13"/>
      <c r="B27" s="14"/>
      <c r="C27" s="29"/>
      <c r="D27" s="16"/>
    </row>
    <row r="28" spans="1:4" x14ac:dyDescent="0.2">
      <c r="A28" s="194" t="s">
        <v>100</v>
      </c>
      <c r="B28" s="195"/>
      <c r="C28" s="195"/>
      <c r="D28" s="196"/>
    </row>
    <row r="29" spans="1:4" x14ac:dyDescent="0.2">
      <c r="A29" s="17" t="s">
        <v>19</v>
      </c>
      <c r="B29" s="194" t="s">
        <v>115</v>
      </c>
      <c r="C29" s="196"/>
      <c r="D29" s="17" t="s">
        <v>1</v>
      </c>
    </row>
    <row r="30" spans="1:4" x14ac:dyDescent="0.2">
      <c r="A30" s="183" t="s">
        <v>2</v>
      </c>
      <c r="B30" s="30" t="s">
        <v>119</v>
      </c>
      <c r="C30" s="31"/>
      <c r="D30" s="7">
        <f>COMPOSICAO!D20*2*22</f>
        <v>242</v>
      </c>
    </row>
    <row r="31" spans="1:4" x14ac:dyDescent="0.2">
      <c r="A31" s="184"/>
      <c r="B31" s="30" t="s">
        <v>20</v>
      </c>
      <c r="C31" s="31"/>
      <c r="D31" s="7">
        <f>D6*COMPOSICAO!D21</f>
        <v>642.82349999999997</v>
      </c>
    </row>
    <row r="32" spans="1:4" x14ac:dyDescent="0.2">
      <c r="A32" s="185"/>
      <c r="B32" s="88" t="s">
        <v>21</v>
      </c>
      <c r="C32" s="89"/>
      <c r="D32" s="39">
        <f>IF(D30-D31&gt;0,D30-D31,0)</f>
        <v>0</v>
      </c>
    </row>
    <row r="33" spans="1:4" x14ac:dyDescent="0.2">
      <c r="A33" s="183" t="s">
        <v>3</v>
      </c>
      <c r="B33" s="30" t="s">
        <v>120</v>
      </c>
      <c r="D33" s="7">
        <f>COMPOSICAO!D23*22</f>
        <v>814</v>
      </c>
    </row>
    <row r="34" spans="1:4" x14ac:dyDescent="0.2">
      <c r="A34" s="184"/>
      <c r="B34" s="30" t="s">
        <v>181</v>
      </c>
      <c r="C34" s="104" cm="1">
        <f t="array" ref="C34">_xlfn.IFS(D6&lt;2407,COMPOSICAO!D25,D6&lt;4073.39,COMPOSICAO!D26,D6&lt;5924.92,COMPOSICAO!D27,D6&lt;7406.17,COMPOSICAO!D28,D6&lt;9072.58,COMPOSICAO!D29,D6&gt;9072.59,COMPOSICAO!D30)</f>
        <v>0.15</v>
      </c>
      <c r="D34" s="7">
        <f>D33*C34</f>
        <v>122.1</v>
      </c>
    </row>
    <row r="35" spans="1:4" x14ac:dyDescent="0.2">
      <c r="A35" s="185"/>
      <c r="B35" s="88" t="s">
        <v>182</v>
      </c>
      <c r="C35" s="90"/>
      <c r="D35" s="39">
        <f>D33-D34</f>
        <v>691.9</v>
      </c>
    </row>
    <row r="36" spans="1:4" x14ac:dyDescent="0.2">
      <c r="A36" s="4" t="s">
        <v>4</v>
      </c>
      <c r="B36" s="30" t="s">
        <v>167</v>
      </c>
      <c r="C36" s="31"/>
      <c r="D36" s="151">
        <f>COMPOSICAO!D31</f>
        <v>184.85</v>
      </c>
    </row>
    <row r="37" spans="1:4" x14ac:dyDescent="0.2">
      <c r="A37" s="9" t="s">
        <v>101</v>
      </c>
      <c r="B37" s="10"/>
      <c r="C37" s="11"/>
      <c r="D37" s="12">
        <f>SUM(D32,D35,D36)</f>
        <v>876.75</v>
      </c>
    </row>
    <row r="38" spans="1:4" x14ac:dyDescent="0.2">
      <c r="A38" s="13"/>
      <c r="B38" s="14"/>
      <c r="C38" s="15"/>
      <c r="D38" s="16"/>
    </row>
    <row r="39" spans="1:4" x14ac:dyDescent="0.2">
      <c r="A39" s="17">
        <v>2</v>
      </c>
      <c r="B39" s="32" t="s">
        <v>121</v>
      </c>
      <c r="C39" s="33"/>
      <c r="D39" s="17" t="s">
        <v>1</v>
      </c>
    </row>
    <row r="40" spans="1:4" x14ac:dyDescent="0.2">
      <c r="A40" s="4" t="s">
        <v>9</v>
      </c>
      <c r="B40" s="30" t="s">
        <v>122</v>
      </c>
      <c r="C40" s="34"/>
      <c r="D40" s="8">
        <f>D14</f>
        <v>1726.100138888889</v>
      </c>
    </row>
    <row r="41" spans="1:4" x14ac:dyDescent="0.2">
      <c r="A41" s="4" t="s">
        <v>10</v>
      </c>
      <c r="B41" s="30" t="s">
        <v>123</v>
      </c>
      <c r="C41" s="34"/>
      <c r="D41" s="8">
        <f>D26</f>
        <v>2711.8818802777778</v>
      </c>
    </row>
    <row r="42" spans="1:4" x14ac:dyDescent="0.2">
      <c r="A42" s="4" t="s">
        <v>19</v>
      </c>
      <c r="B42" s="30" t="s">
        <v>124</v>
      </c>
      <c r="C42" s="34"/>
      <c r="D42" s="8">
        <f>D37</f>
        <v>876.75</v>
      </c>
    </row>
    <row r="43" spans="1:4" x14ac:dyDescent="0.2">
      <c r="A43" s="178" t="s">
        <v>102</v>
      </c>
      <c r="B43" s="189"/>
      <c r="C43" s="35"/>
      <c r="D43" s="12">
        <f>SUM(D40:D42)</f>
        <v>5314.7320191666668</v>
      </c>
    </row>
    <row r="44" spans="1:4" x14ac:dyDescent="0.2">
      <c r="A44" s="13"/>
      <c r="B44" s="14"/>
      <c r="C44" s="15"/>
      <c r="D44" s="16"/>
    </row>
    <row r="45" spans="1:4" x14ac:dyDescent="0.2">
      <c r="A45" s="172" t="s">
        <v>103</v>
      </c>
      <c r="B45" s="173"/>
      <c r="C45" s="173"/>
      <c r="D45" s="174"/>
    </row>
    <row r="46" spans="1:4" x14ac:dyDescent="0.2">
      <c r="A46" s="17">
        <v>3</v>
      </c>
      <c r="B46" s="2" t="s">
        <v>115</v>
      </c>
      <c r="C46" s="36" t="s">
        <v>0</v>
      </c>
      <c r="D46" s="17" t="s">
        <v>1</v>
      </c>
    </row>
    <row r="47" spans="1:4" x14ac:dyDescent="0.2">
      <c r="A47" s="4" t="s">
        <v>2</v>
      </c>
      <c r="B47" s="30" t="s">
        <v>22</v>
      </c>
      <c r="C47" s="37">
        <f>COMPOSICAO!D34</f>
        <v>4.1666666666666666E-3</v>
      </c>
      <c r="D47" s="22">
        <f>C47*$D$7</f>
        <v>44.640520833333333</v>
      </c>
    </row>
    <row r="48" spans="1:4" x14ac:dyDescent="0.2">
      <c r="A48" s="4" t="s">
        <v>3</v>
      </c>
      <c r="B48" s="30" t="s">
        <v>125</v>
      </c>
      <c r="C48" s="37">
        <f>COMPOSICAO!D35</f>
        <v>3.3333333333333332E-4</v>
      </c>
      <c r="D48" s="22">
        <f>C48*$D$7</f>
        <v>3.5712416666666669</v>
      </c>
    </row>
    <row r="49" spans="1:4" x14ac:dyDescent="0.2">
      <c r="A49" s="19" t="s">
        <v>4</v>
      </c>
      <c r="B49" s="20" t="s">
        <v>126</v>
      </c>
      <c r="C49" s="37">
        <f>COMPOSICAO!D36</f>
        <v>3.4399999999999993E-2</v>
      </c>
      <c r="D49" s="22">
        <f t="shared" ref="D49:D52" si="1">C49*$D$7</f>
        <v>368.55213999999995</v>
      </c>
    </row>
    <row r="50" spans="1:4" x14ac:dyDescent="0.2">
      <c r="A50" s="4" t="s">
        <v>5</v>
      </c>
      <c r="B50" s="30" t="s">
        <v>127</v>
      </c>
      <c r="C50" s="37">
        <f>COMPOSICAO!D37</f>
        <v>1.2444444444444444E-2</v>
      </c>
      <c r="D50" s="22">
        <f t="shared" si="1"/>
        <v>133.32635555555555</v>
      </c>
    </row>
    <row r="51" spans="1:4" x14ac:dyDescent="0.2">
      <c r="A51" s="4" t="s">
        <v>6</v>
      </c>
      <c r="B51" s="30" t="s">
        <v>128</v>
      </c>
      <c r="C51" s="37">
        <f>COMPOSICAO!D38</f>
        <v>4.5631999999999999E-3</v>
      </c>
      <c r="D51" s="22">
        <f t="shared" si="1"/>
        <v>48.888869919999998</v>
      </c>
    </row>
    <row r="52" spans="1:4" x14ac:dyDescent="0.2">
      <c r="A52" s="4" t="s">
        <v>7</v>
      </c>
      <c r="B52" s="30" t="s">
        <v>129</v>
      </c>
      <c r="C52" s="37">
        <f>COMPOSICAO!D39</f>
        <v>3.9680000000000005E-4</v>
      </c>
      <c r="D52" s="22">
        <f t="shared" si="1"/>
        <v>4.2512060800000011</v>
      </c>
    </row>
    <row r="53" spans="1:4" x14ac:dyDescent="0.2">
      <c r="A53" s="190" t="s">
        <v>104</v>
      </c>
      <c r="B53" s="191"/>
      <c r="C53" s="38">
        <f>SUM(C47:C52)</f>
        <v>5.6304444444444435E-2</v>
      </c>
      <c r="D53" s="39">
        <f>SUM(D47:D52)</f>
        <v>603.23033405555555</v>
      </c>
    </row>
    <row r="54" spans="1:4" x14ac:dyDescent="0.2">
      <c r="A54" s="13"/>
      <c r="B54" s="14"/>
      <c r="C54" s="40"/>
      <c r="D54" s="16"/>
    </row>
    <row r="55" spans="1:4" x14ac:dyDescent="0.2">
      <c r="A55" s="172" t="s">
        <v>105</v>
      </c>
      <c r="B55" s="173"/>
      <c r="C55" s="173"/>
      <c r="D55" s="174"/>
    </row>
    <row r="56" spans="1:4" x14ac:dyDescent="0.2">
      <c r="A56" s="17">
        <v>4</v>
      </c>
      <c r="B56" s="2" t="s">
        <v>115</v>
      </c>
      <c r="C56" s="36" t="s">
        <v>0</v>
      </c>
      <c r="D56" s="17" t="s">
        <v>1</v>
      </c>
    </row>
    <row r="57" spans="1:4" x14ac:dyDescent="0.2">
      <c r="A57" s="190" t="s">
        <v>106</v>
      </c>
      <c r="B57" s="191"/>
      <c r="C57" s="41">
        <v>0</v>
      </c>
      <c r="D57" s="42">
        <v>0</v>
      </c>
    </row>
    <row r="58" spans="1:4" x14ac:dyDescent="0.2">
      <c r="A58" s="13"/>
      <c r="B58" s="14"/>
      <c r="C58" s="24"/>
      <c r="D58" s="16"/>
    </row>
    <row r="59" spans="1:4" x14ac:dyDescent="0.2">
      <c r="A59" s="172" t="s">
        <v>107</v>
      </c>
      <c r="B59" s="173"/>
      <c r="C59" s="173"/>
      <c r="D59" s="174"/>
    </row>
    <row r="60" spans="1:4" x14ac:dyDescent="0.2">
      <c r="A60" s="17">
        <v>5</v>
      </c>
      <c r="B60" s="43" t="s">
        <v>115</v>
      </c>
      <c r="C60" s="44"/>
      <c r="D60" s="45" t="s">
        <v>1</v>
      </c>
    </row>
    <row r="61" spans="1:4" x14ac:dyDescent="0.2">
      <c r="A61" s="9" t="s">
        <v>108</v>
      </c>
      <c r="B61" s="10"/>
      <c r="C61" s="47"/>
      <c r="D61" s="48">
        <v>0</v>
      </c>
    </row>
    <row r="62" spans="1:4" x14ac:dyDescent="0.2">
      <c r="A62" s="13"/>
      <c r="B62" s="14"/>
      <c r="C62" s="49"/>
      <c r="D62" s="16"/>
    </row>
    <row r="63" spans="1:4" x14ac:dyDescent="0.2">
      <c r="A63" s="172" t="s">
        <v>109</v>
      </c>
      <c r="B63" s="173"/>
      <c r="C63" s="173"/>
      <c r="D63" s="174"/>
    </row>
    <row r="64" spans="1:4" x14ac:dyDescent="0.2">
      <c r="A64" s="17">
        <v>6</v>
      </c>
      <c r="B64" s="2" t="s">
        <v>115</v>
      </c>
      <c r="C64" s="50" t="s">
        <v>0</v>
      </c>
      <c r="D64" s="17" t="s">
        <v>1</v>
      </c>
    </row>
    <row r="65" spans="1:4" x14ac:dyDescent="0.2">
      <c r="A65" s="51" t="s">
        <v>2</v>
      </c>
      <c r="B65" s="52" t="s">
        <v>130</v>
      </c>
      <c r="C65" s="53">
        <f>COMPOSICAO!D44</f>
        <v>0.05</v>
      </c>
      <c r="D65" s="12">
        <f>C65*$D$81</f>
        <v>831.58436766111117</v>
      </c>
    </row>
    <row r="66" spans="1:4" x14ac:dyDescent="0.2">
      <c r="A66" s="51" t="s">
        <v>3</v>
      </c>
      <c r="B66" s="52" t="s">
        <v>131</v>
      </c>
      <c r="C66" s="53">
        <f>COMPOSICAO!D45</f>
        <v>0.1</v>
      </c>
      <c r="D66" s="12">
        <f>C66*($D$81+$D$65)</f>
        <v>1746.3271720883336</v>
      </c>
    </row>
    <row r="67" spans="1:4" x14ac:dyDescent="0.2">
      <c r="A67" s="51" t="s">
        <v>4</v>
      </c>
      <c r="B67" s="52" t="s">
        <v>132</v>
      </c>
      <c r="C67" s="53">
        <f>COMPOSICAO!D46</f>
        <v>9.2499999999999999E-2</v>
      </c>
      <c r="D67" s="12">
        <f>((D65+D66+D81)/(1-C67))-(D65+D66+D81)</f>
        <v>1958.0031929475263</v>
      </c>
    </row>
    <row r="68" spans="1:4" x14ac:dyDescent="0.2">
      <c r="A68" s="19" t="s">
        <v>23</v>
      </c>
      <c r="B68" s="54" t="s">
        <v>24</v>
      </c>
      <c r="C68" s="37">
        <f>COMPOSICAO!D47</f>
        <v>6.4999999999999997E-3</v>
      </c>
      <c r="D68" s="12">
        <f>C68*$D$83</f>
        <v>137.58941355847475</v>
      </c>
    </row>
    <row r="69" spans="1:4" x14ac:dyDescent="0.2">
      <c r="A69" s="19" t="s">
        <v>25</v>
      </c>
      <c r="B69" s="54" t="s">
        <v>26</v>
      </c>
      <c r="C69" s="37">
        <f>COMPOSICAO!D48</f>
        <v>0.03</v>
      </c>
      <c r="D69" s="12">
        <f t="shared" ref="D69:D71" si="2">C69*$D$83</f>
        <v>635.02806257757572</v>
      </c>
    </row>
    <row r="70" spans="1:4" x14ac:dyDescent="0.2">
      <c r="A70" s="4" t="s">
        <v>27</v>
      </c>
      <c r="B70" s="5" t="s">
        <v>28</v>
      </c>
      <c r="C70" s="37">
        <f>COMPOSICAO!D49</f>
        <v>0.02</v>
      </c>
      <c r="D70" s="12">
        <f t="shared" si="2"/>
        <v>423.35204171838387</v>
      </c>
    </row>
    <row r="71" spans="1:4" x14ac:dyDescent="0.2">
      <c r="A71" s="4" t="s">
        <v>29</v>
      </c>
      <c r="B71" s="106" t="s">
        <v>183</v>
      </c>
      <c r="C71" s="37">
        <f>COMPOSICAO!D50</f>
        <v>3.5999999999999997E-2</v>
      </c>
      <c r="D71" s="12">
        <f t="shared" si="2"/>
        <v>762.03367509309089</v>
      </c>
    </row>
    <row r="72" spans="1:4" x14ac:dyDescent="0.2">
      <c r="A72" s="178" t="s">
        <v>110</v>
      </c>
      <c r="B72" s="179"/>
      <c r="C72" s="55">
        <f>SUM(C65:C67)</f>
        <v>0.24250000000000002</v>
      </c>
      <c r="D72" s="12">
        <f>SUM(D65:D67)</f>
        <v>4535.9147326969705</v>
      </c>
    </row>
    <row r="73" spans="1:4" x14ac:dyDescent="0.2">
      <c r="A73" s="13"/>
      <c r="B73" s="14"/>
      <c r="C73" s="15"/>
      <c r="D73" s="16"/>
    </row>
    <row r="74" spans="1:4" x14ac:dyDescent="0.2">
      <c r="A74" s="186" t="s">
        <v>111</v>
      </c>
      <c r="B74" s="187"/>
      <c r="C74" s="187"/>
      <c r="D74" s="188"/>
    </row>
    <row r="75" spans="1:4" x14ac:dyDescent="0.2">
      <c r="A75" s="26" t="s">
        <v>112</v>
      </c>
      <c r="B75" s="56"/>
      <c r="C75" s="57"/>
      <c r="D75" s="17" t="s">
        <v>1</v>
      </c>
    </row>
    <row r="76" spans="1:4" x14ac:dyDescent="0.2">
      <c r="A76" s="4">
        <v>1</v>
      </c>
      <c r="B76" s="46" t="s">
        <v>133</v>
      </c>
      <c r="C76" s="58"/>
      <c r="D76" s="8">
        <f>D7</f>
        <v>10713.725</v>
      </c>
    </row>
    <row r="77" spans="1:4" x14ac:dyDescent="0.2">
      <c r="A77" s="4">
        <v>2</v>
      </c>
      <c r="B77" s="46" t="s">
        <v>134</v>
      </c>
      <c r="C77" s="58"/>
      <c r="D77" s="8">
        <f>D43</f>
        <v>5314.7320191666668</v>
      </c>
    </row>
    <row r="78" spans="1:4" x14ac:dyDescent="0.2">
      <c r="A78" s="4">
        <v>3</v>
      </c>
      <c r="B78" s="46" t="s">
        <v>135</v>
      </c>
      <c r="C78" s="58"/>
      <c r="D78" s="8">
        <f>D53</f>
        <v>603.23033405555555</v>
      </c>
    </row>
    <row r="79" spans="1:4" x14ac:dyDescent="0.2">
      <c r="A79" s="4">
        <v>4</v>
      </c>
      <c r="B79" s="46" t="s">
        <v>136</v>
      </c>
      <c r="C79" s="58"/>
      <c r="D79" s="8">
        <v>0</v>
      </c>
    </row>
    <row r="80" spans="1:4" x14ac:dyDescent="0.2">
      <c r="A80" s="4">
        <v>5</v>
      </c>
      <c r="B80" s="46" t="s">
        <v>137</v>
      </c>
      <c r="C80" s="58"/>
      <c r="D80" s="8">
        <v>0</v>
      </c>
    </row>
    <row r="81" spans="1:4" x14ac:dyDescent="0.2">
      <c r="A81" s="59" t="s">
        <v>113</v>
      </c>
      <c r="B81" s="10"/>
      <c r="C81" s="11"/>
      <c r="D81" s="12">
        <f>SUM(D76:D80)</f>
        <v>16631.687353222223</v>
      </c>
    </row>
    <row r="82" spans="1:4" x14ac:dyDescent="0.2">
      <c r="A82" s="4">
        <v>6</v>
      </c>
      <c r="B82" s="46" t="s">
        <v>138</v>
      </c>
      <c r="C82" s="58"/>
      <c r="D82" s="8">
        <f>D72</f>
        <v>4535.9147326969705</v>
      </c>
    </row>
    <row r="83" spans="1:4" x14ac:dyDescent="0.2">
      <c r="A83" s="178" t="s">
        <v>114</v>
      </c>
      <c r="B83" s="189"/>
      <c r="C83" s="179"/>
      <c r="D83" s="60">
        <f>SUM(D81:D82)</f>
        <v>21167.602085919192</v>
      </c>
    </row>
    <row r="84" spans="1:4" x14ac:dyDescent="0.2">
      <c r="C84" s="108" t="s">
        <v>187</v>
      </c>
      <c r="D84" s="109">
        <f>ROUNDUP(D83/D76,2)</f>
        <v>1.98</v>
      </c>
    </row>
    <row r="85" spans="1:4" x14ac:dyDescent="0.2"/>
    <row r="86" spans="1:4" hidden="1" x14ac:dyDescent="0.2">
      <c r="D86" s="111"/>
    </row>
  </sheetData>
  <mergeCells count="22">
    <mergeCell ref="A63:D63"/>
    <mergeCell ref="A72:B72"/>
    <mergeCell ref="A74:D74"/>
    <mergeCell ref="A83:C83"/>
    <mergeCell ref="A43:B43"/>
    <mergeCell ref="A45:D45"/>
    <mergeCell ref="A53:B53"/>
    <mergeCell ref="A55:D55"/>
    <mergeCell ref="A57:B57"/>
    <mergeCell ref="A59:D59"/>
    <mergeCell ref="A33:A35"/>
    <mergeCell ref="A1:D1"/>
    <mergeCell ref="A3:D3"/>
    <mergeCell ref="A4:D4"/>
    <mergeCell ref="A9:D9"/>
    <mergeCell ref="A10:D10"/>
    <mergeCell ref="A14:B14"/>
    <mergeCell ref="A16:D16"/>
    <mergeCell ref="A26:B26"/>
    <mergeCell ref="A28:D28"/>
    <mergeCell ref="B29:C29"/>
    <mergeCell ref="A30:A32"/>
  </mergeCells>
  <conditionalFormatting sqref="B69">
    <cfRule type="expression" dxfId="26" priority="1">
      <formula>$D$81=0</formula>
    </cfRule>
  </conditionalFormatting>
  <pageMargins left="0.511811024" right="0.511811024" top="0.78740157499999996" bottom="0.78740157499999996" header="0.31496062000000002" footer="0.3149606200000000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189a329-b568-4eef-85cb-0b87258ac610" xsi:nil="true"/>
    <lcf76f155ced4ddcb4097134ff3c332f xmlns="6b69e0ef-d27d-470e-880f-3d6c413f2b1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4D83F27D3C7C244B4B0353FCEF2D32D" ma:contentTypeVersion="18" ma:contentTypeDescription="Crie um novo documento." ma:contentTypeScope="" ma:versionID="5af23d55aadee71750b2b62cfcedffa5">
  <xsd:schema xmlns:xsd="http://www.w3.org/2001/XMLSchema" xmlns:xs="http://www.w3.org/2001/XMLSchema" xmlns:p="http://schemas.microsoft.com/office/2006/metadata/properties" xmlns:ns2="6b69e0ef-d27d-470e-880f-3d6c413f2b1e" xmlns:ns3="8189a329-b568-4eef-85cb-0b87258ac610" targetNamespace="http://schemas.microsoft.com/office/2006/metadata/properties" ma:root="true" ma:fieldsID="fe4e5adc41532ff761787c2d36fa10e0" ns2:_="" ns3:_="">
    <xsd:import namespace="6b69e0ef-d27d-470e-880f-3d6c413f2b1e"/>
    <xsd:import namespace="8189a329-b568-4eef-85cb-0b87258ac61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b69e0ef-d27d-470e-880f-3d6c413f2b1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Length (seconds)" ma:internalName="MediaLengthInSeconds" ma:readOnly="true">
      <xsd:simpleType>
        <xsd:restriction base="dms:Unknown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Marcações de imagem" ma:readOnly="false" ma:fieldId="{5cf76f15-5ced-4ddc-b409-7134ff3c332f}" ma:taxonomyMulti="true" ma:sspId="bf897d17-34fd-4a01-8f80-908009a6c4a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5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9a329-b568-4eef-85cb-0b87258ac610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5f680dce-b0e5-4f06-af57-ad262665e993}" ma:internalName="TaxCatchAll" ma:showField="CatchAllData" ma:web="8189a329-b568-4eef-85cb-0b87258ac61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1C39F86-0209-4A7E-8477-709B268096ED}">
  <ds:schemaRefs>
    <ds:schemaRef ds:uri="http://schemas.microsoft.com/office/2006/metadata/properties"/>
    <ds:schemaRef ds:uri="http://schemas.microsoft.com/office/infopath/2007/PartnerControls"/>
    <ds:schemaRef ds:uri="8189a329-b568-4eef-85cb-0b87258ac610"/>
    <ds:schemaRef ds:uri="6b69e0ef-d27d-470e-880f-3d6c413f2b1e"/>
  </ds:schemaRefs>
</ds:datastoreItem>
</file>

<file path=customXml/itemProps2.xml><?xml version="1.0" encoding="utf-8"?>
<ds:datastoreItem xmlns:ds="http://schemas.openxmlformats.org/officeDocument/2006/customXml" ds:itemID="{CA67A171-9F64-4BB6-B2F1-185BBD025FD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b69e0ef-d27d-470e-880f-3d6c413f2b1e"/>
    <ds:schemaRef ds:uri="8189a329-b568-4eef-85cb-0b87258ac61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A861C27-AEFF-448A-9D4F-BB6BFB85E9D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35</vt:i4>
      </vt:variant>
    </vt:vector>
  </HeadingPairs>
  <TitlesOfParts>
    <vt:vector size="35" baseType="lpstr">
      <vt:lpstr>PERFIS</vt:lpstr>
      <vt:lpstr>COMPOSICAO</vt:lpstr>
      <vt:lpstr>ARQSOF-01</vt:lpstr>
      <vt:lpstr>ARQSOF-02</vt:lpstr>
      <vt:lpstr>ATQ-01</vt:lpstr>
      <vt:lpstr>ATQ-02</vt:lpstr>
      <vt:lpstr>ATQ-03</vt:lpstr>
      <vt:lpstr>DESENV-01</vt:lpstr>
      <vt:lpstr>DESENV-02</vt:lpstr>
      <vt:lpstr>DESENV-03</vt:lpstr>
      <vt:lpstr>ANR-01</vt:lpstr>
      <vt:lpstr>ANR-02</vt:lpstr>
      <vt:lpstr>ANR-03</vt:lpstr>
      <vt:lpstr>ABI-01</vt:lpstr>
      <vt:lpstr>ABI-02</vt:lpstr>
      <vt:lpstr>ABI-03</vt:lpstr>
      <vt:lpstr>ADADOS-02</vt:lpstr>
      <vt:lpstr>ADADOS-03</vt:lpstr>
      <vt:lpstr>LDESENV</vt:lpstr>
      <vt:lpstr>SCRUM</vt:lpstr>
      <vt:lpstr>GERPRO</vt:lpstr>
      <vt:lpstr>AUX_UI-01</vt:lpstr>
      <vt:lpstr>AUX_UI-02</vt:lpstr>
      <vt:lpstr>CDADOS-01</vt:lpstr>
      <vt:lpstr>CDADOS-02</vt:lpstr>
      <vt:lpstr>CDADOS-03</vt:lpstr>
      <vt:lpstr>ARQDADOS-01</vt:lpstr>
      <vt:lpstr>ARQDADOS-02</vt:lpstr>
      <vt:lpstr>ARQDADOS-03</vt:lpstr>
      <vt:lpstr>IA-ENG-01</vt:lpstr>
      <vt:lpstr>IA-ENG-02</vt:lpstr>
      <vt:lpstr>IA-ENG-03</vt:lpstr>
      <vt:lpstr>METRICA-01</vt:lpstr>
      <vt:lpstr>METRICA-02</vt:lpstr>
      <vt:lpstr>METRICA-03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Alessandro Lima Pereira</dc:creator>
  <cp:keywords/>
  <dc:description/>
  <cp:lastModifiedBy>Leonardo Tiago Barcelos Pires</cp:lastModifiedBy>
  <cp:revision/>
  <dcterms:created xsi:type="dcterms:W3CDTF">2025-07-10T12:43:59Z</dcterms:created>
  <dcterms:modified xsi:type="dcterms:W3CDTF">2025-07-17T14:35:57Z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0x01010044D83F27D3C7C244B4B0353FCEF2D32D</vt:lpwstr>
  </property>
  <property fmtid="{D5CDD505-2E9C-101B-9397-08002B2CF9AE}" pid="3" name="MediaServiceImageTags">
    <vt:lpwstr/>
  </property>
</Properties>
</file>