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MOTO\Desktop\Central_Compras\Projetos\Projeto_Facility\Precificação\Precificação_TR\FINAL_02 12 2021\"/>
    </mc:Choice>
  </mc:AlternateContent>
  <bookViews>
    <workbookView xWindow="0" yWindow="0" windowWidth="24000" windowHeight="9000" tabRatio="792" activeTab="3"/>
  </bookViews>
  <sheets>
    <sheet name="Observações" sheetId="33" r:id="rId1"/>
    <sheet name="1. Resumo MO" sheetId="13" r:id="rId2"/>
    <sheet name="2. Gerente" sheetId="62" r:id="rId3"/>
    <sheet name="3. Sup apoio" sheetId="59" r:id="rId4"/>
    <sheet name="4. Sup manut" sheetId="60" r:id="rId5"/>
    <sheet name="5. Copeira" sheetId="43" r:id="rId6"/>
    <sheet name="6. Garçom" sheetId="44" r:id="rId7"/>
    <sheet name="7. Brigada líder D" sheetId="63" r:id="rId8"/>
    <sheet name="8. Brigada 36D" sheetId="64" r:id="rId9"/>
    <sheet name="9. Brigada 12N" sheetId="66" r:id="rId10"/>
    <sheet name="10. Brigada 36N" sheetId="65" r:id="rId11"/>
    <sheet name="11. Limpeza prod" sheetId="71" r:id="rId12"/>
    <sheet name="12. Servente" sheetId="67" r:id="rId13"/>
    <sheet name="13. Aux de Jardinag" sheetId="70" r:id="rId14"/>
  </sheets>
  <externalReferences>
    <externalReference r:id="rId15"/>
    <externalReference r:id="rId16"/>
  </externalReferences>
  <definedNames>
    <definedName name="__xlnm.Print_Area_1">#REF!</definedName>
    <definedName name="__xlnm.Print_Area_2">#REF!</definedName>
    <definedName name="__xlnm.Print_Area_3">#REF!</definedName>
    <definedName name="_xlnm.Print_Area" localSheetId="10">'10. Brigada 36N'!$A$1:$G$145</definedName>
    <definedName name="_xlnm.Print_Area" localSheetId="12">'12. Servente'!$A$1:$G$145</definedName>
    <definedName name="_xlnm.Print_Area" localSheetId="13">'13. Aux de Jardinag'!$A$1:$G$145</definedName>
    <definedName name="_xlnm.Print_Area" localSheetId="2">'2. Gerente'!$A$1:$G$145</definedName>
    <definedName name="_xlnm.Print_Area" localSheetId="3">'3. Sup apoio'!$A$1:$G$145</definedName>
    <definedName name="_xlnm.Print_Area" localSheetId="4">'4. Sup manut'!$A$1:$G$145</definedName>
    <definedName name="_xlnm.Print_Area" localSheetId="5">'5. Copeira'!$A$1:$G$145</definedName>
    <definedName name="_xlnm.Print_Area" localSheetId="6">'6. Garçom'!$A$1:$G$145</definedName>
    <definedName name="_xlnm.Print_Area" localSheetId="7">'7. Brigada líder D'!$A$1:$G$145</definedName>
    <definedName name="_xlnm.Print_Area" localSheetId="8">'8. Brigada 36D'!$A$1:$G$145</definedName>
    <definedName name="_xlnm.Print_Area" localSheetId="9">'9. Brigada 12N'!$A$1:$G$145</definedName>
    <definedName name="CONSUMO">#REF!</definedName>
    <definedName name="EQUIPAMENTOS">#REF!</definedName>
    <definedName name="Excel_BuiltIn_Print_Area_1">#N/A</definedName>
    <definedName name="Excel_BuiltIn_Print_Area_1_2">#N/A</definedName>
    <definedName name="Excel_BuiltIn_Print_Area_2">#N/A</definedName>
    <definedName name="Excel_BuiltIn_Print_Area_2_2">#N/A</definedName>
    <definedName name="MATERIAIS">'[1]Mat. reposição'!$G$529</definedName>
    <definedName name="PONTO">#REF!</definedName>
    <definedName name="SOFTWARE">#REF!</definedName>
    <definedName name="Teste">#N/A</definedName>
    <definedName name="unif_demais">#REF!</definedName>
    <definedName name="unif_encarregados">#REF!</definedName>
    <definedName name="unif_plant">#REF!</definedName>
    <definedName name="VT">[1]SALÁRIOS!$I$1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34" roundtripDataSignature="AMtx7mjLR5+32Qp8x0nlvYXoKlhRjn4ibg=="/>
    </ext>
  </extLst>
</workbook>
</file>

<file path=xl/calcChain.xml><?xml version="1.0" encoding="utf-8"?>
<calcChain xmlns="http://schemas.openxmlformats.org/spreadsheetml/2006/main">
  <c r="S4" i="71" l="1"/>
  <c r="AB4" i="71" l="1"/>
  <c r="F19" i="71"/>
  <c r="Q26" i="71" s="1"/>
  <c r="Q23" i="71"/>
  <c r="P23" i="71" s="1"/>
  <c r="AB17" i="71"/>
  <c r="AB15" i="71"/>
  <c r="AC15" i="71" s="1"/>
  <c r="S17" i="71"/>
  <c r="F18" i="71"/>
  <c r="S18" i="71" s="1"/>
  <c r="AB5" i="71"/>
  <c r="AB6" i="71"/>
  <c r="AB7" i="71"/>
  <c r="AB8" i="71"/>
  <c r="AB9" i="71"/>
  <c r="AB10" i="71"/>
  <c r="AB11" i="71"/>
  <c r="AB12" i="71"/>
  <c r="AB13" i="71"/>
  <c r="AB14" i="71"/>
  <c r="S10" i="71"/>
  <c r="S11" i="71"/>
  <c r="S12" i="71"/>
  <c r="S13" i="71"/>
  <c r="S14" i="71"/>
  <c r="S15" i="71"/>
  <c r="S9" i="71"/>
  <c r="C65" i="13"/>
  <c r="S19" i="71" l="1"/>
  <c r="AC6" i="71"/>
  <c r="AB18" i="71"/>
  <c r="AC13" i="71"/>
  <c r="AB19" i="71"/>
  <c r="AC11" i="71"/>
  <c r="AC4" i="71"/>
  <c r="S5" i="71" l="1"/>
  <c r="S6" i="71"/>
  <c r="S7" i="71"/>
  <c r="S8" i="71"/>
  <c r="F16" i="71"/>
  <c r="F21" i="71" s="1"/>
  <c r="G121" i="70"/>
  <c r="G108" i="70"/>
  <c r="G109" i="70" s="1"/>
  <c r="G115" i="70" s="1"/>
  <c r="F88" i="70"/>
  <c r="F87" i="70"/>
  <c r="F86" i="70"/>
  <c r="G67" i="70"/>
  <c r="G66" i="70"/>
  <c r="G64" i="70"/>
  <c r="F57" i="70"/>
  <c r="F89" i="70" s="1"/>
  <c r="F39" i="70"/>
  <c r="G30" i="70"/>
  <c r="G65" i="70" s="1"/>
  <c r="E20" i="62"/>
  <c r="AB16" i="71" l="1"/>
  <c r="AC16" i="71" s="1"/>
  <c r="S16" i="71"/>
  <c r="S21" i="71" s="1"/>
  <c r="F97" i="70"/>
  <c r="G34" i="70"/>
  <c r="G96" i="70" s="1"/>
  <c r="G73" i="70"/>
  <c r="G81" i="70" s="1"/>
  <c r="S24" i="71" l="1"/>
  <c r="G98" i="70"/>
  <c r="G99" i="70"/>
  <c r="G100" i="70"/>
  <c r="G86" i="70"/>
  <c r="G87" i="70" s="1"/>
  <c r="G90" i="70"/>
  <c r="G101" i="70"/>
  <c r="G39" i="70"/>
  <c r="G40" i="70"/>
  <c r="G102" i="70"/>
  <c r="G88" i="70"/>
  <c r="G89" i="70" s="1"/>
  <c r="G128" i="70"/>
  <c r="G97" i="70"/>
  <c r="G91" i="70" l="1"/>
  <c r="G41" i="70"/>
  <c r="G103" i="70"/>
  <c r="G114" i="70" s="1"/>
  <c r="G116" i="70" s="1"/>
  <c r="G131" i="70" s="1"/>
  <c r="G130" i="70" l="1"/>
  <c r="G79" i="70"/>
  <c r="G46" i="70"/>
  <c r="G50" i="70" l="1"/>
  <c r="G49" i="70"/>
  <c r="G56" i="70"/>
  <c r="G55" i="70"/>
  <c r="G54" i="70"/>
  <c r="G51" i="70"/>
  <c r="G52" i="70"/>
  <c r="G53" i="70"/>
  <c r="G57" i="70" l="1"/>
  <c r="G80" i="70" s="1"/>
  <c r="G82" i="70" s="1"/>
  <c r="G120" i="70" s="1"/>
  <c r="E65" i="13" l="1"/>
  <c r="E66" i="13" s="1"/>
  <c r="G129" i="70"/>
  <c r="G123" i="70"/>
  <c r="G132" i="70" s="1"/>
  <c r="G133" i="70" l="1"/>
  <c r="G137" i="70" s="1"/>
  <c r="G138" i="70" s="1"/>
  <c r="E62" i="13"/>
  <c r="E61" i="13"/>
  <c r="G121" i="67"/>
  <c r="G108" i="67"/>
  <c r="G109" i="67" s="1"/>
  <c r="G115" i="67" s="1"/>
  <c r="F88" i="67"/>
  <c r="F87" i="67"/>
  <c r="F86" i="67"/>
  <c r="G67" i="67"/>
  <c r="G66" i="67"/>
  <c r="G64" i="67"/>
  <c r="F57" i="67"/>
  <c r="F89" i="67" s="1"/>
  <c r="F39" i="67"/>
  <c r="G30" i="67"/>
  <c r="G65" i="67" s="1"/>
  <c r="G30" i="66"/>
  <c r="G65" i="66" s="1"/>
  <c r="H23" i="66"/>
  <c r="G121" i="66"/>
  <c r="G123" i="66" s="1"/>
  <c r="G132" i="66" s="1"/>
  <c r="G108" i="66"/>
  <c r="G109" i="66" s="1"/>
  <c r="G115" i="66" s="1"/>
  <c r="F88" i="66"/>
  <c r="F87" i="66"/>
  <c r="F86" i="66"/>
  <c r="G64" i="66"/>
  <c r="F57" i="66"/>
  <c r="F89" i="66" s="1"/>
  <c r="F39" i="66"/>
  <c r="G67" i="66"/>
  <c r="G121" i="65"/>
  <c r="G123" i="65" s="1"/>
  <c r="G132" i="65" s="1"/>
  <c r="F88" i="65"/>
  <c r="F87" i="65"/>
  <c r="F86" i="65"/>
  <c r="F57" i="65"/>
  <c r="F89" i="65" s="1"/>
  <c r="F39" i="65"/>
  <c r="G30" i="65"/>
  <c r="G33" i="65" s="1"/>
  <c r="H31" i="65" s="1"/>
  <c r="E23" i="65"/>
  <c r="G67" i="65" s="1"/>
  <c r="G121" i="64"/>
  <c r="G123" i="64" s="1"/>
  <c r="G132" i="64" s="1"/>
  <c r="F97" i="64"/>
  <c r="F88" i="64"/>
  <c r="F87" i="64"/>
  <c r="F86" i="64"/>
  <c r="F57" i="64"/>
  <c r="F89" i="64" s="1"/>
  <c r="F39" i="64"/>
  <c r="G30" i="64"/>
  <c r="G33" i="64" s="1"/>
  <c r="G34" i="64" s="1"/>
  <c r="E23" i="64"/>
  <c r="G67" i="64" s="1"/>
  <c r="G121" i="63"/>
  <c r="G123" i="63" s="1"/>
  <c r="G132" i="63" s="1"/>
  <c r="F88" i="63"/>
  <c r="F87" i="63"/>
  <c r="F86" i="63"/>
  <c r="F57" i="63"/>
  <c r="F89" i="63" s="1"/>
  <c r="F39" i="63"/>
  <c r="G30" i="63"/>
  <c r="G33" i="63" s="1"/>
  <c r="G34" i="63" s="1"/>
  <c r="E23" i="63"/>
  <c r="G67" i="63" s="1"/>
  <c r="D46" i="13" l="1"/>
  <c r="E46" i="13" s="1"/>
  <c r="H138" i="70"/>
  <c r="I138" i="70" s="1"/>
  <c r="J138" i="70" s="1"/>
  <c r="G108" i="64"/>
  <c r="G109" i="64" s="1"/>
  <c r="G115" i="64" s="1"/>
  <c r="F97" i="65"/>
  <c r="F97" i="66"/>
  <c r="G64" i="64"/>
  <c r="F97" i="63"/>
  <c r="G139" i="70"/>
  <c r="G73" i="67"/>
  <c r="G81" i="67" s="1"/>
  <c r="F97" i="67"/>
  <c r="G34" i="67"/>
  <c r="G33" i="66"/>
  <c r="G32" i="66"/>
  <c r="G66" i="66"/>
  <c r="G73" i="66" s="1"/>
  <c r="G81" i="66" s="1"/>
  <c r="G31" i="66"/>
  <c r="G32" i="65"/>
  <c r="G65" i="65"/>
  <c r="G64" i="65"/>
  <c r="H32" i="65"/>
  <c r="G66" i="65"/>
  <c r="G108" i="65"/>
  <c r="G109" i="65" s="1"/>
  <c r="G115" i="65" s="1"/>
  <c r="G31" i="65"/>
  <c r="G65" i="64"/>
  <c r="G128" i="64"/>
  <c r="G99" i="64"/>
  <c r="G96" i="64"/>
  <c r="G40" i="64"/>
  <c r="G102" i="64"/>
  <c r="G98" i="64"/>
  <c r="G88" i="64"/>
  <c r="G89" i="64" s="1"/>
  <c r="G86" i="64"/>
  <c r="G39" i="64"/>
  <c r="G101" i="64"/>
  <c r="G90" i="64"/>
  <c r="G100" i="64"/>
  <c r="G66" i="64"/>
  <c r="G128" i="63"/>
  <c r="G99" i="63"/>
  <c r="G96" i="63"/>
  <c r="G40" i="63"/>
  <c r="G102" i="63"/>
  <c r="G98" i="63"/>
  <c r="G88" i="63"/>
  <c r="G89" i="63" s="1"/>
  <c r="G86" i="63"/>
  <c r="G39" i="63"/>
  <c r="G100" i="63"/>
  <c r="G101" i="63"/>
  <c r="G90" i="63"/>
  <c r="G65" i="63"/>
  <c r="G64" i="63"/>
  <c r="G108" i="63"/>
  <c r="G109" i="63" s="1"/>
  <c r="G115" i="63" s="1"/>
  <c r="G66" i="63"/>
  <c r="K138" i="70" l="1"/>
  <c r="G34" i="65"/>
  <c r="G73" i="64"/>
  <c r="G81" i="64" s="1"/>
  <c r="G101" i="67"/>
  <c r="G90" i="67"/>
  <c r="G128" i="67"/>
  <c r="G99" i="67"/>
  <c r="G102" i="67"/>
  <c r="G98" i="67"/>
  <c r="G88" i="67"/>
  <c r="G89" i="67" s="1"/>
  <c r="G86" i="67"/>
  <c r="G100" i="67"/>
  <c r="G96" i="67"/>
  <c r="G40" i="67"/>
  <c r="G39" i="67"/>
  <c r="G34" i="66"/>
  <c r="G73" i="65"/>
  <c r="G81" i="65" s="1"/>
  <c r="G128" i="65"/>
  <c r="G99" i="65"/>
  <c r="G96" i="65"/>
  <c r="G40" i="65"/>
  <c r="G102" i="65"/>
  <c r="G98" i="65"/>
  <c r="G88" i="65"/>
  <c r="G89" i="65" s="1"/>
  <c r="G86" i="65"/>
  <c r="G39" i="65"/>
  <c r="G100" i="65"/>
  <c r="G101" i="65"/>
  <c r="G90" i="65"/>
  <c r="G97" i="64"/>
  <c r="G103" i="64" s="1"/>
  <c r="G114" i="64" s="1"/>
  <c r="G116" i="64" s="1"/>
  <c r="G131" i="64" s="1"/>
  <c r="G87" i="64"/>
  <c r="G91" i="64" s="1"/>
  <c r="G130" i="64" s="1"/>
  <c r="G41" i="64"/>
  <c r="G73" i="63"/>
  <c r="G81" i="63" s="1"/>
  <c r="G87" i="63"/>
  <c r="G91" i="63" s="1"/>
  <c r="G130" i="63" s="1"/>
  <c r="G97" i="63"/>
  <c r="G103" i="63" s="1"/>
  <c r="G114" i="63" s="1"/>
  <c r="G116" i="63" s="1"/>
  <c r="G131" i="63" s="1"/>
  <c r="G41" i="63"/>
  <c r="G97" i="67" l="1"/>
  <c r="G103" i="67" s="1"/>
  <c r="G114" i="67" s="1"/>
  <c r="G116" i="67" s="1"/>
  <c r="G131" i="67" s="1"/>
  <c r="G41" i="67"/>
  <c r="G87" i="67"/>
  <c r="G91" i="67" s="1"/>
  <c r="G128" i="66"/>
  <c r="G99" i="66"/>
  <c r="G96" i="66"/>
  <c r="G40" i="66"/>
  <c r="G102" i="66"/>
  <c r="G98" i="66"/>
  <c r="G88" i="66"/>
  <c r="G89" i="66" s="1"/>
  <c r="G86" i="66"/>
  <c r="G39" i="66"/>
  <c r="G100" i="66"/>
  <c r="G101" i="66"/>
  <c r="G90" i="66"/>
  <c r="G97" i="65"/>
  <c r="G103" i="65" s="1"/>
  <c r="G114" i="65" s="1"/>
  <c r="G116" i="65" s="1"/>
  <c r="G131" i="65" s="1"/>
  <c r="G87" i="65"/>
  <c r="G91" i="65" s="1"/>
  <c r="G130" i="65" s="1"/>
  <c r="G41" i="65"/>
  <c r="G79" i="64"/>
  <c r="G46" i="64"/>
  <c r="G79" i="63"/>
  <c r="G46" i="63"/>
  <c r="G130" i="67" l="1"/>
  <c r="G79" i="67"/>
  <c r="G46" i="67"/>
  <c r="G87" i="66"/>
  <c r="G91" i="66" s="1"/>
  <c r="G130" i="66" s="1"/>
  <c r="G97" i="66"/>
  <c r="G103" i="66" s="1"/>
  <c r="G114" i="66" s="1"/>
  <c r="G116" i="66" s="1"/>
  <c r="G131" i="66" s="1"/>
  <c r="G41" i="66"/>
  <c r="G79" i="65"/>
  <c r="G46" i="65"/>
  <c r="G54" i="64"/>
  <c r="G50" i="64"/>
  <c r="G53" i="64"/>
  <c r="G49" i="64"/>
  <c r="G56" i="64"/>
  <c r="G52" i="64"/>
  <c r="G55" i="64"/>
  <c r="G51" i="64"/>
  <c r="G54" i="63"/>
  <c r="G50" i="63"/>
  <c r="G53" i="63"/>
  <c r="G49" i="63"/>
  <c r="G55" i="63"/>
  <c r="G51" i="63"/>
  <c r="G56" i="63"/>
  <c r="G52" i="63"/>
  <c r="G57" i="64" l="1"/>
  <c r="G80" i="64" s="1"/>
  <c r="G82" i="64" s="1"/>
  <c r="G129" i="64" s="1"/>
  <c r="G133" i="64" s="1"/>
  <c r="G137" i="64" s="1"/>
  <c r="G56" i="67"/>
  <c r="G52" i="67"/>
  <c r="G55" i="67"/>
  <c r="G51" i="67"/>
  <c r="G49" i="67"/>
  <c r="G54" i="67"/>
  <c r="G50" i="67"/>
  <c r="G53" i="67"/>
  <c r="G79" i="66"/>
  <c r="G46" i="66"/>
  <c r="G54" i="65"/>
  <c r="G50" i="65"/>
  <c r="G55" i="65"/>
  <c r="G51" i="65"/>
  <c r="G53" i="65"/>
  <c r="G49" i="65"/>
  <c r="G56" i="65"/>
  <c r="G52" i="65"/>
  <c r="G57" i="63"/>
  <c r="G80" i="63" s="1"/>
  <c r="G82" i="63" s="1"/>
  <c r="G129" i="63" s="1"/>
  <c r="G133" i="63" s="1"/>
  <c r="G138" i="64" l="1"/>
  <c r="G139" i="64"/>
  <c r="D38" i="13"/>
  <c r="E38" i="13" s="1"/>
  <c r="G137" i="63"/>
  <c r="G138" i="63" s="1"/>
  <c r="D41" i="13"/>
  <c r="G57" i="67"/>
  <c r="G80" i="67" s="1"/>
  <c r="G82" i="67" s="1"/>
  <c r="G54" i="66"/>
  <c r="G50" i="66"/>
  <c r="G52" i="66"/>
  <c r="G51" i="66"/>
  <c r="G53" i="66"/>
  <c r="G49" i="66"/>
  <c r="G56" i="66"/>
  <c r="G55" i="66"/>
  <c r="G57" i="65"/>
  <c r="G80" i="65" s="1"/>
  <c r="G82" i="65" s="1"/>
  <c r="G129" i="65" s="1"/>
  <c r="G133" i="65" s="1"/>
  <c r="G139" i="63"/>
  <c r="G129" i="67" l="1"/>
  <c r="G120" i="67"/>
  <c r="G123" i="67" s="1"/>
  <c r="G132" i="67" s="1"/>
  <c r="G137" i="65"/>
  <c r="G138" i="65" s="1"/>
  <c r="D39" i="13"/>
  <c r="G57" i="66"/>
  <c r="G80" i="66" s="1"/>
  <c r="G82" i="66" s="1"/>
  <c r="G129" i="66" s="1"/>
  <c r="G133" i="66" s="1"/>
  <c r="G139" i="65" l="1"/>
  <c r="G133" i="67"/>
  <c r="G137" i="67" s="1"/>
  <c r="G137" i="66"/>
  <c r="G139" i="66" s="1"/>
  <c r="D40" i="13"/>
  <c r="D45" i="13" l="1"/>
  <c r="E45" i="13" s="1"/>
  <c r="F47" i="13" s="1"/>
  <c r="E47" i="13" s="1"/>
  <c r="G139" i="67"/>
  <c r="G138" i="67"/>
  <c r="G138" i="66"/>
  <c r="G30" i="62"/>
  <c r="G121" i="62"/>
  <c r="G123" i="62" s="1"/>
  <c r="G132" i="62" s="1"/>
  <c r="G108" i="62"/>
  <c r="G109" i="62" s="1"/>
  <c r="G115" i="62" s="1"/>
  <c r="F88" i="62"/>
  <c r="F87" i="62"/>
  <c r="F86" i="62"/>
  <c r="G67" i="62"/>
  <c r="G66" i="62"/>
  <c r="G64" i="62"/>
  <c r="F57" i="62"/>
  <c r="F89" i="62" s="1"/>
  <c r="F39" i="62"/>
  <c r="G121" i="60"/>
  <c r="G123" i="60" s="1"/>
  <c r="G132" i="60" s="1"/>
  <c r="G108" i="60"/>
  <c r="G109" i="60" s="1"/>
  <c r="G115" i="60" s="1"/>
  <c r="F97" i="60"/>
  <c r="F88" i="60"/>
  <c r="F87" i="60"/>
  <c r="F86" i="60"/>
  <c r="G67" i="60"/>
  <c r="G66" i="60"/>
  <c r="G64" i="60"/>
  <c r="F57" i="60"/>
  <c r="F89" i="60" s="1"/>
  <c r="F39" i="60"/>
  <c r="G34" i="60"/>
  <c r="G128" i="60" s="1"/>
  <c r="G30" i="60"/>
  <c r="G65" i="60" s="1"/>
  <c r="G121" i="59"/>
  <c r="G123" i="59" s="1"/>
  <c r="G132" i="59" s="1"/>
  <c r="G108" i="59"/>
  <c r="G109" i="59" s="1"/>
  <c r="G115" i="59" s="1"/>
  <c r="F88" i="59"/>
  <c r="F87" i="59"/>
  <c r="F86" i="59"/>
  <c r="G67" i="59"/>
  <c r="G66" i="59"/>
  <c r="G64" i="59"/>
  <c r="F57" i="59"/>
  <c r="F89" i="59" s="1"/>
  <c r="F39" i="59"/>
  <c r="G30" i="59"/>
  <c r="G65" i="59" s="1"/>
  <c r="E48" i="13" l="1"/>
  <c r="F97" i="59"/>
  <c r="G65" i="62"/>
  <c r="G73" i="62" s="1"/>
  <c r="G81" i="62" s="1"/>
  <c r="G34" i="62"/>
  <c r="G90" i="62" s="1"/>
  <c r="F97" i="62"/>
  <c r="G73" i="60"/>
  <c r="G81" i="60" s="1"/>
  <c r="G90" i="60"/>
  <c r="G101" i="60"/>
  <c r="G100" i="60"/>
  <c r="G39" i="60"/>
  <c r="G86" i="60"/>
  <c r="G88" i="60"/>
  <c r="G89" i="60" s="1"/>
  <c r="G98" i="60"/>
  <c r="G102" i="60"/>
  <c r="G40" i="60"/>
  <c r="G96" i="60"/>
  <c r="G99" i="60"/>
  <c r="G34" i="59"/>
  <c r="G128" i="59" s="1"/>
  <c r="G73" i="59"/>
  <c r="G81" i="59" s="1"/>
  <c r="G101" i="59"/>
  <c r="G88" i="59"/>
  <c r="G89" i="59" s="1"/>
  <c r="G98" i="59"/>
  <c r="G99" i="59"/>
  <c r="G90" i="59" l="1"/>
  <c r="G96" i="59"/>
  <c r="G102" i="59"/>
  <c r="G102" i="62"/>
  <c r="G98" i="62"/>
  <c r="G101" i="62"/>
  <c r="G40" i="62"/>
  <c r="G99" i="62"/>
  <c r="G86" i="62"/>
  <c r="G87" i="62" s="1"/>
  <c r="G128" i="62"/>
  <c r="G39" i="62"/>
  <c r="G96" i="62"/>
  <c r="G97" i="62" s="1"/>
  <c r="G88" i="62"/>
  <c r="G89" i="62" s="1"/>
  <c r="G100" i="62"/>
  <c r="G41" i="60"/>
  <c r="G87" i="60"/>
  <c r="G91" i="60" s="1"/>
  <c r="G130" i="60" s="1"/>
  <c r="G97" i="60"/>
  <c r="G103" i="60" s="1"/>
  <c r="G114" i="60" s="1"/>
  <c r="G116" i="60" s="1"/>
  <c r="G131" i="60" s="1"/>
  <c r="G40" i="59"/>
  <c r="G41" i="59" s="1"/>
  <c r="G86" i="59"/>
  <c r="G87" i="59" s="1"/>
  <c r="G91" i="59" s="1"/>
  <c r="G130" i="59" s="1"/>
  <c r="G100" i="59"/>
  <c r="G39" i="59"/>
  <c r="G97" i="59"/>
  <c r="G103" i="59" s="1"/>
  <c r="G114" i="59" s="1"/>
  <c r="G116" i="59" s="1"/>
  <c r="G131" i="59" s="1"/>
  <c r="G41" i="62" l="1"/>
  <c r="G91" i="62"/>
  <c r="G130" i="62" s="1"/>
  <c r="G103" i="62"/>
  <c r="G114" i="62" s="1"/>
  <c r="G116" i="62" s="1"/>
  <c r="G131" i="62" s="1"/>
  <c r="G79" i="62"/>
  <c r="G46" i="62"/>
  <c r="G56" i="62" s="1"/>
  <c r="G79" i="60"/>
  <c r="G46" i="60"/>
  <c r="G79" i="59"/>
  <c r="G46" i="59"/>
  <c r="G50" i="62" l="1"/>
  <c r="G49" i="62"/>
  <c r="G53" i="62"/>
  <c r="G55" i="62"/>
  <c r="G54" i="62"/>
  <c r="G52" i="62"/>
  <c r="G51" i="62"/>
  <c r="G54" i="60"/>
  <c r="G50" i="60"/>
  <c r="G53" i="60"/>
  <c r="G49" i="60"/>
  <c r="G55" i="60"/>
  <c r="G51" i="60"/>
  <c r="G56" i="60"/>
  <c r="G52" i="60"/>
  <c r="G54" i="59"/>
  <c r="G50" i="59"/>
  <c r="G55" i="59"/>
  <c r="G53" i="59"/>
  <c r="G49" i="59"/>
  <c r="G51" i="59"/>
  <c r="G56" i="59"/>
  <c r="G52" i="59"/>
  <c r="G57" i="62" l="1"/>
  <c r="G80" i="62" s="1"/>
  <c r="G82" i="62" s="1"/>
  <c r="G129" i="62" s="1"/>
  <c r="G133" i="62" s="1"/>
  <c r="G137" i="62" s="1"/>
  <c r="D27" i="13" s="1"/>
  <c r="G57" i="60"/>
  <c r="G80" i="60" s="1"/>
  <c r="G82" i="60" s="1"/>
  <c r="G129" i="60" s="1"/>
  <c r="G133" i="60" s="1"/>
  <c r="G137" i="60" s="1"/>
  <c r="D29" i="13" s="1"/>
  <c r="G57" i="59"/>
  <c r="G80" i="59" s="1"/>
  <c r="G82" i="59" s="1"/>
  <c r="G129" i="59" s="1"/>
  <c r="G133" i="59" s="1"/>
  <c r="G139" i="62" l="1"/>
  <c r="G138" i="62"/>
  <c r="G137" i="59"/>
  <c r="G139" i="59" s="1"/>
  <c r="D28" i="13"/>
  <c r="G139" i="60"/>
  <c r="G138" i="60"/>
  <c r="G138" i="59" l="1"/>
  <c r="G66" i="44" l="1"/>
  <c r="G121" i="44"/>
  <c r="G123" i="44" s="1"/>
  <c r="G132" i="44" s="1"/>
  <c r="G108" i="44"/>
  <c r="G109" i="44" s="1"/>
  <c r="G115" i="44" s="1"/>
  <c r="F97" i="44"/>
  <c r="F88" i="44"/>
  <c r="F87" i="44"/>
  <c r="F86" i="44"/>
  <c r="G67" i="44"/>
  <c r="G64" i="44"/>
  <c r="F57" i="44"/>
  <c r="F89" i="44" s="1"/>
  <c r="F39" i="44"/>
  <c r="G30" i="44"/>
  <c r="G65" i="44" s="1"/>
  <c r="G73" i="44" l="1"/>
  <c r="G81" i="44" s="1"/>
  <c r="G34" i="44"/>
  <c r="G128" i="44" l="1"/>
  <c r="G99" i="44"/>
  <c r="G96" i="44"/>
  <c r="G102" i="44"/>
  <c r="G98" i="44"/>
  <c r="G88" i="44"/>
  <c r="G89" i="44" s="1"/>
  <c r="G86" i="44"/>
  <c r="G39" i="44"/>
  <c r="G41" i="44" s="1"/>
  <c r="G79" i="44" s="1"/>
  <c r="G101" i="44"/>
  <c r="G90" i="44"/>
  <c r="G100" i="44"/>
  <c r="G40" i="44"/>
  <c r="G46" i="44" l="1"/>
  <c r="G97" i="44"/>
  <c r="G103" i="44" s="1"/>
  <c r="G114" i="44" s="1"/>
  <c r="G116" i="44" s="1"/>
  <c r="G131" i="44" s="1"/>
  <c r="G87" i="44"/>
  <c r="G91" i="44" s="1"/>
  <c r="G130" i="44" s="1"/>
  <c r="G53" i="44" l="1"/>
  <c r="G49" i="44"/>
  <c r="G56" i="44"/>
  <c r="G52" i="44"/>
  <c r="G55" i="44"/>
  <c r="G51" i="44"/>
  <c r="G54" i="44"/>
  <c r="G50" i="44"/>
  <c r="G57" i="44" l="1"/>
  <c r="G80" i="44" s="1"/>
  <c r="G82" i="44" s="1"/>
  <c r="G129" i="44" s="1"/>
  <c r="G133" i="44" s="1"/>
  <c r="G137" i="44" l="1"/>
  <c r="G138" i="44" s="1"/>
  <c r="D34" i="13"/>
  <c r="G139" i="44"/>
  <c r="G30" i="43" l="1"/>
  <c r="F39" i="43" l="1"/>
  <c r="F57" i="43"/>
  <c r="F89" i="43" s="1"/>
  <c r="G64" i="43"/>
  <c r="G65" i="43"/>
  <c r="G66" i="43"/>
  <c r="G67" i="43"/>
  <c r="F86" i="43"/>
  <c r="F87" i="43"/>
  <c r="F88" i="43"/>
  <c r="G108" i="43"/>
  <c r="G109" i="43" s="1"/>
  <c r="G115" i="43" s="1"/>
  <c r="G121" i="43"/>
  <c r="G123" i="43" s="1"/>
  <c r="G132" i="43" s="1"/>
  <c r="F97" i="43" l="1"/>
  <c r="G73" i="43"/>
  <c r="G81" i="43" s="1"/>
  <c r="G34" i="43"/>
  <c r="G99" i="43" s="1"/>
  <c r="G98" i="43" l="1"/>
  <c r="G101" i="43"/>
  <c r="G128" i="43"/>
  <c r="G102" i="43"/>
  <c r="G100" i="43"/>
  <c r="G86" i="43"/>
  <c r="G87" i="43" s="1"/>
  <c r="G96" i="43"/>
  <c r="G97" i="43" s="1"/>
  <c r="G88" i="43"/>
  <c r="G89" i="43" s="1"/>
  <c r="G90" i="43"/>
  <c r="G40" i="43"/>
  <c r="G39" i="43"/>
  <c r="G91" i="43" l="1"/>
  <c r="G130" i="43" s="1"/>
  <c r="G103" i="43"/>
  <c r="G114" i="43" s="1"/>
  <c r="G116" i="43" s="1"/>
  <c r="G131" i="43" s="1"/>
  <c r="G41" i="43"/>
  <c r="G79" i="43" s="1"/>
  <c r="G46" i="43" l="1"/>
  <c r="G50" i="43" s="1"/>
  <c r="G53" i="43" l="1"/>
  <c r="G52" i="43"/>
  <c r="G54" i="43"/>
  <c r="G55" i="43"/>
  <c r="G49" i="43"/>
  <c r="G51" i="43"/>
  <c r="G56" i="43"/>
  <c r="G57" i="43" l="1"/>
  <c r="G80" i="43" s="1"/>
  <c r="G82" i="43" s="1"/>
  <c r="G129" i="43" s="1"/>
  <c r="G133" i="43" s="1"/>
  <c r="E57" i="13"/>
  <c r="C34" i="13"/>
  <c r="C33" i="13"/>
  <c r="E27" i="13"/>
  <c r="E23" i="13"/>
  <c r="G137" i="43" l="1"/>
  <c r="G139" i="43" s="1"/>
  <c r="D33" i="13"/>
  <c r="E29" i="13"/>
  <c r="G138" i="43" l="1"/>
  <c r="E28" i="13"/>
  <c r="E30" i="13" s="1"/>
  <c r="E22" i="13"/>
  <c r="E24" i="13" s="1"/>
  <c r="E55" i="13" l="1"/>
  <c r="E56" i="13"/>
  <c r="E58" i="13"/>
  <c r="E41" i="13"/>
  <c r="E33" i="13"/>
  <c r="E39" i="13" l="1"/>
  <c r="E34" i="13"/>
  <c r="E35" i="13" s="1"/>
  <c r="E40" i="13" l="1"/>
  <c r="E42" i="13" s="1"/>
  <c r="E17" i="13"/>
  <c r="E16" i="13"/>
  <c r="E15" i="13"/>
  <c r="E14" i="13"/>
  <c r="E13" i="13"/>
  <c r="E12" i="13"/>
  <c r="E11" i="13"/>
  <c r="E9" i="13"/>
  <c r="E7" i="13"/>
  <c r="E5" i="13"/>
  <c r="E4" i="13"/>
  <c r="E8" i="13" l="1"/>
  <c r="E6" i="13" l="1"/>
  <c r="E19" i="13" s="1"/>
  <c r="E54" i="13" l="1"/>
  <c r="E50" i="13" l="1"/>
</calcChain>
</file>

<file path=xl/comments1.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Foi utilizado 9 salários mínimos como piso salarial dos engenheiros.</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Média dos valores praticados nos contratos analisados pelo Planejamento da Contratação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10.xml><?xml version="1.0" encoding="utf-8"?>
<comments xmlns="http://schemas.openxmlformats.org/spreadsheetml/2006/main">
  <authors>
    <author>tc={B438F939-572F-471C-91C7-A9D44043D802}</author>
  </authors>
  <commentList>
    <comment ref="C18" authorId="0" shapeId="0">
      <text>
        <r>
          <rPr>
            <sz val="11"/>
            <color theme="1"/>
            <rFont val="Arial"/>
          </rPr>
          <t>[Comentário encadeado]
Sua versão do Excel permite que você leia este comentário encadeado, no entanto, as edições serão removidas se o arquivo for aberto em uma versão mais recente do Excel. Saiba mais: https://go.microsoft.com/fwlink/?linkid=870924
Comentário:
    roberta: frequencia semestral</t>
        </r>
      </text>
    </comment>
  </commentList>
</comments>
</file>

<file path=xl/comments11.xml><?xml version="1.0" encoding="utf-8"?>
<comments xmlns="http://schemas.openxmlformats.org/spreadsheetml/2006/main">
  <authors>
    <author/>
    <author>Franklin Brasil Santos</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1" shapeId="0">
      <text>
        <r>
          <rPr>
            <sz val="9"/>
            <color indexed="81"/>
            <rFont val="Segoe UI"/>
            <family val="2"/>
          </rPr>
          <t>De acordo com o Caderno Técnico de Limpeza do DF 2019, emitido pela Seges/ME (disponível no Comprasnet) o valor de provisão mensal para uniforme de servente em Brasília é (Módulo 1 + Módulo 2 + Módulo 3) x 1,45%
Esse valor é similar ao adotado no CADTERC de São Paulo (R$ 41,65+6,72)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12.xml><?xml version="1.0" encoding="utf-8"?>
<comments xmlns="http://schemas.openxmlformats.org/spreadsheetml/2006/main">
  <authors>
    <author/>
    <author>Franklin Brasil Santos</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1" shapeId="0">
      <text>
        <r>
          <rPr>
            <sz val="9"/>
            <color indexed="81"/>
            <rFont val="Segoe UI"/>
            <family val="2"/>
          </rPr>
          <t>De acordo com o Caderno Técnico de Limpeza do DF 2019, emitido pela Seges/ME (disponível no Comprasnet) o valor de provisão mensal para uniforme de servente em Brasília é (Módulo 1 + Módulo 2 + Módulo 3) x 1,45%
Esse valor é similar ao adotado no CADTERC de São Paulo (R$ 41,65+6,72)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2.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Média dos valores praticados nos contratos analisados pelo Planejamento da Contratação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3.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 xml:space="preserve">Conforme Sinapi, salário de Eletrotécnico DF 06/21
Para os benefícios utilizou-se a CCT 0038 como referência. </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Média dos valores praticados nos contratos analisados pelo Planejamento da Contratação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4.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Média dos valores praticados nos contratos analisados pelo Planejamento da Contratação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5.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Média dos valores praticados nos contratos analisados pelo Planejamento da Contratação
A LICITANTE DEVERÁ DETALHAR VALORES UNITÁRIOS NA ABA DE COMPOSIÇÃO DE UNIFORME E EPI.</t>
        </r>
      </text>
    </comment>
    <comment ref="G121" authorId="0" shapeId="0">
      <text>
        <r>
          <rPr>
            <sz val="11"/>
            <color rgb="FF000000"/>
            <rFont val="Calibri"/>
            <family val="2"/>
            <charset val="1"/>
          </rPr>
          <t>DETALHAR VALORES UNITÁRIOS NA ABA "INSUMOS".</t>
        </r>
      </text>
    </comment>
  </commentList>
</comments>
</file>

<file path=xl/comments6.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 xml:space="preserve">Média dos valores praticados nos contratos analisados pelo Planejamento da Contratação
A LICITANTE DEVERÁ DETALHAR VALORES UNITÁRIOS NA ABA DE COMPOSIÇÃO DE UNIFORME E EPI
</t>
        </r>
      </text>
    </comment>
    <comment ref="G121" authorId="0" shapeId="0">
      <text>
        <r>
          <rPr>
            <sz val="11"/>
            <color rgb="FF000000"/>
            <rFont val="Calibri"/>
            <family val="2"/>
            <charset val="1"/>
          </rPr>
          <t>DETALHAR VALORES UNITÁRIOS NA ABA "INSUMOS".</t>
        </r>
      </text>
    </comment>
  </commentList>
</comments>
</file>

<file path=xl/comments7.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 xml:space="preserve">Média dos valores praticados nos contratos analisados pelo Planejamento da Contratação
A LICITANTE DEVERÁ DETALHAR VALORES UNITÁRIOS NA ABA DE COMPOSIÇÃO DE UNIFORME E EPI
</t>
        </r>
      </text>
    </comment>
    <comment ref="G121" authorId="0" shapeId="0">
      <text>
        <r>
          <rPr>
            <sz val="11"/>
            <color rgb="FF000000"/>
            <rFont val="Calibri"/>
            <family val="2"/>
            <charset val="1"/>
          </rPr>
          <t>DETALHAR VALORES UNITÁRIOS NA ABA "INSUMOS".</t>
        </r>
      </text>
    </comment>
  </commentList>
</comments>
</file>

<file path=xl/comments8.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 xml:space="preserve">Média dos valores praticados nos contratos analisados pelo Planejamento da Contratação
A LICITANTE DEVERÁ DETALHAR VALORES UNITÁRIOS NA ABA DE COMPOSIÇÃO DE UNIFORME E EPI
</t>
        </r>
      </text>
    </comment>
    <comment ref="G121" authorId="0" shapeId="0">
      <text>
        <r>
          <rPr>
            <sz val="11"/>
            <color rgb="FF000000"/>
            <rFont val="Calibri"/>
            <family val="2"/>
            <charset val="1"/>
          </rPr>
          <t>DETALHAR VALORES UNITÁRIOS NA ABA "INSUMOS".</t>
        </r>
      </text>
    </comment>
  </commentList>
</comments>
</file>

<file path=xl/comments9.xml><?xml version="1.0" encoding="utf-8"?>
<comments xmlns="http://schemas.openxmlformats.org/spreadsheetml/2006/main">
  <authors>
    <author/>
  </authors>
  <commentList>
    <comment ref="B6" authorId="0" shapeId="0">
      <text>
        <r>
          <rPr>
            <sz val="11"/>
            <color rgb="FF000000"/>
            <rFont val="Calibri"/>
            <family val="2"/>
            <charset val="1"/>
          </rPr>
          <t>Enquadramento sindical conforme atividade preponderante da empresa.</t>
        </r>
      </text>
    </comment>
    <comment ref="B20" authorId="0" shapeId="0">
      <text>
        <r>
          <rPr>
            <sz val="11"/>
            <color rgb="FF000000"/>
            <rFont val="Calibri"/>
            <family val="2"/>
            <charset val="1"/>
          </rPr>
          <t>Salário previsto na Convenção Coletiva de Trabalho - CCT vigente para o posto.</t>
        </r>
      </text>
    </comment>
    <comment ref="B23" authorId="0" shapeId="0">
      <text>
        <r>
          <rPr>
            <sz val="11"/>
            <color rgb="FF000000"/>
            <rFont val="Calibri"/>
            <family val="2"/>
            <charset val="1"/>
          </rPr>
          <t>SEG - SEX: Dias trabalhados = 30,42 dias/mês * (5 dias (seg-sex) / 7 dias por semana) = 21,73 dias - [12 feriados * (probabilidade de não coincidir com sabado e domingo 5/7) / 12 meses] = 21,01 dias/mês
SEG - SAB: Dias trabalhados = 30,42 dias/mês * (6 dias (seg-sab) / 7 dias por semana) - [12 feriados * (probabilidade de não coincidir com domingo 6/7) / 12 meses] = 25,22 dias/mês
Jornada 12 x 36h: 365,25 dias ano/ 12 / 2</t>
        </r>
      </text>
    </comment>
    <comment ref="G30" authorId="0" shapeId="0">
      <text>
        <r>
          <rPr>
            <sz val="11"/>
            <color rgb="FF000000"/>
            <rFont val="Calibri"/>
            <family val="2"/>
            <charset val="1"/>
          </rPr>
          <t>Conforme CCT adotada pela Administração para precificação. Caso seja adotada outra CCT, ajustar conforme o caso.</t>
        </r>
      </text>
    </comment>
    <comment ref="B39" authorId="0" shapeId="0">
      <text>
        <r>
          <rPr>
            <sz val="11"/>
            <color rgb="FF000000"/>
            <rFont val="Calibri"/>
            <family val="2"/>
            <charset val="1"/>
          </rPr>
          <t>13º Salário:
Gratificação de Natal, instituída pela Lei nº 4.090, de 13 de julho de 1962. Pode-se determinar a provisão mensal considerando que na duração do contrato de 60 meses o empregado tem 5 meses de férias e labora em 56 meses  ou que a cada 12 meses tem 1 mês de gratificação.
Cálculo: 
(1/12) x 100 = 8,333% ou
(5/56) x 100 = 8,93% para contratos continuados de até 60 meses.</t>
        </r>
      </text>
    </comment>
    <comment ref="B40" authorId="0" shapeId="0">
      <text>
        <r>
          <rPr>
            <sz val="11"/>
            <color rgb="FF000000"/>
            <rFont val="Calibri"/>
            <family val="2"/>
            <charset val="1"/>
          </rPr>
          <t>Férias:
Gratificação instituída pelo Art. 7º, XVII da Constituição Federal. Pode-se determinar a provisão mensal considerando que na duração do contrato de 60 meses o empregado tem 5 meses de férias e labora em 56 meses ou que a cada 12 meses tem 1 mês de descanso.
Cálculo: 
(1/12) x 100 = 8,333% ou
(5/56) x 100 = 8,93% para contratos continuados de até 60 meses.
Adicional/Abono de Férias - A Constituição Federal, em seu art. 7º, inciso XVII, prevê que as férias sejam pagas com adicional de, pelo menos, 1/3 (um terço) da remuneração do mês. 
Cálculo: 
(1/3)*(1/12) x 100 = 2,78% ou
(1/3)*(5/56) x 100 = 2,98%.</t>
        </r>
      </text>
    </comment>
    <comment ref="A41" authorId="0" shapeId="0">
      <text>
        <r>
          <rPr>
            <sz val="11"/>
            <color rgb="FF000000"/>
            <rFont val="Calibri"/>
            <family val="2"/>
            <charset val="1"/>
          </rPr>
          <t>Compõe base de cálculo para o Submódulo 2.2, e para evitar duplicidade não há neste módulo indicação direta de incidência daquele Submódulo.</t>
        </r>
      </text>
    </comment>
    <comment ref="B49" authorId="0" shapeId="0">
      <text>
        <r>
          <rPr>
            <sz val="11"/>
            <color rgb="FF000000"/>
            <rFont val="Calibri"/>
            <family val="2"/>
            <charset val="1"/>
          </rPr>
          <t>Art. 22, Inciso I, da Lei nº 8.212/91.</t>
        </r>
      </text>
    </comment>
    <comment ref="B50" authorId="0" shapeId="0">
      <text>
        <r>
          <rPr>
            <sz val="11"/>
            <color rgb="FF000000"/>
            <rFont val="Calibri"/>
            <family val="2"/>
            <charset val="1"/>
          </rPr>
          <t>Art. 3º, Inciso I, Decreto n.º 87.043/82.</t>
        </r>
      </text>
    </comment>
    <comment ref="B51" authorId="0" shapeId="0">
      <text>
        <r>
          <rPr>
            <sz val="11"/>
            <color rgb="FF000000"/>
            <rFont val="Calibri"/>
            <family val="2"/>
            <charset val="1"/>
          </rPr>
          <t>RAT x FAP. 
1) RAT = 3% (Limpeza em prédios e em domicílios - código 8121-4/00 do Anexo V do Decreto n.º 3.048/1999). 
2) FAP = Máximo de Fator de Acidente Previdenciário = 2:
3% x 2 = 6% (maior valor possível)
A empresa deve utilizar o seu FAP efetivo, a ser comprovado no envio de sua proposta adequada ao lance vencedor, mediante apresentação da GFIP ou outro documento apto a fazê-lo.</t>
        </r>
      </text>
    </comment>
    <comment ref="B52" authorId="0" shapeId="0">
      <text>
        <r>
          <rPr>
            <sz val="11"/>
            <color rgb="FF000000"/>
            <rFont val="Calibri"/>
            <family val="2"/>
            <charset val="1"/>
          </rPr>
          <t>Art. 15, Lei nº 8.030/90 e Art. 7º, III, CF.</t>
        </r>
      </text>
    </comment>
    <comment ref="B53" authorId="0" shapeId="0">
      <text>
        <r>
          <rPr>
            <sz val="11"/>
            <color rgb="FF000000"/>
            <rFont val="Calibri"/>
            <family val="2"/>
            <charset val="1"/>
          </rPr>
          <t>Art. 3º, Lei n.º 8.036/90.</t>
        </r>
      </text>
    </comment>
    <comment ref="B54" authorId="0" shapeId="0">
      <text>
        <r>
          <rPr>
            <sz val="11"/>
            <color rgb="FF000000"/>
            <rFont val="Calibri"/>
            <family val="2"/>
            <charset val="1"/>
          </rPr>
          <t>Decreto n.º 2.318/86</t>
        </r>
      </text>
    </comment>
    <comment ref="B55" authorId="0" shapeId="0">
      <text>
        <r>
          <rPr>
            <sz val="11"/>
            <color rgb="FF000000"/>
            <rFont val="Calibri"/>
            <family val="2"/>
            <charset val="1"/>
          </rPr>
          <t>Art. 8º, Lei n.º 8.029/90 e Lei n.º 8.154/90.</t>
        </r>
      </text>
    </comment>
    <comment ref="B56" authorId="0" shapeId="0">
      <text>
        <r>
          <rPr>
            <sz val="11"/>
            <color rgb="FF000000"/>
            <rFont val="Calibri"/>
            <family val="2"/>
            <charset val="1"/>
          </rPr>
          <t>Lei n.º 7.787/89 e DL n.º 1.146/70.</t>
        </r>
      </text>
    </comment>
    <comment ref="F57" authorId="0" shapeId="0">
      <text>
        <r>
          <rPr>
            <sz val="11"/>
            <color rgb="FF000000"/>
            <rFont val="Calibri"/>
            <family val="2"/>
            <charset val="1"/>
          </rPr>
          <t xml:space="preserve">EMPRESAS OPTANTES PELO SIMPLES ESTÃO ISENTAS DO PAGAMENTO DAS SEGUINTES CONTRIBUIÇÕES: SESI ou SESC, SENAI ou SENAC, INCRA, Salário Educação, SEBRAE, por isso os valores DEVEM SER ZERADOS NA PLANILHA.
(§3o, Art. 13 da Lei Complementar 123/2006)
EMPRESAS DE SESSÃO DE MÃO DE OBRA NÃO PODEM SER OPTANTES PELO SIMPLES COM EXCEÇÃO DAS EMPRESAS QUE PRESTAM SERVIÇOS DE VIGILÂNCIA, LIMPEZA OU CONSERVAÇÃO DESDE QUE NÃO EXERÇAM EM CONJUNTO COM OUTRAS ATIVIDADES VEDADAS.
(Inciso XII, Art. 17 da Lei Complementar 123/2006)	
</t>
        </r>
      </text>
    </comment>
    <comment ref="B64" authorId="0" shapeId="0">
      <text>
        <r>
          <rPr>
            <sz val="11"/>
            <color rgb="FF000000"/>
            <rFont val="Calibri"/>
            <family val="2"/>
            <charset val="1"/>
          </rPr>
          <t>Transporte: Valor da tarifa de transporte público praticada no município de prestação do serviço.</t>
        </r>
      </text>
    </comment>
    <comment ref="B66" authorId="0" shapeId="0">
      <text>
        <r>
          <rPr>
            <sz val="11"/>
            <color rgb="FF000000"/>
            <rFont val="Calibri"/>
            <family val="2"/>
            <charset val="1"/>
          </rPr>
          <t>Auxílio alimentação (Vales, cesta básica etc.): geralmente previsto nos acordos, convenções ou sentenças normativas em dissídios coletivos.</t>
        </r>
      </text>
    </comment>
    <comment ref="B86" authorId="0" shapeId="0">
      <text>
        <r>
          <rPr>
            <sz val="11"/>
            <color rgb="FF000000"/>
            <rFont val="Calibri"/>
            <family val="2"/>
            <charset val="1"/>
          </rPr>
          <t xml:space="preserve">Aviso prévio indenizado:
Trata-se de valor devido ao empregado no caso de o empregador rescindir o contrato sem justo motivo e sem lhe conceder aviso prévio, conforme disposto no § 1º do art. 487 da 
CLT. De acordo com levantamento efetuado em diversos contratos, cerca de 5,55% do pessoal é demitido pelo empregador, antes do término do contrato de trabalho. 
((1 / 12) x 5,55%) x 100 = 0,46%
5,55% = percentual de empregados demitidos que não trabalham durante o aviso prévio, de acordo com estudo do STF (fls. 187/199 - volume IV)
Base de cálculo: Remuneração </t>
        </r>
      </text>
    </comment>
    <comment ref="B88" authorId="0" shapeId="0">
      <text>
        <r>
          <rPr>
            <sz val="11"/>
            <color rgb="FF000000"/>
            <rFont val="Calibri"/>
            <family val="2"/>
            <charset val="1"/>
          </rPr>
          <t>Aviso Prévio:
Refere-se à indenização de sete dias corridos devida ao empregado no caso de o empregador rescindir o contrato sem justo motivo e conceder aviso prévio, conforme disposto no art. 488 da CLT.
Cálculo:
{[(7/30)/12]x100} = 1,944%
7 dias de folga / 30 dias / 12 meses (vigência inicial do contrato) = provisão mensal para esse item de custo 
Base de cálculo: Remuneração</t>
        </r>
      </text>
    </comment>
    <comment ref="B90" authorId="0" shapeId="0">
      <text>
        <r>
          <rPr>
            <sz val="9"/>
            <color rgb="FF000000"/>
            <rFont val="Segoe UI"/>
            <family val="2"/>
            <charset val="1"/>
          </rPr>
          <t xml:space="preserve">Conforme recomendação da Secretaria de Gestão, noticiada no Portal de Compras Governamentais (https://www.gov.br/compras/pt-br/acesso-a-informacao/noticias/extincao-contribuicao-social-sobre-o-fgts), por força do art. 12 da Lei nº 13.932/2019, houve a extinção da cobrança da contribuição social de 10% (dez por cento) devida pelos empregadores em caso de despedida sem justa causa, instituída pela Lei Complementar nº 110/2001. Assim, o percentual que antes era de 5% (cinco por cento) passa a ser de 4% (quatro por cento).
</t>
        </r>
      </text>
    </comment>
    <comment ref="B98" authorId="0" shapeId="0">
      <text>
        <r>
          <rPr>
            <sz val="9"/>
            <color rgb="FF000000"/>
            <rFont val="Segoe UI"/>
            <family val="2"/>
            <charset val="1"/>
          </rPr>
          <t>Reposição por ausência legais:
Faltas Legais: Ausências ao trabalho asseguradas ao empregado pelos artigos 473 e 83 da CLT (morte de cônjuge, ascendente, descendente; casamento; nascimento de filho; doação de sangue; alistamento eleitoral; serviço militar; comparecer a juízo)
Cálculo:
(2,96[sic] 2,64/30)/12 = 0,73%</t>
        </r>
      </text>
    </comment>
    <comment ref="B99" authorId="0" shapeId="0">
      <text>
        <r>
          <rPr>
            <sz val="9"/>
            <color rgb="FF000000"/>
            <rFont val="Segoe UI"/>
            <family val="2"/>
            <charset val="1"/>
          </rPr>
          <t>Reposição por licença paternidade:
Licença Paternidade: Criada pelo art. 7º, inciso XIX da CF, combinado com o art. 10, § 1º dos Atos das Disposições Constitucionais Transitórias – ADCT - , concede ao empregado o direito de ausentar-se do serviço por cinco dias quando do nascimento de filho.
Cálculo:
((5/30)/12) x TF x IncMasc x 100 = %
Vigilância: ((5/30)/12)*6,24%*95,04% = 0,082%
Limpeza: ((5/30)/12)*6,24%*50% = 0,043%</t>
        </r>
      </text>
    </comment>
    <comment ref="B100" authorId="0" shapeId="0">
      <text>
        <r>
          <rPr>
            <sz val="9"/>
            <color rgb="FF000000"/>
            <rFont val="Segoe UI"/>
            <family val="2"/>
            <charset val="1"/>
          </rPr>
          <t>Reposição por acidente de trabalho:
Acidente de Trabalho: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Cálculo:
((15/30)/12) x 0,0078 x 100 = 0,270%</t>
        </r>
      </text>
    </comment>
    <comment ref="B101" authorId="0" shapeId="0">
      <text>
        <r>
          <rPr>
            <sz val="9"/>
            <color rgb="FF000000"/>
            <rFont val="Segoe UI"/>
            <family val="2"/>
            <charset val="1"/>
          </rPr>
          <t>Cálculo (Nota Técnica 2/2018/CGAC/CISET/SG-PR):
[0,02 x (4/12)/12 x 100] = 0,055% incide sobre Remuneração
onde:
0,02 = índice de ocorrência. Dado utilizado do IBGE.
4/12 = 4 meses de licença maternidade por ano
12 = meses do ano
100 = porcentagem
OU
(Adicional Férias + FGTS) * 4 meses de licença * 5% de mulheres na atividade * 6,06% de taxa de maternidade
Obs. Não incide Previdência, RAT e "terceiros" após dez/2020. Vide Nota Técnica PGFN nº 20/2020:
https://www.gov.br/esocial/pt-br/noticias/decisao-do-stf-altera-forma-de-calculo-das-contribuicoes-previdenciarias-sobre-salario-maternidade</t>
        </r>
      </text>
    </comment>
    <comment ref="G120" authorId="0" shapeId="0">
      <text>
        <r>
          <rPr>
            <sz val="11"/>
            <color rgb="FF000000"/>
            <rFont val="Calibri"/>
            <family val="2"/>
            <charset val="1"/>
          </rPr>
          <t xml:space="preserve">Média dos valores praticados nos contratos analisados pelo Planejamento da Contratação
A LICITANTE DEVERÁ DETALHAR VALORES UNITÁRIOS NA ABA DE COMPOSIÇÃO DE UNIFORME E EPI
</t>
        </r>
      </text>
    </comment>
    <comment ref="G121" authorId="0" shapeId="0">
      <text>
        <r>
          <rPr>
            <sz val="11"/>
            <color rgb="FF000000"/>
            <rFont val="Calibri"/>
            <family val="2"/>
            <charset val="1"/>
          </rPr>
          <t>DETALHAR VALORES UNITÁRIOS NA ABA "INSUMOS".</t>
        </r>
      </text>
    </comment>
  </commentList>
</comments>
</file>

<file path=xl/sharedStrings.xml><?xml version="1.0" encoding="utf-8"?>
<sst xmlns="http://schemas.openxmlformats.org/spreadsheetml/2006/main" count="2600" uniqueCount="343">
  <si>
    <t>MANUTENÇÃO PREDITIVA, PREVENTIVA E CORRETIVA DA EDIFICAÇÃO</t>
  </si>
  <si>
    <t>CCT: NÚMERO DE REGISTRO NO MTE: DF000038/2021 - utilizada como base para piso salarial, benefícios e adicionais.</t>
  </si>
  <si>
    <t>O item de ferramentas foi incluído nos materiais de consumo.</t>
  </si>
  <si>
    <t>MANUTENÇÃO DE EXAUSTÃO, RENOVAÇÃO DE AR, VENTILAÇÃO E CLIMATIZAÇÃO </t>
  </si>
  <si>
    <t>GERENCIAMENTO DE FACILITIES</t>
  </si>
  <si>
    <t>COPEIRAGEM</t>
  </si>
  <si>
    <t>BRIGADA</t>
  </si>
  <si>
    <t>CCT: NÚMERO DE REGISTRO NO MTE: DF000213/2020 - utilizada como base para piso salarial, benefícios e adicionais.</t>
  </si>
  <si>
    <t>CCT DE2020é a última vigente para categoria</t>
  </si>
  <si>
    <t>O quantitativo é baseado no histórico atual do MMA e da Secult e nas normas do Bombeiros</t>
  </si>
  <si>
    <t>LIMPEZA</t>
  </si>
  <si>
    <t>PLANILHA RESUMO DE MÃO DE OBRA</t>
  </si>
  <si>
    <t>Unidade HH ou mensal</t>
  </si>
  <si>
    <t>Quantidade</t>
  </si>
  <si>
    <t>CUSTO UNITÁRIO MENSAL</t>
  </si>
  <si>
    <t>CUSTO TOTAL</t>
  </si>
  <si>
    <t>Engº Civil</t>
  </si>
  <si>
    <t>HH</t>
  </si>
  <si>
    <t>Encarregado de Manut  Elétrica</t>
  </si>
  <si>
    <t xml:space="preserve">Eletricista </t>
  </si>
  <si>
    <t>Eletricista Plantonista  12 x 36 diurno</t>
  </si>
  <si>
    <t>Eletricista Plantonista  12 x 36 Noturno</t>
  </si>
  <si>
    <t xml:space="preserve">Instalador Reparador de Rede de  dados </t>
  </si>
  <si>
    <t>Encarregado de Manut. Civil</t>
  </si>
  <si>
    <t>Bombeiro Hidraulico</t>
  </si>
  <si>
    <t>Pedreiro</t>
  </si>
  <si>
    <t>Pintor</t>
  </si>
  <si>
    <t>Serralheiro</t>
  </si>
  <si>
    <t>Marceneiro</t>
  </si>
  <si>
    <t>Ajudante geral de Manut.</t>
  </si>
  <si>
    <t>CUSTO UNITÁRIO</t>
  </si>
  <si>
    <t>Mecânico de refrigração</t>
  </si>
  <si>
    <t>Engenheiro Mecânico</t>
  </si>
  <si>
    <t xml:space="preserve">Subtotal </t>
  </si>
  <si>
    <t xml:space="preserve">Gerente de Facilities - Engenheiro </t>
  </si>
  <si>
    <t>Supervisor de apoio</t>
  </si>
  <si>
    <t>Supervisor de manutenção</t>
  </si>
  <si>
    <t>Copeira</t>
  </si>
  <si>
    <t>Garçom</t>
  </si>
  <si>
    <t>Bombeiro Civil (Brigadista Particular) - Diurno</t>
  </si>
  <si>
    <t>Bombeiro Civil (Brigadista Particular) - Noturno</t>
  </si>
  <si>
    <t>Bombeiro Civil (Brigadista Particular) – Folguista Noturno</t>
  </si>
  <si>
    <t>Líder de Brigada (chefe) - Diurno</t>
  </si>
  <si>
    <t>Servente</t>
  </si>
  <si>
    <t>Jauzeiro</t>
  </si>
  <si>
    <t>TOTAL DA MÃO DE OBRA DOS SERVIÇOS DE ROTINA</t>
  </si>
  <si>
    <t>PEQUENOS SERVIÇOS SOB DEMANDA</t>
  </si>
  <si>
    <t>Eletricista</t>
  </si>
  <si>
    <t>Auxiliar de Eletricista</t>
  </si>
  <si>
    <t>Instalador de rede de dados, ponto lógico e telefônico</t>
  </si>
  <si>
    <t>Montador</t>
  </si>
  <si>
    <t>Carregador</t>
  </si>
  <si>
    <t>Contínuo - distâncias de até 20 km (ida, a partir do Bloco B, Esplanada dos Ministérios).</t>
  </si>
  <si>
    <t>Contínuo - distâncias superiores a 20 km até 50 km (ida, a partir do Bloco B, Esplanada dos Ministérios).</t>
  </si>
  <si>
    <t>Observação: Esta planilha de custos é uma adaptação do modelo disposto no Anexo VII-D da IN/SEGES nº 05/2017 e alterações (destaque para IN 07/2018) e com ajustes após publicação da Lei n° 13.467/2017 (Reforma Trabalhista). Os valores são referenciais do extinto MPOG, CNJ, TCU, contratos praticados e estimativa de insumos pelo Painel de Preços. Trata-se de modelo inspiracional, cabendo à licitante ajustar no que couber.</t>
  </si>
  <si>
    <t>DISCRIMINAÇÃO DOS SERVIÇOS (DADOS REFERENTES À CONTRATAÇÃO)</t>
  </si>
  <si>
    <t>A</t>
  </si>
  <si>
    <t>Data de apresentação da proposta (dia/mês/ano):</t>
  </si>
  <si>
    <t>___/___/___</t>
  </si>
  <si>
    <t>B</t>
  </si>
  <si>
    <t>Município/UF:</t>
  </si>
  <si>
    <t>BRASÍLIA/DF</t>
  </si>
  <si>
    <t>C</t>
  </si>
  <si>
    <t>Ano do Acordo, Convenção ou Dissídio Coletivo:</t>
  </si>
  <si>
    <t>D</t>
  </si>
  <si>
    <t>Número de meses de execução contratual:</t>
  </si>
  <si>
    <t>E</t>
  </si>
  <si>
    <t>Regime tributário:</t>
  </si>
  <si>
    <t>IDENTIFICAÇÃO DO SERVIÇO</t>
  </si>
  <si>
    <t>Tipo de Serviço</t>
  </si>
  <si>
    <t>Unidade de Medida</t>
  </si>
  <si>
    <t>Quantidade de postos a contratar (em função da unidade de medida)</t>
  </si>
  <si>
    <t>Nota 1: Esta tabela poderá ser adaptada às características do serviço contratado, inclusive no que concerne às rubricas e suas respectivas provisões e/ou estimativas, desde que haja justificativa.</t>
  </si>
  <si>
    <t>Nota 2: As provisões constantes desta planilha poderão ser desnecessárias quando se tratar de determinados serviços que prescindam da dedicação exclusiva dos trabalhadores da contratada para com a Administração.</t>
  </si>
  <si>
    <t>MÃO-DE-OBRA VINCULADA À EXECUÇÃO CONTRATUAL</t>
  </si>
  <si>
    <t>Dados para composição dos custos referentes a mão de obra</t>
  </si>
  <si>
    <t>Tipo de Serviço (mesmo serviço com características distintas)</t>
  </si>
  <si>
    <t>Engenheiro Civil, Mecânico e Eletricista</t>
  </si>
  <si>
    <t>Classificação Brasileira de Ocupações (CBO)</t>
  </si>
  <si>
    <t>Salário normativo da categoria profissional</t>
  </si>
  <si>
    <t>Categoria profissional (vinculada à execução contratual)</t>
  </si>
  <si>
    <t>Data base da categoria (dia/mês/ano)</t>
  </si>
  <si>
    <t>Quantidade de dias trabalhados por mês</t>
  </si>
  <si>
    <t>Salário mínimo nacional</t>
  </si>
  <si>
    <t>Nota 1: Deverá ser elaborado um quadro para cada tipo de serviço</t>
  </si>
  <si>
    <t>Nota 2: A planilha será calculada considerando o valor mensal do empregado.</t>
  </si>
  <si>
    <t>MÓDULO 1 - COMPOSIÇÃO DA REMUNERAÇÃO</t>
  </si>
  <si>
    <t>Composição da Remuneração</t>
  </si>
  <si>
    <t>Valor (R$)</t>
  </si>
  <si>
    <t>Adicional noturno</t>
  </si>
  <si>
    <t>Total da Remuneração:</t>
  </si>
  <si>
    <t>MÓDULO 2 - ENCARGOS E BENEFÍCIOS ANUAIS, MENSAIS E DIÁRIOS</t>
  </si>
  <si>
    <t>Submódulo 2.1 - 13º (décimo terceiro) Salário, Férias e Adicional de Férias</t>
  </si>
  <si>
    <t>2.1</t>
  </si>
  <si>
    <t>13º (décimo terceiro) Salário, Férias e Adicional de Férias</t>
  </si>
  <si>
    <t>%</t>
  </si>
  <si>
    <t>Férias e Adicional de Férias</t>
  </si>
  <si>
    <t>Total do Submódulo 2.1:</t>
  </si>
  <si>
    <t>Nota 1: Como a planilha de custos e formação de preços é calculada mensalmente, provisiona-se proporcionalmente 1/12 (um doze avos) dos valores referentes a gratificação natalina, férias e adicional de férias.</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</si>
  <si>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</si>
  <si>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t>
  </si>
  <si>
    <t>Base de cálculo para Submódulo 2.2:</t>
  </si>
  <si>
    <t>Submódulo 2.2 - Encargos Previdenciários (GPS), Fundo de Garantia por Tempo de Serviço (FGTS) e outras contribuições.</t>
  </si>
  <si>
    <t>2.2</t>
  </si>
  <si>
    <t>GPS, FGTS e outras contribuições</t>
  </si>
  <si>
    <t>G</t>
  </si>
  <si>
    <t>H</t>
  </si>
  <si>
    <t>F</t>
  </si>
  <si>
    <t>Total do Submódulo 2.2:</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</si>
  <si>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</si>
  <si>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</si>
  <si>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 xml:space="preserve">Nota 3: Esses percentuais incidem sobre o Módulo 1, o Submódulo 2.1. </t>
  </si>
  <si>
    <t>Submódulo 2.3 - Benefícios Mensais e Diários.</t>
  </si>
  <si>
    <t>2.3</t>
  </si>
  <si>
    <t>Benefícios Mensais e Diários</t>
  </si>
  <si>
    <t>Transporte</t>
  </si>
  <si>
    <t>Valor Ticket:</t>
  </si>
  <si>
    <t>A1</t>
  </si>
  <si>
    <t>B1</t>
  </si>
  <si>
    <t>Assistência Odontológica</t>
  </si>
  <si>
    <t>Auxílio Morte/Funeral</t>
  </si>
  <si>
    <t>Plano Ambulatorial</t>
  </si>
  <si>
    <t>Total do Submódulo 2.3:</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</si>
  <si>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</si>
  <si>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</si>
  <si>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QUADRO-RESUMO DO MÓDULO 2 - ENCARGOS E BENEFÍCIOS ANUAIS, MENSAIS E DIÁRIOS</t>
  </si>
  <si>
    <t>Encargos e Benefícios Anuais, Mensais e Diários</t>
  </si>
  <si>
    <t>Total dos Encargos e Benefícios Anuais, Mensais e Diários:</t>
  </si>
  <si>
    <t>MÓDULO 3 - PROVISÃO PARA RESCISÃO</t>
  </si>
  <si>
    <t>Provisão para Rescisão</t>
  </si>
  <si>
    <t>Incidência do FGTS sobre Aviso Prévio Indenizado</t>
  </si>
  <si>
    <t>Incidência de GPS, FGTS e outras contribuições sobre o Aviso Prévio Trabalhado</t>
  </si>
  <si>
    <t>Total da Provisão para Rescisão:</t>
  </si>
  <si>
    <t>MÓDULO 4 - CUSTO DE REPOSIÇÃO DO PROFISSIONAL AUSENTE</t>
  </si>
  <si>
    <t>Submódulo 4.1 - Substituto nas Ausências Legais</t>
  </si>
  <si>
    <t>4.1</t>
  </si>
  <si>
    <t>Ausências Legais</t>
  </si>
  <si>
    <t>Substituto na cobertura de Férias</t>
  </si>
  <si>
    <t>-</t>
  </si>
  <si>
    <t>Incidência  do Submódulo 2.2 sobre o custo da reposição</t>
  </si>
  <si>
    <t>Substituto na cobertura de Outras ausências (especificar)</t>
  </si>
  <si>
    <t>Total do Submódulo 4.1:</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</si>
  <si>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</si>
  <si>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 xml:space="preserve">Submódulo 4.2 - Substituto na Intrajornada 
</t>
  </si>
  <si>
    <t>4.2</t>
  </si>
  <si>
    <t>Intrajornada</t>
  </si>
  <si>
    <t>V.Hora (R$)</t>
  </si>
  <si>
    <t>Substituto na cobertura de Intervalo para repouso ou alimentação</t>
  </si>
  <si>
    <t>Total do Submódulo 4.2:</t>
  </si>
  <si>
    <t>Nota: Quando houver a necessidade de reposição de um empregado durante sua ausência nos casos de intervalo para repouso ou alimentação deve-se contemplar o Submódulo 4.2.</t>
  </si>
  <si>
    <t>QUADRO-RESUMO DO MÓDULO 4 - CUSTO DE REPOSIÇÃO DO PROFISSIONAL AUSENTE</t>
  </si>
  <si>
    <t>Substituto nas Ausências Legais</t>
  </si>
  <si>
    <t>Substituto na Intrajornada</t>
  </si>
  <si>
    <t>Total do Custo de Reposição do Profissional Ausente:</t>
  </si>
  <si>
    <t>MÓDULO 5 - INSUMOS DIVERSOS</t>
  </si>
  <si>
    <t>Insumos Diversos</t>
  </si>
  <si>
    <t>Total dos Insumos Diversos:</t>
  </si>
  <si>
    <t>Nota: Valores mensais por empregado.</t>
  </si>
  <si>
    <t>QUADRO RESUMO - CUSTO POR EMPREGADO</t>
  </si>
  <si>
    <t>Mão-de-Obra vinculada à execução contratual</t>
  </si>
  <si>
    <t>Módulo 1 - Composição da Remuneração</t>
  </si>
  <si>
    <t>Módulo 2 - Encargos e Benefícios Anuais, Mensais e Diários</t>
  </si>
  <si>
    <t>Módulo 3 - Provisão para Rescisão</t>
  </si>
  <si>
    <t>Módulo 4 - Custo de Reposição do Profissional Ausente</t>
  </si>
  <si>
    <t>Módulo 5 - Insumos Diversos</t>
  </si>
  <si>
    <t>Subtotal:</t>
  </si>
  <si>
    <t>QUADRO DEMONSTRATIVO - VALOR GLOBAL DA PROPOSTA</t>
  </si>
  <si>
    <t>Descrição</t>
  </si>
  <si>
    <t>Valor proposto por unidade de medida</t>
  </si>
  <si>
    <t>Valor diário do serviço</t>
  </si>
  <si>
    <t>Valor horário do serviço</t>
  </si>
  <si>
    <t>Nota (1): Informar o valor da unidade de medida por tipo de serviço.</t>
  </si>
  <si>
    <t xml:space="preserve">DF000038/2021 </t>
  </si>
  <si>
    <t>Periculosidade (30%)</t>
  </si>
  <si>
    <t>Supervisor de Apoio</t>
  </si>
  <si>
    <t>Copeiragem - Jornada 44h semanais</t>
  </si>
  <si>
    <t>Garçom - Jornada 44h semanais</t>
  </si>
  <si>
    <t>DF000213/2020</t>
  </si>
  <si>
    <t>Bombeiro Civil (Brigadista Particular) - Folguista Noturno</t>
  </si>
  <si>
    <t>APOSTILA</t>
  </si>
  <si>
    <t>Periculosidade</t>
  </si>
  <si>
    <t>Auxiliar de jardinagem</t>
  </si>
  <si>
    <t>Área (m²) por pavimento</t>
  </si>
  <si>
    <t>T</t>
  </si>
  <si>
    <t>SS</t>
  </si>
  <si>
    <t>Banheiros privativos</t>
  </si>
  <si>
    <t>Banheiros sociais</t>
  </si>
  <si>
    <t>Pisos acarpetados</t>
  </si>
  <si>
    <t>Pisos frios</t>
  </si>
  <si>
    <t>Pisos elevados</t>
  </si>
  <si>
    <t>Escada de circulação</t>
  </si>
  <si>
    <t>Elevador</t>
  </si>
  <si>
    <t>Escada de emergência</t>
  </si>
  <si>
    <t>Áreas com espaços livres (hall e corredor) - Térreo e SS</t>
  </si>
  <si>
    <t>Garagem</t>
  </si>
  <si>
    <t>Almoxarifado e galpões</t>
  </si>
  <si>
    <t>Áreas verdes</t>
  </si>
  <si>
    <t>Produtividade</t>
  </si>
  <si>
    <t>Mínima</t>
  </si>
  <si>
    <t>Máxima</t>
  </si>
  <si>
    <t>Pisos pavimentados adjacentes/contíguos às edificações</t>
  </si>
  <si>
    <t>(B)</t>
  </si>
  <si>
    <t>(C )</t>
  </si>
  <si>
    <t>(A) / (B)</t>
  </si>
  <si>
    <t>Área com espaços livres (hall e corredor) - pavimentos</t>
  </si>
  <si>
    <t>Unidade HH ou Mensal</t>
  </si>
  <si>
    <t>Mensal</t>
  </si>
  <si>
    <r>
      <t xml:space="preserve">Adicional de hora noturna reduzida </t>
    </r>
    <r>
      <rPr>
        <sz val="11"/>
        <color rgb="FFFF0000"/>
        <rFont val="Calibri"/>
        <family val="2"/>
      </rPr>
      <t>(O pagamento será pelo efetivo consumo.)</t>
    </r>
  </si>
  <si>
    <r>
      <t>Outros</t>
    </r>
    <r>
      <rPr>
        <sz val="11"/>
        <color rgb="FFFF0000"/>
        <rFont val="Calibri"/>
        <family val="2"/>
      </rPr>
      <t xml:space="preserve"> (especificar)</t>
    </r>
  </si>
  <si>
    <r>
      <t xml:space="preserve">Plano de Saúde </t>
    </r>
    <r>
      <rPr>
        <sz val="11"/>
        <color rgb="FFFF0000"/>
        <rFont val="Calibri"/>
        <family val="2"/>
      </rPr>
      <t>(Ref. CCT)</t>
    </r>
  </si>
  <si>
    <r>
      <t xml:space="preserve">Aviso Prévio Trabalhado - APT </t>
    </r>
    <r>
      <rPr>
        <sz val="11"/>
        <color rgb="FFFF0000"/>
        <rFont val="Calibri"/>
        <family val="2"/>
      </rPr>
      <t>(Ref. Acórdão TCU 3006/2010–P, 1,94%)</t>
    </r>
  </si>
  <si>
    <r>
      <t xml:space="preserve">Multa do FGTS </t>
    </r>
    <r>
      <rPr>
        <strike/>
        <sz val="11"/>
        <color rgb="FFFF0000"/>
        <rFont val="Calibri"/>
        <family val="2"/>
      </rPr>
      <t xml:space="preserve">e contribuição social </t>
    </r>
    <r>
      <rPr>
        <sz val="11"/>
        <color rgb="FF000000"/>
        <rFont val="Calibri"/>
        <family val="2"/>
      </rPr>
      <t>sobre o API e APT</t>
    </r>
  </si>
  <si>
    <r>
      <t xml:space="preserve">Substituto na cobertura de Ausências Legais </t>
    </r>
    <r>
      <rPr>
        <sz val="11"/>
        <color rgb="FFFF0000"/>
        <rFont val="Calibri"/>
        <family val="2"/>
      </rPr>
      <t>(Ref. Acórdão TCU 1753/2008–P, 0,73%)</t>
    </r>
  </si>
  <si>
    <r>
      <t>Salário-Base</t>
    </r>
    <r>
      <rPr>
        <sz val="11"/>
        <color rgb="FFFF0000"/>
        <rFont val="Calibri"/>
        <family val="2"/>
      </rPr>
      <t xml:space="preserve"> (Ref. CCT)</t>
    </r>
  </si>
  <si>
    <r>
      <t xml:space="preserve">13º (décimo terceiro) Salário </t>
    </r>
    <r>
      <rPr>
        <sz val="11"/>
        <color rgb="FFFF0000"/>
        <rFont val="Calibri"/>
        <family val="2"/>
      </rPr>
      <t>(Ref. Manual planilha de custos MPOG)</t>
    </r>
  </si>
  <si>
    <r>
      <t>INSS</t>
    </r>
    <r>
      <rPr>
        <sz val="11"/>
        <color rgb="FFFF0000"/>
        <rFont val="Calibri"/>
        <family val="2"/>
      </rPr>
      <t xml:space="preserve"> (Ref. 20%)</t>
    </r>
  </si>
  <si>
    <r>
      <t xml:space="preserve">Salário Educação </t>
    </r>
    <r>
      <rPr>
        <sz val="11"/>
        <color rgb="FFFF0000"/>
        <rFont val="Calibri"/>
        <family val="2"/>
      </rPr>
      <t>(Ref. 2,5%)</t>
    </r>
  </si>
  <si>
    <r>
      <t xml:space="preserve">SAT </t>
    </r>
    <r>
      <rPr>
        <sz val="11"/>
        <color rgb="FFFF0000"/>
        <rFont val="Calibri"/>
        <family val="2"/>
      </rPr>
      <t>(Ref. RAP x FAP - Enviar relatório SEFIP/GPS)</t>
    </r>
  </si>
  <si>
    <r>
      <t>FGTS</t>
    </r>
    <r>
      <rPr>
        <sz val="11"/>
        <color rgb="FFFF0000"/>
        <rFont val="Calibri"/>
        <family val="2"/>
      </rPr>
      <t xml:space="preserve"> (Ref. 8%)</t>
    </r>
  </si>
  <si>
    <r>
      <t>SESI OU SESC</t>
    </r>
    <r>
      <rPr>
        <sz val="11"/>
        <color rgb="FFFF0000"/>
        <rFont val="Calibri"/>
        <family val="2"/>
      </rPr>
      <t xml:space="preserve"> (Ref. 1,5%)</t>
    </r>
  </si>
  <si>
    <r>
      <t xml:space="preserve">SENAI OU SENAC </t>
    </r>
    <r>
      <rPr>
        <sz val="11"/>
        <color rgb="FFFF0000"/>
        <rFont val="Calibri"/>
        <family val="2"/>
      </rPr>
      <t>(Ref. 1%)</t>
    </r>
  </si>
  <si>
    <r>
      <t>SEBRAE</t>
    </r>
    <r>
      <rPr>
        <sz val="11"/>
        <color rgb="FFFF0000"/>
        <rFont val="Calibri"/>
        <family val="2"/>
      </rPr>
      <t xml:space="preserve"> (Ref. 0,6%)</t>
    </r>
  </si>
  <si>
    <r>
      <t xml:space="preserve">INCRA </t>
    </r>
    <r>
      <rPr>
        <sz val="11"/>
        <color rgb="FFFF0000"/>
        <rFont val="Calibri"/>
        <family val="2"/>
      </rPr>
      <t>(Ref. 0,20%)</t>
    </r>
  </si>
  <si>
    <r>
      <t>Desconto Auxílio transporte</t>
    </r>
    <r>
      <rPr>
        <i/>
        <sz val="11"/>
        <color rgb="FFFF0000"/>
        <rFont val="Calibri"/>
        <family val="2"/>
      </rPr>
      <t xml:space="preserve"> (CLT: 6% do salário base)</t>
    </r>
  </si>
  <si>
    <r>
      <t>Auxílio-Refeição/Alimentação</t>
    </r>
    <r>
      <rPr>
        <sz val="11"/>
        <color rgb="FFFF0000"/>
        <rFont val="Calibri"/>
        <family val="2"/>
      </rPr>
      <t xml:space="preserve"> (Ref. CCT)</t>
    </r>
  </si>
  <si>
    <r>
      <t xml:space="preserve">Desconto Auxílio alimentação </t>
    </r>
    <r>
      <rPr>
        <i/>
        <sz val="11"/>
        <color rgb="FFFF0000"/>
        <rFont val="Calibri"/>
        <family val="2"/>
      </rPr>
      <t>(Ref. CCT)</t>
    </r>
  </si>
  <si>
    <r>
      <t>Outros</t>
    </r>
    <r>
      <rPr>
        <sz val="11"/>
        <color rgb="FFFF0000"/>
        <rFont val="Calibri"/>
        <family val="2"/>
      </rPr>
      <t xml:space="preserve"> (especificar) </t>
    </r>
  </si>
  <si>
    <r>
      <t xml:space="preserve">Aviso Prévio Indenizado - API  </t>
    </r>
    <r>
      <rPr>
        <sz val="11"/>
        <color rgb="FFFF0000"/>
        <rFont val="Calibri"/>
        <family val="2"/>
      </rPr>
      <t>(Ref. Acórdão TCU 1904/2007–P, 0,46%)</t>
    </r>
  </si>
  <si>
    <r>
      <t xml:space="preserve">Substituto na cobertura de Licença Paternidade </t>
    </r>
    <r>
      <rPr>
        <sz val="11"/>
        <color rgb="FFFF0000"/>
        <rFont val="Calibri"/>
        <family val="2"/>
      </rPr>
      <t>(Ref. Acórdão TCU 1753/2008–P, 0,082%)</t>
    </r>
  </si>
  <si>
    <r>
      <t xml:space="preserve">Substituto na cobertura de Ausência por acidente de trabalho </t>
    </r>
    <r>
      <rPr>
        <sz val="11"/>
        <color rgb="FFFF0000"/>
        <rFont val="Calibri"/>
        <family val="2"/>
      </rPr>
      <t>(Ref. Acórdão TCU 1753/2008–P, 0,27%)</t>
    </r>
  </si>
  <si>
    <r>
      <t xml:space="preserve">Substituto na cobertura de Afastamento Maternidade  </t>
    </r>
    <r>
      <rPr>
        <sz val="11"/>
        <color rgb="FFFF0000"/>
        <rFont val="Calibri"/>
        <family val="2"/>
      </rPr>
      <t>(Ref. Nota Técnica 2/2018/CGAC/CISET/SG-PR)</t>
    </r>
  </si>
  <si>
    <r>
      <t>Uniformes e EPI</t>
    </r>
    <r>
      <rPr>
        <sz val="11"/>
        <color rgb="FFFF0000"/>
        <rFont val="Calibri"/>
        <family val="2"/>
      </rPr>
      <t xml:space="preserve"> (Ref. Custo dos Uniformes/12 meses)</t>
    </r>
  </si>
  <si>
    <r>
      <t>Materiais</t>
    </r>
    <r>
      <rPr>
        <sz val="11"/>
        <color rgb="FFFF0000"/>
        <rFont val="Calibri"/>
        <family val="2"/>
      </rPr>
      <t xml:space="preserve">  (Ref. Custo materiais por profissional/12 meses)</t>
    </r>
  </si>
  <si>
    <r>
      <t xml:space="preserve">Adicional de hora noturna reduzida </t>
    </r>
    <r>
      <rPr>
        <sz val="11"/>
        <color rgb="FFFF0000"/>
        <rFont val="Calibri"/>
        <family val="2"/>
        <scheme val="minor"/>
      </rPr>
      <t>(O pagamento será pelo efetivo consumo.)</t>
    </r>
  </si>
  <si>
    <r>
      <t xml:space="preserve">Plano de Saúde </t>
    </r>
    <r>
      <rPr>
        <sz val="11"/>
        <color rgb="FFFF0000"/>
        <rFont val="Calibri"/>
        <family val="2"/>
        <scheme val="minor"/>
      </rPr>
      <t>(Ref. CCT)</t>
    </r>
  </si>
  <si>
    <r>
      <t xml:space="preserve">Aviso Prévio Trabalhado - APT </t>
    </r>
    <r>
      <rPr>
        <sz val="11"/>
        <color rgb="FFFF0000"/>
        <rFont val="Calibri"/>
        <family val="2"/>
        <scheme val="minor"/>
      </rPr>
      <t>(Ref. Acórdão TCU 3006/2010–P, 1,94%)</t>
    </r>
  </si>
  <si>
    <r>
      <t xml:space="preserve">Multa do FGTS </t>
    </r>
    <r>
      <rPr>
        <strike/>
        <sz val="11"/>
        <color rgb="FFFF0000"/>
        <rFont val="Calibri"/>
        <family val="2"/>
        <scheme val="minor"/>
      </rPr>
      <t xml:space="preserve">e contribuição social </t>
    </r>
    <r>
      <rPr>
        <sz val="11"/>
        <color rgb="FF000000"/>
        <rFont val="Calibri"/>
        <family val="2"/>
        <scheme val="minor"/>
      </rPr>
      <t>sobre o API e APT</t>
    </r>
  </si>
  <si>
    <r>
      <t xml:space="preserve">Substituto na cobertura de Ausências Legais </t>
    </r>
    <r>
      <rPr>
        <sz val="11"/>
        <color rgb="FFFF0000"/>
        <rFont val="Calibri"/>
        <family val="2"/>
        <scheme val="minor"/>
      </rPr>
      <t>(Ref. Acórdão TCU 1753/2008–P, 0,73%)</t>
    </r>
  </si>
  <si>
    <r>
      <t>Outros</t>
    </r>
    <r>
      <rPr>
        <sz val="11"/>
        <color rgb="FFFF0000"/>
        <rFont val="Calibri"/>
        <family val="2"/>
        <scheme val="minor"/>
      </rPr>
      <t xml:space="preserve"> (especificar)</t>
    </r>
  </si>
  <si>
    <r>
      <t>Salário-Base</t>
    </r>
    <r>
      <rPr>
        <sz val="11"/>
        <color rgb="FFFF0000"/>
        <rFont val="Calibri"/>
        <family val="2"/>
        <scheme val="minor"/>
      </rPr>
      <t xml:space="preserve"> (Ref. CCT)</t>
    </r>
  </si>
  <si>
    <r>
      <t xml:space="preserve">13º (décimo terceiro) Salário </t>
    </r>
    <r>
      <rPr>
        <sz val="11"/>
        <color rgb="FFFF0000"/>
        <rFont val="Calibri"/>
        <family val="2"/>
        <scheme val="minor"/>
      </rPr>
      <t>(Ref. Manual planilha de custos MPOG)</t>
    </r>
  </si>
  <si>
    <r>
      <t>INSS</t>
    </r>
    <r>
      <rPr>
        <sz val="11"/>
        <color rgb="FFFF0000"/>
        <rFont val="Calibri"/>
        <family val="2"/>
        <scheme val="minor"/>
      </rPr>
      <t xml:space="preserve"> (Ref. 20%)</t>
    </r>
  </si>
  <si>
    <r>
      <t xml:space="preserve">Salário Educação </t>
    </r>
    <r>
      <rPr>
        <sz val="11"/>
        <color rgb="FFFF0000"/>
        <rFont val="Calibri"/>
        <family val="2"/>
        <scheme val="minor"/>
      </rPr>
      <t>(Ref. 2,5%)</t>
    </r>
  </si>
  <si>
    <r>
      <t xml:space="preserve">SAT </t>
    </r>
    <r>
      <rPr>
        <sz val="11"/>
        <color rgb="FFFF0000"/>
        <rFont val="Calibri"/>
        <family val="2"/>
        <scheme val="minor"/>
      </rPr>
      <t>(Ref. RAP x FAP - Enviar relatório SEFIP/GPS)</t>
    </r>
  </si>
  <si>
    <r>
      <t>FGTS</t>
    </r>
    <r>
      <rPr>
        <sz val="11"/>
        <color rgb="FFFF0000"/>
        <rFont val="Calibri"/>
        <family val="2"/>
        <scheme val="minor"/>
      </rPr>
      <t xml:space="preserve"> (Ref. 8%)</t>
    </r>
  </si>
  <si>
    <r>
      <t>SESI OU SESC</t>
    </r>
    <r>
      <rPr>
        <sz val="11"/>
        <color rgb="FFFF0000"/>
        <rFont val="Calibri"/>
        <family val="2"/>
        <scheme val="minor"/>
      </rPr>
      <t xml:space="preserve"> (Ref. 1,5%)</t>
    </r>
  </si>
  <si>
    <r>
      <t xml:space="preserve">SENAI OU SENAC </t>
    </r>
    <r>
      <rPr>
        <sz val="11"/>
        <color rgb="FFFF0000"/>
        <rFont val="Calibri"/>
        <family val="2"/>
        <scheme val="minor"/>
      </rPr>
      <t>(Ref. 1%)</t>
    </r>
  </si>
  <si>
    <r>
      <t>SEBRAE</t>
    </r>
    <r>
      <rPr>
        <sz val="11"/>
        <color rgb="FFFF0000"/>
        <rFont val="Calibri"/>
        <family val="2"/>
        <scheme val="minor"/>
      </rPr>
      <t xml:space="preserve"> (Ref. 0,6%)</t>
    </r>
  </si>
  <si>
    <r>
      <t xml:space="preserve">INCRA </t>
    </r>
    <r>
      <rPr>
        <sz val="11"/>
        <color rgb="FFFF0000"/>
        <rFont val="Calibri"/>
        <family val="2"/>
        <scheme val="minor"/>
      </rPr>
      <t>(Ref. 0,20%)</t>
    </r>
  </si>
  <si>
    <r>
      <t>Desconto Auxílio transporte</t>
    </r>
    <r>
      <rPr>
        <i/>
        <sz val="11"/>
        <color rgb="FFFF0000"/>
        <rFont val="Calibri"/>
        <family val="2"/>
        <scheme val="minor"/>
      </rPr>
      <t xml:space="preserve"> (CLT: 6% do salário base)</t>
    </r>
  </si>
  <si>
    <r>
      <t>Auxílio-Refeição/Alimentação</t>
    </r>
    <r>
      <rPr>
        <sz val="11"/>
        <color rgb="FFFF0000"/>
        <rFont val="Calibri"/>
        <family val="2"/>
        <scheme val="minor"/>
      </rPr>
      <t xml:space="preserve"> (Ref. CCT)</t>
    </r>
  </si>
  <si>
    <r>
      <t xml:space="preserve">Desconto Auxílio alimentação </t>
    </r>
    <r>
      <rPr>
        <i/>
        <sz val="11"/>
        <color rgb="FFFF0000"/>
        <rFont val="Calibri"/>
        <family val="2"/>
        <scheme val="minor"/>
      </rPr>
      <t>(Ref. CCT)</t>
    </r>
  </si>
  <si>
    <r>
      <t>Outros</t>
    </r>
    <r>
      <rPr>
        <sz val="11"/>
        <color rgb="FFFF0000"/>
        <rFont val="Calibri"/>
        <family val="2"/>
        <scheme val="minor"/>
      </rPr>
      <t xml:space="preserve"> (especificar) </t>
    </r>
  </si>
  <si>
    <r>
      <t xml:space="preserve">Aviso Prévio Indenizado - API  </t>
    </r>
    <r>
      <rPr>
        <sz val="11"/>
        <color rgb="FFFF0000"/>
        <rFont val="Calibri"/>
        <family val="2"/>
        <scheme val="minor"/>
      </rPr>
      <t>(Ref. Acórdão TCU 1904/2007–P, 0,46%)</t>
    </r>
  </si>
  <si>
    <r>
      <t xml:space="preserve">Substituto na cobertura de Licença Paternidade </t>
    </r>
    <r>
      <rPr>
        <sz val="11"/>
        <color rgb="FFFF0000"/>
        <rFont val="Calibri"/>
        <family val="2"/>
        <scheme val="minor"/>
      </rPr>
      <t>(Ref. Acórdão TCU 1753/2008–P, 0,082%)</t>
    </r>
  </si>
  <si>
    <r>
      <t xml:space="preserve">Substituto na cobertura de Ausência por acidente de trabalho </t>
    </r>
    <r>
      <rPr>
        <sz val="11"/>
        <color rgb="FFFF0000"/>
        <rFont val="Calibri"/>
        <family val="2"/>
        <scheme val="minor"/>
      </rPr>
      <t>(Ref. Acórdão TCU 1753/2008–P, 0,27%)</t>
    </r>
  </si>
  <si>
    <r>
      <t xml:space="preserve">Substituto na cobertura de Afastamento Maternidade  </t>
    </r>
    <r>
      <rPr>
        <sz val="11"/>
        <color rgb="FFFF0000"/>
        <rFont val="Calibri"/>
        <family val="2"/>
        <scheme val="minor"/>
      </rPr>
      <t>(Ref. Nota Técnica 2/2018/CGAC/CISET/SG-PR)</t>
    </r>
  </si>
  <si>
    <r>
      <t>Uniformes e EPI</t>
    </r>
    <r>
      <rPr>
        <sz val="11"/>
        <color rgb="FFFF0000"/>
        <rFont val="Calibri"/>
        <family val="2"/>
        <scheme val="minor"/>
      </rPr>
      <t xml:space="preserve"> (Ref. Custo dos Uniformes/12 meses)</t>
    </r>
  </si>
  <si>
    <r>
      <t>Materiais</t>
    </r>
    <r>
      <rPr>
        <sz val="11"/>
        <color rgb="FFFF0000"/>
        <rFont val="Calibri"/>
        <family val="2"/>
        <scheme val="minor"/>
      </rPr>
      <t xml:space="preserve">  (Ref. Custo materiais por profissional/12 meses)</t>
    </r>
  </si>
  <si>
    <r>
      <t>Uniformes</t>
    </r>
    <r>
      <rPr>
        <sz val="11"/>
        <rFont val="Calibri"/>
        <family val="2"/>
        <scheme val="minor"/>
      </rPr>
      <t xml:space="preserve"> e EPI</t>
    </r>
    <r>
      <rPr>
        <sz val="11"/>
        <color rgb="FFFF0000"/>
        <rFont val="Calibri"/>
        <family val="2"/>
        <scheme val="minor"/>
      </rPr>
      <t xml:space="preserve"> (Ref. Custo dos Uniformes/12 meses)</t>
    </r>
  </si>
  <si>
    <t>O quantitativo de mão de obra foi estimado pela empresa doadora de estudo de plano de manutenção no Bloco B.</t>
  </si>
  <si>
    <t>Os uniformes e EPI foram calculados pela médias de contratações vigentes.</t>
  </si>
  <si>
    <t>O quantitativo de mão de obra foi calculado pela empresa doadora de estudo de plano de manutenção no Bloco B.</t>
  </si>
  <si>
    <t>O quantitativo de mão de obra foi sugerido pela empresa doadora de estudo de plano de manutenção no Bloco B e validado pela equipe.</t>
  </si>
  <si>
    <t>O quantitativo é baseado no histórico atual do MMA e da Secult.</t>
  </si>
  <si>
    <t>O uniforme foi estimado com base nos levantamento dos contratos de copeiragem juntamente com a pesquisa de preço dos insumos de consumo.</t>
  </si>
  <si>
    <t>As demais observações sobre % de encargos e benefícios constam nos comentários dentro da planilha.</t>
  </si>
  <si>
    <t>O encargo social foi estimado com base parâmetro adotado no Caderno de Limpeza, Vol. 3, 2021, Cadterc. É compatível com a mediana dos 16 pregões analisados na etapa de diagnóstico (74,88%) do projeto de limpeza da Central de Compras.</t>
  </si>
  <si>
    <t>O quantitativo de mão de obra foi estimado pela área da edificação com as produtividades máximas da IN SEGES/MP nº 5/2017 e é compatível com o histórico atual do MMA e da SECULT.</t>
  </si>
  <si>
    <t>O uniforme foi estimado com base nos levantamento dos contratos de brigada juntamente com a pesquisa de preço dos insumos de consumo.</t>
  </si>
  <si>
    <t>O uniforme foi estimado de acordo com o Caderno Técnico de Limpeza do DF 2019, emitido pela Seges/ME (disponível no Portal de Compras do Governo Federal) o valor de provisão mensal para uniforme de servente em Brasília é (Módulo 1 + Módulo 2 + Módulo 3) x 1,45%. Esse valor é similar ao adotado no CADTERC de São Paulo (R$ 41,65+6,72).</t>
  </si>
  <si>
    <t>O materiais de consumo foi calculado com base no Caderno de Logística - Prestação de Serviços de Limpeza, Asseio e Conservação, 2019, da SEGES, disponível em Portal de Compras do Governo Federal.</t>
  </si>
  <si>
    <t>CONSIDERAÇÕES GERAIS</t>
  </si>
  <si>
    <t>ANEXO XI - ESTIMATIVA DA MÃO DE OBRA - SERVIÇOS DE ROTINA</t>
  </si>
  <si>
    <t>O detalhamento da precificação consta da Nota Técnica SEI nº 56870/2021/ME, anexa a este Edital.</t>
  </si>
  <si>
    <t>Neste anexo, consta a metodologia utilizada para precificar o custo da mão de obra estimada para a execução do contrato: serviços com mão de obra exclusiva e sem mão de obra exclusiva, conforme discriminado no item 8.4.12 do Termo de Referência.</t>
  </si>
  <si>
    <t>I</t>
  </si>
  <si>
    <t>K</t>
  </si>
  <si>
    <t>L</t>
  </si>
  <si>
    <t>M</t>
  </si>
  <si>
    <t>N</t>
  </si>
  <si>
    <t>P</t>
  </si>
  <si>
    <t>R</t>
  </si>
  <si>
    <t>S</t>
  </si>
  <si>
    <t>U</t>
  </si>
  <si>
    <t>Z</t>
  </si>
  <si>
    <t>Planilhas 1. Resumo MO: corresponde ao resumo dos valores estimados da mão de obra dos serviços com e sem mão de obra exclusiva.</t>
  </si>
  <si>
    <t>GERENCIAMENTO DE FACILITIES (mão de obra exclusiva)</t>
  </si>
  <si>
    <t>MANUTENÇÃO PREDITIVA, PREVENTIVA E CORRETIVA DA EDIFICAÇÃO (sem mão de obra exclusiva)</t>
  </si>
  <si>
    <t>MANUTENÇÃO DE EXAUSTÃO, RENOVAÇÃO DE AR, VENTILAÇÃO E CLIMATIZAÇÃO (sem mão de obra exclusiva)</t>
  </si>
  <si>
    <t>MUDANÇA DE LAYOUT (sem mão de obra exclusiva)</t>
  </si>
  <si>
    <t>MENSAGERIA (sem mão de obra exclusiva)</t>
  </si>
  <si>
    <t>COPEIRAGEM (mão de obra exclusiva)</t>
  </si>
  <si>
    <t>BRIGADA - BOMBEIRO CIVIL (mão de obra exclusiva)</t>
  </si>
  <si>
    <t>LIMPEZA (mão de obra exclusiva)</t>
  </si>
  <si>
    <t>Planilhas 2, 3 e 4: correspondem às planilhas de custo e formação de preços dos profissionais que compõe a equipe do serviço de gerenciamento de facilities. Detalhamento sobre esse serviço consta do TR e anexos, especialmente Anexos II e III.</t>
  </si>
  <si>
    <t>O</t>
  </si>
  <si>
    <t>AA</t>
  </si>
  <si>
    <t>AB</t>
  </si>
  <si>
    <t>AC</t>
  </si>
  <si>
    <t>AD</t>
  </si>
  <si>
    <t>AG</t>
  </si>
  <si>
    <t>AH</t>
  </si>
  <si>
    <t>AI</t>
  </si>
  <si>
    <t>AJ</t>
  </si>
  <si>
    <t>AK</t>
  </si>
  <si>
    <t>AL</t>
  </si>
  <si>
    <t>AM</t>
  </si>
  <si>
    <t>AP</t>
  </si>
  <si>
    <t>AQ</t>
  </si>
  <si>
    <t>AR</t>
  </si>
  <si>
    <t>AO</t>
  </si>
  <si>
    <t>AN</t>
  </si>
  <si>
    <t>LIMPEZA EXTERNA - FACHADA - TRABALHO EM ALTURA</t>
  </si>
  <si>
    <t>Serventes</t>
  </si>
  <si>
    <t>Áreas Internas</t>
  </si>
  <si>
    <t>Esquadrias/vidros - externa - térreo</t>
  </si>
  <si>
    <t>Esquadrias/vidros - face interna - todos pavimentos</t>
  </si>
  <si>
    <t>Somatório</t>
  </si>
  <si>
    <t>Área total
Pavimentos (m²)
(A)</t>
  </si>
  <si>
    <t>Diária (Mensal)</t>
  </si>
  <si>
    <t>Custo
(R$/m²)</t>
  </si>
  <si>
    <t>Quantidade de servente por área
(D)</t>
  </si>
  <si>
    <t>Material de consumo (12% da MO-tributos)</t>
  </si>
  <si>
    <t>MMA</t>
  </si>
  <si>
    <t>Jardinagem (poda de arbustos e adubação)</t>
  </si>
  <si>
    <t>Área por tipo de piso/elemento</t>
  </si>
  <si>
    <t xml:space="preserve">Foi incluído o Eng Mecânico em tempo parcial para acompanhar mensalmente os trabalhos na edificação. </t>
  </si>
  <si>
    <t xml:space="preserve">Apenas as planilhas de custo e formação de preços, nos moldes da IN SEGES/MP nº 5/2017, vinculadas a serviços com mão de obra exclusiva serão avaliadas na análise da proposta. </t>
  </si>
  <si>
    <t xml:space="preserve">Foi incluído o Eng Civil em tempo parcial para acompanhar mensalmente os trabalhos na edificação. </t>
  </si>
  <si>
    <t>V</t>
  </si>
  <si>
    <t>X</t>
  </si>
  <si>
    <t>Planilhas 5, 6: planilhas de custo e formação de preços do serviço de copeiragem. Detalhamento desse serviço consta do TR e anexos, especialmente Anexos II e III.</t>
  </si>
  <si>
    <t>Planilhas 07 a 10: planilhas de custo e formação de preços de serviço de brigada. Detalhamento desse serviço consta do TR e anexos, especialmente Anexos II e III.</t>
  </si>
  <si>
    <t>Planilha 11: projeção da produtividade máxima do serviço de limpeza de acordo com o tipo de ambiente, nos termos da IN SEGES/MP nº 5/2017.</t>
  </si>
  <si>
    <t>Planilhas 12: planilha de custo e formação de preços do servente - serviço de limpeza. Detalhamento desse serviço consta do TR e anexos, especialmente Anexos II e III.</t>
  </si>
  <si>
    <t>Planilha 13: estimativa de custo do auxiliar de jardinagem. Detalhamento desse serviço consta do TR e anexos, especialmente Anexos II, III, IV e apêndices.</t>
  </si>
  <si>
    <t>Q</t>
  </si>
  <si>
    <t>Y</t>
  </si>
  <si>
    <t>AE</t>
  </si>
  <si>
    <t>AF</t>
  </si>
  <si>
    <t>J</t>
  </si>
  <si>
    <t>Diária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</si>
</sst>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quot;R$&quot;\ #,##0.00;[Red]\-&quot;R$&quot;\ #,##0.00"/>
    <numFmt numFmtId="165" formatCode="_-&quot;R$&quot;\ * #,##0.00_-;\-&quot;R$&quot;\ * #,##0.00_-;_-&quot;R$&quot;\ * &quot;-&quot;??_-;_-@_-"/>
    <numFmt numFmtId="166" formatCode="_(* #,##0.00_);_(* \(#,##0.00\);_(* &quot;-&quot;??_);_(@_)"/>
    <numFmt numFmtId="167" formatCode="[$R$ -416]#,##0.00"/>
    <numFmt numFmtId="168" formatCode="_(&quot;R$ &quot;* #,##0.00_);_(&quot;R$ &quot;* \(#,##0.00\);_(&quot;R$ &quot;* &quot;-&quot;??_);_(@_)"/>
    <numFmt numFmtId="169" formatCode="0.000%"/>
    <numFmt numFmtId="170" formatCode="_([$R$ -416]* #,##0.00_);_([$R$ -416]* \(#,##0.00\);_([$R$ -416]* \-??_);_(@_)"/>
    <numFmt numFmtId="171" formatCode="d/m/yyyy"/>
    <numFmt numFmtId="172" formatCode="_-* #,##0.0_-;\-* #,##0.0_-;_-* &quot;-&quot;??_-;_-@_-"/>
  </numFmts>
  <fonts count="42"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font>
    <font>
      <sz val="11"/>
      <color rgb="FFFF0000"/>
      <name val="Calibri"/>
      <family val="2"/>
    </font>
    <font>
      <b/>
      <sz val="11"/>
      <color rgb="FFFF0000"/>
      <name val="Calibri"/>
      <family val="2"/>
    </font>
    <font>
      <sz val="9"/>
      <color indexed="81"/>
      <name val="Segoe UI"/>
      <family val="2"/>
    </font>
    <font>
      <sz val="11"/>
      <color theme="1"/>
      <name val="Arial"/>
      <family val="2"/>
    </font>
    <font>
      <sz val="11"/>
      <name val="Calibri"/>
      <family val="2"/>
      <scheme val="minor"/>
    </font>
    <font>
      <sz val="11"/>
      <color theme="1"/>
      <name val="Arial"/>
      <family val="2"/>
    </font>
    <font>
      <sz val="11"/>
      <color indexed="8"/>
      <name val="Calibri"/>
      <family val="2"/>
    </font>
    <font>
      <sz val="11"/>
      <color rgb="FFFF0000"/>
      <name val="Calibri"/>
      <family val="2"/>
      <scheme val="minor"/>
    </font>
    <font>
      <sz val="11"/>
      <color rgb="FF000000"/>
      <name val="Calibri"/>
      <family val="2"/>
    </font>
    <font>
      <sz val="11"/>
      <color rgb="FF000000"/>
      <name val="Calibri"/>
      <family val="2"/>
      <charset val="1"/>
    </font>
    <font>
      <sz val="9"/>
      <color rgb="FF000000"/>
      <name val="Segoe UI"/>
      <family val="2"/>
      <charset val="1"/>
    </font>
    <font>
      <b/>
      <sz val="11"/>
      <color theme="1"/>
      <name val="Calibri"/>
      <family val="2"/>
      <scheme val="minor"/>
    </font>
    <font>
      <b/>
      <sz val="11"/>
      <color rgb="FF000000"/>
      <name val="Calibri"/>
      <family val="2"/>
    </font>
    <font>
      <b/>
      <sz val="11"/>
      <color rgb="FF000000"/>
      <name val="Calibri"/>
      <family val="2"/>
      <scheme val="minor"/>
    </font>
    <font>
      <sz val="11"/>
      <color rgb="FF000000"/>
      <name val="Calibri"/>
      <family val="2"/>
      <scheme val="minor"/>
    </font>
    <font>
      <i/>
      <sz val="11"/>
      <name val="Calibri"/>
      <family val="2"/>
    </font>
    <font>
      <i/>
      <sz val="11"/>
      <color rgb="FF000000"/>
      <name val="Calibri"/>
      <family val="2"/>
    </font>
    <font>
      <b/>
      <i/>
      <sz val="11"/>
      <color rgb="FFFFFFFF"/>
      <name val="Calibri"/>
      <family val="2"/>
    </font>
    <font>
      <b/>
      <i/>
      <sz val="11"/>
      <color rgb="FFFFFF00"/>
      <name val="Calibri"/>
      <family val="2"/>
    </font>
    <font>
      <i/>
      <sz val="11"/>
      <color rgb="FFFF0000"/>
      <name val="Calibri"/>
      <family val="2"/>
    </font>
    <font>
      <b/>
      <sz val="11"/>
      <name val="Calibri"/>
      <family val="2"/>
    </font>
    <font>
      <b/>
      <i/>
      <sz val="11"/>
      <color rgb="FF000000"/>
      <name val="Calibri"/>
      <family val="2"/>
    </font>
    <font>
      <strike/>
      <sz val="11"/>
      <color rgb="FFFF0000"/>
      <name val="Calibri"/>
      <family val="2"/>
    </font>
    <font>
      <i/>
      <sz val="11"/>
      <name val="Calibri"/>
      <family val="2"/>
      <scheme val="minor"/>
    </font>
    <font>
      <i/>
      <sz val="11"/>
      <color rgb="FF000000"/>
      <name val="Calibri"/>
      <family val="2"/>
      <scheme val="minor"/>
    </font>
    <font>
      <b/>
      <i/>
      <sz val="11"/>
      <color rgb="FFFFFFFF"/>
      <name val="Calibri"/>
      <family val="2"/>
      <scheme val="minor"/>
    </font>
    <font>
      <b/>
      <sz val="11"/>
      <color rgb="FFFF0000"/>
      <name val="Calibri"/>
      <family val="2"/>
      <scheme val="minor"/>
    </font>
    <font>
      <b/>
      <i/>
      <sz val="11"/>
      <color rgb="FFFFFF00"/>
      <name val="Calibri"/>
      <family val="2"/>
      <scheme val="minor"/>
    </font>
    <font>
      <i/>
      <sz val="11"/>
      <color rgb="FFFF0000"/>
      <name val="Calibri"/>
      <family val="2"/>
      <scheme val="minor"/>
    </font>
    <font>
      <b/>
      <sz val="11"/>
      <name val="Calibri"/>
      <family val="2"/>
      <scheme val="minor"/>
    </font>
    <font>
      <b/>
      <i/>
      <sz val="11"/>
      <color rgb="FF000000"/>
      <name val="Calibri"/>
      <family val="2"/>
      <scheme val="minor"/>
    </font>
    <font>
      <strike/>
      <sz val="11"/>
      <color rgb="FFFF0000"/>
      <name val="Calibri"/>
      <family val="2"/>
      <scheme val="minor"/>
    </font>
    <font>
      <sz val="11"/>
      <color theme="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D9D9D9"/>
        <bgColor rgb="FFEFEFEF"/>
      </patternFill>
    </fill>
    <fill>
      <patternFill patternType="solid">
        <fgColor rgb="FFFF9900"/>
        <bgColor rgb="FFE69138"/>
      </patternFill>
    </fill>
    <fill>
      <patternFill patternType="solid">
        <fgColor rgb="FFE69138"/>
        <bgColor rgb="FFED7D31"/>
      </patternFill>
    </fill>
    <fill>
      <patternFill patternType="solid">
        <fgColor rgb="FFFFFF00"/>
        <bgColor rgb="FFFFFF00"/>
      </patternFill>
    </fill>
    <fill>
      <patternFill patternType="solid">
        <fgColor theme="2" tint="-0.149998474074526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s>
  <cellStyleXfs count="10">
    <xf numFmtId="0" fontId="0" fillId="0" borderId="0"/>
    <xf numFmtId="0" fontId="7" fillId="0" borderId="3"/>
    <xf numFmtId="166" fontId="7" fillId="0" borderId="3" applyFont="0" applyFill="0" applyBorder="0" applyAlignment="0" applyProtection="0"/>
    <xf numFmtId="165" fontId="12" fillId="0" borderId="0" applyFont="0" applyFill="0" applyBorder="0" applyAlignment="0" applyProtection="0"/>
    <xf numFmtId="168" fontId="7" fillId="0" borderId="3" applyFill="0" applyBorder="0" applyAlignment="0" applyProtection="0"/>
    <xf numFmtId="43" fontId="14" fillId="0" borderId="0" applyFont="0" applyFill="0" applyBorder="0" applyAlignment="0" applyProtection="0"/>
    <xf numFmtId="9" fontId="15" fillId="0" borderId="3" applyFont="0" applyFill="0" applyBorder="0" applyAlignment="0" applyProtection="0"/>
    <xf numFmtId="43" fontId="15" fillId="0" borderId="3" applyFont="0" applyFill="0" applyBorder="0" applyAlignment="0" applyProtection="0"/>
    <xf numFmtId="0" fontId="17" fillId="0" borderId="3"/>
    <xf numFmtId="9" fontId="41" fillId="0" borderId="0" applyFont="0" applyFill="0" applyBorder="0" applyAlignment="0" applyProtection="0"/>
  </cellStyleXfs>
  <cellXfs count="282">
    <xf numFmtId="0" fontId="0" fillId="0" borderId="0" xfId="0"/>
    <xf numFmtId="4" fontId="16" fillId="2" borderId="7" xfId="7" applyNumberFormat="1" applyFont="1" applyFill="1" applyBorder="1"/>
    <xf numFmtId="0" fontId="13" fillId="3" borderId="8" xfId="0" applyFont="1" applyFill="1" applyBorder="1" applyAlignment="1">
      <alignment horizontal="center"/>
    </xf>
    <xf numFmtId="0" fontId="6" fillId="0" borderId="0" xfId="0" applyFont="1"/>
    <xf numFmtId="165" fontId="6" fillId="0" borderId="0" xfId="3" applyFont="1" applyAlignment="1"/>
    <xf numFmtId="0" fontId="22" fillId="0" borderId="8" xfId="0" applyFont="1" applyBorder="1" applyAlignment="1">
      <alignment horizontal="center" vertical="center" wrapText="1"/>
    </xf>
    <xf numFmtId="165" fontId="22" fillId="0" borderId="8" xfId="3" applyFont="1" applyBorder="1" applyAlignment="1">
      <alignment horizontal="center" vertical="center" wrapText="1"/>
    </xf>
    <xf numFmtId="165" fontId="6" fillId="0" borderId="8" xfId="3" applyFont="1" applyBorder="1"/>
    <xf numFmtId="165" fontId="23" fillId="0" borderId="8" xfId="3" applyFont="1" applyBorder="1" applyAlignment="1">
      <alignment vertical="center" wrapText="1"/>
    </xf>
    <xf numFmtId="0" fontId="23" fillId="0" borderId="8" xfId="0" applyFont="1" applyBorder="1" applyAlignment="1">
      <alignment horizontal="center" vertical="center" wrapText="1"/>
    </xf>
    <xf numFmtId="165" fontId="6" fillId="0" borderId="8" xfId="3" applyFont="1" applyFill="1" applyBorder="1"/>
    <xf numFmtId="165" fontId="6" fillId="3" borderId="8" xfId="3" applyFont="1" applyFill="1" applyBorder="1"/>
    <xf numFmtId="165" fontId="23" fillId="0" borderId="9" xfId="3" applyFont="1" applyBorder="1" applyAlignment="1">
      <alignment vertical="center" wrapText="1"/>
    </xf>
    <xf numFmtId="165" fontId="6" fillId="0" borderId="8" xfId="3" applyFont="1" applyBorder="1" applyAlignment="1"/>
    <xf numFmtId="165" fontId="20" fillId="9" borderId="8" xfId="3" applyFont="1" applyFill="1" applyBorder="1" applyAlignment="1"/>
    <xf numFmtId="0" fontId="22" fillId="0" borderId="3" xfId="0" applyFont="1" applyBorder="1" applyAlignment="1">
      <alignment horizontal="right" vertical="center" wrapText="1"/>
    </xf>
    <xf numFmtId="165" fontId="22" fillId="0" borderId="3" xfId="3" applyFont="1" applyBorder="1" applyAlignment="1">
      <alignment horizontal="right" vertical="center" wrapText="1"/>
    </xf>
    <xf numFmtId="165" fontId="20" fillId="0" borderId="3" xfId="3" applyFont="1" applyBorder="1" applyAlignment="1"/>
    <xf numFmtId="165" fontId="22" fillId="0" borderId="10" xfId="3" applyFont="1" applyBorder="1" applyAlignment="1">
      <alignment horizontal="center" vertical="center" wrapText="1"/>
    </xf>
    <xf numFmtId="164" fontId="6" fillId="0" borderId="0" xfId="0" applyNumberFormat="1" applyFont="1"/>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6" fillId="0" borderId="0" xfId="0" applyFont="1" applyAlignment="1">
      <alignment horizontal="center"/>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6" fillId="0" borderId="0" xfId="0" applyFont="1" applyAlignment="1">
      <alignment horizontal="left" vertical="center"/>
    </xf>
    <xf numFmtId="0" fontId="22" fillId="0" borderId="8" xfId="0" applyFont="1" applyBorder="1" applyAlignment="1">
      <alignment horizontal="left" vertical="center" wrapText="1"/>
    </xf>
    <xf numFmtId="0" fontId="6" fillId="3" borderId="8" xfId="0" applyFont="1" applyFill="1" applyBorder="1" applyAlignment="1">
      <alignment horizontal="left" vertical="center" wrapText="1"/>
    </xf>
    <xf numFmtId="0" fontId="6" fillId="0" borderId="8" xfId="0" applyFont="1" applyBorder="1" applyAlignment="1">
      <alignment horizontal="left" vertical="center" wrapText="1"/>
    </xf>
    <xf numFmtId="0" fontId="23" fillId="0" borderId="8"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13" fillId="0" borderId="8" xfId="0" applyFont="1" applyBorder="1" applyAlignment="1">
      <alignment horizontal="left" vertical="center" wrapText="1"/>
    </xf>
    <xf numFmtId="0" fontId="22" fillId="0" borderId="3" xfId="0" applyFont="1" applyBorder="1" applyAlignment="1">
      <alignment horizontal="left" vertical="center" wrapText="1"/>
    </xf>
    <xf numFmtId="0" fontId="13" fillId="0" borderId="1" xfId="0" applyFont="1" applyBorder="1" applyAlignment="1">
      <alignment horizontal="left" vertical="center" wrapText="1"/>
    </xf>
    <xf numFmtId="0" fontId="6" fillId="0" borderId="0" xfId="0" applyFont="1" applyAlignment="1">
      <alignment horizontal="right" vertical="center"/>
    </xf>
    <xf numFmtId="43" fontId="6" fillId="0" borderId="8" xfId="5" applyFont="1" applyBorder="1" applyAlignment="1">
      <alignment horizontal="right" vertical="center"/>
    </xf>
    <xf numFmtId="0" fontId="13" fillId="0" borderId="8" xfId="0" applyFont="1" applyBorder="1" applyAlignment="1">
      <alignment horizontal="right" vertical="center"/>
    </xf>
    <xf numFmtId="165" fontId="6" fillId="0" borderId="8" xfId="3" applyFont="1" applyBorder="1" applyAlignment="1">
      <alignment vertical="center"/>
    </xf>
    <xf numFmtId="165" fontId="13" fillId="0" borderId="8" xfId="3" applyFont="1" applyBorder="1" applyAlignment="1">
      <alignment vertical="center"/>
    </xf>
    <xf numFmtId="0" fontId="17" fillId="0" borderId="3" xfId="8" applyFont="1"/>
    <xf numFmtId="0" fontId="8" fillId="0" borderId="3" xfId="8" applyFont="1" applyAlignment="1">
      <alignment vertical="center"/>
    </xf>
    <xf numFmtId="0" fontId="17" fillId="0" borderId="8" xfId="8" applyFont="1" applyBorder="1" applyAlignment="1">
      <alignment horizontal="center" vertical="center"/>
    </xf>
    <xf numFmtId="3" fontId="8" fillId="0" borderId="8" xfId="8" applyNumberFormat="1" applyFont="1" applyBorder="1" applyAlignment="1">
      <alignment horizontal="center" vertical="center"/>
    </xf>
    <xf numFmtId="0" fontId="8" fillId="0" borderId="8" xfId="8" applyFont="1" applyBorder="1" applyAlignment="1">
      <alignment horizontal="center" vertical="center"/>
    </xf>
    <xf numFmtId="4" fontId="10" fillId="0" borderId="8" xfId="8" applyNumberFormat="1" applyFont="1" applyBorder="1" applyAlignment="1" applyProtection="1">
      <alignment horizontal="right" vertical="center"/>
      <protection locked="0"/>
    </xf>
    <xf numFmtId="4" fontId="9" fillId="0" borderId="8" xfId="8" applyNumberFormat="1" applyFont="1" applyBorder="1" applyAlignment="1">
      <alignment horizontal="right" vertical="center"/>
    </xf>
    <xf numFmtId="4" fontId="9" fillId="0" borderId="8" xfId="8" applyNumberFormat="1" applyFont="1" applyBorder="1" applyAlignment="1" applyProtection="1">
      <alignment horizontal="right" vertical="center"/>
      <protection locked="0"/>
    </xf>
    <xf numFmtId="4" fontId="21" fillId="5" borderId="8" xfId="8" applyNumberFormat="1" applyFont="1" applyFill="1" applyBorder="1" applyAlignment="1">
      <alignment horizontal="right" vertical="center"/>
    </xf>
    <xf numFmtId="10" fontId="9" fillId="0" borderId="8" xfId="8" applyNumberFormat="1" applyFont="1" applyBorder="1" applyAlignment="1" applyProtection="1">
      <alignment horizontal="right" vertical="center"/>
      <protection locked="0"/>
    </xf>
    <xf numFmtId="4" fontId="17" fillId="0" borderId="8" xfId="8" applyNumberFormat="1" applyFont="1" applyBorder="1" applyAlignment="1">
      <alignment horizontal="right" vertical="center"/>
    </xf>
    <xf numFmtId="4" fontId="27" fillId="7" borderId="9" xfId="8" applyNumberFormat="1" applyFont="1" applyFill="1" applyBorder="1" applyAlignment="1">
      <alignment horizontal="center" vertical="center"/>
    </xf>
    <xf numFmtId="10" fontId="10" fillId="0" borderId="8" xfId="8" applyNumberFormat="1" applyFont="1" applyBorder="1" applyAlignment="1" applyProtection="1">
      <alignment horizontal="right" vertical="center"/>
      <protection locked="0"/>
    </xf>
    <xf numFmtId="10" fontId="21" fillId="5" borderId="8" xfId="8" applyNumberFormat="1" applyFont="1" applyFill="1" applyBorder="1" applyAlignment="1">
      <alignment horizontal="right" vertical="center"/>
    </xf>
    <xf numFmtId="0" fontId="21" fillId="0" borderId="8" xfId="8" applyFont="1" applyBorder="1" applyAlignment="1">
      <alignment vertical="center"/>
    </xf>
    <xf numFmtId="4" fontId="21" fillId="0" borderId="8" xfId="8" applyNumberFormat="1" applyFont="1" applyBorder="1" applyAlignment="1">
      <alignment horizontal="right" vertical="center"/>
    </xf>
    <xf numFmtId="0" fontId="25" fillId="0" borderId="8" xfId="8" applyFont="1" applyBorder="1" applyAlignment="1">
      <alignment horizontal="center" vertical="center"/>
    </xf>
    <xf numFmtId="10" fontId="28" fillId="0" borderId="8" xfId="8" applyNumberFormat="1" applyFont="1" applyBorder="1" applyAlignment="1">
      <alignment horizontal="right" vertical="center"/>
    </xf>
    <xf numFmtId="4" fontId="24" fillId="0" borderId="8" xfId="8" applyNumberFormat="1" applyFont="1" applyBorder="1" applyAlignment="1">
      <alignment horizontal="right" vertical="center"/>
    </xf>
    <xf numFmtId="4" fontId="29" fillId="0" borderId="8" xfId="8" applyNumberFormat="1" applyFont="1" applyBorder="1" applyAlignment="1">
      <alignment horizontal="right" vertical="center"/>
    </xf>
    <xf numFmtId="0" fontId="25" fillId="5" borderId="8" xfId="8" applyFont="1" applyFill="1" applyBorder="1" applyAlignment="1">
      <alignment horizontal="center" vertical="center"/>
    </xf>
    <xf numFmtId="4" fontId="30" fillId="5" borderId="8" xfId="8" applyNumberFormat="1" applyFont="1" applyFill="1" applyBorder="1" applyAlignment="1">
      <alignment horizontal="right" vertical="center"/>
    </xf>
    <xf numFmtId="10" fontId="21" fillId="0" borderId="8" xfId="8" applyNumberFormat="1" applyFont="1" applyBorder="1" applyAlignment="1">
      <alignment horizontal="right" vertical="center"/>
    </xf>
    <xf numFmtId="10" fontId="29" fillId="0" borderId="8" xfId="8" applyNumberFormat="1" applyFont="1" applyBorder="1" applyAlignment="1">
      <alignment horizontal="right" vertical="center"/>
    </xf>
    <xf numFmtId="169" fontId="9" fillId="0" borderId="8" xfId="8" applyNumberFormat="1" applyFont="1" applyBorder="1" applyAlignment="1" applyProtection="1">
      <alignment horizontal="right" vertical="center"/>
      <protection locked="0"/>
    </xf>
    <xf numFmtId="170" fontId="9" fillId="0" borderId="8" xfId="8" applyNumberFormat="1" applyFont="1" applyBorder="1" applyAlignment="1" applyProtection="1">
      <alignment horizontal="right" vertical="center"/>
      <protection locked="0"/>
    </xf>
    <xf numFmtId="10" fontId="30" fillId="5" borderId="8" xfId="8" applyNumberFormat="1" applyFont="1" applyFill="1" applyBorder="1" applyAlignment="1">
      <alignment vertical="center"/>
    </xf>
    <xf numFmtId="0" fontId="17" fillId="5" borderId="8" xfId="8" applyFont="1" applyFill="1" applyBorder="1" applyAlignment="1">
      <alignment horizontal="center" vertical="center"/>
    </xf>
    <xf numFmtId="4" fontId="17" fillId="5" borderId="8" xfId="8" applyNumberFormat="1" applyFont="1" applyFill="1" applyBorder="1" applyAlignment="1">
      <alignment horizontal="right" vertical="center"/>
    </xf>
    <xf numFmtId="0" fontId="8" fillId="0" borderId="3" xfId="8" applyFont="1" applyAlignment="1" applyProtection="1">
      <alignment vertical="center"/>
      <protection locked="0"/>
    </xf>
    <xf numFmtId="0" fontId="8" fillId="0" borderId="11" xfId="8" applyFont="1" applyBorder="1" applyAlignment="1" applyProtection="1">
      <alignment vertical="center"/>
      <protection locked="0"/>
    </xf>
    <xf numFmtId="0" fontId="30" fillId="6" borderId="8" xfId="8" applyFont="1" applyFill="1" applyBorder="1" applyAlignment="1">
      <alignment horizontal="center" vertical="center" wrapText="1"/>
    </xf>
    <xf numFmtId="0" fontId="23" fillId="0" borderId="3" xfId="8" applyFont="1"/>
    <xf numFmtId="0" fontId="13" fillId="0" borderId="3" xfId="8" applyFont="1" applyAlignment="1">
      <alignment vertical="center"/>
    </xf>
    <xf numFmtId="0" fontId="23" fillId="0" borderId="8" xfId="8" applyFont="1" applyBorder="1" applyAlignment="1">
      <alignment horizontal="center" vertical="center"/>
    </xf>
    <xf numFmtId="3" fontId="13" fillId="0" borderId="8" xfId="8" applyNumberFormat="1" applyFont="1" applyBorder="1" applyAlignment="1">
      <alignment horizontal="center" vertical="center"/>
    </xf>
    <xf numFmtId="0" fontId="13" fillId="0" borderId="8" xfId="8" applyFont="1" applyBorder="1" applyAlignment="1">
      <alignment horizontal="center" vertical="center"/>
    </xf>
    <xf numFmtId="4" fontId="35" fillId="0" borderId="8" xfId="8" applyNumberFormat="1" applyFont="1" applyBorder="1" applyAlignment="1" applyProtection="1">
      <alignment horizontal="right" vertical="center"/>
      <protection locked="0"/>
    </xf>
    <xf numFmtId="4" fontId="16" fillId="0" borderId="8" xfId="8" applyNumberFormat="1" applyFont="1" applyBorder="1" applyAlignment="1">
      <alignment horizontal="right" vertical="center"/>
    </xf>
    <xf numFmtId="4" fontId="16" fillId="0" borderId="8" xfId="8" applyNumberFormat="1" applyFont="1" applyBorder="1" applyAlignment="1" applyProtection="1">
      <alignment horizontal="right" vertical="center"/>
      <protection locked="0"/>
    </xf>
    <xf numFmtId="4" fontId="22" fillId="5" borderId="8" xfId="8" applyNumberFormat="1" applyFont="1" applyFill="1" applyBorder="1" applyAlignment="1">
      <alignment horizontal="right" vertical="center"/>
    </xf>
    <xf numFmtId="10" fontId="16" fillId="0" borderId="8" xfId="8" applyNumberFormat="1" applyFont="1" applyBorder="1" applyAlignment="1" applyProtection="1">
      <alignment horizontal="right" vertical="center"/>
      <protection locked="0"/>
    </xf>
    <xf numFmtId="4" fontId="23" fillId="0" borderId="8" xfId="8" applyNumberFormat="1" applyFont="1" applyBorder="1" applyAlignment="1">
      <alignment horizontal="right" vertical="center"/>
    </xf>
    <xf numFmtId="4" fontId="36" fillId="7" borderId="9" xfId="8" applyNumberFormat="1" applyFont="1" applyFill="1" applyBorder="1" applyAlignment="1">
      <alignment horizontal="center" vertical="center"/>
    </xf>
    <xf numFmtId="10" fontId="35" fillId="0" borderId="8" xfId="8" applyNumberFormat="1" applyFont="1" applyBorder="1" applyAlignment="1" applyProtection="1">
      <alignment horizontal="right" vertical="center"/>
      <protection locked="0"/>
    </xf>
    <xf numFmtId="10" fontId="22" fillId="5" borderId="8" xfId="8" applyNumberFormat="1" applyFont="1" applyFill="1" applyBorder="1" applyAlignment="1">
      <alignment horizontal="right" vertical="center"/>
    </xf>
    <xf numFmtId="0" fontId="22" fillId="0" borderId="8" xfId="8" applyFont="1" applyBorder="1" applyAlignment="1">
      <alignment vertical="center"/>
    </xf>
    <xf numFmtId="4" fontId="22" fillId="0" borderId="8" xfId="8" applyNumberFormat="1" applyFont="1" applyBorder="1" applyAlignment="1">
      <alignment horizontal="right" vertical="center"/>
    </xf>
    <xf numFmtId="0" fontId="33" fillId="0" borderId="8" xfId="8" applyFont="1" applyBorder="1" applyAlignment="1">
      <alignment horizontal="center" vertical="center"/>
    </xf>
    <xf numFmtId="10" fontId="37" fillId="0" borderId="8" xfId="8" applyNumberFormat="1" applyFont="1" applyBorder="1" applyAlignment="1">
      <alignment horizontal="right" vertical="center"/>
    </xf>
    <xf numFmtId="4" fontId="32" fillId="0" borderId="8" xfId="8" applyNumberFormat="1" applyFont="1" applyBorder="1" applyAlignment="1">
      <alignment horizontal="right" vertical="center"/>
    </xf>
    <xf numFmtId="4" fontId="38" fillId="0" borderId="8" xfId="8" applyNumberFormat="1" applyFont="1" applyBorder="1" applyAlignment="1">
      <alignment horizontal="right" vertical="center"/>
    </xf>
    <xf numFmtId="0" fontId="33" fillId="5" borderId="8" xfId="8" applyFont="1" applyFill="1" applyBorder="1" applyAlignment="1">
      <alignment horizontal="center" vertical="center"/>
    </xf>
    <xf numFmtId="4" fontId="39" fillId="5" borderId="8" xfId="8" applyNumberFormat="1" applyFont="1" applyFill="1" applyBorder="1" applyAlignment="1">
      <alignment horizontal="right" vertical="center"/>
    </xf>
    <xf numFmtId="10" fontId="22" fillId="0" borderId="8" xfId="8" applyNumberFormat="1" applyFont="1" applyBorder="1" applyAlignment="1">
      <alignment horizontal="right" vertical="center"/>
    </xf>
    <xf numFmtId="10" fontId="38" fillId="0" borderId="8" xfId="8" applyNumberFormat="1" applyFont="1" applyBorder="1" applyAlignment="1">
      <alignment horizontal="right" vertical="center"/>
    </xf>
    <xf numFmtId="169" fontId="16" fillId="0" borderId="8" xfId="8" applyNumberFormat="1" applyFont="1" applyBorder="1" applyAlignment="1" applyProtection="1">
      <alignment horizontal="right" vertical="center"/>
      <protection locked="0"/>
    </xf>
    <xf numFmtId="170" fontId="16" fillId="0" borderId="8" xfId="8" applyNumberFormat="1" applyFont="1" applyBorder="1" applyAlignment="1" applyProtection="1">
      <alignment horizontal="right" vertical="center"/>
      <protection locked="0"/>
    </xf>
    <xf numFmtId="10" fontId="39" fillId="5" borderId="8" xfId="8" applyNumberFormat="1" applyFont="1" applyFill="1" applyBorder="1" applyAlignment="1">
      <alignment vertical="center"/>
    </xf>
    <xf numFmtId="0" fontId="23" fillId="5" borderId="8" xfId="8" applyFont="1" applyFill="1" applyBorder="1" applyAlignment="1">
      <alignment horizontal="center" vertical="center"/>
    </xf>
    <xf numFmtId="4" fontId="23" fillId="5" borderId="8" xfId="8" applyNumberFormat="1" applyFont="1" applyFill="1" applyBorder="1" applyAlignment="1">
      <alignment horizontal="right" vertical="center"/>
    </xf>
    <xf numFmtId="0" fontId="13" fillId="0" borderId="3" xfId="8" applyFont="1" applyAlignment="1" applyProtection="1">
      <alignment vertical="center"/>
      <protection locked="0"/>
    </xf>
    <xf numFmtId="0" fontId="13" fillId="0" borderId="11" xfId="8" applyFont="1" applyBorder="1" applyAlignment="1" applyProtection="1">
      <alignment vertical="center"/>
      <protection locked="0"/>
    </xf>
    <xf numFmtId="0" fontId="39" fillId="6" borderId="8" xfId="8" applyFont="1" applyFill="1" applyBorder="1" applyAlignment="1">
      <alignment horizontal="center" vertical="center" wrapText="1"/>
    </xf>
    <xf numFmtId="0" fontId="23" fillId="3" borderId="3" xfId="8" applyFont="1" applyFill="1"/>
    <xf numFmtId="43" fontId="23" fillId="3" borderId="3" xfId="5" applyFont="1" applyFill="1" applyBorder="1"/>
    <xf numFmtId="4" fontId="35" fillId="0" borderId="1" xfId="1" applyNumberFormat="1" applyFont="1" applyBorder="1" applyAlignment="1" applyProtection="1">
      <alignment horizontal="right" vertical="center"/>
      <protection locked="0"/>
    </xf>
    <xf numFmtId="4" fontId="13" fillId="0" borderId="8" xfId="8" applyNumberFormat="1" applyFont="1" applyBorder="1" applyAlignment="1" applyProtection="1">
      <alignment horizontal="right" vertical="center"/>
      <protection locked="0"/>
    </xf>
    <xf numFmtId="43" fontId="23" fillId="0" borderId="3" xfId="8" applyNumberFormat="1" applyFont="1"/>
    <xf numFmtId="43" fontId="23" fillId="4" borderId="3" xfId="5" applyFont="1" applyFill="1" applyBorder="1"/>
    <xf numFmtId="0" fontId="6" fillId="3" borderId="0" xfId="0" applyFont="1" applyFill="1"/>
    <xf numFmtId="43" fontId="20" fillId="3" borderId="8" xfId="5" applyFont="1" applyFill="1" applyBorder="1" applyAlignment="1">
      <alignment horizontal="center" vertical="center"/>
    </xf>
    <xf numFmtId="43" fontId="20" fillId="3" borderId="8" xfId="5" applyFont="1" applyFill="1" applyBorder="1" applyAlignment="1">
      <alignment horizontal="center"/>
    </xf>
    <xf numFmtId="43" fontId="6" fillId="3" borderId="0" xfId="0" applyNumberFormat="1" applyFont="1" applyFill="1"/>
    <xf numFmtId="43" fontId="20" fillId="10" borderId="8" xfId="5" applyFont="1" applyFill="1" applyBorder="1" applyAlignment="1">
      <alignment horizontal="center"/>
    </xf>
    <xf numFmtId="0" fontId="23" fillId="3" borderId="3" xfId="0" applyFont="1" applyFill="1" applyBorder="1" applyAlignment="1">
      <alignment vertical="center" wrapText="1"/>
    </xf>
    <xf numFmtId="0" fontId="23" fillId="3" borderId="3" xfId="0" applyFont="1" applyFill="1" applyBorder="1" applyAlignment="1">
      <alignment horizontal="center" vertical="center" wrapText="1"/>
    </xf>
    <xf numFmtId="43" fontId="23" fillId="3" borderId="3" xfId="5" applyFont="1" applyFill="1" applyBorder="1" applyAlignment="1">
      <alignment horizontal="center" vertical="center" wrapText="1"/>
    </xf>
    <xf numFmtId="43" fontId="20" fillId="3" borderId="3" xfId="5" applyFont="1" applyFill="1" applyBorder="1" applyAlignment="1">
      <alignment horizontal="center"/>
    </xf>
    <xf numFmtId="43" fontId="20" fillId="3" borderId="0" xfId="5" applyFont="1" applyFill="1" applyAlignment="1">
      <alignment horizontal="center"/>
    </xf>
    <xf numFmtId="0" fontId="6" fillId="3" borderId="0" xfId="0" applyFont="1" applyFill="1" applyAlignment="1">
      <alignment horizontal="center"/>
    </xf>
    <xf numFmtId="49" fontId="5" fillId="0" borderId="0" xfId="0" applyNumberFormat="1" applyFont="1" applyAlignment="1">
      <alignment horizontal="left" vertical="center"/>
    </xf>
    <xf numFmtId="49" fontId="5" fillId="0" borderId="0" xfId="0" applyNumberFormat="1" applyFont="1" applyAlignment="1">
      <alignment vertical="center"/>
    </xf>
    <xf numFmtId="43" fontId="6" fillId="0" borderId="0" xfId="0" applyNumberFormat="1" applyFont="1"/>
    <xf numFmtId="0" fontId="6" fillId="3" borderId="0" xfId="0" applyFont="1" applyFill="1" applyAlignment="1">
      <alignment vertical="center"/>
    </xf>
    <xf numFmtId="0" fontId="22" fillId="3" borderId="3" xfId="0" applyFont="1" applyFill="1" applyBorder="1" applyAlignment="1">
      <alignment horizontal="center" vertical="center" wrapText="1"/>
    </xf>
    <xf numFmtId="0" fontId="6" fillId="3" borderId="0" xfId="0" applyFont="1" applyFill="1" applyAlignment="1">
      <alignment horizontal="center" vertical="center"/>
    </xf>
    <xf numFmtId="0" fontId="16" fillId="3" borderId="0" xfId="0" applyFont="1" applyFill="1"/>
    <xf numFmtId="0" fontId="6" fillId="10" borderId="8"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3" fillId="3" borderId="8" xfId="0" applyFont="1" applyFill="1" applyBorder="1" applyAlignment="1">
      <alignment vertical="center" wrapText="1"/>
    </xf>
    <xf numFmtId="0" fontId="23" fillId="3" borderId="8" xfId="0" applyFont="1" applyFill="1" applyBorder="1" applyAlignment="1">
      <alignment horizontal="center" vertical="center" wrapText="1"/>
    </xf>
    <xf numFmtId="0" fontId="22" fillId="3" borderId="8" xfId="0" applyFont="1" applyFill="1" applyBorder="1" applyAlignment="1">
      <alignment vertical="center" wrapText="1"/>
    </xf>
    <xf numFmtId="0" fontId="22" fillId="3" borderId="8" xfId="0" applyFont="1" applyFill="1" applyBorder="1" applyAlignment="1">
      <alignment horizontal="center" vertical="center" wrapText="1"/>
    </xf>
    <xf numFmtId="43" fontId="23" fillId="3" borderId="8" xfId="5" applyFont="1" applyFill="1" applyBorder="1" applyAlignment="1">
      <alignment horizontal="center" vertical="center" wrapText="1"/>
    </xf>
    <xf numFmtId="43" fontId="22" fillId="10" borderId="8" xfId="5" applyFont="1" applyFill="1" applyBorder="1" applyAlignment="1">
      <alignment horizontal="center" vertical="center" wrapText="1"/>
    </xf>
    <xf numFmtId="0" fontId="22" fillId="10" borderId="8" xfId="0" applyFont="1" applyFill="1" applyBorder="1" applyAlignment="1">
      <alignment horizontal="right" vertical="center" wrapText="1"/>
    </xf>
    <xf numFmtId="0" fontId="22" fillId="10" borderId="8" xfId="0" applyFont="1" applyFill="1" applyBorder="1" applyAlignment="1">
      <alignment vertical="center" wrapText="1"/>
    </xf>
    <xf numFmtId="0" fontId="22" fillId="3" borderId="8" xfId="0" applyFont="1" applyFill="1" applyBorder="1" applyAlignment="1">
      <alignment horizontal="center" vertical="center" textRotation="90" wrapText="1"/>
    </xf>
    <xf numFmtId="43" fontId="6" fillId="12" borderId="8" xfId="0" applyNumberFormat="1" applyFont="1" applyFill="1" applyBorder="1" applyAlignment="1">
      <alignment vertical="center"/>
    </xf>
    <xf numFmtId="0" fontId="6" fillId="12" borderId="8" xfId="0" applyFont="1" applyFill="1" applyBorder="1" applyAlignment="1">
      <alignment vertical="center"/>
    </xf>
    <xf numFmtId="43" fontId="38" fillId="3" borderId="8" xfId="5" applyFont="1" applyFill="1" applyBorder="1" applyAlignment="1">
      <alignment horizontal="center"/>
    </xf>
    <xf numFmtId="0" fontId="3" fillId="3" borderId="0" xfId="0" applyFont="1" applyFill="1"/>
    <xf numFmtId="43" fontId="6" fillId="3" borderId="0" xfId="5" applyFont="1" applyFill="1"/>
    <xf numFmtId="4" fontId="6" fillId="3" borderId="0" xfId="0" applyNumberFormat="1" applyFont="1" applyFill="1" applyAlignment="1">
      <alignment horizontal="center"/>
    </xf>
    <xf numFmtId="0" fontId="3" fillId="3" borderId="0" xfId="0" applyFont="1" applyFill="1" applyAlignment="1">
      <alignment horizontal="right"/>
    </xf>
    <xf numFmtId="43" fontId="6" fillId="3" borderId="8" xfId="5" applyFont="1" applyFill="1" applyBorder="1" applyAlignment="1">
      <alignment horizontal="right" vertical="center"/>
    </xf>
    <xf numFmtId="165" fontId="6" fillId="3" borderId="8" xfId="3" applyFont="1" applyFill="1" applyBorder="1" applyAlignment="1"/>
    <xf numFmtId="0" fontId="4" fillId="3" borderId="8" xfId="0" applyFont="1" applyFill="1" applyBorder="1" applyAlignment="1">
      <alignment horizontal="center" vertical="center"/>
    </xf>
    <xf numFmtId="0" fontId="3" fillId="3" borderId="8" xfId="0" applyFont="1" applyFill="1" applyBorder="1" applyAlignment="1">
      <alignment horizontal="left" vertical="center" wrapText="1"/>
    </xf>
    <xf numFmtId="43" fontId="6" fillId="12" borderId="8" xfId="0" applyNumberFormat="1" applyFont="1" applyFill="1" applyBorder="1"/>
    <xf numFmtId="43" fontId="6" fillId="12" borderId="8" xfId="0" applyNumberFormat="1" applyFont="1" applyFill="1" applyBorder="1" applyAlignment="1">
      <alignment horizontal="center" vertical="center"/>
    </xf>
    <xf numFmtId="0" fontId="16" fillId="12" borderId="8" xfId="0" applyFont="1" applyFill="1" applyBorder="1" applyAlignment="1">
      <alignment vertical="center"/>
    </xf>
    <xf numFmtId="0" fontId="13" fillId="3" borderId="8" xfId="0" applyFont="1" applyFill="1" applyBorder="1" applyAlignment="1">
      <alignment vertical="center" wrapText="1"/>
    </xf>
    <xf numFmtId="0" fontId="13" fillId="3" borderId="8" xfId="0" applyFont="1" applyFill="1" applyBorder="1" applyAlignment="1">
      <alignment horizontal="center" vertical="center" wrapText="1"/>
    </xf>
    <xf numFmtId="43" fontId="13" fillId="3" borderId="8" xfId="5" applyFont="1" applyFill="1" applyBorder="1" applyAlignment="1">
      <alignment horizontal="center" vertical="center" wrapText="1"/>
    </xf>
    <xf numFmtId="9" fontId="6" fillId="0" borderId="0" xfId="9" applyFont="1"/>
    <xf numFmtId="165" fontId="6" fillId="0" borderId="0" xfId="0" applyNumberFormat="1" applyFont="1"/>
    <xf numFmtId="165" fontId="6" fillId="0" borderId="0" xfId="3" applyFont="1"/>
    <xf numFmtId="43" fontId="6" fillId="0" borderId="0" xfId="5" applyFont="1"/>
    <xf numFmtId="4" fontId="23" fillId="0" borderId="3" xfId="8" applyNumberFormat="1" applyFont="1"/>
    <xf numFmtId="172" fontId="22" fillId="3" borderId="8" xfId="5" applyNumberFormat="1" applyFont="1" applyFill="1" applyBorder="1" applyAlignment="1">
      <alignment horizontal="center" vertical="center" wrapText="1"/>
    </xf>
    <xf numFmtId="172" fontId="22" fillId="10" borderId="8" xfId="5" applyNumberFormat="1" applyFont="1" applyFill="1" applyBorder="1" applyAlignment="1">
      <alignment horizontal="center" vertical="center" wrapText="1"/>
    </xf>
    <xf numFmtId="172" fontId="23" fillId="3" borderId="3" xfId="5" applyNumberFormat="1" applyFont="1" applyFill="1" applyBorder="1" applyAlignment="1">
      <alignment horizontal="center" vertical="center" wrapText="1"/>
    </xf>
    <xf numFmtId="172" fontId="6" fillId="3" borderId="0" xfId="5" applyNumberFormat="1" applyFont="1" applyFill="1" applyAlignment="1">
      <alignment horizontal="center"/>
    </xf>
    <xf numFmtId="43" fontId="23" fillId="3" borderId="8" xfId="5" applyNumberFormat="1" applyFont="1" applyFill="1" applyBorder="1" applyAlignment="1">
      <alignment horizontal="center" vertical="center" wrapText="1"/>
    </xf>
    <xf numFmtId="165" fontId="23" fillId="0" borderId="8" xfId="3" applyFont="1" applyBorder="1"/>
    <xf numFmtId="165" fontId="22" fillId="0" borderId="8" xfId="3" applyFont="1" applyBorder="1"/>
    <xf numFmtId="165" fontId="6" fillId="3" borderId="0" xfId="0" applyNumberFormat="1" applyFont="1" applyFill="1"/>
    <xf numFmtId="0" fontId="22" fillId="11" borderId="8" xfId="0" applyFont="1" applyFill="1" applyBorder="1" applyAlignment="1">
      <alignment horizontal="left" vertical="center" wrapText="1"/>
    </xf>
    <xf numFmtId="0" fontId="22" fillId="11" borderId="8" xfId="0" applyFont="1" applyFill="1" applyBorder="1" applyAlignment="1">
      <alignment horizontal="center" vertical="center" wrapText="1"/>
    </xf>
    <xf numFmtId="165" fontId="22" fillId="11" borderId="8" xfId="3" applyFont="1" applyFill="1" applyBorder="1" applyAlignment="1">
      <alignment horizontal="center" vertical="center" wrapText="1"/>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165" fontId="22" fillId="9" borderId="8" xfId="3" applyFont="1" applyFill="1" applyBorder="1" applyAlignment="1">
      <alignment vertical="center" wrapText="1"/>
    </xf>
    <xf numFmtId="49" fontId="2" fillId="3" borderId="8" xfId="0" applyNumberFormat="1" applyFont="1" applyFill="1" applyBorder="1" applyAlignment="1">
      <alignment horizontal="left" vertical="center" wrapText="1"/>
    </xf>
    <xf numFmtId="49" fontId="20" fillId="0" borderId="8" xfId="0" applyNumberFormat="1" applyFont="1" applyBorder="1" applyAlignment="1">
      <alignment horizontal="left" vertical="center" wrapText="1"/>
    </xf>
    <xf numFmtId="49" fontId="2" fillId="0" borderId="12"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left" vertical="center" wrapText="1"/>
    </xf>
    <xf numFmtId="49" fontId="2" fillId="3" borderId="12" xfId="0" applyNumberFormat="1" applyFont="1" applyFill="1" applyBorder="1" applyAlignment="1">
      <alignment horizontal="left" vertical="center" wrapText="1"/>
    </xf>
    <xf numFmtId="49" fontId="2" fillId="3" borderId="15" xfId="0" applyNumberFormat="1" applyFont="1" applyFill="1" applyBorder="1" applyAlignment="1">
      <alignment horizontal="left" vertical="center" wrapText="1"/>
    </xf>
    <xf numFmtId="49" fontId="2" fillId="3" borderId="9" xfId="0" applyNumberFormat="1" applyFont="1" applyFill="1" applyBorder="1" applyAlignment="1">
      <alignment horizontal="left" vertical="center" wrapText="1"/>
    </xf>
    <xf numFmtId="49" fontId="20" fillId="3" borderId="8" xfId="0" applyNumberFormat="1" applyFont="1" applyFill="1" applyBorder="1" applyAlignment="1">
      <alignment horizontal="left" vertical="center" wrapText="1"/>
    </xf>
    <xf numFmtId="49" fontId="20" fillId="11" borderId="12" xfId="0" applyNumberFormat="1" applyFont="1" applyFill="1" applyBorder="1" applyAlignment="1">
      <alignment horizontal="center" vertical="center"/>
    </xf>
    <xf numFmtId="49" fontId="20" fillId="11" borderId="15" xfId="0" applyNumberFormat="1" applyFont="1" applyFill="1" applyBorder="1" applyAlignment="1">
      <alignment horizontal="center" vertical="center"/>
    </xf>
    <xf numFmtId="49" fontId="20" fillId="11" borderId="9" xfId="0" applyNumberFormat="1" applyFont="1" applyFill="1" applyBorder="1" applyAlignment="1">
      <alignment horizontal="center" vertical="center"/>
    </xf>
    <xf numFmtId="49" fontId="20" fillId="11" borderId="12" xfId="0" applyNumberFormat="1" applyFont="1" applyFill="1" applyBorder="1" applyAlignment="1">
      <alignment horizontal="left" vertical="center" wrapText="1"/>
    </xf>
    <xf numFmtId="49" fontId="20" fillId="11" borderId="15" xfId="0" applyNumberFormat="1" applyFont="1" applyFill="1" applyBorder="1" applyAlignment="1">
      <alignment horizontal="left" vertical="center" wrapText="1"/>
    </xf>
    <xf numFmtId="49" fontId="20" fillId="11" borderId="9" xfId="0" applyNumberFormat="1" applyFont="1" applyFill="1" applyBorder="1" applyAlignment="1">
      <alignment horizontal="left" vertical="center" wrapText="1"/>
    </xf>
    <xf numFmtId="0" fontId="22" fillId="9" borderId="8" xfId="0" applyFont="1" applyFill="1" applyBorder="1" applyAlignment="1">
      <alignment horizontal="right" vertical="center" wrapText="1"/>
    </xf>
    <xf numFmtId="0" fontId="20" fillId="9" borderId="0" xfId="0" applyFont="1" applyFill="1" applyAlignment="1">
      <alignment horizontal="center"/>
    </xf>
    <xf numFmtId="0" fontId="20" fillId="9" borderId="8" xfId="0" applyFont="1" applyFill="1" applyBorder="1" applyAlignment="1">
      <alignment horizontal="center"/>
    </xf>
    <xf numFmtId="0" fontId="22" fillId="9" borderId="5" xfId="0" applyFont="1" applyFill="1" applyBorder="1" applyAlignment="1">
      <alignment horizontal="right" vertical="center" wrapText="1"/>
    </xf>
    <xf numFmtId="0" fontId="22" fillId="9" borderId="6" xfId="0" applyFont="1" applyFill="1" applyBorder="1" applyAlignment="1">
      <alignment horizontal="right" vertical="center" wrapText="1"/>
    </xf>
    <xf numFmtId="0" fontId="9" fillId="0" borderId="3" xfId="8" applyFont="1" applyAlignment="1" applyProtection="1">
      <alignment horizontal="center" vertical="center"/>
      <protection locked="0"/>
    </xf>
    <xf numFmtId="0" fontId="26" fillId="7" borderId="8" xfId="8" applyFont="1" applyFill="1" applyBorder="1" applyAlignment="1">
      <alignment horizontal="center" vertical="center"/>
    </xf>
    <xf numFmtId="0" fontId="30" fillId="6" borderId="8" xfId="8" applyFont="1" applyFill="1" applyBorder="1" applyAlignment="1">
      <alignment horizontal="center" vertical="center" wrapText="1"/>
    </xf>
    <xf numFmtId="0" fontId="17" fillId="5" borderId="8" xfId="8" applyFont="1" applyFill="1" applyBorder="1" applyAlignment="1">
      <alignment vertical="center"/>
    </xf>
    <xf numFmtId="0" fontId="25" fillId="0" borderId="3" xfId="8" applyFont="1" applyAlignment="1">
      <alignment vertical="center" wrapText="1"/>
    </xf>
    <xf numFmtId="0" fontId="30" fillId="5" borderId="8" xfId="8" applyFont="1" applyFill="1" applyBorder="1" applyAlignment="1">
      <alignment horizontal="right" vertical="center"/>
    </xf>
    <xf numFmtId="0" fontId="17" fillId="0" borderId="8" xfId="8" applyFont="1" applyBorder="1" applyAlignment="1">
      <alignment vertical="center"/>
    </xf>
    <xf numFmtId="0" fontId="21" fillId="5" borderId="8" xfId="8" applyFont="1" applyFill="1" applyBorder="1" applyAlignment="1">
      <alignment horizontal="right" vertical="center"/>
    </xf>
    <xf numFmtId="0" fontId="25" fillId="5" borderId="8" xfId="8" applyFont="1" applyFill="1" applyBorder="1" applyAlignment="1">
      <alignment vertical="center"/>
    </xf>
    <xf numFmtId="0" fontId="17" fillId="0" borderId="8" xfId="8" applyFont="1" applyBorder="1" applyAlignment="1">
      <alignment vertical="center" wrapText="1"/>
    </xf>
    <xf numFmtId="0" fontId="30" fillId="6" borderId="8" xfId="8" applyFont="1" applyFill="1" applyBorder="1" applyAlignment="1">
      <alignment vertical="center" wrapText="1"/>
    </xf>
    <xf numFmtId="0" fontId="25" fillId="0" borderId="3" xfId="8" applyFont="1" applyAlignment="1">
      <alignment vertical="center"/>
    </xf>
    <xf numFmtId="0" fontId="25" fillId="0" borderId="8" xfId="8" applyFont="1" applyBorder="1" applyAlignment="1">
      <alignment vertical="center"/>
    </xf>
    <xf numFmtId="0" fontId="24" fillId="0" borderId="3" xfId="8" applyFont="1" applyAlignment="1">
      <alignment vertical="center" wrapText="1"/>
    </xf>
    <xf numFmtId="0" fontId="26" fillId="7" borderId="12" xfId="8" applyFont="1" applyFill="1" applyBorder="1" applyAlignment="1">
      <alignment horizontal="right" vertical="center"/>
    </xf>
    <xf numFmtId="0" fontId="8" fillId="0" borderId="8" xfId="8" applyFont="1" applyBorder="1" applyAlignment="1">
      <alignment vertical="center"/>
    </xf>
    <xf numFmtId="0" fontId="8" fillId="0" borderId="8" xfId="8" applyFont="1" applyBorder="1" applyAlignment="1" applyProtection="1">
      <alignment horizontal="center" vertical="center"/>
      <protection locked="0"/>
    </xf>
    <xf numFmtId="4" fontId="8" fillId="0" borderId="8" xfId="8" applyNumberFormat="1" applyFont="1" applyBorder="1" applyAlignment="1" applyProtection="1">
      <alignment horizontal="center" vertical="center"/>
      <protection locked="0"/>
    </xf>
    <xf numFmtId="167" fontId="8" fillId="0" borderId="8" xfId="8" applyNumberFormat="1" applyFont="1" applyBorder="1" applyAlignment="1" applyProtection="1">
      <alignment horizontal="center" vertical="center"/>
      <protection locked="0"/>
    </xf>
    <xf numFmtId="171" fontId="8" fillId="0" borderId="8" xfId="8" applyNumberFormat="1" applyFont="1" applyBorder="1" applyAlignment="1" applyProtection="1">
      <alignment horizontal="center" vertical="center"/>
      <protection locked="0"/>
    </xf>
    <xf numFmtId="0" fontId="30" fillId="6" borderId="8" xfId="8" applyFont="1" applyFill="1" applyBorder="1" applyAlignment="1">
      <alignment horizontal="left" vertical="center" wrapText="1"/>
    </xf>
    <xf numFmtId="0" fontId="8" fillId="0" borderId="5" xfId="1" applyFont="1" applyBorder="1" applyAlignment="1" applyProtection="1">
      <alignment horizontal="center" vertical="center"/>
      <protection locked="0"/>
    </xf>
    <xf numFmtId="0" fontId="8" fillId="0" borderId="6" xfId="1" applyFont="1" applyBorder="1" applyAlignment="1" applyProtection="1">
      <protection locked="0"/>
    </xf>
    <xf numFmtId="0" fontId="8" fillId="0" borderId="4" xfId="1" applyFont="1" applyBorder="1" applyAlignment="1" applyProtection="1">
      <protection locked="0"/>
    </xf>
    <xf numFmtId="0" fontId="8" fillId="0" borderId="8" xfId="8" applyFont="1" applyBorder="1" applyAlignment="1">
      <alignment horizontal="center" vertical="center" wrapText="1"/>
    </xf>
    <xf numFmtId="0" fontId="9" fillId="8" borderId="8" xfId="8" applyFont="1" applyFill="1" applyBorder="1" applyAlignment="1">
      <alignment horizontal="center" vertical="center"/>
    </xf>
    <xf numFmtId="0" fontId="9" fillId="0" borderId="5" xfId="1" applyFont="1" applyBorder="1" applyAlignment="1" applyProtection="1">
      <alignment horizontal="center" vertical="center"/>
      <protection locked="0"/>
    </xf>
    <xf numFmtId="0" fontId="24" fillId="8" borderId="3" xfId="8" applyFont="1" applyFill="1" applyAlignment="1">
      <alignment vertical="center" wrapText="1"/>
    </xf>
    <xf numFmtId="0" fontId="9" fillId="0" borderId="8" xfId="8" applyFont="1" applyBorder="1" applyAlignment="1" applyProtection="1">
      <alignment horizontal="center" vertical="center"/>
      <protection locked="0"/>
    </xf>
    <xf numFmtId="0" fontId="9" fillId="0" borderId="8" xfId="8" applyFont="1" applyBorder="1" applyAlignment="1" applyProtection="1">
      <alignment horizontal="center" vertical="center" wrapText="1"/>
      <protection locked="0"/>
    </xf>
    <xf numFmtId="0" fontId="16" fillId="0" borderId="3" xfId="8" applyFont="1" applyAlignment="1" applyProtection="1">
      <alignment horizontal="center" vertical="center"/>
      <protection locked="0"/>
    </xf>
    <xf numFmtId="0" fontId="34" fillId="7" borderId="8" xfId="8" applyFont="1" applyFill="1" applyBorder="1" applyAlignment="1">
      <alignment horizontal="center" vertical="center"/>
    </xf>
    <xf numFmtId="0" fontId="39" fillId="6" borderId="8" xfId="8" applyFont="1" applyFill="1" applyBorder="1" applyAlignment="1">
      <alignment horizontal="center" vertical="center" wrapText="1"/>
    </xf>
    <xf numFmtId="0" fontId="23" fillId="5" borderId="8" xfId="8" applyFont="1" applyFill="1" applyBorder="1" applyAlignment="1">
      <alignment vertical="center"/>
    </xf>
    <xf numFmtId="0" fontId="33" fillId="0" borderId="3" xfId="8" applyFont="1" applyAlignment="1">
      <alignment vertical="center" wrapText="1"/>
    </xf>
    <xf numFmtId="0" fontId="39" fillId="5" borderId="8" xfId="8" applyFont="1" applyFill="1" applyBorder="1" applyAlignment="1">
      <alignment horizontal="right" vertical="center"/>
    </xf>
    <xf numFmtId="0" fontId="23" fillId="0" borderId="8" xfId="8" applyFont="1" applyBorder="1" applyAlignment="1">
      <alignment vertical="center"/>
    </xf>
    <xf numFmtId="0" fontId="22" fillId="5" borderId="8" xfId="8" applyFont="1" applyFill="1" applyBorder="1" applyAlignment="1">
      <alignment horizontal="right" vertical="center"/>
    </xf>
    <xf numFmtId="0" fontId="33" fillId="5" borderId="8" xfId="8" applyFont="1" applyFill="1" applyBorder="1" applyAlignment="1">
      <alignment vertical="center"/>
    </xf>
    <xf numFmtId="0" fontId="23" fillId="0" borderId="8" xfId="8" applyFont="1" applyBorder="1" applyAlignment="1">
      <alignment vertical="center" wrapText="1"/>
    </xf>
    <xf numFmtId="0" fontId="39" fillId="6" borderId="8" xfId="8" applyFont="1" applyFill="1" applyBorder="1" applyAlignment="1">
      <alignment vertical="center" wrapText="1"/>
    </xf>
    <xf numFmtId="0" fontId="33" fillId="0" borderId="3" xfId="8" applyFont="1" applyAlignment="1">
      <alignment vertical="center"/>
    </xf>
    <xf numFmtId="0" fontId="33" fillId="0" borderId="8" xfId="8" applyFont="1" applyBorder="1" applyAlignment="1">
      <alignment vertical="center"/>
    </xf>
    <xf numFmtId="0" fontId="32" fillId="0" borderId="3" xfId="8" applyFont="1" applyAlignment="1">
      <alignment vertical="center" wrapText="1"/>
    </xf>
    <xf numFmtId="0" fontId="34" fillId="7" borderId="12" xfId="8" applyFont="1" applyFill="1" applyBorder="1" applyAlignment="1">
      <alignment horizontal="right" vertical="center"/>
    </xf>
    <xf numFmtId="0" fontId="13" fillId="0" borderId="8" xfId="8" applyFont="1" applyBorder="1" applyAlignment="1">
      <alignment vertical="center"/>
    </xf>
    <xf numFmtId="0" fontId="13" fillId="0" borderId="8" xfId="8" applyFont="1" applyBorder="1" applyAlignment="1" applyProtection="1">
      <alignment horizontal="center" vertical="center"/>
      <protection locked="0"/>
    </xf>
    <xf numFmtId="4" fontId="13" fillId="0" borderId="8" xfId="8" applyNumberFormat="1" applyFont="1" applyBorder="1" applyAlignment="1" applyProtection="1">
      <alignment horizontal="center" vertical="center"/>
      <protection locked="0"/>
    </xf>
    <xf numFmtId="167" fontId="13" fillId="0" borderId="8" xfId="8" applyNumberFormat="1" applyFont="1" applyBorder="1" applyAlignment="1" applyProtection="1">
      <alignment horizontal="center" vertical="center"/>
      <protection locked="0"/>
    </xf>
    <xf numFmtId="171" fontId="13" fillId="0" borderId="8" xfId="8" applyNumberFormat="1" applyFont="1" applyBorder="1" applyAlignment="1" applyProtection="1">
      <alignment horizontal="center" vertical="center"/>
      <protection locked="0"/>
    </xf>
    <xf numFmtId="0" fontId="39" fillId="6" borderId="8" xfId="8" applyFont="1" applyFill="1" applyBorder="1" applyAlignment="1">
      <alignment horizontal="left" vertical="center" wrapText="1"/>
    </xf>
    <xf numFmtId="0" fontId="13" fillId="0" borderId="5" xfId="1" applyFont="1" applyBorder="1" applyAlignment="1" applyProtection="1">
      <alignment horizontal="center" vertical="center"/>
      <protection locked="0"/>
    </xf>
    <xf numFmtId="0" fontId="13" fillId="0" borderId="6" xfId="1" applyFont="1" applyBorder="1" applyAlignment="1" applyProtection="1">
      <protection locked="0"/>
    </xf>
    <xf numFmtId="0" fontId="13" fillId="0" borderId="4" xfId="1" applyFont="1" applyBorder="1" applyAlignment="1" applyProtection="1">
      <protection locked="0"/>
    </xf>
    <xf numFmtId="0" fontId="13" fillId="0" borderId="8" xfId="8" applyFont="1" applyBorder="1" applyAlignment="1">
      <alignment horizontal="center" vertical="center" wrapText="1"/>
    </xf>
    <xf numFmtId="0" fontId="16" fillId="8" borderId="8" xfId="8" applyFont="1" applyFill="1" applyBorder="1" applyAlignment="1">
      <alignment horizontal="center" vertical="center"/>
    </xf>
    <xf numFmtId="0" fontId="16" fillId="0" borderId="5" xfId="1" applyFont="1" applyBorder="1" applyAlignment="1" applyProtection="1">
      <alignment horizontal="center" vertical="center"/>
      <protection locked="0"/>
    </xf>
    <xf numFmtId="0" fontId="32" fillId="8" borderId="3" xfId="8" applyFont="1" applyFill="1" applyAlignment="1">
      <alignment vertical="center" wrapText="1"/>
    </xf>
    <xf numFmtId="0" fontId="16" fillId="0" borderId="8" xfId="8" applyFont="1" applyBorder="1" applyAlignment="1" applyProtection="1">
      <alignment horizontal="center" vertical="center"/>
      <protection locked="0"/>
    </xf>
    <xf numFmtId="0" fontId="16" fillId="0" borderId="8" xfId="8" applyFont="1" applyBorder="1" applyAlignment="1" applyProtection="1">
      <alignment horizontal="center" vertical="center" wrapText="1"/>
      <protection locked="0"/>
    </xf>
    <xf numFmtId="43" fontId="13" fillId="0" borderId="8" xfId="5" applyFont="1" applyBorder="1" applyAlignment="1" applyProtection="1">
      <alignment vertical="center"/>
      <protection locked="0"/>
    </xf>
    <xf numFmtId="0" fontId="13" fillId="0" borderId="5" xfId="1" applyFont="1" applyBorder="1" applyAlignment="1" applyProtection="1">
      <alignment horizontal="center" vertical="center" wrapText="1" shrinkToFit="1"/>
      <protection locked="0"/>
    </xf>
    <xf numFmtId="0" fontId="13" fillId="0" borderId="6" xfId="1" applyFont="1" applyBorder="1" applyAlignment="1" applyProtection="1">
      <alignment wrapText="1" shrinkToFit="1"/>
      <protection locked="0"/>
    </xf>
    <xf numFmtId="0" fontId="13" fillId="0" borderId="4" xfId="1" applyFont="1" applyBorder="1" applyAlignment="1" applyProtection="1">
      <alignment wrapText="1" shrinkToFit="1"/>
      <protection locked="0"/>
    </xf>
    <xf numFmtId="0" fontId="22" fillId="3" borderId="13" xfId="0" applyFont="1" applyFill="1" applyBorder="1" applyAlignment="1">
      <alignment horizontal="center" vertical="center" textRotation="90" wrapText="1"/>
    </xf>
    <xf numFmtId="0" fontId="22" fillId="3" borderId="16" xfId="0" applyFont="1" applyFill="1" applyBorder="1" applyAlignment="1">
      <alignment horizontal="center" vertical="center" textRotation="90" wrapText="1"/>
    </xf>
    <xf numFmtId="0" fontId="22" fillId="3" borderId="14" xfId="0" applyFont="1" applyFill="1" applyBorder="1" applyAlignment="1">
      <alignment horizontal="center" vertical="center" textRotation="90" wrapText="1"/>
    </xf>
    <xf numFmtId="0" fontId="22" fillId="3" borderId="16" xfId="0" applyFont="1" applyFill="1" applyBorder="1" applyAlignment="1">
      <alignment horizontal="center" vertical="center" wrapText="1"/>
    </xf>
    <xf numFmtId="0" fontId="22" fillId="10" borderId="8" xfId="0" applyFont="1" applyFill="1" applyBorder="1" applyAlignment="1">
      <alignment horizontal="center" vertical="center" wrapText="1"/>
    </xf>
    <xf numFmtId="43" fontId="20" fillId="10" borderId="8" xfId="5"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22" fillId="3" borderId="8" xfId="0" applyFont="1" applyFill="1" applyBorder="1" applyAlignment="1">
      <alignment horizontal="center" vertical="center" textRotation="90" wrapText="1"/>
    </xf>
    <xf numFmtId="43" fontId="6" fillId="12" borderId="8" xfId="0" applyNumberFormat="1" applyFont="1" applyFill="1" applyBorder="1" applyAlignment="1">
      <alignment horizontal="center" vertical="center"/>
    </xf>
    <xf numFmtId="0" fontId="6" fillId="12" borderId="8" xfId="0" applyFont="1" applyFill="1" applyBorder="1" applyAlignment="1">
      <alignment horizontal="center" vertical="center"/>
    </xf>
    <xf numFmtId="172" fontId="22" fillId="10" borderId="17" xfId="5" applyNumberFormat="1" applyFont="1" applyFill="1" applyBorder="1" applyAlignment="1">
      <alignment horizontal="center" vertical="center" wrapText="1"/>
    </xf>
    <xf numFmtId="172" fontId="22" fillId="10" borderId="10" xfId="5" applyNumberFormat="1" applyFont="1" applyFill="1" applyBorder="1" applyAlignment="1">
      <alignment horizontal="center" vertical="center" wrapText="1"/>
    </xf>
    <xf numFmtId="43" fontId="13" fillId="3" borderId="8" xfId="5" applyFont="1" applyFill="1" applyBorder="1" applyAlignment="1">
      <alignment vertical="center" wrapText="1"/>
    </xf>
    <xf numFmtId="0" fontId="3" fillId="12" borderId="8" xfId="0" applyFont="1" applyFill="1" applyBorder="1" applyAlignment="1">
      <alignment horizontal="center"/>
    </xf>
    <xf numFmtId="0" fontId="6" fillId="12" borderId="8" xfId="0" applyFont="1" applyFill="1" applyBorder="1" applyAlignment="1">
      <alignment horizontal="center"/>
    </xf>
    <xf numFmtId="43" fontId="6" fillId="12" borderId="8" xfId="0" applyNumberFormat="1" applyFont="1" applyFill="1" applyBorder="1" applyAlignment="1">
      <alignment vertical="center"/>
    </xf>
    <xf numFmtId="0" fontId="6" fillId="12" borderId="8" xfId="0" applyFont="1" applyFill="1" applyBorder="1" applyAlignment="1">
      <alignment vertical="center"/>
    </xf>
    <xf numFmtId="49" fontId="1" fillId="0" borderId="8" xfId="0" applyNumberFormat="1" applyFont="1" applyBorder="1" applyAlignment="1">
      <alignment horizontal="center" vertical="center"/>
    </xf>
    <xf numFmtId="0" fontId="1" fillId="0" borderId="8" xfId="0" applyFont="1" applyBorder="1" applyAlignment="1">
      <alignment horizontal="center" vertical="center"/>
    </xf>
  </cellXfs>
  <cellStyles count="10">
    <cellStyle name="Moeda" xfId="3" builtinId="4"/>
    <cellStyle name="Moeda 2" xfId="4"/>
    <cellStyle name="Normal" xfId="0" builtinId="0"/>
    <cellStyle name="Normal 2" xfId="1"/>
    <cellStyle name="Normal 3" xfId="8"/>
    <cellStyle name="Porcentagem" xfId="9" builtinId="5"/>
    <cellStyle name="Porcentagem 14" xfId="6"/>
    <cellStyle name="Vírgula" xfId="5" builtinId="3"/>
    <cellStyle name="Vírgula 3 2" xfId="2"/>
    <cellStyle name="Vírgula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9" Type="http://schemas.openxmlformats.org/officeDocument/2006/relationships/customXml" Target="../customXml/item1.xml"/><Relationship Id="rId3" Type="http://schemas.openxmlformats.org/officeDocument/2006/relationships/worksheet" Target="worksheets/sheet3.xml"/><Relationship Id="rId34" Type="http://customschemas.google.com/relationships/workbookmetadata" Target="metadata"/><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36"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87d691e0c859008/faciliteis/Planilha%20de%20pre&#231;o/planilhas%20de%20pre&#231;os/Engemil%20-%20CT%2010-2018%20-%20CCT%202019%208%20Agosto%20Reajuste%20Mate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487d691e0c859008/Central%20de%20compras/Edital_Motoristas/Edital%20Motoristas/7.%20Planilha%20de%20Custos%20e%20Forma&#231;&#227;o%20de%20Pre&#231;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reposição ABC"/>
      <sheetName val="RESUMO"/>
      <sheetName val="SALÁRIOS"/>
      <sheetName val="Engenheiro Eletricista"/>
      <sheetName val="Enc. Man. Elétr."/>
      <sheetName val="Eletricista"/>
      <sheetName val="Eletric. Plantonista Diurno"/>
      <sheetName val="Eletric. Plantonista Noturno"/>
      <sheetName val="Instalador Rede"/>
      <sheetName val="Enc. Man. Civil"/>
      <sheetName val="Bombeiro Hidr."/>
      <sheetName val="Pedreiro"/>
      <sheetName val="Pintor"/>
      <sheetName val="Serralheiro"/>
      <sheetName val="Marceneiro"/>
      <sheetName val="Ajud. Geral Manut."/>
      <sheetName val="Transporte"/>
      <sheetName val="Uniforme"/>
      <sheetName val="Mat. de Consumo"/>
      <sheetName val="Eq. apar. e ferram."/>
      <sheetName val="Software e Ponto Eletr."/>
      <sheetName val="Mat. reposição"/>
    </sheetNames>
    <sheetDataSet>
      <sheetData sheetId="0"/>
      <sheetData sheetId="1"/>
      <sheetData sheetId="2">
        <row r="1">
          <cell r="I1">
            <v>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I12">
            <v>41.595000000000006</v>
          </cell>
        </row>
      </sheetData>
      <sheetData sheetId="18">
        <row r="82">
          <cell r="G82">
            <v>56.956538461538443</v>
          </cell>
        </row>
      </sheetData>
      <sheetData sheetId="19">
        <row r="211">
          <cell r="G211">
            <v>104.59</v>
          </cell>
        </row>
      </sheetData>
      <sheetData sheetId="20">
        <row r="10">
          <cell r="G10">
            <v>47.799807692307695</v>
          </cell>
        </row>
      </sheetData>
      <sheetData sheetId="21">
        <row r="529">
          <cell r="G529">
            <v>334197.63099999953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Cargo1-Leve22h"/>
      <sheetName val="Cargo2-Exec22h"/>
      <sheetName val="Cargo3-Exec24h"/>
      <sheetName val="Cargo4-Pesado22h"/>
      <sheetName val="Insumos"/>
      <sheetName val="Diárias"/>
      <sheetName val="Geral"/>
      <sheetName val="Proposta"/>
    </sheetNames>
    <sheetDataSet>
      <sheetData sheetId="0"/>
      <sheetData sheetId="1"/>
      <sheetData sheetId="2"/>
      <sheetData sheetId="3"/>
      <sheetData sheetId="4"/>
      <sheetData sheetId="5">
        <row r="9">
          <cell r="G9">
            <v>0</v>
          </cell>
        </row>
      </sheetData>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eila Cótica" id="{CAA6BFAA-B328-459E-9152-377495193CC2}" userId="ad374b070e4c536c"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1-12-01T14:20:54.67" personId="{CAA6BFAA-B328-459E-9152-377495193CC2}" id="{B438F939-572F-471C-91C7-A9D44043D802}">
    <text>roberta: frequencia semestral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57"/>
  <sheetViews>
    <sheetView workbookViewId="0">
      <selection activeCell="Q12" sqref="Q12"/>
    </sheetView>
  </sheetViews>
  <sheetFormatPr defaultRowHeight="15" x14ac:dyDescent="0.2"/>
  <cols>
    <col min="1" max="1" width="9" style="174"/>
    <col min="2" max="15" width="9" style="175"/>
    <col min="16" max="16384" width="9" style="122"/>
  </cols>
  <sheetData>
    <row r="1" spans="1:15" x14ac:dyDescent="0.2">
      <c r="A1" s="187" t="s">
        <v>273</v>
      </c>
      <c r="B1" s="188"/>
      <c r="C1" s="188"/>
      <c r="D1" s="188"/>
      <c r="E1" s="188"/>
      <c r="F1" s="188"/>
      <c r="G1" s="188"/>
      <c r="H1" s="188"/>
      <c r="I1" s="188"/>
      <c r="J1" s="188"/>
      <c r="K1" s="188"/>
      <c r="L1" s="188"/>
      <c r="M1" s="188"/>
      <c r="N1" s="188"/>
      <c r="O1" s="189"/>
    </row>
    <row r="2" spans="1:15" x14ac:dyDescent="0.2">
      <c r="A2" s="179"/>
      <c r="B2" s="180"/>
      <c r="C2" s="180"/>
      <c r="D2" s="180"/>
      <c r="E2" s="180"/>
      <c r="F2" s="180"/>
      <c r="G2" s="180"/>
      <c r="H2" s="180"/>
      <c r="I2" s="180"/>
      <c r="J2" s="180"/>
      <c r="K2" s="180"/>
      <c r="L2" s="180"/>
      <c r="M2" s="180"/>
      <c r="N2" s="180"/>
      <c r="O2" s="181"/>
    </row>
    <row r="3" spans="1:15" ht="30.75" customHeight="1" x14ac:dyDescent="0.2">
      <c r="A3" s="173" t="s">
        <v>56</v>
      </c>
      <c r="B3" s="182" t="s">
        <v>275</v>
      </c>
      <c r="C3" s="182"/>
      <c r="D3" s="182"/>
      <c r="E3" s="182"/>
      <c r="F3" s="182"/>
      <c r="G3" s="182"/>
      <c r="H3" s="182"/>
      <c r="I3" s="182"/>
      <c r="J3" s="182"/>
      <c r="K3" s="182"/>
      <c r="L3" s="182"/>
      <c r="M3" s="182"/>
      <c r="N3" s="182"/>
      <c r="O3" s="182"/>
    </row>
    <row r="4" spans="1:15" ht="15" customHeight="1" x14ac:dyDescent="0.2">
      <c r="A4" s="173" t="s">
        <v>59</v>
      </c>
      <c r="B4" s="177" t="s">
        <v>274</v>
      </c>
      <c r="C4" s="177"/>
      <c r="D4" s="177"/>
      <c r="E4" s="177"/>
      <c r="F4" s="177"/>
      <c r="G4" s="177"/>
      <c r="H4" s="177"/>
      <c r="I4" s="177"/>
      <c r="J4" s="177"/>
      <c r="K4" s="177"/>
      <c r="L4" s="177"/>
      <c r="M4" s="177"/>
      <c r="N4" s="177"/>
      <c r="O4" s="177"/>
    </row>
    <row r="5" spans="1:15" ht="46.5" customHeight="1" x14ac:dyDescent="0.2">
      <c r="A5" s="173" t="s">
        <v>62</v>
      </c>
      <c r="B5" s="182" t="s">
        <v>328</v>
      </c>
      <c r="C5" s="182"/>
      <c r="D5" s="182"/>
      <c r="E5" s="182"/>
      <c r="F5" s="182"/>
      <c r="G5" s="182"/>
      <c r="H5" s="182"/>
      <c r="I5" s="182"/>
      <c r="J5" s="182"/>
      <c r="K5" s="182"/>
      <c r="L5" s="182"/>
      <c r="M5" s="182"/>
      <c r="N5" s="182"/>
      <c r="O5" s="182"/>
    </row>
    <row r="6" spans="1:15" ht="15" customHeight="1" x14ac:dyDescent="0.2">
      <c r="A6" s="173" t="s">
        <v>64</v>
      </c>
      <c r="B6" s="182" t="s">
        <v>286</v>
      </c>
      <c r="C6" s="182"/>
      <c r="D6" s="182"/>
      <c r="E6" s="182"/>
      <c r="F6" s="182"/>
      <c r="G6" s="182"/>
      <c r="H6" s="182"/>
      <c r="I6" s="182"/>
      <c r="J6" s="182"/>
      <c r="K6" s="182"/>
      <c r="L6" s="182"/>
      <c r="M6" s="182"/>
      <c r="N6" s="182"/>
      <c r="O6" s="182"/>
    </row>
    <row r="7" spans="1:15" ht="30" customHeight="1" x14ac:dyDescent="0.2">
      <c r="A7" s="173" t="s">
        <v>66</v>
      </c>
      <c r="B7" s="182" t="s">
        <v>295</v>
      </c>
      <c r="C7" s="182"/>
      <c r="D7" s="182"/>
      <c r="E7" s="182"/>
      <c r="F7" s="182"/>
      <c r="G7" s="182"/>
      <c r="H7" s="182"/>
      <c r="I7" s="182"/>
      <c r="J7" s="182"/>
      <c r="K7" s="182"/>
      <c r="L7" s="182"/>
      <c r="M7" s="182"/>
      <c r="N7" s="182"/>
      <c r="O7" s="182"/>
    </row>
    <row r="8" spans="1:15" ht="30" customHeight="1" x14ac:dyDescent="0.2">
      <c r="A8" s="173" t="s">
        <v>107</v>
      </c>
      <c r="B8" s="182" t="s">
        <v>332</v>
      </c>
      <c r="C8" s="182"/>
      <c r="D8" s="182"/>
      <c r="E8" s="182"/>
      <c r="F8" s="182"/>
      <c r="G8" s="182"/>
      <c r="H8" s="182"/>
      <c r="I8" s="182"/>
      <c r="J8" s="182"/>
      <c r="K8" s="182"/>
      <c r="L8" s="182"/>
      <c r="M8" s="182"/>
      <c r="N8" s="182"/>
      <c r="O8" s="182"/>
    </row>
    <row r="9" spans="1:15" ht="27.75" customHeight="1" x14ac:dyDescent="0.2">
      <c r="A9" s="173" t="s">
        <v>105</v>
      </c>
      <c r="B9" s="182" t="s">
        <v>333</v>
      </c>
      <c r="C9" s="182"/>
      <c r="D9" s="182"/>
      <c r="E9" s="182"/>
      <c r="F9" s="182"/>
      <c r="G9" s="182"/>
      <c r="H9" s="182"/>
      <c r="I9" s="182"/>
      <c r="J9" s="182"/>
      <c r="K9" s="182"/>
      <c r="L9" s="182"/>
      <c r="M9" s="182"/>
      <c r="N9" s="182"/>
      <c r="O9" s="182"/>
    </row>
    <row r="10" spans="1:15" ht="15" customHeight="1" x14ac:dyDescent="0.2">
      <c r="A10" s="173" t="s">
        <v>106</v>
      </c>
      <c r="B10" s="182" t="s">
        <v>334</v>
      </c>
      <c r="C10" s="182"/>
      <c r="D10" s="182"/>
      <c r="E10" s="182"/>
      <c r="F10" s="182"/>
      <c r="G10" s="182"/>
      <c r="H10" s="182"/>
      <c r="I10" s="182"/>
      <c r="J10" s="182"/>
      <c r="K10" s="182"/>
      <c r="L10" s="182"/>
      <c r="M10" s="182"/>
      <c r="N10" s="182"/>
      <c r="O10" s="182"/>
    </row>
    <row r="11" spans="1:15" ht="15" customHeight="1" x14ac:dyDescent="0.2">
      <c r="A11" s="173" t="s">
        <v>276</v>
      </c>
      <c r="B11" s="182" t="s">
        <v>335</v>
      </c>
      <c r="C11" s="182"/>
      <c r="D11" s="182"/>
      <c r="E11" s="182"/>
      <c r="F11" s="182"/>
      <c r="G11" s="182"/>
      <c r="H11" s="182"/>
      <c r="I11" s="182"/>
      <c r="J11" s="182"/>
      <c r="K11" s="182"/>
      <c r="L11" s="182"/>
      <c r="M11" s="182"/>
      <c r="N11" s="182"/>
      <c r="O11" s="182"/>
    </row>
    <row r="12" spans="1:15" ht="15" customHeight="1" x14ac:dyDescent="0.2">
      <c r="A12" s="280" t="s">
        <v>341</v>
      </c>
      <c r="B12" s="182" t="s">
        <v>336</v>
      </c>
      <c r="C12" s="182"/>
      <c r="D12" s="182"/>
      <c r="E12" s="182"/>
      <c r="F12" s="182"/>
      <c r="G12" s="182"/>
      <c r="H12" s="182"/>
      <c r="I12" s="182"/>
      <c r="J12" s="182"/>
      <c r="K12" s="182"/>
      <c r="L12" s="182"/>
      <c r="M12" s="182"/>
      <c r="N12" s="182"/>
      <c r="O12" s="182"/>
    </row>
    <row r="13" spans="1:15" ht="15" customHeight="1" x14ac:dyDescent="0.2">
      <c r="A13" s="179"/>
      <c r="B13" s="180"/>
      <c r="C13" s="180"/>
      <c r="D13" s="180"/>
      <c r="E13" s="180"/>
      <c r="F13" s="180"/>
      <c r="G13" s="180"/>
      <c r="H13" s="180"/>
      <c r="I13" s="180"/>
      <c r="J13" s="180"/>
      <c r="K13" s="180"/>
      <c r="L13" s="180"/>
      <c r="M13" s="180"/>
      <c r="N13" s="180"/>
      <c r="O13" s="181"/>
    </row>
    <row r="14" spans="1:15" ht="15" customHeight="1" x14ac:dyDescent="0.2">
      <c r="A14" s="190" t="s">
        <v>272</v>
      </c>
      <c r="B14" s="191"/>
      <c r="C14" s="191"/>
      <c r="D14" s="191"/>
      <c r="E14" s="191"/>
      <c r="F14" s="191"/>
      <c r="G14" s="191"/>
      <c r="H14" s="191"/>
      <c r="I14" s="191"/>
      <c r="J14" s="191"/>
      <c r="K14" s="191"/>
      <c r="L14" s="191"/>
      <c r="M14" s="191"/>
      <c r="N14" s="191"/>
      <c r="O14" s="192"/>
    </row>
    <row r="15" spans="1:15" x14ac:dyDescent="0.2">
      <c r="A15" s="179"/>
      <c r="B15" s="180"/>
      <c r="C15" s="180"/>
      <c r="D15" s="180"/>
      <c r="E15" s="180"/>
      <c r="F15" s="180"/>
      <c r="G15" s="180"/>
      <c r="H15" s="180"/>
      <c r="I15" s="180"/>
      <c r="J15" s="180"/>
      <c r="K15" s="180"/>
      <c r="L15" s="180"/>
      <c r="M15" s="180"/>
      <c r="N15" s="180"/>
      <c r="O15" s="181"/>
    </row>
    <row r="16" spans="1:15" ht="15" customHeight="1" x14ac:dyDescent="0.2">
      <c r="A16" s="280" t="s">
        <v>277</v>
      </c>
      <c r="B16" s="178" t="s">
        <v>0</v>
      </c>
      <c r="C16" s="178"/>
      <c r="D16" s="178"/>
      <c r="E16" s="178"/>
      <c r="F16" s="178"/>
      <c r="G16" s="178"/>
      <c r="H16" s="178"/>
      <c r="I16" s="178"/>
      <c r="J16" s="178"/>
      <c r="K16" s="178"/>
      <c r="L16" s="178"/>
      <c r="M16" s="178"/>
      <c r="N16" s="178"/>
      <c r="O16" s="178"/>
    </row>
    <row r="17" spans="1:15" ht="15" customHeight="1" x14ac:dyDescent="0.2">
      <c r="A17" s="280" t="s">
        <v>278</v>
      </c>
      <c r="B17" s="182" t="s">
        <v>1</v>
      </c>
      <c r="C17" s="182"/>
      <c r="D17" s="182"/>
      <c r="E17" s="182"/>
      <c r="F17" s="182"/>
      <c r="G17" s="182"/>
      <c r="H17" s="182"/>
      <c r="I17" s="182"/>
      <c r="J17" s="182"/>
      <c r="K17" s="182"/>
      <c r="L17" s="182"/>
      <c r="M17" s="182"/>
      <c r="N17" s="182"/>
      <c r="O17" s="182"/>
    </row>
    <row r="18" spans="1:15" ht="15" customHeight="1" x14ac:dyDescent="0.2">
      <c r="A18" s="280" t="s">
        <v>279</v>
      </c>
      <c r="B18" s="182" t="s">
        <v>260</v>
      </c>
      <c r="C18" s="182"/>
      <c r="D18" s="182"/>
      <c r="E18" s="182"/>
      <c r="F18" s="182"/>
      <c r="G18" s="182"/>
      <c r="H18" s="182"/>
      <c r="I18" s="182"/>
      <c r="J18" s="182"/>
      <c r="K18" s="182"/>
      <c r="L18" s="182"/>
      <c r="M18" s="182"/>
      <c r="N18" s="182"/>
      <c r="O18" s="182"/>
    </row>
    <row r="19" spans="1:15" ht="15" customHeight="1" x14ac:dyDescent="0.2">
      <c r="A19" s="280" t="s">
        <v>280</v>
      </c>
      <c r="B19" s="183" t="s">
        <v>261</v>
      </c>
      <c r="C19" s="184"/>
      <c r="D19" s="184"/>
      <c r="E19" s="184"/>
      <c r="F19" s="184"/>
      <c r="G19" s="184"/>
      <c r="H19" s="184"/>
      <c r="I19" s="184"/>
      <c r="J19" s="184"/>
      <c r="K19" s="184"/>
      <c r="L19" s="184"/>
      <c r="M19" s="184"/>
      <c r="N19" s="184"/>
      <c r="O19" s="185"/>
    </row>
    <row r="20" spans="1:15" ht="15" customHeight="1" x14ac:dyDescent="0.2">
      <c r="A20" s="280" t="s">
        <v>296</v>
      </c>
      <c r="B20" s="183" t="s">
        <v>2</v>
      </c>
      <c r="C20" s="184"/>
      <c r="D20" s="184"/>
      <c r="E20" s="184"/>
      <c r="F20" s="184"/>
      <c r="G20" s="184"/>
      <c r="H20" s="184"/>
      <c r="I20" s="184"/>
      <c r="J20" s="184"/>
      <c r="K20" s="184"/>
      <c r="L20" s="184"/>
      <c r="M20" s="184"/>
      <c r="N20" s="184"/>
      <c r="O20" s="185"/>
    </row>
    <row r="21" spans="1:15" ht="15" customHeight="1" x14ac:dyDescent="0.2">
      <c r="A21" s="280" t="s">
        <v>281</v>
      </c>
      <c r="B21" s="177" t="s">
        <v>329</v>
      </c>
      <c r="C21" s="177"/>
      <c r="D21" s="177"/>
      <c r="E21" s="177"/>
      <c r="F21" s="177"/>
      <c r="G21" s="177"/>
      <c r="H21" s="177"/>
      <c r="I21" s="177"/>
      <c r="J21" s="177"/>
      <c r="K21" s="177"/>
      <c r="L21" s="177"/>
      <c r="M21" s="177"/>
      <c r="N21" s="177"/>
      <c r="O21" s="177"/>
    </row>
    <row r="22" spans="1:15" ht="15" customHeight="1" x14ac:dyDescent="0.2">
      <c r="A22" s="280"/>
      <c r="B22" s="182"/>
      <c r="C22" s="182"/>
      <c r="D22" s="182"/>
      <c r="E22" s="182"/>
      <c r="F22" s="182"/>
      <c r="G22" s="182"/>
      <c r="H22" s="182"/>
      <c r="I22" s="182"/>
      <c r="J22" s="182"/>
      <c r="K22" s="182"/>
      <c r="L22" s="182"/>
      <c r="M22" s="182"/>
      <c r="N22" s="182"/>
      <c r="O22" s="182"/>
    </row>
    <row r="23" spans="1:15" ht="15" customHeight="1" x14ac:dyDescent="0.2">
      <c r="A23" s="280" t="s">
        <v>337</v>
      </c>
      <c r="B23" s="178" t="s">
        <v>3</v>
      </c>
      <c r="C23" s="178"/>
      <c r="D23" s="178"/>
      <c r="E23" s="178"/>
      <c r="F23" s="178"/>
      <c r="G23" s="178"/>
      <c r="H23" s="178"/>
      <c r="I23" s="178"/>
      <c r="J23" s="178"/>
      <c r="K23" s="178"/>
      <c r="L23" s="178"/>
      <c r="M23" s="178"/>
      <c r="N23" s="178"/>
      <c r="O23" s="178"/>
    </row>
    <row r="24" spans="1:15" ht="15" customHeight="1" x14ac:dyDescent="0.2">
      <c r="A24" s="280" t="s">
        <v>282</v>
      </c>
      <c r="B24" s="177" t="s">
        <v>1</v>
      </c>
      <c r="C24" s="177"/>
      <c r="D24" s="177"/>
      <c r="E24" s="177"/>
      <c r="F24" s="177"/>
      <c r="G24" s="177"/>
      <c r="H24" s="177"/>
      <c r="I24" s="177"/>
      <c r="J24" s="177"/>
      <c r="K24" s="177"/>
      <c r="L24" s="177"/>
      <c r="M24" s="177"/>
      <c r="N24" s="177"/>
      <c r="O24" s="177"/>
    </row>
    <row r="25" spans="1:15" ht="15" customHeight="1" x14ac:dyDescent="0.2">
      <c r="A25" s="280" t="s">
        <v>283</v>
      </c>
      <c r="B25" s="177" t="s">
        <v>262</v>
      </c>
      <c r="C25" s="177"/>
      <c r="D25" s="177"/>
      <c r="E25" s="177"/>
      <c r="F25" s="177"/>
      <c r="G25" s="177"/>
      <c r="H25" s="177"/>
      <c r="I25" s="177"/>
      <c r="J25" s="177"/>
      <c r="K25" s="177"/>
      <c r="L25" s="177"/>
      <c r="M25" s="177"/>
      <c r="N25" s="177"/>
      <c r="O25" s="177"/>
    </row>
    <row r="26" spans="1:15" ht="15" customHeight="1" x14ac:dyDescent="0.2">
      <c r="A26" s="280" t="s">
        <v>183</v>
      </c>
      <c r="B26" s="177" t="s">
        <v>261</v>
      </c>
      <c r="C26" s="177"/>
      <c r="D26" s="177"/>
      <c r="E26" s="177"/>
      <c r="F26" s="177"/>
      <c r="G26" s="177"/>
      <c r="H26" s="177"/>
      <c r="I26" s="177"/>
      <c r="J26" s="177"/>
      <c r="K26" s="177"/>
      <c r="L26" s="177"/>
      <c r="M26" s="177"/>
      <c r="N26" s="177"/>
      <c r="O26" s="177"/>
    </row>
    <row r="27" spans="1:15" ht="15" customHeight="1" x14ac:dyDescent="0.2">
      <c r="A27" s="280" t="s">
        <v>284</v>
      </c>
      <c r="B27" s="177" t="s">
        <v>2</v>
      </c>
      <c r="C27" s="177"/>
      <c r="D27" s="177"/>
      <c r="E27" s="177"/>
      <c r="F27" s="177"/>
      <c r="G27" s="177"/>
      <c r="H27" s="177"/>
      <c r="I27" s="177"/>
      <c r="J27" s="177"/>
      <c r="K27" s="177"/>
      <c r="L27" s="177"/>
      <c r="M27" s="177"/>
      <c r="N27" s="177"/>
      <c r="O27" s="177"/>
    </row>
    <row r="28" spans="1:15" ht="15" customHeight="1" x14ac:dyDescent="0.2">
      <c r="A28" s="280" t="s">
        <v>330</v>
      </c>
      <c r="B28" s="177" t="s">
        <v>327</v>
      </c>
      <c r="C28" s="177"/>
      <c r="D28" s="177"/>
      <c r="E28" s="177"/>
      <c r="F28" s="177"/>
      <c r="G28" s="177"/>
      <c r="H28" s="177"/>
      <c r="I28" s="177"/>
      <c r="J28" s="177"/>
      <c r="K28" s="177"/>
      <c r="L28" s="177"/>
      <c r="M28" s="177"/>
      <c r="N28" s="177"/>
      <c r="O28" s="177"/>
    </row>
    <row r="29" spans="1:15" ht="15" customHeight="1" x14ac:dyDescent="0.2">
      <c r="A29" s="179"/>
      <c r="B29" s="180"/>
      <c r="C29" s="180"/>
      <c r="D29" s="180"/>
      <c r="E29" s="180"/>
      <c r="F29" s="180"/>
      <c r="G29" s="180"/>
      <c r="H29" s="180"/>
      <c r="I29" s="180"/>
      <c r="J29" s="180"/>
      <c r="K29" s="180"/>
      <c r="L29" s="180"/>
      <c r="M29" s="180"/>
      <c r="N29" s="180"/>
      <c r="O29" s="181"/>
    </row>
    <row r="30" spans="1:15" ht="15" customHeight="1" x14ac:dyDescent="0.2">
      <c r="A30" s="280" t="s">
        <v>331</v>
      </c>
      <c r="B30" s="178" t="s">
        <v>4</v>
      </c>
      <c r="C30" s="178"/>
      <c r="D30" s="178"/>
      <c r="E30" s="178"/>
      <c r="F30" s="178"/>
      <c r="G30" s="178"/>
      <c r="H30" s="178"/>
      <c r="I30" s="178"/>
      <c r="J30" s="178"/>
      <c r="K30" s="178"/>
      <c r="L30" s="178"/>
      <c r="M30" s="178"/>
      <c r="N30" s="178"/>
      <c r="O30" s="178"/>
    </row>
    <row r="31" spans="1:15" ht="15" customHeight="1" x14ac:dyDescent="0.2">
      <c r="A31" s="280" t="s">
        <v>338</v>
      </c>
      <c r="B31" s="177" t="s">
        <v>1</v>
      </c>
      <c r="C31" s="177"/>
      <c r="D31" s="177"/>
      <c r="E31" s="177"/>
      <c r="F31" s="177"/>
      <c r="G31" s="177"/>
      <c r="H31" s="177"/>
      <c r="I31" s="177"/>
      <c r="J31" s="177"/>
      <c r="K31" s="177"/>
      <c r="L31" s="177"/>
      <c r="M31" s="177"/>
      <c r="N31" s="177"/>
      <c r="O31" s="177"/>
    </row>
    <row r="32" spans="1:15" ht="15" customHeight="1" x14ac:dyDescent="0.2">
      <c r="A32" s="280" t="s">
        <v>285</v>
      </c>
      <c r="B32" s="177" t="s">
        <v>263</v>
      </c>
      <c r="C32" s="177"/>
      <c r="D32" s="177"/>
      <c r="E32" s="177"/>
      <c r="F32" s="177"/>
      <c r="G32" s="177"/>
      <c r="H32" s="177"/>
      <c r="I32" s="177"/>
      <c r="J32" s="177"/>
      <c r="K32" s="177"/>
      <c r="L32" s="177"/>
      <c r="M32" s="177"/>
      <c r="N32" s="177"/>
      <c r="O32" s="177"/>
    </row>
    <row r="33" spans="1:15" ht="15" customHeight="1" x14ac:dyDescent="0.2">
      <c r="A33" s="280" t="s">
        <v>297</v>
      </c>
      <c r="B33" s="177" t="s">
        <v>261</v>
      </c>
      <c r="C33" s="177"/>
      <c r="D33" s="177"/>
      <c r="E33" s="177"/>
      <c r="F33" s="177"/>
      <c r="G33" s="177"/>
      <c r="H33" s="177"/>
      <c r="I33" s="177"/>
      <c r="J33" s="177"/>
      <c r="K33" s="177"/>
      <c r="L33" s="177"/>
      <c r="M33" s="177"/>
      <c r="N33" s="177"/>
      <c r="O33" s="177"/>
    </row>
    <row r="34" spans="1:15" ht="15" customHeight="1" x14ac:dyDescent="0.2">
      <c r="A34" s="179"/>
      <c r="B34" s="180"/>
      <c r="C34" s="180"/>
      <c r="D34" s="180"/>
      <c r="E34" s="180"/>
      <c r="F34" s="180"/>
      <c r="G34" s="180"/>
      <c r="H34" s="180"/>
      <c r="I34" s="180"/>
      <c r="J34" s="180"/>
      <c r="K34" s="180"/>
      <c r="L34" s="180"/>
      <c r="M34" s="180"/>
      <c r="N34" s="180"/>
      <c r="O34" s="181"/>
    </row>
    <row r="35" spans="1:15" ht="15" customHeight="1" x14ac:dyDescent="0.2">
      <c r="A35" s="280" t="s">
        <v>298</v>
      </c>
      <c r="B35" s="186" t="s">
        <v>5</v>
      </c>
      <c r="C35" s="186"/>
      <c r="D35" s="186"/>
      <c r="E35" s="186"/>
      <c r="F35" s="186"/>
      <c r="G35" s="186"/>
      <c r="H35" s="186"/>
      <c r="I35" s="186"/>
      <c r="J35" s="186"/>
      <c r="K35" s="186"/>
      <c r="L35" s="186"/>
      <c r="M35" s="186"/>
      <c r="N35" s="186"/>
      <c r="O35" s="186"/>
    </row>
    <row r="36" spans="1:15" ht="15" customHeight="1" x14ac:dyDescent="0.2">
      <c r="A36" s="280" t="s">
        <v>299</v>
      </c>
      <c r="B36" s="177" t="s">
        <v>1</v>
      </c>
      <c r="C36" s="177"/>
      <c r="D36" s="177"/>
      <c r="E36" s="177"/>
      <c r="F36" s="177"/>
      <c r="G36" s="177"/>
      <c r="H36" s="177"/>
      <c r="I36" s="177"/>
      <c r="J36" s="177"/>
      <c r="K36" s="177"/>
      <c r="L36" s="177"/>
      <c r="M36" s="177"/>
      <c r="N36" s="177"/>
      <c r="O36" s="177"/>
    </row>
    <row r="37" spans="1:15" ht="15" customHeight="1" x14ac:dyDescent="0.2">
      <c r="A37" s="280" t="s">
        <v>300</v>
      </c>
      <c r="B37" s="177" t="s">
        <v>264</v>
      </c>
      <c r="C37" s="177"/>
      <c r="D37" s="177"/>
      <c r="E37" s="177"/>
      <c r="F37" s="177"/>
      <c r="G37" s="177"/>
      <c r="H37" s="177"/>
      <c r="I37" s="177"/>
      <c r="J37" s="177"/>
      <c r="K37" s="177"/>
      <c r="L37" s="177"/>
      <c r="M37" s="177"/>
      <c r="N37" s="177"/>
      <c r="O37" s="177"/>
    </row>
    <row r="38" spans="1:15" ht="15" customHeight="1" x14ac:dyDescent="0.2">
      <c r="A38" s="280" t="s">
        <v>339</v>
      </c>
      <c r="B38" s="177" t="s">
        <v>265</v>
      </c>
      <c r="C38" s="177"/>
      <c r="D38" s="177"/>
      <c r="E38" s="177"/>
      <c r="F38" s="177"/>
      <c r="G38" s="177"/>
      <c r="H38" s="177"/>
      <c r="I38" s="177"/>
      <c r="J38" s="177"/>
      <c r="K38" s="177"/>
      <c r="L38" s="177"/>
      <c r="M38" s="177"/>
      <c r="N38" s="177"/>
      <c r="O38" s="177"/>
    </row>
    <row r="39" spans="1:15" ht="15" customHeight="1" x14ac:dyDescent="0.2">
      <c r="A39" s="280" t="s">
        <v>340</v>
      </c>
      <c r="B39" s="177" t="s">
        <v>266</v>
      </c>
      <c r="C39" s="177"/>
      <c r="D39" s="177"/>
      <c r="E39" s="177"/>
      <c r="F39" s="177"/>
      <c r="G39" s="177"/>
      <c r="H39" s="177"/>
      <c r="I39" s="177"/>
      <c r="J39" s="177"/>
      <c r="K39" s="177"/>
      <c r="L39" s="177"/>
      <c r="M39" s="177"/>
      <c r="N39" s="177"/>
      <c r="O39" s="177"/>
    </row>
    <row r="40" spans="1:15" ht="15" customHeight="1" x14ac:dyDescent="0.2">
      <c r="A40" s="179"/>
      <c r="B40" s="180"/>
      <c r="C40" s="180"/>
      <c r="D40" s="180"/>
      <c r="E40" s="180"/>
      <c r="F40" s="180"/>
      <c r="G40" s="180"/>
      <c r="H40" s="180"/>
      <c r="I40" s="180"/>
      <c r="J40" s="180"/>
      <c r="K40" s="180"/>
      <c r="L40" s="180"/>
      <c r="M40" s="180"/>
      <c r="N40" s="180"/>
      <c r="O40" s="181"/>
    </row>
    <row r="41" spans="1:15" ht="15" customHeight="1" x14ac:dyDescent="0.2">
      <c r="A41" s="280" t="s">
        <v>301</v>
      </c>
      <c r="B41" s="178" t="s">
        <v>6</v>
      </c>
      <c r="C41" s="178"/>
      <c r="D41" s="178"/>
      <c r="E41" s="178"/>
      <c r="F41" s="178"/>
      <c r="G41" s="178"/>
      <c r="H41" s="178"/>
      <c r="I41" s="178"/>
      <c r="J41" s="178"/>
      <c r="K41" s="178"/>
      <c r="L41" s="178"/>
      <c r="M41" s="178"/>
      <c r="N41" s="178"/>
      <c r="O41" s="178"/>
    </row>
    <row r="42" spans="1:15" ht="15" customHeight="1" x14ac:dyDescent="0.2">
      <c r="A42" s="280" t="s">
        <v>302</v>
      </c>
      <c r="B42" s="177" t="s">
        <v>7</v>
      </c>
      <c r="C42" s="177"/>
      <c r="D42" s="177"/>
      <c r="E42" s="177"/>
      <c r="F42" s="177"/>
      <c r="G42" s="177"/>
      <c r="H42" s="177"/>
      <c r="I42" s="177"/>
      <c r="J42" s="177"/>
      <c r="K42" s="177"/>
      <c r="L42" s="177"/>
      <c r="M42" s="177"/>
      <c r="N42" s="177"/>
      <c r="O42" s="177"/>
    </row>
    <row r="43" spans="1:15" ht="15" customHeight="1" x14ac:dyDescent="0.2">
      <c r="A43" s="280" t="s">
        <v>303</v>
      </c>
      <c r="B43" s="177" t="s">
        <v>8</v>
      </c>
      <c r="C43" s="177"/>
      <c r="D43" s="177"/>
      <c r="E43" s="177"/>
      <c r="F43" s="177"/>
      <c r="G43" s="177"/>
      <c r="H43" s="177"/>
      <c r="I43" s="177"/>
      <c r="J43" s="177"/>
      <c r="K43" s="177"/>
      <c r="L43" s="177"/>
      <c r="M43" s="177"/>
      <c r="N43" s="177"/>
      <c r="O43" s="177"/>
    </row>
    <row r="44" spans="1:15" ht="15" customHeight="1" x14ac:dyDescent="0.2">
      <c r="A44" s="280" t="s">
        <v>304</v>
      </c>
      <c r="B44" s="177" t="s">
        <v>9</v>
      </c>
      <c r="C44" s="177"/>
      <c r="D44" s="177"/>
      <c r="E44" s="177"/>
      <c r="F44" s="177"/>
      <c r="G44" s="177"/>
      <c r="H44" s="177"/>
      <c r="I44" s="177"/>
      <c r="J44" s="177"/>
      <c r="K44" s="177"/>
      <c r="L44" s="177"/>
      <c r="M44" s="177"/>
      <c r="N44" s="177"/>
      <c r="O44" s="177"/>
    </row>
    <row r="45" spans="1:15" ht="15" customHeight="1" x14ac:dyDescent="0.2">
      <c r="A45" s="280" t="s">
        <v>305</v>
      </c>
      <c r="B45" s="177" t="s">
        <v>269</v>
      </c>
      <c r="C45" s="177"/>
      <c r="D45" s="177"/>
      <c r="E45" s="177"/>
      <c r="F45" s="177"/>
      <c r="G45" s="177"/>
      <c r="H45" s="177"/>
      <c r="I45" s="177"/>
      <c r="J45" s="177"/>
      <c r="K45" s="177"/>
      <c r="L45" s="177"/>
      <c r="M45" s="177"/>
      <c r="N45" s="177"/>
      <c r="O45" s="177"/>
    </row>
    <row r="46" spans="1:15" ht="15" customHeight="1" x14ac:dyDescent="0.2">
      <c r="A46" s="280" t="s">
        <v>306</v>
      </c>
      <c r="B46" s="177" t="s">
        <v>266</v>
      </c>
      <c r="C46" s="177"/>
      <c r="D46" s="177"/>
      <c r="E46" s="177"/>
      <c r="F46" s="177"/>
      <c r="G46" s="177"/>
      <c r="H46" s="177"/>
      <c r="I46" s="177"/>
      <c r="J46" s="177"/>
      <c r="K46" s="177"/>
      <c r="L46" s="177"/>
      <c r="M46" s="177"/>
      <c r="N46" s="177"/>
      <c r="O46" s="177"/>
    </row>
    <row r="47" spans="1:15" ht="15" customHeight="1" x14ac:dyDescent="0.2">
      <c r="A47" s="179"/>
      <c r="B47" s="180"/>
      <c r="C47" s="180"/>
      <c r="D47" s="180"/>
      <c r="E47" s="180"/>
      <c r="F47" s="180"/>
      <c r="G47" s="180"/>
      <c r="H47" s="180"/>
      <c r="I47" s="180"/>
      <c r="J47" s="180"/>
      <c r="K47" s="180"/>
      <c r="L47" s="180"/>
      <c r="M47" s="180"/>
      <c r="N47" s="180"/>
      <c r="O47" s="181"/>
    </row>
    <row r="48" spans="1:15" ht="15" customHeight="1" x14ac:dyDescent="0.2">
      <c r="A48" s="173"/>
      <c r="B48" s="178" t="s">
        <v>10</v>
      </c>
      <c r="C48" s="178"/>
      <c r="D48" s="178"/>
      <c r="E48" s="178"/>
      <c r="F48" s="178"/>
      <c r="G48" s="178"/>
      <c r="H48" s="178"/>
      <c r="I48" s="178"/>
      <c r="J48" s="178"/>
      <c r="K48" s="178"/>
      <c r="L48" s="178"/>
      <c r="M48" s="178"/>
      <c r="N48" s="178"/>
      <c r="O48" s="178"/>
    </row>
    <row r="49" spans="1:24" ht="15" customHeight="1" x14ac:dyDescent="0.2">
      <c r="A49" s="280" t="s">
        <v>307</v>
      </c>
      <c r="B49" s="177" t="s">
        <v>1</v>
      </c>
      <c r="C49" s="177"/>
      <c r="D49" s="177"/>
      <c r="E49" s="177"/>
      <c r="F49" s="177"/>
      <c r="G49" s="177"/>
      <c r="H49" s="177"/>
      <c r="I49" s="177"/>
      <c r="J49" s="177"/>
      <c r="K49" s="177"/>
      <c r="L49" s="177"/>
      <c r="M49" s="177"/>
      <c r="N49" s="177"/>
      <c r="O49" s="177"/>
    </row>
    <row r="50" spans="1:24" ht="15" customHeight="1" x14ac:dyDescent="0.2">
      <c r="A50" s="280" t="s">
        <v>312</v>
      </c>
      <c r="B50" s="177" t="s">
        <v>267</v>
      </c>
      <c r="C50" s="177"/>
      <c r="D50" s="177"/>
      <c r="E50" s="177"/>
      <c r="F50" s="177"/>
      <c r="G50" s="177"/>
      <c r="H50" s="177"/>
      <c r="I50" s="177"/>
      <c r="J50" s="177"/>
      <c r="K50" s="177"/>
      <c r="L50" s="177"/>
      <c r="M50" s="177"/>
      <c r="N50" s="177"/>
      <c r="O50" s="177"/>
    </row>
    <row r="51" spans="1:24" ht="15" customHeight="1" x14ac:dyDescent="0.2">
      <c r="A51" s="280" t="s">
        <v>311</v>
      </c>
      <c r="B51" s="177" t="s">
        <v>268</v>
      </c>
      <c r="C51" s="177"/>
      <c r="D51" s="177"/>
      <c r="E51" s="177"/>
      <c r="F51" s="177"/>
      <c r="G51" s="177"/>
      <c r="H51" s="177"/>
      <c r="I51" s="177"/>
      <c r="J51" s="177"/>
      <c r="K51" s="177"/>
      <c r="L51" s="177"/>
      <c r="M51" s="177"/>
      <c r="N51" s="177"/>
      <c r="O51" s="177"/>
    </row>
    <row r="52" spans="1:24" ht="15" customHeight="1" x14ac:dyDescent="0.2">
      <c r="A52" s="280" t="s">
        <v>308</v>
      </c>
      <c r="B52" s="177" t="s">
        <v>270</v>
      </c>
      <c r="C52" s="177"/>
      <c r="D52" s="177"/>
      <c r="E52" s="177"/>
      <c r="F52" s="177"/>
      <c r="G52" s="177"/>
      <c r="H52" s="177"/>
      <c r="I52" s="177"/>
      <c r="J52" s="177"/>
      <c r="K52" s="177"/>
      <c r="L52" s="177"/>
      <c r="M52" s="177"/>
      <c r="N52" s="177"/>
      <c r="O52" s="177"/>
    </row>
    <row r="53" spans="1:24" x14ac:dyDescent="0.2">
      <c r="A53" s="280" t="s">
        <v>309</v>
      </c>
      <c r="B53" s="177" t="s">
        <v>266</v>
      </c>
      <c r="C53" s="177"/>
      <c r="D53" s="177"/>
      <c r="E53" s="177"/>
      <c r="F53" s="177"/>
      <c r="G53" s="177"/>
      <c r="H53" s="177"/>
      <c r="I53" s="177"/>
      <c r="J53" s="177"/>
      <c r="K53" s="177"/>
      <c r="L53" s="177"/>
      <c r="M53" s="177"/>
      <c r="N53" s="177"/>
      <c r="O53" s="177"/>
      <c r="P53" s="123"/>
      <c r="Q53" s="123"/>
      <c r="R53" s="123"/>
      <c r="S53" s="123"/>
      <c r="T53" s="123"/>
      <c r="U53" s="123"/>
      <c r="V53" s="123"/>
      <c r="W53" s="123"/>
      <c r="X53" s="123"/>
    </row>
    <row r="54" spans="1:24" ht="29.25" customHeight="1" x14ac:dyDescent="0.2">
      <c r="A54" s="280" t="s">
        <v>310</v>
      </c>
      <c r="B54" s="177" t="s">
        <v>271</v>
      </c>
      <c r="C54" s="177"/>
      <c r="D54" s="177"/>
      <c r="E54" s="177"/>
      <c r="F54" s="177"/>
      <c r="G54" s="177"/>
      <c r="H54" s="177"/>
      <c r="I54" s="177"/>
      <c r="J54" s="177"/>
      <c r="K54" s="177"/>
      <c r="L54" s="177"/>
      <c r="M54" s="177"/>
      <c r="N54" s="177"/>
      <c r="O54" s="177"/>
    </row>
    <row r="55" spans="1:24" ht="44.25" customHeight="1" x14ac:dyDescent="0.2"/>
    <row r="56" spans="1:24" ht="15" customHeight="1" x14ac:dyDescent="0.2"/>
    <row r="57" spans="1:24" ht="30" customHeight="1" x14ac:dyDescent="0.2"/>
  </sheetData>
  <mergeCells count="54">
    <mergeCell ref="B16:O16"/>
    <mergeCell ref="B17:O17"/>
    <mergeCell ref="A34:O34"/>
    <mergeCell ref="B37:O37"/>
    <mergeCell ref="A40:O40"/>
    <mergeCell ref="B33:O33"/>
    <mergeCell ref="B24:O24"/>
    <mergeCell ref="B25:O25"/>
    <mergeCell ref="B32:O32"/>
    <mergeCell ref="B30:O30"/>
    <mergeCell ref="A1:O1"/>
    <mergeCell ref="A15:O15"/>
    <mergeCell ref="B4:O4"/>
    <mergeCell ref="A2:O2"/>
    <mergeCell ref="B3:O3"/>
    <mergeCell ref="B5:O5"/>
    <mergeCell ref="B6:O6"/>
    <mergeCell ref="B7:O7"/>
    <mergeCell ref="B8:O8"/>
    <mergeCell ref="B9:O9"/>
    <mergeCell ref="B10:O10"/>
    <mergeCell ref="B11:O11"/>
    <mergeCell ref="A13:O13"/>
    <mergeCell ref="B12:O12"/>
    <mergeCell ref="A14:O14"/>
    <mergeCell ref="B54:O54"/>
    <mergeCell ref="B52:O52"/>
    <mergeCell ref="B44:O44"/>
    <mergeCell ref="B51:O51"/>
    <mergeCell ref="B41:O41"/>
    <mergeCell ref="B49:O49"/>
    <mergeCell ref="B43:O43"/>
    <mergeCell ref="A47:O47"/>
    <mergeCell ref="B18:O18"/>
    <mergeCell ref="B19:O19"/>
    <mergeCell ref="B20:O20"/>
    <mergeCell ref="B21:O21"/>
    <mergeCell ref="B22:O22"/>
    <mergeCell ref="B50:O50"/>
    <mergeCell ref="B53:O53"/>
    <mergeCell ref="B23:O23"/>
    <mergeCell ref="B26:O26"/>
    <mergeCell ref="B27:O27"/>
    <mergeCell ref="B28:O28"/>
    <mergeCell ref="B42:O42"/>
    <mergeCell ref="B45:O45"/>
    <mergeCell ref="B46:O46"/>
    <mergeCell ref="B48:O48"/>
    <mergeCell ref="A29:O29"/>
    <mergeCell ref="B31:O31"/>
    <mergeCell ref="B35:O35"/>
    <mergeCell ref="B36:O36"/>
    <mergeCell ref="B39:O39"/>
    <mergeCell ref="B38:O3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184"/>
  <sheetViews>
    <sheetView showGridLines="0" topLeftCell="A49" zoomScaleNormal="100" workbookViewId="0">
      <selection activeCell="A50" sqref="A1:XFD1048576"/>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177</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8" ht="15" customHeight="1" x14ac:dyDescent="0.25">
      <c r="A17" s="248" t="s">
        <v>75</v>
      </c>
      <c r="B17" s="248"/>
      <c r="C17" s="248"/>
      <c r="D17" s="248"/>
      <c r="E17" s="248"/>
      <c r="F17" s="248"/>
      <c r="G17" s="248"/>
    </row>
    <row r="18" spans="1:8" ht="30.75" customHeight="1" x14ac:dyDescent="0.25">
      <c r="A18" s="75">
        <v>1</v>
      </c>
      <c r="B18" s="234" t="s">
        <v>76</v>
      </c>
      <c r="C18" s="234"/>
      <c r="D18" s="234"/>
      <c r="E18" s="259" t="s">
        <v>178</v>
      </c>
      <c r="F18" s="260"/>
      <c r="G18" s="261"/>
    </row>
    <row r="19" spans="1:8" x14ac:dyDescent="0.25">
      <c r="A19" s="75">
        <v>2</v>
      </c>
      <c r="B19" s="234" t="s">
        <v>78</v>
      </c>
      <c r="C19" s="234"/>
      <c r="D19" s="234"/>
      <c r="E19" s="244"/>
      <c r="F19" s="244"/>
      <c r="G19" s="244"/>
    </row>
    <row r="20" spans="1:8" x14ac:dyDescent="0.25">
      <c r="A20" s="75">
        <v>3</v>
      </c>
      <c r="B20" s="234" t="s">
        <v>79</v>
      </c>
      <c r="C20" s="234"/>
      <c r="D20" s="234"/>
      <c r="E20" s="246">
        <v>2955.82</v>
      </c>
      <c r="F20" s="246"/>
      <c r="G20" s="246"/>
    </row>
    <row r="21" spans="1:8" x14ac:dyDescent="0.25">
      <c r="A21" s="75">
        <v>4</v>
      </c>
      <c r="B21" s="234" t="s">
        <v>80</v>
      </c>
      <c r="C21" s="234"/>
      <c r="D21" s="234"/>
      <c r="E21" s="244"/>
      <c r="F21" s="244"/>
      <c r="G21" s="244"/>
    </row>
    <row r="22" spans="1:8" x14ac:dyDescent="0.25">
      <c r="A22" s="75">
        <v>5</v>
      </c>
      <c r="B22" s="234" t="s">
        <v>81</v>
      </c>
      <c r="C22" s="234"/>
      <c r="D22" s="234"/>
      <c r="E22" s="247">
        <v>44197</v>
      </c>
      <c r="F22" s="247"/>
      <c r="G22" s="247"/>
    </row>
    <row r="23" spans="1:8" x14ac:dyDescent="0.25">
      <c r="A23" s="77">
        <v>6</v>
      </c>
      <c r="B23" s="243" t="s">
        <v>82</v>
      </c>
      <c r="C23" s="243"/>
      <c r="D23" s="243"/>
      <c r="E23" s="258">
        <v>4</v>
      </c>
      <c r="F23" s="258"/>
      <c r="G23" s="258"/>
      <c r="H23" s="109">
        <f>E23*12</f>
        <v>48</v>
      </c>
    </row>
    <row r="24" spans="1:8" x14ac:dyDescent="0.25">
      <c r="A24" s="77">
        <v>7</v>
      </c>
      <c r="B24" s="243" t="s">
        <v>83</v>
      </c>
      <c r="C24" s="243"/>
      <c r="D24" s="243"/>
      <c r="E24" s="245">
        <v>1100</v>
      </c>
      <c r="F24" s="245"/>
      <c r="G24" s="245"/>
    </row>
    <row r="25" spans="1:8" ht="15" customHeight="1" x14ac:dyDescent="0.25">
      <c r="A25" s="232" t="s">
        <v>84</v>
      </c>
      <c r="B25" s="232"/>
      <c r="C25" s="232"/>
      <c r="D25" s="232"/>
      <c r="E25" s="232"/>
      <c r="F25" s="232"/>
      <c r="G25" s="232"/>
    </row>
    <row r="26" spans="1:8" ht="15" customHeight="1" x14ac:dyDescent="0.25">
      <c r="A26" s="232" t="s">
        <v>85</v>
      </c>
      <c r="B26" s="232"/>
      <c r="C26" s="232"/>
      <c r="D26" s="232"/>
      <c r="E26" s="232"/>
      <c r="F26" s="232"/>
      <c r="G26" s="232"/>
    </row>
    <row r="27" spans="1:8" x14ac:dyDescent="0.25">
      <c r="A27" s="74"/>
      <c r="B27" s="74"/>
      <c r="C27" s="74"/>
      <c r="D27" s="74"/>
      <c r="E27" s="74"/>
      <c r="F27" s="74"/>
      <c r="G27" s="74"/>
    </row>
    <row r="28" spans="1:8" x14ac:dyDescent="0.25">
      <c r="A28" s="229" t="s">
        <v>86</v>
      </c>
      <c r="B28" s="229"/>
      <c r="C28" s="229"/>
      <c r="D28" s="229"/>
      <c r="E28" s="229"/>
      <c r="F28" s="229"/>
      <c r="G28" s="229"/>
      <c r="H28" s="105"/>
    </row>
    <row r="29" spans="1:8" ht="15" customHeight="1" x14ac:dyDescent="0.25">
      <c r="A29" s="104">
        <v>1</v>
      </c>
      <c r="B29" s="230" t="s">
        <v>87</v>
      </c>
      <c r="C29" s="230"/>
      <c r="D29" s="230"/>
      <c r="E29" s="230"/>
      <c r="F29" s="230"/>
      <c r="G29" s="104" t="s">
        <v>88</v>
      </c>
      <c r="H29" s="105"/>
    </row>
    <row r="30" spans="1:8" x14ac:dyDescent="0.25">
      <c r="A30" s="75" t="s">
        <v>56</v>
      </c>
      <c r="B30" s="234" t="s">
        <v>239</v>
      </c>
      <c r="C30" s="234"/>
      <c r="D30" s="234"/>
      <c r="E30" s="234"/>
      <c r="F30" s="234"/>
      <c r="G30" s="78">
        <f>(E20/220)*48</f>
        <v>644.90618181818184</v>
      </c>
      <c r="H30" s="106"/>
    </row>
    <row r="31" spans="1:8" ht="15" customHeight="1" x14ac:dyDescent="0.25">
      <c r="A31" s="75" t="s">
        <v>59</v>
      </c>
      <c r="B31" s="237" t="s">
        <v>89</v>
      </c>
      <c r="C31" s="237"/>
      <c r="D31" s="237"/>
      <c r="E31" s="237"/>
      <c r="F31" s="237"/>
      <c r="G31" s="107">
        <f>ROUND(7*$E$23*(((G30+G33)/220)*20%),2)</f>
        <v>21.34</v>
      </c>
      <c r="H31" s="106"/>
    </row>
    <row r="32" spans="1:8" x14ac:dyDescent="0.25">
      <c r="A32" s="75" t="s">
        <v>62</v>
      </c>
      <c r="B32" s="234" t="s">
        <v>233</v>
      </c>
      <c r="C32" s="234"/>
      <c r="D32" s="234"/>
      <c r="E32" s="234"/>
      <c r="F32" s="234"/>
      <c r="G32" s="107">
        <f>ROUND(E23*7*((60/52.5)-1)*(((G30+G33)/220)*120%),2)</f>
        <v>18.29</v>
      </c>
      <c r="H32" s="106"/>
    </row>
    <row r="33" spans="1:7" x14ac:dyDescent="0.25">
      <c r="A33" s="75" t="s">
        <v>64</v>
      </c>
      <c r="B33" s="234" t="s">
        <v>173</v>
      </c>
      <c r="C33" s="234"/>
      <c r="D33" s="234"/>
      <c r="E33" s="234"/>
      <c r="F33" s="234"/>
      <c r="G33" s="80">
        <f>G30*0.3</f>
        <v>193.47185454545453</v>
      </c>
    </row>
    <row r="34" spans="1:7" x14ac:dyDescent="0.25">
      <c r="A34" s="235" t="s">
        <v>90</v>
      </c>
      <c r="B34" s="235"/>
      <c r="C34" s="235"/>
      <c r="D34" s="235"/>
      <c r="E34" s="235"/>
      <c r="F34" s="235"/>
      <c r="G34" s="81">
        <f>ROUND(SUM(G30:G33),2)</f>
        <v>878.01</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73.17</v>
      </c>
    </row>
    <row r="40" spans="1:7" x14ac:dyDescent="0.25">
      <c r="A40" s="75" t="s">
        <v>59</v>
      </c>
      <c r="B40" s="243" t="s">
        <v>96</v>
      </c>
      <c r="C40" s="243"/>
      <c r="D40" s="243"/>
      <c r="E40" s="243"/>
      <c r="F40" s="82">
        <v>0.1111</v>
      </c>
      <c r="G40" s="83">
        <f>ROUND($G$34*F40,2)</f>
        <v>97.55</v>
      </c>
    </row>
    <row r="41" spans="1:7" x14ac:dyDescent="0.25">
      <c r="A41" s="235" t="s">
        <v>97</v>
      </c>
      <c r="B41" s="235"/>
      <c r="C41" s="235"/>
      <c r="D41" s="235"/>
      <c r="E41" s="235"/>
      <c r="F41" s="235"/>
      <c r="G41" s="81">
        <f>ROUND(SUM(G39:G40),2)</f>
        <v>170.72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1048.73</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209.75</v>
      </c>
    </row>
    <row r="50" spans="1:7" x14ac:dyDescent="0.25">
      <c r="A50" s="75" t="s">
        <v>105</v>
      </c>
      <c r="B50" s="234" t="s">
        <v>242</v>
      </c>
      <c r="C50" s="234"/>
      <c r="D50" s="234"/>
      <c r="E50" s="234"/>
      <c r="F50" s="82">
        <v>2.5000000000000001E-2</v>
      </c>
      <c r="G50" s="83">
        <f t="shared" si="0"/>
        <v>26.22</v>
      </c>
    </row>
    <row r="51" spans="1:7" x14ac:dyDescent="0.25">
      <c r="A51" s="75" t="s">
        <v>106</v>
      </c>
      <c r="B51" s="234" t="s">
        <v>243</v>
      </c>
      <c r="C51" s="234"/>
      <c r="D51" s="234"/>
      <c r="E51" s="234"/>
      <c r="F51" s="85">
        <v>0.03</v>
      </c>
      <c r="G51" s="83">
        <f t="shared" si="0"/>
        <v>31.46</v>
      </c>
    </row>
    <row r="52" spans="1:7" x14ac:dyDescent="0.25">
      <c r="A52" s="75" t="s">
        <v>59</v>
      </c>
      <c r="B52" s="234" t="s">
        <v>244</v>
      </c>
      <c r="C52" s="234"/>
      <c r="D52" s="234"/>
      <c r="E52" s="234"/>
      <c r="F52" s="82">
        <v>0.08</v>
      </c>
      <c r="G52" s="83">
        <f t="shared" si="0"/>
        <v>83.9</v>
      </c>
    </row>
    <row r="53" spans="1:7" x14ac:dyDescent="0.25">
      <c r="A53" s="75" t="s">
        <v>62</v>
      </c>
      <c r="B53" s="234" t="s">
        <v>245</v>
      </c>
      <c r="C53" s="234"/>
      <c r="D53" s="234"/>
      <c r="E53" s="234"/>
      <c r="F53" s="82">
        <v>1.4999999999999999E-2</v>
      </c>
      <c r="G53" s="83">
        <f t="shared" si="0"/>
        <v>15.73</v>
      </c>
    </row>
    <row r="54" spans="1:7" x14ac:dyDescent="0.25">
      <c r="A54" s="75" t="s">
        <v>64</v>
      </c>
      <c r="B54" s="234" t="s">
        <v>246</v>
      </c>
      <c r="C54" s="234"/>
      <c r="D54" s="234"/>
      <c r="E54" s="234"/>
      <c r="F54" s="82">
        <v>0.01</v>
      </c>
      <c r="G54" s="83">
        <f t="shared" si="0"/>
        <v>10.49</v>
      </c>
    </row>
    <row r="55" spans="1:7" x14ac:dyDescent="0.25">
      <c r="A55" s="75" t="s">
        <v>66</v>
      </c>
      <c r="B55" s="234" t="s">
        <v>247</v>
      </c>
      <c r="C55" s="234"/>
      <c r="D55" s="234"/>
      <c r="E55" s="234"/>
      <c r="F55" s="82">
        <v>6.0000000000000001E-3</v>
      </c>
      <c r="G55" s="83">
        <f t="shared" si="0"/>
        <v>6.29</v>
      </c>
    </row>
    <row r="56" spans="1:7" x14ac:dyDescent="0.25">
      <c r="A56" s="75" t="s">
        <v>107</v>
      </c>
      <c r="B56" s="234" t="s">
        <v>248</v>
      </c>
      <c r="C56" s="234"/>
      <c r="D56" s="234"/>
      <c r="E56" s="234"/>
      <c r="F56" s="82">
        <v>2E-3</v>
      </c>
      <c r="G56" s="83">
        <f t="shared" si="0"/>
        <v>2.1</v>
      </c>
    </row>
    <row r="57" spans="1:7" x14ac:dyDescent="0.25">
      <c r="A57" s="235" t="s">
        <v>108</v>
      </c>
      <c r="B57" s="235"/>
      <c r="C57" s="235"/>
      <c r="D57" s="235"/>
      <c r="E57" s="235"/>
      <c r="F57" s="86">
        <f>SUM(F49:F56)</f>
        <v>0.36800000000000005</v>
      </c>
      <c r="G57" s="81">
        <f>ROUND(SUM(G49:G56),2)</f>
        <v>385.94</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44</v>
      </c>
    </row>
    <row r="65" spans="1:7" x14ac:dyDescent="0.25">
      <c r="A65" s="89" t="s">
        <v>117</v>
      </c>
      <c r="B65" s="240" t="s">
        <v>249</v>
      </c>
      <c r="C65" s="240"/>
      <c r="D65" s="240"/>
      <c r="E65" s="240"/>
      <c r="F65" s="90">
        <v>-0.03</v>
      </c>
      <c r="G65" s="91">
        <f>ROUND($G$30*F65,2)</f>
        <v>-19.350000000000001</v>
      </c>
    </row>
    <row r="66" spans="1:7" x14ac:dyDescent="0.25">
      <c r="A66" s="75" t="s">
        <v>59</v>
      </c>
      <c r="B66" s="234" t="s">
        <v>250</v>
      </c>
      <c r="C66" s="234"/>
      <c r="D66" s="234"/>
      <c r="E66" s="87" t="s">
        <v>116</v>
      </c>
      <c r="F66" s="80">
        <v>35</v>
      </c>
      <c r="G66" s="92">
        <f>ROUND($E$23,0)*F66</f>
        <v>140</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337.65</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170.72</v>
      </c>
    </row>
    <row r="80" spans="1:7" x14ac:dyDescent="0.25">
      <c r="A80" s="93" t="s">
        <v>103</v>
      </c>
      <c r="B80" s="236" t="s">
        <v>104</v>
      </c>
      <c r="C80" s="236"/>
      <c r="D80" s="236"/>
      <c r="E80" s="236"/>
      <c r="F80" s="236"/>
      <c r="G80" s="94">
        <f>$G$57</f>
        <v>385.94</v>
      </c>
    </row>
    <row r="81" spans="1:7" x14ac:dyDescent="0.25">
      <c r="A81" s="93" t="s">
        <v>113</v>
      </c>
      <c r="B81" s="236" t="s">
        <v>114</v>
      </c>
      <c r="C81" s="236"/>
      <c r="D81" s="236"/>
      <c r="E81" s="236"/>
      <c r="F81" s="236"/>
      <c r="G81" s="94">
        <f>$G$73</f>
        <v>337.65</v>
      </c>
    </row>
    <row r="82" spans="1:7" x14ac:dyDescent="0.25">
      <c r="A82" s="235" t="s">
        <v>127</v>
      </c>
      <c r="B82" s="235"/>
      <c r="C82" s="235"/>
      <c r="D82" s="235"/>
      <c r="E82" s="235"/>
      <c r="F82" s="235"/>
      <c r="G82" s="81">
        <f>ROUND(SUM(G79:G81),2)</f>
        <v>894.31</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4.0599999999999996</v>
      </c>
    </row>
    <row r="87" spans="1:7" x14ac:dyDescent="0.25">
      <c r="A87" s="75" t="s">
        <v>59</v>
      </c>
      <c r="B87" s="234" t="s">
        <v>130</v>
      </c>
      <c r="C87" s="234"/>
      <c r="D87" s="234"/>
      <c r="E87" s="234"/>
      <c r="F87" s="95">
        <f>$F$52</f>
        <v>0.08</v>
      </c>
      <c r="G87" s="83">
        <f>G86*F87</f>
        <v>0.32479999999999998</v>
      </c>
    </row>
    <row r="88" spans="1:7" x14ac:dyDescent="0.25">
      <c r="A88" s="75" t="s">
        <v>62</v>
      </c>
      <c r="B88" s="234" t="s">
        <v>235</v>
      </c>
      <c r="C88" s="234"/>
      <c r="D88" s="234"/>
      <c r="E88" s="234"/>
      <c r="F88" s="82">
        <f>(7/30)/12</f>
        <v>1.9444444444444445E-2</v>
      </c>
      <c r="G88" s="83">
        <f>ROUND($G$34*F88,2)</f>
        <v>17.07</v>
      </c>
    </row>
    <row r="89" spans="1:7" x14ac:dyDescent="0.25">
      <c r="A89" s="75" t="s">
        <v>64</v>
      </c>
      <c r="B89" s="234" t="s">
        <v>131</v>
      </c>
      <c r="C89" s="234"/>
      <c r="D89" s="234"/>
      <c r="E89" s="234"/>
      <c r="F89" s="95">
        <f>$F$57</f>
        <v>0.36800000000000005</v>
      </c>
      <c r="G89" s="83">
        <f>G88*F89</f>
        <v>6.2817600000000011</v>
      </c>
    </row>
    <row r="90" spans="1:7" x14ac:dyDescent="0.25">
      <c r="A90" s="75" t="s">
        <v>66</v>
      </c>
      <c r="B90" s="234" t="s">
        <v>236</v>
      </c>
      <c r="C90" s="234"/>
      <c r="D90" s="234"/>
      <c r="E90" s="234"/>
      <c r="F90" s="85">
        <v>0.04</v>
      </c>
      <c r="G90" s="83">
        <f>ROUND($G$34*F90,2)</f>
        <v>35.119999999999997</v>
      </c>
    </row>
    <row r="91" spans="1:7" x14ac:dyDescent="0.25">
      <c r="A91" s="235" t="s">
        <v>132</v>
      </c>
      <c r="B91" s="235"/>
      <c r="C91" s="235"/>
      <c r="D91" s="235"/>
      <c r="E91" s="235"/>
      <c r="F91" s="235"/>
      <c r="G91" s="81">
        <f>ROUND(SUM(G86:G90),2)</f>
        <v>62.86</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8.17</v>
      </c>
    </row>
    <row r="97" spans="1:7" ht="15" customHeight="1" x14ac:dyDescent="0.25">
      <c r="A97" s="75" t="s">
        <v>138</v>
      </c>
      <c r="B97" s="237" t="s">
        <v>139</v>
      </c>
      <c r="C97" s="237"/>
      <c r="D97" s="237"/>
      <c r="E97" s="237"/>
      <c r="F97" s="96">
        <f>$F$57</f>
        <v>0.36800000000000005</v>
      </c>
      <c r="G97" s="83">
        <f>ROUND(G96*F97,2)</f>
        <v>3.01</v>
      </c>
    </row>
    <row r="98" spans="1:7" x14ac:dyDescent="0.25">
      <c r="A98" s="75" t="s">
        <v>59</v>
      </c>
      <c r="B98" s="234" t="s">
        <v>237</v>
      </c>
      <c r="C98" s="234"/>
      <c r="D98" s="234"/>
      <c r="E98" s="234"/>
      <c r="F98" s="97">
        <v>7.3000000000000001E-3</v>
      </c>
      <c r="G98" s="83">
        <f>ROUND($G$34*F98,2)</f>
        <v>6.41</v>
      </c>
    </row>
    <row r="99" spans="1:7" x14ac:dyDescent="0.25">
      <c r="A99" s="75" t="s">
        <v>62</v>
      </c>
      <c r="B99" s="234" t="s">
        <v>254</v>
      </c>
      <c r="C99" s="234"/>
      <c r="D99" s="234"/>
      <c r="E99" s="234"/>
      <c r="F99" s="97">
        <v>8.1999999999999998E-4</v>
      </c>
      <c r="G99" s="83">
        <f>ROUND($G$34*F99,2)</f>
        <v>0.72</v>
      </c>
    </row>
    <row r="100" spans="1:7" x14ac:dyDescent="0.25">
      <c r="A100" s="75" t="s">
        <v>64</v>
      </c>
      <c r="B100" s="234" t="s">
        <v>255</v>
      </c>
      <c r="C100" s="234"/>
      <c r="D100" s="234"/>
      <c r="E100" s="234"/>
      <c r="F100" s="97">
        <v>2.7000000000000001E-3</v>
      </c>
      <c r="G100" s="83">
        <f>ROUND($G$34*F100,2)</f>
        <v>2.37</v>
      </c>
    </row>
    <row r="101" spans="1:7" x14ac:dyDescent="0.25">
      <c r="A101" s="75" t="s">
        <v>66</v>
      </c>
      <c r="B101" s="234" t="s">
        <v>256</v>
      </c>
      <c r="C101" s="234"/>
      <c r="D101" s="234"/>
      <c r="E101" s="234"/>
      <c r="F101" s="97">
        <v>5.5000000000000003E-4</v>
      </c>
      <c r="G101" s="83">
        <f>ROUND($G$34*F101,2)</f>
        <v>0.48</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21.16</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21.16</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21.16</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108">
        <v>96.21</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96.21</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878.01</v>
      </c>
    </row>
    <row r="129" spans="1:7" x14ac:dyDescent="0.25">
      <c r="A129" s="100" t="s">
        <v>59</v>
      </c>
      <c r="B129" s="231" t="s">
        <v>161</v>
      </c>
      <c r="C129" s="231"/>
      <c r="D129" s="231"/>
      <c r="E129" s="231"/>
      <c r="F129" s="231"/>
      <c r="G129" s="101">
        <f>$G$82</f>
        <v>894.31</v>
      </c>
    </row>
    <row r="130" spans="1:7" x14ac:dyDescent="0.25">
      <c r="A130" s="100" t="s">
        <v>62</v>
      </c>
      <c r="B130" s="231" t="s">
        <v>162</v>
      </c>
      <c r="C130" s="231"/>
      <c r="D130" s="231"/>
      <c r="E130" s="231"/>
      <c r="F130" s="231"/>
      <c r="G130" s="101">
        <f>$G$91</f>
        <v>62.86</v>
      </c>
    </row>
    <row r="131" spans="1:7" x14ac:dyDescent="0.25">
      <c r="A131" s="100" t="s">
        <v>64</v>
      </c>
      <c r="B131" s="231" t="s">
        <v>163</v>
      </c>
      <c r="C131" s="231"/>
      <c r="D131" s="231"/>
      <c r="E131" s="231"/>
      <c r="F131" s="231"/>
      <c r="G131" s="101">
        <f>$G$116</f>
        <v>21.16</v>
      </c>
    </row>
    <row r="132" spans="1:7" x14ac:dyDescent="0.25">
      <c r="A132" s="100" t="s">
        <v>66</v>
      </c>
      <c r="B132" s="231" t="s">
        <v>164</v>
      </c>
      <c r="C132" s="231"/>
      <c r="D132" s="231"/>
      <c r="E132" s="231"/>
      <c r="F132" s="231"/>
      <c r="G132" s="101">
        <f>$G$123</f>
        <v>96.21</v>
      </c>
    </row>
    <row r="133" spans="1:7" x14ac:dyDescent="0.25">
      <c r="A133" s="233" t="s">
        <v>165</v>
      </c>
      <c r="B133" s="233"/>
      <c r="C133" s="233"/>
      <c r="D133" s="233"/>
      <c r="E133" s="233"/>
      <c r="F133" s="233"/>
      <c r="G133" s="94">
        <f>ROUND(SUM(G128:G132),2)</f>
        <v>1952.55</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1952.55</v>
      </c>
    </row>
    <row r="138" spans="1:7" x14ac:dyDescent="0.25">
      <c r="A138" s="100" t="s">
        <v>59</v>
      </c>
      <c r="B138" s="231" t="s">
        <v>169</v>
      </c>
      <c r="C138" s="231"/>
      <c r="D138" s="231"/>
      <c r="E138" s="231"/>
      <c r="F138" s="231"/>
      <c r="G138" s="81">
        <f>ROUND($G$137/$E$23,2)</f>
        <v>488.14</v>
      </c>
    </row>
    <row r="139" spans="1:7" x14ac:dyDescent="0.25">
      <c r="A139" s="100" t="s">
        <v>59</v>
      </c>
      <c r="B139" s="231" t="s">
        <v>170</v>
      </c>
      <c r="C139" s="231"/>
      <c r="D139" s="231"/>
      <c r="E139" s="231"/>
      <c r="F139" s="231"/>
      <c r="G139" s="81">
        <f>G137/220</f>
        <v>8.8752272727272725</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184"/>
  <sheetViews>
    <sheetView showGridLines="0" topLeftCell="A16" zoomScaleNormal="100" workbookViewId="0">
      <selection activeCell="I34" sqref="I34"/>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177</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8" ht="15" customHeight="1" x14ac:dyDescent="0.25">
      <c r="A17" s="248" t="s">
        <v>75</v>
      </c>
      <c r="B17" s="248"/>
      <c r="C17" s="248"/>
      <c r="D17" s="248"/>
      <c r="E17" s="248"/>
      <c r="F17" s="248"/>
      <c r="G17" s="248"/>
    </row>
    <row r="18" spans="1:8" x14ac:dyDescent="0.25">
      <c r="A18" s="75">
        <v>1</v>
      </c>
      <c r="B18" s="234" t="s">
        <v>76</v>
      </c>
      <c r="C18" s="234"/>
      <c r="D18" s="234"/>
      <c r="E18" s="249" t="s">
        <v>40</v>
      </c>
      <c r="F18" s="250"/>
      <c r="G18" s="251"/>
    </row>
    <row r="19" spans="1:8" x14ac:dyDescent="0.25">
      <c r="A19" s="75">
        <v>2</v>
      </c>
      <c r="B19" s="234" t="s">
        <v>78</v>
      </c>
      <c r="C19" s="234"/>
      <c r="D19" s="234"/>
      <c r="E19" s="244"/>
      <c r="F19" s="244"/>
      <c r="G19" s="244"/>
    </row>
    <row r="20" spans="1:8" x14ac:dyDescent="0.25">
      <c r="A20" s="75">
        <v>3</v>
      </c>
      <c r="B20" s="234" t="s">
        <v>79</v>
      </c>
      <c r="C20" s="234"/>
      <c r="D20" s="234"/>
      <c r="E20" s="246">
        <v>2955.82</v>
      </c>
      <c r="F20" s="246"/>
      <c r="G20" s="246"/>
    </row>
    <row r="21" spans="1:8" x14ac:dyDescent="0.25">
      <c r="A21" s="75">
        <v>4</v>
      </c>
      <c r="B21" s="234" t="s">
        <v>80</v>
      </c>
      <c r="C21" s="234"/>
      <c r="D21" s="234"/>
      <c r="E21" s="244"/>
      <c r="F21" s="244"/>
      <c r="G21" s="244"/>
    </row>
    <row r="22" spans="1:8" x14ac:dyDescent="0.25">
      <c r="A22" s="75">
        <v>5</v>
      </c>
      <c r="B22" s="234" t="s">
        <v>81</v>
      </c>
      <c r="C22" s="234"/>
      <c r="D22" s="234"/>
      <c r="E22" s="247">
        <v>44197</v>
      </c>
      <c r="F22" s="247"/>
      <c r="G22" s="247"/>
    </row>
    <row r="23" spans="1:8" x14ac:dyDescent="0.25">
      <c r="A23" s="77">
        <v>6</v>
      </c>
      <c r="B23" s="243" t="s">
        <v>82</v>
      </c>
      <c r="C23" s="243"/>
      <c r="D23" s="243"/>
      <c r="E23" s="258">
        <f>ROUND((365/12)/2,2)</f>
        <v>15.21</v>
      </c>
      <c r="F23" s="258"/>
      <c r="G23" s="258"/>
    </row>
    <row r="24" spans="1:8" x14ac:dyDescent="0.25">
      <c r="A24" s="77">
        <v>7</v>
      </c>
      <c r="B24" s="243" t="s">
        <v>83</v>
      </c>
      <c r="C24" s="243"/>
      <c r="D24" s="243"/>
      <c r="E24" s="245">
        <v>1100</v>
      </c>
      <c r="F24" s="245"/>
      <c r="G24" s="245"/>
    </row>
    <row r="25" spans="1:8" ht="15" customHeight="1" x14ac:dyDescent="0.25">
      <c r="A25" s="232" t="s">
        <v>84</v>
      </c>
      <c r="B25" s="232"/>
      <c r="C25" s="232"/>
      <c r="D25" s="232"/>
      <c r="E25" s="232"/>
      <c r="F25" s="232"/>
      <c r="G25" s="232"/>
    </row>
    <row r="26" spans="1:8" ht="15" customHeight="1" x14ac:dyDescent="0.25">
      <c r="A26" s="232" t="s">
        <v>85</v>
      </c>
      <c r="B26" s="232"/>
      <c r="C26" s="232"/>
      <c r="D26" s="232"/>
      <c r="E26" s="232"/>
      <c r="F26" s="232"/>
      <c r="G26" s="232"/>
    </row>
    <row r="27" spans="1:8" x14ac:dyDescent="0.25">
      <c r="A27" s="74"/>
      <c r="B27" s="74"/>
      <c r="C27" s="74"/>
      <c r="D27" s="74"/>
      <c r="E27" s="74"/>
      <c r="F27" s="74"/>
      <c r="G27" s="74"/>
    </row>
    <row r="28" spans="1:8" x14ac:dyDescent="0.25">
      <c r="A28" s="229" t="s">
        <v>86</v>
      </c>
      <c r="B28" s="229"/>
      <c r="C28" s="229"/>
      <c r="D28" s="229"/>
      <c r="E28" s="229"/>
      <c r="F28" s="229"/>
      <c r="G28" s="229"/>
    </row>
    <row r="29" spans="1:8" ht="15" customHeight="1" x14ac:dyDescent="0.25">
      <c r="A29" s="104">
        <v>1</v>
      </c>
      <c r="B29" s="230" t="s">
        <v>87</v>
      </c>
      <c r="C29" s="230"/>
      <c r="D29" s="230"/>
      <c r="E29" s="230"/>
      <c r="F29" s="230"/>
      <c r="G29" s="104" t="s">
        <v>88</v>
      </c>
    </row>
    <row r="30" spans="1:8" x14ac:dyDescent="0.25">
      <c r="A30" s="75" t="s">
        <v>56</v>
      </c>
      <c r="B30" s="234" t="s">
        <v>239</v>
      </c>
      <c r="C30" s="234"/>
      <c r="D30" s="234"/>
      <c r="E30" s="234"/>
      <c r="F30" s="234"/>
      <c r="G30" s="78">
        <f>E20</f>
        <v>2955.82</v>
      </c>
      <c r="H30" s="110" t="s">
        <v>179</v>
      </c>
    </row>
    <row r="31" spans="1:8" ht="15" customHeight="1" x14ac:dyDescent="0.25">
      <c r="A31" s="75" t="s">
        <v>59</v>
      </c>
      <c r="B31" s="237" t="s">
        <v>89</v>
      </c>
      <c r="C31" s="237"/>
      <c r="D31" s="237"/>
      <c r="E31" s="237"/>
      <c r="F31" s="237"/>
      <c r="G31" s="107">
        <f>ROUND(7*$E$23*(((G30+G33)/220)*20%),2)</f>
        <v>371.93</v>
      </c>
      <c r="H31" s="110">
        <f>(G30+G33)*7/12*20%</f>
        <v>448.29936666666674</v>
      </c>
    </row>
    <row r="32" spans="1:8" x14ac:dyDescent="0.25">
      <c r="A32" s="75" t="s">
        <v>62</v>
      </c>
      <c r="B32" s="234" t="s">
        <v>233</v>
      </c>
      <c r="C32" s="234"/>
      <c r="D32" s="234"/>
      <c r="E32" s="234"/>
      <c r="F32" s="234"/>
      <c r="G32" s="107">
        <f>ROUND(E23*7*((60/52.5)-1)*(((G30+G33)/220)*120%),2)</f>
        <v>318.79000000000002</v>
      </c>
      <c r="H32" s="110">
        <f>((G30+G33)/12)*120%</f>
        <v>384.25659999999999</v>
      </c>
    </row>
    <row r="33" spans="1:7" x14ac:dyDescent="0.25">
      <c r="A33" s="75" t="s">
        <v>64</v>
      </c>
      <c r="B33" s="234" t="s">
        <v>173</v>
      </c>
      <c r="C33" s="234"/>
      <c r="D33" s="234"/>
      <c r="E33" s="234"/>
      <c r="F33" s="234"/>
      <c r="G33" s="80">
        <f>G30*0.3</f>
        <v>886.74599999999998</v>
      </c>
    </row>
    <row r="34" spans="1:7" x14ac:dyDescent="0.25">
      <c r="A34" s="235" t="s">
        <v>90</v>
      </c>
      <c r="B34" s="235"/>
      <c r="C34" s="235"/>
      <c r="D34" s="235"/>
      <c r="E34" s="235"/>
      <c r="F34" s="235"/>
      <c r="G34" s="81">
        <f>ROUND(SUM(G30:G33),2)</f>
        <v>4533.29</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377.77</v>
      </c>
    </row>
    <row r="40" spans="1:7" x14ac:dyDescent="0.25">
      <c r="A40" s="75" t="s">
        <v>59</v>
      </c>
      <c r="B40" s="243" t="s">
        <v>96</v>
      </c>
      <c r="C40" s="243"/>
      <c r="D40" s="243"/>
      <c r="E40" s="243"/>
      <c r="F40" s="82">
        <v>0.1111</v>
      </c>
      <c r="G40" s="83">
        <f>ROUND($G$34*F40,2)</f>
        <v>503.65</v>
      </c>
    </row>
    <row r="41" spans="1:7" x14ac:dyDescent="0.25">
      <c r="A41" s="235" t="s">
        <v>97</v>
      </c>
      <c r="B41" s="235"/>
      <c r="C41" s="235"/>
      <c r="D41" s="235"/>
      <c r="E41" s="235"/>
      <c r="F41" s="235"/>
      <c r="G41" s="81">
        <f>ROUND(SUM(G39:G40),2)</f>
        <v>881.42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5414.71</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1082.94</v>
      </c>
    </row>
    <row r="50" spans="1:7" x14ac:dyDescent="0.25">
      <c r="A50" s="75" t="s">
        <v>105</v>
      </c>
      <c r="B50" s="234" t="s">
        <v>242</v>
      </c>
      <c r="C50" s="234"/>
      <c r="D50" s="234"/>
      <c r="E50" s="234"/>
      <c r="F50" s="82">
        <v>2.5000000000000001E-2</v>
      </c>
      <c r="G50" s="83">
        <f t="shared" si="0"/>
        <v>135.37</v>
      </c>
    </row>
    <row r="51" spans="1:7" x14ac:dyDescent="0.25">
      <c r="A51" s="75" t="s">
        <v>106</v>
      </c>
      <c r="B51" s="234" t="s">
        <v>243</v>
      </c>
      <c r="C51" s="234"/>
      <c r="D51" s="234"/>
      <c r="E51" s="234"/>
      <c r="F51" s="85">
        <v>0.03</v>
      </c>
      <c r="G51" s="83">
        <f t="shared" si="0"/>
        <v>162.44</v>
      </c>
    </row>
    <row r="52" spans="1:7" x14ac:dyDescent="0.25">
      <c r="A52" s="75" t="s">
        <v>59</v>
      </c>
      <c r="B52" s="234" t="s">
        <v>244</v>
      </c>
      <c r="C52" s="234"/>
      <c r="D52" s="234"/>
      <c r="E52" s="234"/>
      <c r="F52" s="82">
        <v>0.08</v>
      </c>
      <c r="G52" s="83">
        <f t="shared" si="0"/>
        <v>433.18</v>
      </c>
    </row>
    <row r="53" spans="1:7" x14ac:dyDescent="0.25">
      <c r="A53" s="75" t="s">
        <v>62</v>
      </c>
      <c r="B53" s="234" t="s">
        <v>245</v>
      </c>
      <c r="C53" s="234"/>
      <c r="D53" s="234"/>
      <c r="E53" s="234"/>
      <c r="F53" s="82">
        <v>1.4999999999999999E-2</v>
      </c>
      <c r="G53" s="83">
        <f t="shared" si="0"/>
        <v>81.22</v>
      </c>
    </row>
    <row r="54" spans="1:7" x14ac:dyDescent="0.25">
      <c r="A54" s="75" t="s">
        <v>64</v>
      </c>
      <c r="B54" s="234" t="s">
        <v>246</v>
      </c>
      <c r="C54" s="234"/>
      <c r="D54" s="234"/>
      <c r="E54" s="234"/>
      <c r="F54" s="82">
        <v>0.01</v>
      </c>
      <c r="G54" s="83">
        <f t="shared" si="0"/>
        <v>54.15</v>
      </c>
    </row>
    <row r="55" spans="1:7" x14ac:dyDescent="0.25">
      <c r="A55" s="75" t="s">
        <v>66</v>
      </c>
      <c r="B55" s="234" t="s">
        <v>247</v>
      </c>
      <c r="C55" s="234"/>
      <c r="D55" s="234"/>
      <c r="E55" s="234"/>
      <c r="F55" s="82">
        <v>6.0000000000000001E-3</v>
      </c>
      <c r="G55" s="83">
        <f t="shared" si="0"/>
        <v>32.49</v>
      </c>
    </row>
    <row r="56" spans="1:7" x14ac:dyDescent="0.25">
      <c r="A56" s="75" t="s">
        <v>107</v>
      </c>
      <c r="B56" s="234" t="s">
        <v>248</v>
      </c>
      <c r="C56" s="234"/>
      <c r="D56" s="234"/>
      <c r="E56" s="234"/>
      <c r="F56" s="82">
        <v>2E-3</v>
      </c>
      <c r="G56" s="83">
        <f t="shared" si="0"/>
        <v>10.83</v>
      </c>
    </row>
    <row r="57" spans="1:7" x14ac:dyDescent="0.25">
      <c r="A57" s="235" t="s">
        <v>108</v>
      </c>
      <c r="B57" s="235"/>
      <c r="C57" s="235"/>
      <c r="D57" s="235"/>
      <c r="E57" s="235"/>
      <c r="F57" s="86">
        <f>SUM(F49:F56)</f>
        <v>0.36800000000000005</v>
      </c>
      <c r="G57" s="81">
        <f>ROUND(SUM(G49:G56),2)</f>
        <v>1992.62</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165</v>
      </c>
    </row>
    <row r="65" spans="1:7" x14ac:dyDescent="0.25">
      <c r="A65" s="89" t="s">
        <v>117</v>
      </c>
      <c r="B65" s="240" t="s">
        <v>249</v>
      </c>
      <c r="C65" s="240"/>
      <c r="D65" s="240"/>
      <c r="E65" s="240"/>
      <c r="F65" s="90">
        <v>-0.03</v>
      </c>
      <c r="G65" s="91">
        <f>ROUND($G$30*F65,2)</f>
        <v>-88.67</v>
      </c>
    </row>
    <row r="66" spans="1:7" x14ac:dyDescent="0.25">
      <c r="A66" s="75" t="s">
        <v>59</v>
      </c>
      <c r="B66" s="234" t="s">
        <v>250</v>
      </c>
      <c r="C66" s="234"/>
      <c r="D66" s="234"/>
      <c r="E66" s="87" t="s">
        <v>116</v>
      </c>
      <c r="F66" s="80">
        <v>35</v>
      </c>
      <c r="G66" s="92">
        <f>ROUND($E$23,0)*F66</f>
        <v>525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774.33</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881.42</v>
      </c>
    </row>
    <row r="80" spans="1:7" x14ac:dyDescent="0.25">
      <c r="A80" s="93" t="s">
        <v>103</v>
      </c>
      <c r="B80" s="236" t="s">
        <v>104</v>
      </c>
      <c r="C80" s="236"/>
      <c r="D80" s="236"/>
      <c r="E80" s="236"/>
      <c r="F80" s="236"/>
      <c r="G80" s="94">
        <f>$G$57</f>
        <v>1992.62</v>
      </c>
    </row>
    <row r="81" spans="1:7" x14ac:dyDescent="0.25">
      <c r="A81" s="93" t="s">
        <v>113</v>
      </c>
      <c r="B81" s="236" t="s">
        <v>114</v>
      </c>
      <c r="C81" s="236"/>
      <c r="D81" s="236"/>
      <c r="E81" s="236"/>
      <c r="F81" s="236"/>
      <c r="G81" s="94">
        <f>$G$73</f>
        <v>774.33</v>
      </c>
    </row>
    <row r="82" spans="1:7" x14ac:dyDescent="0.25">
      <c r="A82" s="235" t="s">
        <v>127</v>
      </c>
      <c r="B82" s="235"/>
      <c r="C82" s="235"/>
      <c r="D82" s="235"/>
      <c r="E82" s="235"/>
      <c r="F82" s="235"/>
      <c r="G82" s="81">
        <f>ROUND(SUM(G79:G81),2)</f>
        <v>3648.37</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20.97</v>
      </c>
    </row>
    <row r="87" spans="1:7" x14ac:dyDescent="0.25">
      <c r="A87" s="75" t="s">
        <v>59</v>
      </c>
      <c r="B87" s="234" t="s">
        <v>130</v>
      </c>
      <c r="C87" s="234"/>
      <c r="D87" s="234"/>
      <c r="E87" s="234"/>
      <c r="F87" s="95">
        <f>$F$52</f>
        <v>0.08</v>
      </c>
      <c r="G87" s="83">
        <f>G86*F87</f>
        <v>1.6776</v>
      </c>
    </row>
    <row r="88" spans="1:7" x14ac:dyDescent="0.25">
      <c r="A88" s="75" t="s">
        <v>62</v>
      </c>
      <c r="B88" s="234" t="s">
        <v>235</v>
      </c>
      <c r="C88" s="234"/>
      <c r="D88" s="234"/>
      <c r="E88" s="234"/>
      <c r="F88" s="82">
        <f>(7/30)/12</f>
        <v>1.9444444444444445E-2</v>
      </c>
      <c r="G88" s="83">
        <f>ROUND($G$34*F88,2)</f>
        <v>88.15</v>
      </c>
    </row>
    <row r="89" spans="1:7" x14ac:dyDescent="0.25">
      <c r="A89" s="75" t="s">
        <v>64</v>
      </c>
      <c r="B89" s="234" t="s">
        <v>131</v>
      </c>
      <c r="C89" s="234"/>
      <c r="D89" s="234"/>
      <c r="E89" s="234"/>
      <c r="F89" s="95">
        <f>$F$57</f>
        <v>0.36800000000000005</v>
      </c>
      <c r="G89" s="83">
        <f>G88*F89</f>
        <v>32.439200000000007</v>
      </c>
    </row>
    <row r="90" spans="1:7" x14ac:dyDescent="0.25">
      <c r="A90" s="75" t="s">
        <v>66</v>
      </c>
      <c r="B90" s="234" t="s">
        <v>236</v>
      </c>
      <c r="C90" s="234"/>
      <c r="D90" s="234"/>
      <c r="E90" s="234"/>
      <c r="F90" s="85">
        <v>0.04</v>
      </c>
      <c r="G90" s="83">
        <f>ROUND($G$34*F90,2)</f>
        <v>181.33</v>
      </c>
    </row>
    <row r="91" spans="1:7" x14ac:dyDescent="0.25">
      <c r="A91" s="235" t="s">
        <v>132</v>
      </c>
      <c r="B91" s="235"/>
      <c r="C91" s="235"/>
      <c r="D91" s="235"/>
      <c r="E91" s="235"/>
      <c r="F91" s="235"/>
      <c r="G91" s="81">
        <f>ROUND(SUM(G86:G90),2)</f>
        <v>324.57</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42.16</v>
      </c>
    </row>
    <row r="97" spans="1:7" ht="15" customHeight="1" x14ac:dyDescent="0.25">
      <c r="A97" s="75" t="s">
        <v>138</v>
      </c>
      <c r="B97" s="237" t="s">
        <v>139</v>
      </c>
      <c r="C97" s="237"/>
      <c r="D97" s="237"/>
      <c r="E97" s="237"/>
      <c r="F97" s="96">
        <f>$F$57</f>
        <v>0.36800000000000005</v>
      </c>
      <c r="G97" s="83">
        <f>ROUND(G96*F97,2)</f>
        <v>15.51</v>
      </c>
    </row>
    <row r="98" spans="1:7" x14ac:dyDescent="0.25">
      <c r="A98" s="75" t="s">
        <v>59</v>
      </c>
      <c r="B98" s="234" t="s">
        <v>237</v>
      </c>
      <c r="C98" s="234"/>
      <c r="D98" s="234"/>
      <c r="E98" s="234"/>
      <c r="F98" s="97">
        <v>7.3000000000000001E-3</v>
      </c>
      <c r="G98" s="83">
        <f>ROUND($G$34*F98,2)</f>
        <v>33.090000000000003</v>
      </c>
    </row>
    <row r="99" spans="1:7" x14ac:dyDescent="0.25">
      <c r="A99" s="75" t="s">
        <v>62</v>
      </c>
      <c r="B99" s="234" t="s">
        <v>254</v>
      </c>
      <c r="C99" s="234"/>
      <c r="D99" s="234"/>
      <c r="E99" s="234"/>
      <c r="F99" s="97">
        <v>8.1999999999999998E-4</v>
      </c>
      <c r="G99" s="83">
        <f>ROUND($G$34*F99,2)</f>
        <v>3.72</v>
      </c>
    </row>
    <row r="100" spans="1:7" x14ac:dyDescent="0.25">
      <c r="A100" s="75" t="s">
        <v>64</v>
      </c>
      <c r="B100" s="234" t="s">
        <v>255</v>
      </c>
      <c r="C100" s="234"/>
      <c r="D100" s="234"/>
      <c r="E100" s="234"/>
      <c r="F100" s="97">
        <v>2.7000000000000001E-3</v>
      </c>
      <c r="G100" s="83">
        <f>ROUND($G$34*F100,2)</f>
        <v>12.24</v>
      </c>
    </row>
    <row r="101" spans="1:7" x14ac:dyDescent="0.25">
      <c r="A101" s="75" t="s">
        <v>66</v>
      </c>
      <c r="B101" s="234" t="s">
        <v>256</v>
      </c>
      <c r="C101" s="234"/>
      <c r="D101" s="234"/>
      <c r="E101" s="234"/>
      <c r="F101" s="97">
        <v>5.5000000000000003E-4</v>
      </c>
      <c r="G101" s="83">
        <f>ROUND($G$34*F101,2)</f>
        <v>2.4900000000000002</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109.21</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109.21</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109.21</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108">
        <v>96.21</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96.21</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4533.29</v>
      </c>
    </row>
    <row r="129" spans="1:7" x14ac:dyDescent="0.25">
      <c r="A129" s="100" t="s">
        <v>59</v>
      </c>
      <c r="B129" s="231" t="s">
        <v>161</v>
      </c>
      <c r="C129" s="231"/>
      <c r="D129" s="231"/>
      <c r="E129" s="231"/>
      <c r="F129" s="231"/>
      <c r="G129" s="101">
        <f>$G$82</f>
        <v>3648.37</v>
      </c>
    </row>
    <row r="130" spans="1:7" x14ac:dyDescent="0.25">
      <c r="A130" s="100" t="s">
        <v>62</v>
      </c>
      <c r="B130" s="231" t="s">
        <v>162</v>
      </c>
      <c r="C130" s="231"/>
      <c r="D130" s="231"/>
      <c r="E130" s="231"/>
      <c r="F130" s="231"/>
      <c r="G130" s="101">
        <f>$G$91</f>
        <v>324.57</v>
      </c>
    </row>
    <row r="131" spans="1:7" x14ac:dyDescent="0.25">
      <c r="A131" s="100" t="s">
        <v>64</v>
      </c>
      <c r="B131" s="231" t="s">
        <v>163</v>
      </c>
      <c r="C131" s="231"/>
      <c r="D131" s="231"/>
      <c r="E131" s="231"/>
      <c r="F131" s="231"/>
      <c r="G131" s="101">
        <f>$G$116</f>
        <v>109.21</v>
      </c>
    </row>
    <row r="132" spans="1:7" x14ac:dyDescent="0.25">
      <c r="A132" s="100" t="s">
        <v>66</v>
      </c>
      <c r="B132" s="231" t="s">
        <v>164</v>
      </c>
      <c r="C132" s="231"/>
      <c r="D132" s="231"/>
      <c r="E132" s="231"/>
      <c r="F132" s="231"/>
      <c r="G132" s="101">
        <f>$G$123</f>
        <v>96.21</v>
      </c>
    </row>
    <row r="133" spans="1:7" x14ac:dyDescent="0.25">
      <c r="A133" s="233" t="s">
        <v>165</v>
      </c>
      <c r="B133" s="233"/>
      <c r="C133" s="233"/>
      <c r="D133" s="233"/>
      <c r="E133" s="233"/>
      <c r="F133" s="233"/>
      <c r="G133" s="94">
        <f>ROUND(SUM(G128:G132),2)</f>
        <v>8711.65</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8711.65</v>
      </c>
    </row>
    <row r="138" spans="1:7" x14ac:dyDescent="0.25">
      <c r="A138" s="100" t="s">
        <v>59</v>
      </c>
      <c r="B138" s="231" t="s">
        <v>169</v>
      </c>
      <c r="C138" s="231"/>
      <c r="D138" s="231"/>
      <c r="E138" s="231"/>
      <c r="F138" s="231"/>
      <c r="G138" s="81">
        <f>ROUND($G$137/$E$23,2)</f>
        <v>572.76</v>
      </c>
    </row>
    <row r="139" spans="1:7" x14ac:dyDescent="0.25">
      <c r="A139" s="100" t="s">
        <v>59</v>
      </c>
      <c r="B139" s="231" t="s">
        <v>170</v>
      </c>
      <c r="C139" s="231"/>
      <c r="D139" s="231"/>
      <c r="E139" s="231"/>
      <c r="F139" s="231"/>
      <c r="G139" s="81">
        <f>G137/220</f>
        <v>39.598409090909087</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29"/>
  <sheetViews>
    <sheetView zoomScale="90" zoomScaleNormal="90" workbookViewId="0">
      <pane xSplit="5" ySplit="19" topLeftCell="F20" activePane="bottomRight" state="frozen"/>
      <selection pane="topRight" activeCell="F1" sqref="F1"/>
      <selection pane="bottomLeft" activeCell="A20" sqref="A20"/>
      <selection pane="bottomRight" activeCell="U12" sqref="U12"/>
    </sheetView>
  </sheetViews>
  <sheetFormatPr defaultRowHeight="15" x14ac:dyDescent="0.25"/>
  <cols>
    <col min="1" max="1" width="5.75" style="127" bestFit="1" customWidth="1"/>
    <col min="2" max="2" width="7.75" style="127" customWidth="1"/>
    <col min="3" max="3" width="45.5" style="111" customWidth="1"/>
    <col min="4" max="4" width="6.75" style="121" bestFit="1" customWidth="1"/>
    <col min="5" max="5" width="7.25" style="121" bestFit="1" customWidth="1"/>
    <col min="6" max="6" width="14.25" style="121" customWidth="1"/>
    <col min="7" max="7" width="14.25" style="165" customWidth="1"/>
    <col min="8" max="16" width="9" style="111" hidden="1" customWidth="1"/>
    <col min="17" max="17" width="11" style="111" hidden="1" customWidth="1"/>
    <col min="18" max="18" width="9" style="111" hidden="1" customWidth="1"/>
    <col min="19" max="19" width="15.125" style="120" bestFit="1" customWidth="1"/>
    <col min="20" max="20" width="12.625" style="111" customWidth="1"/>
    <col min="21" max="21" width="10.625" style="111" customWidth="1"/>
    <col min="22" max="22" width="15" style="111" customWidth="1"/>
    <col min="23" max="27" width="5.875" style="111" customWidth="1"/>
    <col min="28" max="28" width="9" style="111" customWidth="1"/>
    <col min="29" max="29" width="9" style="125" customWidth="1"/>
    <col min="30" max="16384" width="9" style="111"/>
  </cols>
  <sheetData>
    <row r="1" spans="1:29" ht="30" customHeight="1" x14ac:dyDescent="0.25">
      <c r="A1" s="268"/>
      <c r="B1" s="129"/>
      <c r="C1" s="266" t="s">
        <v>326</v>
      </c>
      <c r="D1" s="266" t="s">
        <v>197</v>
      </c>
      <c r="E1" s="266"/>
      <c r="F1" s="266" t="s">
        <v>319</v>
      </c>
      <c r="G1" s="273" t="s">
        <v>321</v>
      </c>
      <c r="H1" s="266" t="s">
        <v>182</v>
      </c>
      <c r="I1" s="266"/>
      <c r="J1" s="266"/>
      <c r="K1" s="266"/>
      <c r="L1" s="266"/>
      <c r="M1" s="266"/>
      <c r="N1" s="266"/>
      <c r="O1" s="266"/>
      <c r="P1" s="266"/>
      <c r="Q1" s="266"/>
      <c r="R1" s="266"/>
      <c r="S1" s="267" t="s">
        <v>322</v>
      </c>
    </row>
    <row r="2" spans="1:29" ht="27" customHeight="1" x14ac:dyDescent="0.25">
      <c r="A2" s="269"/>
      <c r="B2" s="129"/>
      <c r="C2" s="266"/>
      <c r="D2" s="130" t="s">
        <v>198</v>
      </c>
      <c r="E2" s="130" t="s">
        <v>199</v>
      </c>
      <c r="F2" s="266"/>
      <c r="G2" s="274"/>
      <c r="H2" s="266"/>
      <c r="I2" s="266"/>
      <c r="J2" s="266"/>
      <c r="K2" s="266"/>
      <c r="L2" s="266"/>
      <c r="M2" s="266"/>
      <c r="N2" s="266"/>
      <c r="O2" s="266"/>
      <c r="P2" s="266"/>
      <c r="Q2" s="266"/>
      <c r="R2" s="266"/>
      <c r="S2" s="267"/>
    </row>
    <row r="3" spans="1:29" x14ac:dyDescent="0.25">
      <c r="A3" s="262" t="s">
        <v>315</v>
      </c>
      <c r="B3" s="270" t="s">
        <v>314</v>
      </c>
      <c r="C3" s="131"/>
      <c r="D3" s="132" t="s">
        <v>202</v>
      </c>
      <c r="E3" s="132" t="s">
        <v>201</v>
      </c>
      <c r="F3" s="133"/>
      <c r="G3" s="162"/>
      <c r="H3" s="134">
        <v>9</v>
      </c>
      <c r="I3" s="134">
        <v>8</v>
      </c>
      <c r="J3" s="134">
        <v>7</v>
      </c>
      <c r="K3" s="134">
        <v>6</v>
      </c>
      <c r="L3" s="134">
        <v>5</v>
      </c>
      <c r="M3" s="134">
        <v>4</v>
      </c>
      <c r="N3" s="134">
        <v>3</v>
      </c>
      <c r="O3" s="134">
        <v>2</v>
      </c>
      <c r="P3" s="134">
        <v>1</v>
      </c>
      <c r="Q3" s="134" t="s">
        <v>183</v>
      </c>
      <c r="R3" s="134" t="s">
        <v>184</v>
      </c>
      <c r="S3" s="112" t="s">
        <v>203</v>
      </c>
      <c r="T3" s="169"/>
      <c r="AB3" s="276" t="s">
        <v>324</v>
      </c>
      <c r="AC3" s="277"/>
    </row>
    <row r="4" spans="1:29" x14ac:dyDescent="0.25">
      <c r="A4" s="263"/>
      <c r="B4" s="270"/>
      <c r="C4" s="131" t="s">
        <v>185</v>
      </c>
      <c r="D4" s="132">
        <v>200</v>
      </c>
      <c r="E4" s="132">
        <v>300</v>
      </c>
      <c r="F4" s="135">
        <v>213.6</v>
      </c>
      <c r="G4" s="166"/>
      <c r="H4" s="131">
        <v>23</v>
      </c>
      <c r="I4" s="131">
        <v>23</v>
      </c>
      <c r="J4" s="131">
        <v>21</v>
      </c>
      <c r="K4" s="131">
        <v>26</v>
      </c>
      <c r="L4" s="131">
        <v>23</v>
      </c>
      <c r="M4" s="131">
        <v>28</v>
      </c>
      <c r="N4" s="131">
        <v>28</v>
      </c>
      <c r="O4" s="131">
        <v>34</v>
      </c>
      <c r="P4" s="131">
        <v>5</v>
      </c>
      <c r="Q4" s="131">
        <v>0</v>
      </c>
      <c r="R4" s="131">
        <v>2.6</v>
      </c>
      <c r="S4" s="113">
        <f>F4/E4</f>
        <v>0.71199999999999997</v>
      </c>
      <c r="U4" s="169"/>
      <c r="V4" s="169"/>
      <c r="AB4" s="151">
        <f t="shared" ref="AB4:AB18" si="0">F4/D4</f>
        <v>1.0680000000000001</v>
      </c>
      <c r="AC4" s="278">
        <f>SUM(AB4:AB5)</f>
        <v>5.1180000000000003</v>
      </c>
    </row>
    <row r="5" spans="1:29" x14ac:dyDescent="0.25">
      <c r="A5" s="263"/>
      <c r="B5" s="270"/>
      <c r="C5" s="131" t="s">
        <v>186</v>
      </c>
      <c r="D5" s="132">
        <v>200</v>
      </c>
      <c r="E5" s="132">
        <v>300</v>
      </c>
      <c r="F5" s="135">
        <v>810</v>
      </c>
      <c r="G5" s="166"/>
      <c r="H5" s="131">
        <v>83</v>
      </c>
      <c r="I5" s="131">
        <v>85</v>
      </c>
      <c r="J5" s="131">
        <v>85</v>
      </c>
      <c r="K5" s="131">
        <v>85</v>
      </c>
      <c r="L5" s="131">
        <v>85</v>
      </c>
      <c r="M5" s="131">
        <v>85</v>
      </c>
      <c r="N5" s="131">
        <v>85</v>
      </c>
      <c r="O5" s="131">
        <v>85</v>
      </c>
      <c r="P5" s="131">
        <v>17</v>
      </c>
      <c r="Q5" s="131">
        <v>68</v>
      </c>
      <c r="R5" s="131">
        <v>47</v>
      </c>
      <c r="S5" s="113">
        <f t="shared" ref="S5:S8" si="1">F5/E5</f>
        <v>2.7</v>
      </c>
      <c r="U5" s="169"/>
      <c r="V5" s="169"/>
      <c r="AB5" s="151">
        <f t="shared" si="0"/>
        <v>4.05</v>
      </c>
      <c r="AC5" s="279"/>
    </row>
    <row r="6" spans="1:29" x14ac:dyDescent="0.25">
      <c r="A6" s="263"/>
      <c r="B6" s="270"/>
      <c r="C6" s="131" t="s">
        <v>187</v>
      </c>
      <c r="D6" s="132">
        <v>800</v>
      </c>
      <c r="E6" s="132">
        <v>1200</v>
      </c>
      <c r="F6" s="135">
        <v>126</v>
      </c>
      <c r="G6" s="166"/>
      <c r="H6" s="131"/>
      <c r="I6" s="131"/>
      <c r="J6" s="131"/>
      <c r="K6" s="131"/>
      <c r="L6" s="131"/>
      <c r="M6" s="131"/>
      <c r="N6" s="131"/>
      <c r="O6" s="131"/>
      <c r="P6" s="131"/>
      <c r="Q6" s="131">
        <v>126</v>
      </c>
      <c r="R6" s="131"/>
      <c r="S6" s="113">
        <f t="shared" si="1"/>
        <v>0.105</v>
      </c>
      <c r="U6" s="169"/>
      <c r="V6" s="169"/>
      <c r="AB6" s="152">
        <f t="shared" si="0"/>
        <v>0.1575</v>
      </c>
      <c r="AC6" s="278">
        <f>SUM(AB6:AB10)</f>
        <v>17.355437499999997</v>
      </c>
    </row>
    <row r="7" spans="1:29" x14ac:dyDescent="0.25">
      <c r="A7" s="263"/>
      <c r="B7" s="270"/>
      <c r="C7" s="131" t="s">
        <v>188</v>
      </c>
      <c r="D7" s="132">
        <v>800</v>
      </c>
      <c r="E7" s="132">
        <v>1200</v>
      </c>
      <c r="F7" s="135">
        <v>13251</v>
      </c>
      <c r="G7" s="166"/>
      <c r="H7" s="131">
        <v>1155</v>
      </c>
      <c r="I7" s="131">
        <v>1240</v>
      </c>
      <c r="J7" s="131">
        <v>1238</v>
      </c>
      <c r="K7" s="131">
        <v>1251</v>
      </c>
      <c r="L7" s="131">
        <v>1239</v>
      </c>
      <c r="M7" s="131">
        <v>1085</v>
      </c>
      <c r="N7" s="131">
        <v>1172</v>
      </c>
      <c r="O7" s="131">
        <v>1076</v>
      </c>
      <c r="P7" s="131">
        <v>910</v>
      </c>
      <c r="Q7" s="131">
        <v>1120</v>
      </c>
      <c r="R7" s="131">
        <v>1765</v>
      </c>
      <c r="S7" s="113">
        <f t="shared" si="1"/>
        <v>11.0425</v>
      </c>
      <c r="U7" s="169"/>
      <c r="V7" s="169"/>
      <c r="AB7" s="152">
        <f t="shared" si="0"/>
        <v>16.563749999999999</v>
      </c>
      <c r="AC7" s="279"/>
    </row>
    <row r="8" spans="1:29" x14ac:dyDescent="0.25">
      <c r="A8" s="263"/>
      <c r="B8" s="270"/>
      <c r="C8" s="131" t="s">
        <v>189</v>
      </c>
      <c r="D8" s="132">
        <v>800</v>
      </c>
      <c r="E8" s="132">
        <v>1200</v>
      </c>
      <c r="F8" s="135">
        <v>192</v>
      </c>
      <c r="G8" s="166"/>
      <c r="H8" s="131"/>
      <c r="I8" s="131">
        <v>80</v>
      </c>
      <c r="J8" s="131">
        <v>112</v>
      </c>
      <c r="K8" s="131"/>
      <c r="L8" s="131"/>
      <c r="M8" s="131"/>
      <c r="N8" s="131"/>
      <c r="O8" s="131"/>
      <c r="P8" s="131"/>
      <c r="Q8" s="131"/>
      <c r="R8" s="131"/>
      <c r="S8" s="113">
        <f t="shared" si="1"/>
        <v>0.16</v>
      </c>
      <c r="U8" s="169"/>
      <c r="V8" s="169"/>
      <c r="AB8" s="152">
        <f t="shared" si="0"/>
        <v>0.24</v>
      </c>
      <c r="AC8" s="279"/>
    </row>
    <row r="9" spans="1:29" x14ac:dyDescent="0.25">
      <c r="A9" s="263"/>
      <c r="B9" s="270"/>
      <c r="C9" s="131" t="s">
        <v>190</v>
      </c>
      <c r="D9" s="132">
        <v>800</v>
      </c>
      <c r="E9" s="132">
        <v>1200</v>
      </c>
      <c r="F9" s="135">
        <v>294.05</v>
      </c>
      <c r="G9" s="166"/>
      <c r="H9" s="131">
        <v>27.96</v>
      </c>
      <c r="I9" s="131">
        <v>27.96</v>
      </c>
      <c r="J9" s="131">
        <v>27.96</v>
      </c>
      <c r="K9" s="131">
        <v>27.96</v>
      </c>
      <c r="L9" s="131">
        <v>27.96</v>
      </c>
      <c r="M9" s="131">
        <v>27.96</v>
      </c>
      <c r="N9" s="131">
        <v>27.96</v>
      </c>
      <c r="O9" s="131">
        <v>27.96</v>
      </c>
      <c r="P9" s="131">
        <v>27.96</v>
      </c>
      <c r="Q9" s="131">
        <v>42.41</v>
      </c>
      <c r="R9" s="131"/>
      <c r="S9" s="113">
        <f>F9/E9</f>
        <v>0.24504166666666669</v>
      </c>
      <c r="U9" s="169"/>
      <c r="V9" s="169"/>
      <c r="AB9" s="152">
        <f t="shared" si="0"/>
        <v>0.36756250000000001</v>
      </c>
      <c r="AC9" s="279"/>
    </row>
    <row r="10" spans="1:29" x14ac:dyDescent="0.25">
      <c r="A10" s="263"/>
      <c r="B10" s="270"/>
      <c r="C10" s="131" t="s">
        <v>191</v>
      </c>
      <c r="D10" s="132">
        <v>800</v>
      </c>
      <c r="E10" s="132">
        <v>1200</v>
      </c>
      <c r="F10" s="135">
        <v>21.3</v>
      </c>
      <c r="G10" s="166"/>
      <c r="H10" s="131"/>
      <c r="I10" s="131"/>
      <c r="J10" s="131"/>
      <c r="K10" s="131"/>
      <c r="L10" s="131"/>
      <c r="M10" s="131"/>
      <c r="N10" s="131"/>
      <c r="O10" s="131"/>
      <c r="P10" s="131"/>
      <c r="Q10" s="131">
        <v>16.8</v>
      </c>
      <c r="R10" s="131">
        <v>4.5</v>
      </c>
      <c r="S10" s="113">
        <f t="shared" ref="S10:S16" si="2">F10/E10</f>
        <v>1.7750000000000002E-2</v>
      </c>
      <c r="U10" s="169"/>
      <c r="V10" s="169"/>
      <c r="AB10" s="152">
        <f t="shared" si="0"/>
        <v>2.6624999999999999E-2</v>
      </c>
      <c r="AC10" s="279"/>
    </row>
    <row r="11" spans="1:29" x14ac:dyDescent="0.25">
      <c r="A11" s="263"/>
      <c r="B11" s="270"/>
      <c r="C11" s="131" t="s">
        <v>192</v>
      </c>
      <c r="D11" s="132">
        <v>1000</v>
      </c>
      <c r="E11" s="132">
        <v>1500</v>
      </c>
      <c r="F11" s="135">
        <v>741.8</v>
      </c>
      <c r="G11" s="166"/>
      <c r="H11" s="131">
        <v>74</v>
      </c>
      <c r="I11" s="131">
        <v>74</v>
      </c>
      <c r="J11" s="131">
        <v>74</v>
      </c>
      <c r="K11" s="131">
        <v>74</v>
      </c>
      <c r="L11" s="131">
        <v>74</v>
      </c>
      <c r="M11" s="131">
        <v>74</v>
      </c>
      <c r="N11" s="131">
        <v>74</v>
      </c>
      <c r="O11" s="131">
        <v>74</v>
      </c>
      <c r="P11" s="131">
        <v>74</v>
      </c>
      <c r="Q11" s="131">
        <v>74</v>
      </c>
      <c r="R11" s="131"/>
      <c r="S11" s="113">
        <f t="shared" si="2"/>
        <v>0.49453333333333332</v>
      </c>
      <c r="U11" s="169"/>
      <c r="V11" s="169"/>
      <c r="AB11" s="151">
        <f t="shared" si="0"/>
        <v>0.7417999999999999</v>
      </c>
      <c r="AC11" s="278">
        <f>SUM(AB11:AB12)</f>
        <v>1.5677999999999999</v>
      </c>
    </row>
    <row r="12" spans="1:29" x14ac:dyDescent="0.25">
      <c r="A12" s="263"/>
      <c r="B12" s="270"/>
      <c r="C12" s="131" t="s">
        <v>193</v>
      </c>
      <c r="D12" s="132">
        <v>1000</v>
      </c>
      <c r="E12" s="132">
        <v>1500</v>
      </c>
      <c r="F12" s="135">
        <v>826</v>
      </c>
      <c r="G12" s="166"/>
      <c r="H12" s="131"/>
      <c r="I12" s="131"/>
      <c r="J12" s="131"/>
      <c r="K12" s="131"/>
      <c r="L12" s="131"/>
      <c r="M12" s="131"/>
      <c r="N12" s="131"/>
      <c r="O12" s="131"/>
      <c r="P12" s="131"/>
      <c r="Q12" s="131">
        <v>346</v>
      </c>
      <c r="R12" s="131">
        <v>480</v>
      </c>
      <c r="S12" s="113">
        <f t="shared" si="2"/>
        <v>0.55066666666666664</v>
      </c>
      <c r="U12" s="169"/>
      <c r="V12" s="169"/>
      <c r="AB12" s="151">
        <f t="shared" si="0"/>
        <v>0.82599999999999996</v>
      </c>
      <c r="AC12" s="279"/>
    </row>
    <row r="13" spans="1:29" x14ac:dyDescent="0.25">
      <c r="A13" s="263"/>
      <c r="B13" s="270"/>
      <c r="C13" s="131" t="s">
        <v>204</v>
      </c>
      <c r="D13" s="132">
        <v>1000</v>
      </c>
      <c r="E13" s="132">
        <v>1500</v>
      </c>
      <c r="F13" s="135">
        <v>2662</v>
      </c>
      <c r="G13" s="166"/>
      <c r="H13" s="131">
        <v>245</v>
      </c>
      <c r="I13" s="131">
        <v>258</v>
      </c>
      <c r="J13" s="131">
        <v>249</v>
      </c>
      <c r="K13" s="131">
        <v>249</v>
      </c>
      <c r="L13" s="131">
        <v>271</v>
      </c>
      <c r="M13" s="131">
        <v>383</v>
      </c>
      <c r="N13" s="131">
        <v>389</v>
      </c>
      <c r="O13" s="131">
        <v>350</v>
      </c>
      <c r="P13" s="131">
        <v>268</v>
      </c>
      <c r="Q13" s="131"/>
      <c r="R13" s="131"/>
      <c r="S13" s="113">
        <f t="shared" si="2"/>
        <v>1.7746666666666666</v>
      </c>
      <c r="U13" s="169"/>
      <c r="V13" s="169"/>
      <c r="AB13" s="151">
        <f t="shared" si="0"/>
        <v>2.6619999999999999</v>
      </c>
      <c r="AC13" s="278">
        <f>SUM(S13:S14)</f>
        <v>2.1913333333333331</v>
      </c>
    </row>
    <row r="14" spans="1:29" x14ac:dyDescent="0.25">
      <c r="A14" s="263"/>
      <c r="B14" s="270"/>
      <c r="C14" s="131" t="s">
        <v>194</v>
      </c>
      <c r="D14" s="132">
        <v>1200</v>
      </c>
      <c r="E14" s="132">
        <v>1800</v>
      </c>
      <c r="F14" s="135">
        <v>750</v>
      </c>
      <c r="G14" s="166"/>
      <c r="H14" s="131"/>
      <c r="I14" s="131"/>
      <c r="J14" s="131"/>
      <c r="K14" s="131"/>
      <c r="L14" s="131"/>
      <c r="M14" s="131"/>
      <c r="N14" s="131"/>
      <c r="O14" s="131"/>
      <c r="P14" s="131"/>
      <c r="Q14" s="131"/>
      <c r="R14" s="131">
        <v>750</v>
      </c>
      <c r="S14" s="113">
        <f t="shared" si="2"/>
        <v>0.41666666666666669</v>
      </c>
      <c r="U14" s="169"/>
      <c r="V14" s="169"/>
      <c r="AB14" s="151">
        <f t="shared" si="0"/>
        <v>0.625</v>
      </c>
      <c r="AC14" s="279"/>
    </row>
    <row r="15" spans="1:29" x14ac:dyDescent="0.25">
      <c r="A15" s="264"/>
      <c r="B15" s="270"/>
      <c r="C15" s="131" t="s">
        <v>195</v>
      </c>
      <c r="D15" s="132">
        <v>1500</v>
      </c>
      <c r="E15" s="132">
        <v>2500</v>
      </c>
      <c r="F15" s="135">
        <v>994</v>
      </c>
      <c r="G15" s="166"/>
      <c r="H15" s="131"/>
      <c r="I15" s="131"/>
      <c r="J15" s="131"/>
      <c r="K15" s="131"/>
      <c r="L15" s="131"/>
      <c r="M15" s="131"/>
      <c r="N15" s="131"/>
      <c r="O15" s="131"/>
      <c r="P15" s="131"/>
      <c r="Q15" s="131"/>
      <c r="R15" s="131">
        <v>994</v>
      </c>
      <c r="S15" s="142">
        <f t="shared" si="2"/>
        <v>0.39760000000000001</v>
      </c>
      <c r="U15" s="169"/>
      <c r="V15" s="169"/>
      <c r="AB15" s="151">
        <f t="shared" si="0"/>
        <v>0.66266666666666663</v>
      </c>
      <c r="AC15" s="140">
        <f>AB15</f>
        <v>0.66266666666666663</v>
      </c>
    </row>
    <row r="16" spans="1:29" x14ac:dyDescent="0.25">
      <c r="A16" s="265"/>
      <c r="B16" s="270"/>
      <c r="C16" s="154" t="s">
        <v>200</v>
      </c>
      <c r="D16" s="155">
        <v>1800</v>
      </c>
      <c r="E16" s="155">
        <v>2700</v>
      </c>
      <c r="F16" s="156">
        <f>Q16</f>
        <v>1701</v>
      </c>
      <c r="G16" s="166"/>
      <c r="H16" s="154"/>
      <c r="I16" s="154"/>
      <c r="J16" s="154"/>
      <c r="K16" s="154"/>
      <c r="L16" s="154"/>
      <c r="M16" s="154"/>
      <c r="N16" s="154"/>
      <c r="O16" s="154"/>
      <c r="P16" s="154"/>
      <c r="Q16" s="154">
        <v>1701</v>
      </c>
      <c r="R16" s="154"/>
      <c r="S16" s="142">
        <f t="shared" si="2"/>
        <v>0.63</v>
      </c>
      <c r="U16" s="169"/>
      <c r="V16" s="169"/>
      <c r="AB16" s="151">
        <f t="shared" si="0"/>
        <v>0.94499999999999995</v>
      </c>
      <c r="AC16" s="271">
        <f>SUM(AB16:AB17)</f>
        <v>1.336111111111111</v>
      </c>
    </row>
    <row r="17" spans="1:30" x14ac:dyDescent="0.25">
      <c r="A17" s="265"/>
      <c r="B17" s="270"/>
      <c r="C17" s="154" t="s">
        <v>196</v>
      </c>
      <c r="D17" s="155">
        <v>1800</v>
      </c>
      <c r="E17" s="155">
        <v>2700</v>
      </c>
      <c r="F17" s="156">
        <v>704</v>
      </c>
      <c r="G17" s="166"/>
      <c r="H17" s="154"/>
      <c r="I17" s="154"/>
      <c r="J17" s="154"/>
      <c r="K17" s="154"/>
      <c r="L17" s="154"/>
      <c r="M17" s="154"/>
      <c r="N17" s="154"/>
      <c r="O17" s="154"/>
      <c r="P17" s="154"/>
      <c r="Q17" s="154">
        <v>704</v>
      </c>
      <c r="R17" s="154"/>
      <c r="S17" s="142">
        <f>F17/E17</f>
        <v>0.26074074074074072</v>
      </c>
      <c r="U17" s="169"/>
      <c r="V17" s="169"/>
      <c r="AB17" s="151">
        <f t="shared" si="0"/>
        <v>0.39111111111111113</v>
      </c>
      <c r="AC17" s="272"/>
    </row>
    <row r="18" spans="1:30" s="128" customFormat="1" x14ac:dyDescent="0.25">
      <c r="A18" s="265"/>
      <c r="B18" s="270"/>
      <c r="C18" s="154" t="s">
        <v>316</v>
      </c>
      <c r="D18" s="155">
        <v>300</v>
      </c>
      <c r="E18" s="155">
        <v>380</v>
      </c>
      <c r="F18" s="156">
        <f>656</f>
        <v>656</v>
      </c>
      <c r="G18" s="166"/>
      <c r="H18" s="154"/>
      <c r="I18" s="154"/>
      <c r="J18" s="154"/>
      <c r="K18" s="154"/>
      <c r="L18" s="154"/>
      <c r="M18" s="154"/>
      <c r="N18" s="154"/>
      <c r="O18" s="154"/>
      <c r="P18" s="154"/>
      <c r="Q18" s="154">
        <v>656</v>
      </c>
      <c r="R18" s="154"/>
      <c r="S18" s="142">
        <f>(F18/E18)</f>
        <v>1.7263157894736842</v>
      </c>
      <c r="T18" s="111"/>
      <c r="U18" s="169"/>
      <c r="V18" s="169"/>
      <c r="AB18" s="151">
        <f t="shared" si="0"/>
        <v>2.1866666666666665</v>
      </c>
      <c r="AC18" s="153"/>
    </row>
    <row r="19" spans="1:30" x14ac:dyDescent="0.25">
      <c r="A19" s="265"/>
      <c r="B19" s="270"/>
      <c r="C19" s="154" t="s">
        <v>317</v>
      </c>
      <c r="D19" s="155">
        <v>300</v>
      </c>
      <c r="E19" s="155">
        <v>380</v>
      </c>
      <c r="F19" s="156">
        <f>SUM(H19:Q19)</f>
        <v>5610</v>
      </c>
      <c r="G19" s="166"/>
      <c r="H19" s="154">
        <v>560</v>
      </c>
      <c r="I19" s="154">
        <v>560</v>
      </c>
      <c r="J19" s="154">
        <v>560</v>
      </c>
      <c r="K19" s="154">
        <v>560</v>
      </c>
      <c r="L19" s="154">
        <v>560</v>
      </c>
      <c r="M19" s="154">
        <v>560</v>
      </c>
      <c r="N19" s="154">
        <v>560</v>
      </c>
      <c r="O19" s="154">
        <v>560</v>
      </c>
      <c r="P19" s="154">
        <v>474</v>
      </c>
      <c r="Q19" s="154">
        <v>656</v>
      </c>
      <c r="R19" s="154"/>
      <c r="S19" s="142">
        <f>(F19/E19)/12</f>
        <v>1.2302631578947369</v>
      </c>
      <c r="U19" s="169"/>
      <c r="V19" s="169"/>
      <c r="AB19" s="151">
        <f>(F19/D19)/12</f>
        <v>1.5583333333333333</v>
      </c>
      <c r="AC19" s="141"/>
      <c r="AD19" s="114"/>
    </row>
    <row r="20" spans="1:30" x14ac:dyDescent="0.25">
      <c r="A20" s="265"/>
      <c r="B20" s="139"/>
      <c r="C20" s="154" t="s">
        <v>325</v>
      </c>
      <c r="D20" s="275"/>
      <c r="E20" s="275"/>
      <c r="F20" s="156">
        <v>289.39999999999998</v>
      </c>
      <c r="G20" s="166"/>
      <c r="H20" s="154"/>
      <c r="I20" s="154"/>
      <c r="J20" s="154"/>
      <c r="K20" s="154"/>
      <c r="L20" s="154"/>
      <c r="M20" s="154"/>
      <c r="N20" s="154"/>
      <c r="O20" s="154"/>
      <c r="P20" s="154"/>
      <c r="Q20" s="154"/>
      <c r="R20" s="154"/>
      <c r="S20" s="142"/>
      <c r="U20" s="169"/>
      <c r="V20" s="169"/>
      <c r="AB20" s="151"/>
      <c r="AC20" s="141"/>
      <c r="AD20" s="114"/>
    </row>
    <row r="21" spans="1:30" x14ac:dyDescent="0.25">
      <c r="A21" s="265"/>
      <c r="B21" s="134"/>
      <c r="C21" s="137" t="s">
        <v>318</v>
      </c>
      <c r="D21" s="130"/>
      <c r="E21" s="130"/>
      <c r="F21" s="136">
        <f>SUM(F4:F20)</f>
        <v>29842.15</v>
      </c>
      <c r="G21" s="163"/>
      <c r="H21" s="138"/>
      <c r="I21" s="138"/>
      <c r="J21" s="138"/>
      <c r="K21" s="138"/>
      <c r="L21" s="138"/>
      <c r="M21" s="138"/>
      <c r="N21" s="138"/>
      <c r="O21" s="138"/>
      <c r="P21" s="138"/>
      <c r="Q21" s="138"/>
      <c r="R21" s="138"/>
      <c r="S21" s="115">
        <f>ROUND(SUM(S4:S19),0)</f>
        <v>22</v>
      </c>
    </row>
    <row r="22" spans="1:30" x14ac:dyDescent="0.25">
      <c r="A22" s="126"/>
      <c r="B22" s="126"/>
      <c r="C22" s="116"/>
      <c r="D22" s="117"/>
      <c r="E22" s="117"/>
      <c r="F22" s="118"/>
      <c r="G22" s="164"/>
      <c r="H22" s="116"/>
      <c r="I22" s="116"/>
      <c r="J22" s="116"/>
      <c r="K22" s="116"/>
      <c r="L22" s="116"/>
      <c r="M22" s="116"/>
      <c r="N22" s="116"/>
      <c r="O22" s="116"/>
      <c r="P22" s="116"/>
      <c r="Q22" s="116"/>
      <c r="R22" s="116"/>
      <c r="S22" s="119"/>
    </row>
    <row r="23" spans="1:30" x14ac:dyDescent="0.25">
      <c r="P23" s="144" t="e">
        <f>(#REF!*Q23)/#REF!</f>
        <v>#REF!</v>
      </c>
      <c r="Q23" s="144" t="e">
        <f>#REF!/12</f>
        <v>#REF!</v>
      </c>
    </row>
    <row r="24" spans="1:30" x14ac:dyDescent="0.25">
      <c r="E24" s="146"/>
      <c r="F24" s="145"/>
      <c r="K24" s="143"/>
      <c r="L24" s="143"/>
      <c r="S24" s="114">
        <f>SUM(S4:S19)</f>
        <v>22.463744688109159</v>
      </c>
    </row>
    <row r="26" spans="1:30" x14ac:dyDescent="0.25">
      <c r="E26" s="146"/>
      <c r="P26" s="111">
        <v>16</v>
      </c>
      <c r="Q26" s="114">
        <f>F19*2</f>
        <v>11220</v>
      </c>
    </row>
    <row r="27" spans="1:30" x14ac:dyDescent="0.25">
      <c r="F27" s="145"/>
      <c r="Q27" s="114"/>
    </row>
    <row r="28" spans="1:30" x14ac:dyDescent="0.25">
      <c r="K28" s="143"/>
      <c r="L28" s="143"/>
      <c r="M28" s="143"/>
    </row>
    <row r="29" spans="1:30" x14ac:dyDescent="0.25">
      <c r="K29" s="114"/>
    </row>
  </sheetData>
  <mergeCells count="17">
    <mergeCell ref="AC16:AC17"/>
    <mergeCell ref="G1:G2"/>
    <mergeCell ref="D20:E20"/>
    <mergeCell ref="AB3:AC3"/>
    <mergeCell ref="AC4:AC5"/>
    <mergeCell ref="AC6:AC10"/>
    <mergeCell ref="AC11:AC12"/>
    <mergeCell ref="AC13:AC14"/>
    <mergeCell ref="A3:A15"/>
    <mergeCell ref="A16:A21"/>
    <mergeCell ref="D1:E1"/>
    <mergeCell ref="S1:S2"/>
    <mergeCell ref="A1:A2"/>
    <mergeCell ref="C1:C2"/>
    <mergeCell ref="B3:B19"/>
    <mergeCell ref="F1:F2"/>
    <mergeCell ref="H1:R2"/>
  </mergeCells>
  <pageMargins left="0.511811024" right="0.511811024" top="0.78740157499999996" bottom="0.78740157499999996" header="0.31496062000000002" footer="0.31496062000000002"/>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K184"/>
  <sheetViews>
    <sheetView showGridLines="0" topLeftCell="A121" zoomScaleNormal="100" workbookViewId="0">
      <selection activeCell="I130" sqref="I130"/>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172</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43</v>
      </c>
      <c r="F18" s="250"/>
      <c r="G18" s="251"/>
    </row>
    <row r="19" spans="1:7" x14ac:dyDescent="0.25">
      <c r="A19" s="75">
        <v>2</v>
      </c>
      <c r="B19" s="234" t="s">
        <v>78</v>
      </c>
      <c r="C19" s="234"/>
      <c r="D19" s="234"/>
      <c r="E19" s="244"/>
      <c r="F19" s="244"/>
      <c r="G19" s="244"/>
    </row>
    <row r="20" spans="1:7" x14ac:dyDescent="0.25">
      <c r="A20" s="75">
        <v>3</v>
      </c>
      <c r="B20" s="234" t="s">
        <v>79</v>
      </c>
      <c r="C20" s="234"/>
      <c r="D20" s="234"/>
      <c r="E20" s="246">
        <v>1287.96</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1287.96</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238</v>
      </c>
      <c r="C33" s="234"/>
      <c r="D33" s="234"/>
      <c r="E33" s="234"/>
      <c r="F33" s="234"/>
      <c r="G33" s="80">
        <v>0</v>
      </c>
    </row>
    <row r="34" spans="1:7" x14ac:dyDescent="0.25">
      <c r="A34" s="235" t="s">
        <v>90</v>
      </c>
      <c r="B34" s="235"/>
      <c r="C34" s="235"/>
      <c r="D34" s="235"/>
      <c r="E34" s="235"/>
      <c r="F34" s="235"/>
      <c r="G34" s="81">
        <f>ROUND(SUM(G30:G33),2)</f>
        <v>1287.96</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107.33</v>
      </c>
    </row>
    <row r="40" spans="1:7" x14ac:dyDescent="0.25">
      <c r="A40" s="75" t="s">
        <v>59</v>
      </c>
      <c r="B40" s="243" t="s">
        <v>96</v>
      </c>
      <c r="C40" s="243"/>
      <c r="D40" s="243"/>
      <c r="E40" s="243"/>
      <c r="F40" s="82">
        <v>0.1111</v>
      </c>
      <c r="G40" s="83">
        <f>ROUND($G$34*F40,2)</f>
        <v>143.09</v>
      </c>
    </row>
    <row r="41" spans="1:7" x14ac:dyDescent="0.25">
      <c r="A41" s="235" t="s">
        <v>97</v>
      </c>
      <c r="B41" s="235"/>
      <c r="C41" s="235"/>
      <c r="D41" s="235"/>
      <c r="E41" s="235"/>
      <c r="F41" s="235"/>
      <c r="G41" s="81">
        <f>ROUND(SUM(G39:G40),2)</f>
        <v>250.42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1538.38</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307.68</v>
      </c>
    </row>
    <row r="50" spans="1:7" x14ac:dyDescent="0.25">
      <c r="A50" s="75" t="s">
        <v>105</v>
      </c>
      <c r="B50" s="234" t="s">
        <v>242</v>
      </c>
      <c r="C50" s="234"/>
      <c r="D50" s="234"/>
      <c r="E50" s="234"/>
      <c r="F50" s="82">
        <v>2.5000000000000001E-2</v>
      </c>
      <c r="G50" s="83">
        <f t="shared" si="0"/>
        <v>38.46</v>
      </c>
    </row>
    <row r="51" spans="1:7" x14ac:dyDescent="0.25">
      <c r="A51" s="75" t="s">
        <v>106</v>
      </c>
      <c r="B51" s="234" t="s">
        <v>243</v>
      </c>
      <c r="C51" s="234"/>
      <c r="D51" s="234"/>
      <c r="E51" s="234"/>
      <c r="F51" s="85">
        <v>0.03</v>
      </c>
      <c r="G51" s="83">
        <f t="shared" si="0"/>
        <v>46.15</v>
      </c>
    </row>
    <row r="52" spans="1:7" x14ac:dyDescent="0.25">
      <c r="A52" s="75" t="s">
        <v>59</v>
      </c>
      <c r="B52" s="234" t="s">
        <v>244</v>
      </c>
      <c r="C52" s="234"/>
      <c r="D52" s="234"/>
      <c r="E52" s="234"/>
      <c r="F52" s="82">
        <v>0.08</v>
      </c>
      <c r="G52" s="83">
        <f t="shared" si="0"/>
        <v>123.07</v>
      </c>
    </row>
    <row r="53" spans="1:7" x14ac:dyDescent="0.25">
      <c r="A53" s="75" t="s">
        <v>62</v>
      </c>
      <c r="B53" s="234" t="s">
        <v>245</v>
      </c>
      <c r="C53" s="234"/>
      <c r="D53" s="234"/>
      <c r="E53" s="234"/>
      <c r="F53" s="82">
        <v>1.4999999999999999E-2</v>
      </c>
      <c r="G53" s="83">
        <f t="shared" si="0"/>
        <v>23.08</v>
      </c>
    </row>
    <row r="54" spans="1:7" x14ac:dyDescent="0.25">
      <c r="A54" s="75" t="s">
        <v>64</v>
      </c>
      <c r="B54" s="234" t="s">
        <v>246</v>
      </c>
      <c r="C54" s="234"/>
      <c r="D54" s="234"/>
      <c r="E54" s="234"/>
      <c r="F54" s="82">
        <v>0.01</v>
      </c>
      <c r="G54" s="83">
        <f t="shared" si="0"/>
        <v>15.38</v>
      </c>
    </row>
    <row r="55" spans="1:7" x14ac:dyDescent="0.25">
      <c r="A55" s="75" t="s">
        <v>66</v>
      </c>
      <c r="B55" s="234" t="s">
        <v>247</v>
      </c>
      <c r="C55" s="234"/>
      <c r="D55" s="234"/>
      <c r="E55" s="234"/>
      <c r="F55" s="82">
        <v>6.0000000000000001E-3</v>
      </c>
      <c r="G55" s="83">
        <f t="shared" si="0"/>
        <v>9.23</v>
      </c>
    </row>
    <row r="56" spans="1:7" x14ac:dyDescent="0.25">
      <c r="A56" s="75" t="s">
        <v>107</v>
      </c>
      <c r="B56" s="234" t="s">
        <v>248</v>
      </c>
      <c r="C56" s="234"/>
      <c r="D56" s="234"/>
      <c r="E56" s="234"/>
      <c r="F56" s="82">
        <v>2E-3</v>
      </c>
      <c r="G56" s="83">
        <f t="shared" si="0"/>
        <v>3.08</v>
      </c>
    </row>
    <row r="57" spans="1:7" x14ac:dyDescent="0.25">
      <c r="A57" s="235" t="s">
        <v>108</v>
      </c>
      <c r="B57" s="235"/>
      <c r="C57" s="235"/>
      <c r="D57" s="235"/>
      <c r="E57" s="235"/>
      <c r="F57" s="86">
        <f>SUM(F49:F56)</f>
        <v>0.36800000000000005</v>
      </c>
      <c r="G57" s="81">
        <f>ROUND(SUM(G49:G56),2)</f>
        <v>566.13</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-77.28</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1061.72</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250.42</v>
      </c>
    </row>
    <row r="80" spans="1:7" x14ac:dyDescent="0.25">
      <c r="A80" s="93" t="s">
        <v>103</v>
      </c>
      <c r="B80" s="236" t="s">
        <v>104</v>
      </c>
      <c r="C80" s="236"/>
      <c r="D80" s="236"/>
      <c r="E80" s="236"/>
      <c r="F80" s="236"/>
      <c r="G80" s="94">
        <f>$G$57</f>
        <v>566.13</v>
      </c>
    </row>
    <row r="81" spans="1:7" x14ac:dyDescent="0.25">
      <c r="A81" s="93" t="s">
        <v>113</v>
      </c>
      <c r="B81" s="236" t="s">
        <v>114</v>
      </c>
      <c r="C81" s="236"/>
      <c r="D81" s="236"/>
      <c r="E81" s="236"/>
      <c r="F81" s="236"/>
      <c r="G81" s="94">
        <f>$G$73</f>
        <v>1061.72</v>
      </c>
    </row>
    <row r="82" spans="1:7" x14ac:dyDescent="0.25">
      <c r="A82" s="235" t="s">
        <v>127</v>
      </c>
      <c r="B82" s="235"/>
      <c r="C82" s="235"/>
      <c r="D82" s="235"/>
      <c r="E82" s="235"/>
      <c r="F82" s="235"/>
      <c r="G82" s="81">
        <f>ROUND(SUM(G79:G81),2)</f>
        <v>1878.27</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5.96</v>
      </c>
    </row>
    <row r="87" spans="1:7" x14ac:dyDescent="0.25">
      <c r="A87" s="75" t="s">
        <v>59</v>
      </c>
      <c r="B87" s="234" t="s">
        <v>130</v>
      </c>
      <c r="C87" s="234"/>
      <c r="D87" s="234"/>
      <c r="E87" s="234"/>
      <c r="F87" s="95">
        <f>$F$52</f>
        <v>0.08</v>
      </c>
      <c r="G87" s="83">
        <f>G86*F87</f>
        <v>0.4768</v>
      </c>
    </row>
    <row r="88" spans="1:7" x14ac:dyDescent="0.25">
      <c r="A88" s="75" t="s">
        <v>62</v>
      </c>
      <c r="B88" s="234" t="s">
        <v>235</v>
      </c>
      <c r="C88" s="234"/>
      <c r="D88" s="234"/>
      <c r="E88" s="234"/>
      <c r="F88" s="82">
        <f>(7/30)/12</f>
        <v>1.9444444444444445E-2</v>
      </c>
      <c r="G88" s="83">
        <f>ROUND($G$34*F88,2)</f>
        <v>25.04</v>
      </c>
    </row>
    <row r="89" spans="1:7" x14ac:dyDescent="0.25">
      <c r="A89" s="75" t="s">
        <v>64</v>
      </c>
      <c r="B89" s="234" t="s">
        <v>131</v>
      </c>
      <c r="C89" s="234"/>
      <c r="D89" s="234"/>
      <c r="E89" s="234"/>
      <c r="F89" s="95">
        <f>$F$57</f>
        <v>0.36800000000000005</v>
      </c>
      <c r="G89" s="83">
        <f>G88*F89</f>
        <v>9.2147200000000016</v>
      </c>
    </row>
    <row r="90" spans="1:7" x14ac:dyDescent="0.25">
      <c r="A90" s="75" t="s">
        <v>66</v>
      </c>
      <c r="B90" s="234" t="s">
        <v>236</v>
      </c>
      <c r="C90" s="234"/>
      <c r="D90" s="234"/>
      <c r="E90" s="234"/>
      <c r="F90" s="85">
        <v>0.04</v>
      </c>
      <c r="G90" s="83">
        <f>ROUND($G$34*F90,2)</f>
        <v>51.52</v>
      </c>
    </row>
    <row r="91" spans="1:7" x14ac:dyDescent="0.25">
      <c r="A91" s="235" t="s">
        <v>132</v>
      </c>
      <c r="B91" s="235"/>
      <c r="C91" s="235"/>
      <c r="D91" s="235"/>
      <c r="E91" s="235"/>
      <c r="F91" s="235"/>
      <c r="G91" s="81">
        <f>ROUND(SUM(G86:G90),2)</f>
        <v>92.21</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11.98</v>
      </c>
    </row>
    <row r="97" spans="1:7" ht="15" customHeight="1" x14ac:dyDescent="0.25">
      <c r="A97" s="75" t="s">
        <v>138</v>
      </c>
      <c r="B97" s="237" t="s">
        <v>139</v>
      </c>
      <c r="C97" s="237"/>
      <c r="D97" s="237"/>
      <c r="E97" s="237"/>
      <c r="F97" s="96">
        <f>$F$57</f>
        <v>0.36800000000000005</v>
      </c>
      <c r="G97" s="83">
        <f>ROUND(G96*F97,2)</f>
        <v>4.41</v>
      </c>
    </row>
    <row r="98" spans="1:7" x14ac:dyDescent="0.25">
      <c r="A98" s="75" t="s">
        <v>59</v>
      </c>
      <c r="B98" s="234" t="s">
        <v>237</v>
      </c>
      <c r="C98" s="234"/>
      <c r="D98" s="234"/>
      <c r="E98" s="234"/>
      <c r="F98" s="97">
        <v>7.3000000000000001E-3</v>
      </c>
      <c r="G98" s="83">
        <f>ROUND($G$34*F98,2)</f>
        <v>9.4</v>
      </c>
    </row>
    <row r="99" spans="1:7" x14ac:dyDescent="0.25">
      <c r="A99" s="75" t="s">
        <v>62</v>
      </c>
      <c r="B99" s="234" t="s">
        <v>254</v>
      </c>
      <c r="C99" s="234"/>
      <c r="D99" s="234"/>
      <c r="E99" s="234"/>
      <c r="F99" s="97">
        <v>8.1999999999999998E-4</v>
      </c>
      <c r="G99" s="83">
        <f>ROUND($G$34*F99,2)</f>
        <v>1.06</v>
      </c>
    </row>
    <row r="100" spans="1:7" x14ac:dyDescent="0.25">
      <c r="A100" s="75" t="s">
        <v>64</v>
      </c>
      <c r="B100" s="234" t="s">
        <v>255</v>
      </c>
      <c r="C100" s="234"/>
      <c r="D100" s="234"/>
      <c r="E100" s="234"/>
      <c r="F100" s="97">
        <v>2.7000000000000001E-3</v>
      </c>
      <c r="G100" s="83">
        <f>ROUND($G$34*F100,2)</f>
        <v>3.48</v>
      </c>
    </row>
    <row r="101" spans="1:7" x14ac:dyDescent="0.25">
      <c r="A101" s="75" t="s">
        <v>66</v>
      </c>
      <c r="B101" s="234" t="s">
        <v>256</v>
      </c>
      <c r="C101" s="234"/>
      <c r="D101" s="234"/>
      <c r="E101" s="234"/>
      <c r="F101" s="97">
        <v>5.5000000000000003E-4</v>
      </c>
      <c r="G101" s="83">
        <f>ROUND($G$34*F101,2)</f>
        <v>0.71</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31.04</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31.04</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31.04</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1">
        <f>(G91+G82+G34)*1.45%</f>
        <v>47.24738</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47.25</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1287.96</v>
      </c>
    </row>
    <row r="129" spans="1:11" x14ac:dyDescent="0.25">
      <c r="A129" s="100" t="s">
        <v>59</v>
      </c>
      <c r="B129" s="231" t="s">
        <v>161</v>
      </c>
      <c r="C129" s="231"/>
      <c r="D129" s="231"/>
      <c r="E129" s="231"/>
      <c r="F129" s="231"/>
      <c r="G129" s="101">
        <f>$G$82</f>
        <v>1878.27</v>
      </c>
    </row>
    <row r="130" spans="1:11" x14ac:dyDescent="0.25">
      <c r="A130" s="100" t="s">
        <v>62</v>
      </c>
      <c r="B130" s="231" t="s">
        <v>162</v>
      </c>
      <c r="C130" s="231"/>
      <c r="D130" s="231"/>
      <c r="E130" s="231"/>
      <c r="F130" s="231"/>
      <c r="G130" s="101">
        <f>$G$91</f>
        <v>92.21</v>
      </c>
    </row>
    <row r="131" spans="1:11" x14ac:dyDescent="0.25">
      <c r="A131" s="100" t="s">
        <v>64</v>
      </c>
      <c r="B131" s="231" t="s">
        <v>163</v>
      </c>
      <c r="C131" s="231"/>
      <c r="D131" s="231"/>
      <c r="E131" s="231"/>
      <c r="F131" s="231"/>
      <c r="G131" s="101">
        <f>$G$116</f>
        <v>31.04</v>
      </c>
    </row>
    <row r="132" spans="1:11" x14ac:dyDescent="0.25">
      <c r="A132" s="100" t="s">
        <v>66</v>
      </c>
      <c r="B132" s="231" t="s">
        <v>164</v>
      </c>
      <c r="C132" s="231"/>
      <c r="D132" s="231"/>
      <c r="E132" s="231"/>
      <c r="F132" s="231"/>
      <c r="G132" s="101">
        <f>$G$123</f>
        <v>47.25</v>
      </c>
    </row>
    <row r="133" spans="1:11" x14ac:dyDescent="0.25">
      <c r="A133" s="233" t="s">
        <v>165</v>
      </c>
      <c r="B133" s="233"/>
      <c r="C133" s="233"/>
      <c r="D133" s="233"/>
      <c r="E133" s="233"/>
      <c r="F133" s="233"/>
      <c r="G133" s="94">
        <f>ROUND(SUM(G128:G132),2)</f>
        <v>3336.73</v>
      </c>
    </row>
    <row r="134" spans="1:11" x14ac:dyDescent="0.25">
      <c r="A134" s="74"/>
      <c r="B134" s="74"/>
      <c r="C134" s="74"/>
      <c r="D134" s="74"/>
      <c r="E134" s="74"/>
      <c r="F134" s="74"/>
      <c r="G134" s="74"/>
    </row>
    <row r="135" spans="1:11" x14ac:dyDescent="0.25">
      <c r="A135" s="229" t="s">
        <v>166</v>
      </c>
      <c r="B135" s="229"/>
      <c r="C135" s="229"/>
      <c r="D135" s="229"/>
      <c r="E135" s="229"/>
      <c r="F135" s="229"/>
      <c r="G135" s="229"/>
    </row>
    <row r="136" spans="1:11" ht="15" customHeight="1" x14ac:dyDescent="0.25">
      <c r="A136" s="104"/>
      <c r="B136" s="230" t="s">
        <v>167</v>
      </c>
      <c r="C136" s="230"/>
      <c r="D136" s="230"/>
      <c r="E136" s="230"/>
      <c r="F136" s="230"/>
      <c r="G136" s="104" t="s">
        <v>88</v>
      </c>
    </row>
    <row r="137" spans="1:11" x14ac:dyDescent="0.25">
      <c r="A137" s="100" t="s">
        <v>56</v>
      </c>
      <c r="B137" s="231" t="s">
        <v>168</v>
      </c>
      <c r="C137" s="231"/>
      <c r="D137" s="231"/>
      <c r="E137" s="231"/>
      <c r="F137" s="231"/>
      <c r="G137" s="81">
        <f>G133</f>
        <v>3336.73</v>
      </c>
      <c r="H137" s="167"/>
      <c r="I137" s="167"/>
      <c r="J137" s="167"/>
      <c r="K137" s="168"/>
    </row>
    <row r="138" spans="1:11" x14ac:dyDescent="0.25">
      <c r="A138" s="100" t="s">
        <v>59</v>
      </c>
      <c r="B138" s="231" t="s">
        <v>169</v>
      </c>
      <c r="C138" s="231"/>
      <c r="D138" s="231"/>
      <c r="E138" s="231"/>
      <c r="F138" s="231"/>
      <c r="G138" s="81">
        <f>ROUND($G$137/$E$23,2)</f>
        <v>158.82</v>
      </c>
    </row>
    <row r="139" spans="1:11" x14ac:dyDescent="0.25">
      <c r="A139" s="100" t="s">
        <v>59</v>
      </c>
      <c r="B139" s="231" t="s">
        <v>170</v>
      </c>
      <c r="C139" s="231"/>
      <c r="D139" s="231"/>
      <c r="E139" s="231"/>
      <c r="F139" s="231"/>
      <c r="G139" s="81">
        <f>G137/220</f>
        <v>15.166954545454546</v>
      </c>
    </row>
    <row r="140" spans="1:11" ht="15" customHeight="1" x14ac:dyDescent="0.25">
      <c r="A140" s="232" t="s">
        <v>171</v>
      </c>
      <c r="B140" s="232"/>
      <c r="C140" s="232"/>
      <c r="D140" s="232"/>
      <c r="E140" s="232"/>
      <c r="F140" s="232"/>
      <c r="G140" s="232"/>
    </row>
    <row r="141" spans="1:11" x14ac:dyDescent="0.25">
      <c r="A141" s="74"/>
      <c r="B141" s="74"/>
      <c r="C141" s="74"/>
      <c r="D141" s="74"/>
      <c r="E141" s="74"/>
      <c r="F141" s="74"/>
      <c r="G141" s="74"/>
    </row>
    <row r="142" spans="1:11" x14ac:dyDescent="0.25">
      <c r="A142" s="74"/>
      <c r="B142" s="74"/>
      <c r="C142" s="74"/>
      <c r="D142" s="74"/>
      <c r="E142" s="74"/>
      <c r="F142" s="74"/>
      <c r="G142" s="74"/>
    </row>
    <row r="143" spans="1:11" x14ac:dyDescent="0.25">
      <c r="A143" s="102"/>
      <c r="B143" s="102"/>
      <c r="C143" s="103"/>
      <c r="D143" s="103"/>
      <c r="E143" s="103"/>
      <c r="F143" s="102"/>
      <c r="G143" s="102"/>
    </row>
    <row r="144" spans="1:11"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K184"/>
  <sheetViews>
    <sheetView showGridLines="0" topLeftCell="A118" zoomScaleNormal="100" workbookViewId="0">
      <selection activeCell="H132" sqref="H132"/>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172</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181</v>
      </c>
      <c r="F18" s="250"/>
      <c r="G18" s="251"/>
    </row>
    <row r="19" spans="1:7" x14ac:dyDescent="0.25">
      <c r="A19" s="75">
        <v>2</v>
      </c>
      <c r="B19" s="234" t="s">
        <v>78</v>
      </c>
      <c r="C19" s="234"/>
      <c r="D19" s="234"/>
      <c r="E19" s="244"/>
      <c r="F19" s="244"/>
      <c r="G19" s="244"/>
    </row>
    <row r="20" spans="1:7" x14ac:dyDescent="0.25">
      <c r="A20" s="75">
        <v>3</v>
      </c>
      <c r="B20" s="234" t="s">
        <v>79</v>
      </c>
      <c r="C20" s="234"/>
      <c r="D20" s="234"/>
      <c r="E20" s="246">
        <v>1287.96</v>
      </c>
      <c r="F20" s="246"/>
      <c r="G20" s="246"/>
    </row>
    <row r="21" spans="1:7" x14ac:dyDescent="0.25">
      <c r="A21" s="75">
        <v>4</v>
      </c>
      <c r="B21" s="234" t="s">
        <v>80</v>
      </c>
      <c r="C21" s="234"/>
      <c r="D21" s="234"/>
      <c r="E21" s="244"/>
      <c r="F21" s="244"/>
      <c r="G21" s="244"/>
    </row>
    <row r="22" spans="1:7" x14ac:dyDescent="0.25">
      <c r="A22" s="75"/>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1287.96</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180</v>
      </c>
      <c r="C33" s="234"/>
      <c r="D33" s="234"/>
      <c r="E33" s="234"/>
      <c r="F33" s="234"/>
      <c r="G33" s="80"/>
    </row>
    <row r="34" spans="1:7" x14ac:dyDescent="0.25">
      <c r="A34" s="235" t="s">
        <v>90</v>
      </c>
      <c r="B34" s="235"/>
      <c r="C34" s="235"/>
      <c r="D34" s="235"/>
      <c r="E34" s="235"/>
      <c r="F34" s="235"/>
      <c r="G34" s="81">
        <f>ROUND(SUM(G30:G33),2)</f>
        <v>1287.96</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107.33</v>
      </c>
    </row>
    <row r="40" spans="1:7" x14ac:dyDescent="0.25">
      <c r="A40" s="75" t="s">
        <v>59</v>
      </c>
      <c r="B40" s="243" t="s">
        <v>96</v>
      </c>
      <c r="C40" s="243"/>
      <c r="D40" s="243"/>
      <c r="E40" s="243"/>
      <c r="F40" s="82">
        <v>0.1111</v>
      </c>
      <c r="G40" s="83">
        <f>ROUND($G$34*F40,2)</f>
        <v>143.09</v>
      </c>
    </row>
    <row r="41" spans="1:7" x14ac:dyDescent="0.25">
      <c r="A41" s="235" t="s">
        <v>97</v>
      </c>
      <c r="B41" s="235"/>
      <c r="C41" s="235"/>
      <c r="D41" s="235"/>
      <c r="E41" s="235"/>
      <c r="F41" s="235"/>
      <c r="G41" s="81">
        <f>ROUND(SUM(G39:G40),2)</f>
        <v>250.42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1538.38</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307.68</v>
      </c>
    </row>
    <row r="50" spans="1:7" x14ac:dyDescent="0.25">
      <c r="A50" s="75" t="s">
        <v>105</v>
      </c>
      <c r="B50" s="234" t="s">
        <v>242</v>
      </c>
      <c r="C50" s="234"/>
      <c r="D50" s="234"/>
      <c r="E50" s="234"/>
      <c r="F50" s="82">
        <v>2.5000000000000001E-2</v>
      </c>
      <c r="G50" s="83">
        <f t="shared" si="0"/>
        <v>38.46</v>
      </c>
    </row>
    <row r="51" spans="1:7" x14ac:dyDescent="0.25">
      <c r="A51" s="75" t="s">
        <v>106</v>
      </c>
      <c r="B51" s="234" t="s">
        <v>243</v>
      </c>
      <c r="C51" s="234"/>
      <c r="D51" s="234"/>
      <c r="E51" s="234"/>
      <c r="F51" s="85">
        <v>0.03</v>
      </c>
      <c r="G51" s="83">
        <f t="shared" si="0"/>
        <v>46.15</v>
      </c>
    </row>
    <row r="52" spans="1:7" x14ac:dyDescent="0.25">
      <c r="A52" s="75" t="s">
        <v>59</v>
      </c>
      <c r="B52" s="234" t="s">
        <v>244</v>
      </c>
      <c r="C52" s="234"/>
      <c r="D52" s="234"/>
      <c r="E52" s="234"/>
      <c r="F52" s="82">
        <v>0.08</v>
      </c>
      <c r="G52" s="83">
        <f t="shared" si="0"/>
        <v>123.07</v>
      </c>
    </row>
    <row r="53" spans="1:7" x14ac:dyDescent="0.25">
      <c r="A53" s="75" t="s">
        <v>62</v>
      </c>
      <c r="B53" s="234" t="s">
        <v>245</v>
      </c>
      <c r="C53" s="234"/>
      <c r="D53" s="234"/>
      <c r="E53" s="234"/>
      <c r="F53" s="82">
        <v>1.4999999999999999E-2</v>
      </c>
      <c r="G53" s="83">
        <f t="shared" si="0"/>
        <v>23.08</v>
      </c>
    </row>
    <row r="54" spans="1:7" x14ac:dyDescent="0.25">
      <c r="A54" s="75" t="s">
        <v>64</v>
      </c>
      <c r="B54" s="234" t="s">
        <v>246</v>
      </c>
      <c r="C54" s="234"/>
      <c r="D54" s="234"/>
      <c r="E54" s="234"/>
      <c r="F54" s="82">
        <v>0.01</v>
      </c>
      <c r="G54" s="83">
        <f t="shared" si="0"/>
        <v>15.38</v>
      </c>
    </row>
    <row r="55" spans="1:7" x14ac:dyDescent="0.25">
      <c r="A55" s="75" t="s">
        <v>66</v>
      </c>
      <c r="B55" s="234" t="s">
        <v>247</v>
      </c>
      <c r="C55" s="234"/>
      <c r="D55" s="234"/>
      <c r="E55" s="234"/>
      <c r="F55" s="82">
        <v>6.0000000000000001E-3</v>
      </c>
      <c r="G55" s="83">
        <f t="shared" si="0"/>
        <v>9.23</v>
      </c>
    </row>
    <row r="56" spans="1:7" x14ac:dyDescent="0.25">
      <c r="A56" s="75" t="s">
        <v>107</v>
      </c>
      <c r="B56" s="234" t="s">
        <v>248</v>
      </c>
      <c r="C56" s="234"/>
      <c r="D56" s="234"/>
      <c r="E56" s="234"/>
      <c r="F56" s="82">
        <v>2E-3</v>
      </c>
      <c r="G56" s="83">
        <f t="shared" si="0"/>
        <v>3.08</v>
      </c>
    </row>
    <row r="57" spans="1:7" x14ac:dyDescent="0.25">
      <c r="A57" s="235" t="s">
        <v>108</v>
      </c>
      <c r="B57" s="235"/>
      <c r="C57" s="235"/>
      <c r="D57" s="235"/>
      <c r="E57" s="235"/>
      <c r="F57" s="86">
        <f>SUM(F49:F56)</f>
        <v>0.36800000000000005</v>
      </c>
      <c r="G57" s="81">
        <f>ROUND(SUM(G49:G56),2)</f>
        <v>566.13</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-77.28</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1061.72</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250.42</v>
      </c>
    </row>
    <row r="80" spans="1:7" x14ac:dyDescent="0.25">
      <c r="A80" s="93" t="s">
        <v>103</v>
      </c>
      <c r="B80" s="236" t="s">
        <v>104</v>
      </c>
      <c r="C80" s="236"/>
      <c r="D80" s="236"/>
      <c r="E80" s="236"/>
      <c r="F80" s="236"/>
      <c r="G80" s="94">
        <f>$G$57</f>
        <v>566.13</v>
      </c>
    </row>
    <row r="81" spans="1:7" x14ac:dyDescent="0.25">
      <c r="A81" s="93" t="s">
        <v>113</v>
      </c>
      <c r="B81" s="236" t="s">
        <v>114</v>
      </c>
      <c r="C81" s="236"/>
      <c r="D81" s="236"/>
      <c r="E81" s="236"/>
      <c r="F81" s="236"/>
      <c r="G81" s="94">
        <f>$G$73</f>
        <v>1061.72</v>
      </c>
    </row>
    <row r="82" spans="1:7" x14ac:dyDescent="0.25">
      <c r="A82" s="235" t="s">
        <v>127</v>
      </c>
      <c r="B82" s="235"/>
      <c r="C82" s="235"/>
      <c r="D82" s="235"/>
      <c r="E82" s="235"/>
      <c r="F82" s="235"/>
      <c r="G82" s="81">
        <f>ROUND(SUM(G79:G81),2)</f>
        <v>1878.27</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5.96</v>
      </c>
    </row>
    <row r="87" spans="1:7" x14ac:dyDescent="0.25">
      <c r="A87" s="75" t="s">
        <v>59</v>
      </c>
      <c r="B87" s="234" t="s">
        <v>130</v>
      </c>
      <c r="C87" s="234"/>
      <c r="D87" s="234"/>
      <c r="E87" s="234"/>
      <c r="F87" s="95">
        <f>$F$52</f>
        <v>0.08</v>
      </c>
      <c r="G87" s="83">
        <f>G86*F87</f>
        <v>0.4768</v>
      </c>
    </row>
    <row r="88" spans="1:7" x14ac:dyDescent="0.25">
      <c r="A88" s="75" t="s">
        <v>62</v>
      </c>
      <c r="B88" s="234" t="s">
        <v>235</v>
      </c>
      <c r="C88" s="234"/>
      <c r="D88" s="234"/>
      <c r="E88" s="234"/>
      <c r="F88" s="82">
        <f>(7/30)/12</f>
        <v>1.9444444444444445E-2</v>
      </c>
      <c r="G88" s="83">
        <f>ROUND($G$34*F88,2)</f>
        <v>25.04</v>
      </c>
    </row>
    <row r="89" spans="1:7" x14ac:dyDescent="0.25">
      <c r="A89" s="75" t="s">
        <v>64</v>
      </c>
      <c r="B89" s="234" t="s">
        <v>131</v>
      </c>
      <c r="C89" s="234"/>
      <c r="D89" s="234"/>
      <c r="E89" s="234"/>
      <c r="F89" s="95">
        <f>$F$57</f>
        <v>0.36800000000000005</v>
      </c>
      <c r="G89" s="83">
        <f>G88*F89</f>
        <v>9.2147200000000016</v>
      </c>
    </row>
    <row r="90" spans="1:7" x14ac:dyDescent="0.25">
      <c r="A90" s="75" t="s">
        <v>66</v>
      </c>
      <c r="B90" s="234" t="s">
        <v>236</v>
      </c>
      <c r="C90" s="234"/>
      <c r="D90" s="234"/>
      <c r="E90" s="234"/>
      <c r="F90" s="85">
        <v>0.04</v>
      </c>
      <c r="G90" s="83">
        <f>ROUND($G$34*F90,2)</f>
        <v>51.52</v>
      </c>
    </row>
    <row r="91" spans="1:7" x14ac:dyDescent="0.25">
      <c r="A91" s="235" t="s">
        <v>132</v>
      </c>
      <c r="B91" s="235"/>
      <c r="C91" s="235"/>
      <c r="D91" s="235"/>
      <c r="E91" s="235"/>
      <c r="F91" s="235"/>
      <c r="G91" s="81">
        <f>ROUND(SUM(G86:G90),2)</f>
        <v>92.21</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11.98</v>
      </c>
    </row>
    <row r="97" spans="1:7" ht="15" customHeight="1" x14ac:dyDescent="0.25">
      <c r="A97" s="75" t="s">
        <v>138</v>
      </c>
      <c r="B97" s="237" t="s">
        <v>139</v>
      </c>
      <c r="C97" s="237"/>
      <c r="D97" s="237"/>
      <c r="E97" s="237"/>
      <c r="F97" s="96">
        <f>$F$57</f>
        <v>0.36800000000000005</v>
      </c>
      <c r="G97" s="83">
        <f>ROUND(G96*F97,2)</f>
        <v>4.41</v>
      </c>
    </row>
    <row r="98" spans="1:7" x14ac:dyDescent="0.25">
      <c r="A98" s="75" t="s">
        <v>59</v>
      </c>
      <c r="B98" s="234" t="s">
        <v>237</v>
      </c>
      <c r="C98" s="234"/>
      <c r="D98" s="234"/>
      <c r="E98" s="234"/>
      <c r="F98" s="97">
        <v>7.3000000000000001E-3</v>
      </c>
      <c r="G98" s="83">
        <f>ROUND($G$34*F98,2)</f>
        <v>9.4</v>
      </c>
    </row>
    <row r="99" spans="1:7" x14ac:dyDescent="0.25">
      <c r="A99" s="75" t="s">
        <v>62</v>
      </c>
      <c r="B99" s="234" t="s">
        <v>254</v>
      </c>
      <c r="C99" s="234"/>
      <c r="D99" s="234"/>
      <c r="E99" s="234"/>
      <c r="F99" s="97">
        <v>8.1999999999999998E-4</v>
      </c>
      <c r="G99" s="83">
        <f>ROUND($G$34*F99,2)</f>
        <v>1.06</v>
      </c>
    </row>
    <row r="100" spans="1:7" x14ac:dyDescent="0.25">
      <c r="A100" s="75" t="s">
        <v>64</v>
      </c>
      <c r="B100" s="234" t="s">
        <v>255</v>
      </c>
      <c r="C100" s="234"/>
      <c r="D100" s="234"/>
      <c r="E100" s="234"/>
      <c r="F100" s="97">
        <v>2.7000000000000001E-3</v>
      </c>
      <c r="G100" s="83">
        <f>ROUND($G$34*F100,2)</f>
        <v>3.48</v>
      </c>
    </row>
    <row r="101" spans="1:7" x14ac:dyDescent="0.25">
      <c r="A101" s="75" t="s">
        <v>66</v>
      </c>
      <c r="B101" s="234" t="s">
        <v>256</v>
      </c>
      <c r="C101" s="234"/>
      <c r="D101" s="234"/>
      <c r="E101" s="234"/>
      <c r="F101" s="97">
        <v>5.5000000000000003E-4</v>
      </c>
      <c r="G101" s="83">
        <f>ROUND($G$34*F101,2)</f>
        <v>0.71</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31.04</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31.04</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31.04</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1">
        <f>(G91+G82+G34)*1.45%</f>
        <v>47.24738</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47.25</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1287.96</v>
      </c>
    </row>
    <row r="129" spans="1:11" x14ac:dyDescent="0.25">
      <c r="A129" s="100" t="s">
        <v>59</v>
      </c>
      <c r="B129" s="231" t="s">
        <v>161</v>
      </c>
      <c r="C129" s="231"/>
      <c r="D129" s="231"/>
      <c r="E129" s="231"/>
      <c r="F129" s="231"/>
      <c r="G129" s="101">
        <f>$G$82</f>
        <v>1878.27</v>
      </c>
    </row>
    <row r="130" spans="1:11" x14ac:dyDescent="0.25">
      <c r="A130" s="100" t="s">
        <v>62</v>
      </c>
      <c r="B130" s="231" t="s">
        <v>162</v>
      </c>
      <c r="C130" s="231"/>
      <c r="D130" s="231"/>
      <c r="E130" s="231"/>
      <c r="F130" s="231"/>
      <c r="G130" s="101">
        <f>$G$91</f>
        <v>92.21</v>
      </c>
    </row>
    <row r="131" spans="1:11" x14ac:dyDescent="0.25">
      <c r="A131" s="100" t="s">
        <v>64</v>
      </c>
      <c r="B131" s="231" t="s">
        <v>163</v>
      </c>
      <c r="C131" s="231"/>
      <c r="D131" s="231"/>
      <c r="E131" s="231"/>
      <c r="F131" s="231"/>
      <c r="G131" s="101">
        <f>$G$116</f>
        <v>31.04</v>
      </c>
    </row>
    <row r="132" spans="1:11" x14ac:dyDescent="0.25">
      <c r="A132" s="100" t="s">
        <v>66</v>
      </c>
      <c r="B132" s="231" t="s">
        <v>164</v>
      </c>
      <c r="C132" s="231"/>
      <c r="D132" s="231"/>
      <c r="E132" s="231"/>
      <c r="F132" s="231"/>
      <c r="G132" s="101">
        <f>$G$123</f>
        <v>47.25</v>
      </c>
    </row>
    <row r="133" spans="1:11" x14ac:dyDescent="0.25">
      <c r="A133" s="233" t="s">
        <v>165</v>
      </c>
      <c r="B133" s="233"/>
      <c r="C133" s="233"/>
      <c r="D133" s="233"/>
      <c r="E133" s="233"/>
      <c r="F133" s="233"/>
      <c r="G133" s="94">
        <f>ROUND(SUM(G128:G132),2)</f>
        <v>3336.73</v>
      </c>
    </row>
    <row r="134" spans="1:11" x14ac:dyDescent="0.25">
      <c r="A134" s="74"/>
      <c r="B134" s="74"/>
      <c r="C134" s="74"/>
      <c r="D134" s="74"/>
      <c r="E134" s="74"/>
      <c r="F134" s="74"/>
      <c r="G134" s="74"/>
    </row>
    <row r="135" spans="1:11" x14ac:dyDescent="0.25">
      <c r="A135" s="229" t="s">
        <v>166</v>
      </c>
      <c r="B135" s="229"/>
      <c r="C135" s="229"/>
      <c r="D135" s="229"/>
      <c r="E135" s="229"/>
      <c r="F135" s="229"/>
      <c r="G135" s="229"/>
    </row>
    <row r="136" spans="1:11" ht="15" customHeight="1" x14ac:dyDescent="0.25">
      <c r="A136" s="104"/>
      <c r="B136" s="230" t="s">
        <v>167</v>
      </c>
      <c r="C136" s="230"/>
      <c r="D136" s="230"/>
      <c r="E136" s="230"/>
      <c r="F136" s="230"/>
      <c r="G136" s="104" t="s">
        <v>88</v>
      </c>
    </row>
    <row r="137" spans="1:11" x14ac:dyDescent="0.25">
      <c r="A137" s="100" t="s">
        <v>56</v>
      </c>
      <c r="B137" s="231" t="s">
        <v>168</v>
      </c>
      <c r="C137" s="231"/>
      <c r="D137" s="231"/>
      <c r="E137" s="231"/>
      <c r="F137" s="231"/>
      <c r="G137" s="81">
        <f>G133</f>
        <v>3336.73</v>
      </c>
    </row>
    <row r="138" spans="1:11" x14ac:dyDescent="0.25">
      <c r="A138" s="100" t="s">
        <v>59</v>
      </c>
      <c r="B138" s="231" t="s">
        <v>169</v>
      </c>
      <c r="C138" s="231"/>
      <c r="D138" s="231"/>
      <c r="E138" s="231"/>
      <c r="F138" s="231"/>
      <c r="G138" s="81">
        <f>ROUND($G$137/$E$23,2)</f>
        <v>158.82</v>
      </c>
      <c r="H138" s="73">
        <f>G138*12%</f>
        <v>19.058399999999999</v>
      </c>
      <c r="I138" s="73">
        <f>H138*9.25%</f>
        <v>1.762902</v>
      </c>
      <c r="J138" s="73">
        <f>H138-I138</f>
        <v>17.295497999999998</v>
      </c>
      <c r="K138" s="161">
        <f>(G138+J138)+(((G138+J138)*34.694%))*3</f>
        <v>359.42003062836</v>
      </c>
    </row>
    <row r="139" spans="1:11" x14ac:dyDescent="0.25">
      <c r="A139" s="100" t="s">
        <v>59</v>
      </c>
      <c r="B139" s="231" t="s">
        <v>170</v>
      </c>
      <c r="C139" s="231"/>
      <c r="D139" s="231"/>
      <c r="E139" s="231"/>
      <c r="F139" s="231"/>
      <c r="G139" s="81">
        <f>G137/220</f>
        <v>15.166954545454546</v>
      </c>
    </row>
    <row r="140" spans="1:11" ht="15" customHeight="1" x14ac:dyDescent="0.25">
      <c r="A140" s="232" t="s">
        <v>171</v>
      </c>
      <c r="B140" s="232"/>
      <c r="C140" s="232"/>
      <c r="D140" s="232"/>
      <c r="E140" s="232"/>
      <c r="F140" s="232"/>
      <c r="G140" s="232"/>
    </row>
    <row r="141" spans="1:11" x14ac:dyDescent="0.25">
      <c r="A141" s="74"/>
      <c r="B141" s="74"/>
      <c r="C141" s="74"/>
      <c r="D141" s="74"/>
      <c r="E141" s="74"/>
      <c r="F141" s="74"/>
      <c r="G141" s="74"/>
    </row>
    <row r="142" spans="1:11" x14ac:dyDescent="0.25">
      <c r="A142" s="74"/>
      <c r="B142" s="74"/>
      <c r="C142" s="74"/>
      <c r="D142" s="74"/>
      <c r="E142" s="74"/>
      <c r="F142" s="74"/>
      <c r="G142" s="74"/>
    </row>
    <row r="143" spans="1:11" x14ac:dyDescent="0.25">
      <c r="A143" s="102"/>
      <c r="B143" s="102"/>
      <c r="C143" s="103"/>
      <c r="D143" s="103"/>
      <c r="E143" s="103"/>
      <c r="F143" s="102"/>
      <c r="G143" s="102"/>
    </row>
    <row r="144" spans="1:11"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topLeftCell="A7" zoomScale="90" zoomScaleNormal="90" workbookViewId="0">
      <selection activeCell="H54" sqref="H54"/>
    </sheetView>
  </sheetViews>
  <sheetFormatPr defaultRowHeight="15" x14ac:dyDescent="0.25"/>
  <cols>
    <col min="1" max="1" width="49.375" style="26" customWidth="1"/>
    <col min="2" max="2" width="15.5" style="22" customWidth="1"/>
    <col min="3" max="3" width="15.25" style="36" customWidth="1"/>
    <col min="4" max="4" width="15.375" style="4" customWidth="1"/>
    <col min="5" max="5" width="20" style="159" customWidth="1"/>
    <col min="6" max="6" width="11.5" style="3" bestFit="1" customWidth="1"/>
    <col min="7" max="7" width="10.125" style="3" bestFit="1" customWidth="1"/>
    <col min="8" max="8" width="12.125" style="3" bestFit="1" customWidth="1"/>
    <col min="9" max="9" width="13.375" style="3" customWidth="1"/>
    <col min="10" max="10" width="13.125" style="3" bestFit="1" customWidth="1"/>
    <col min="11" max="16384" width="9" style="3"/>
  </cols>
  <sheetData>
    <row r="1" spans="1:7" x14ac:dyDescent="0.25">
      <c r="A1" s="194" t="s">
        <v>11</v>
      </c>
      <c r="B1" s="194"/>
      <c r="C1" s="194"/>
      <c r="D1" s="194"/>
      <c r="E1" s="194"/>
    </row>
    <row r="3" spans="1:7" ht="30" x14ac:dyDescent="0.25">
      <c r="A3" s="27" t="s">
        <v>288</v>
      </c>
      <c r="B3" s="5" t="s">
        <v>205</v>
      </c>
      <c r="C3" s="5" t="s">
        <v>13</v>
      </c>
      <c r="D3" s="6" t="s">
        <v>14</v>
      </c>
      <c r="E3" s="6" t="s">
        <v>15</v>
      </c>
    </row>
    <row r="4" spans="1:7" x14ac:dyDescent="0.25">
      <c r="A4" s="28" t="s">
        <v>16</v>
      </c>
      <c r="B4" s="2" t="s">
        <v>17</v>
      </c>
      <c r="C4" s="37">
        <v>20</v>
      </c>
      <c r="D4" s="7">
        <v>81.962545454545449</v>
      </c>
      <c r="E4" s="8">
        <f>C4*D4</f>
        <v>1639.2509090909089</v>
      </c>
    </row>
    <row r="5" spans="1:7" x14ac:dyDescent="0.25">
      <c r="A5" s="29" t="s">
        <v>18</v>
      </c>
      <c r="B5" s="9" t="s">
        <v>206</v>
      </c>
      <c r="C5" s="37">
        <v>1</v>
      </c>
      <c r="D5" s="10">
        <v>5503.79</v>
      </c>
      <c r="E5" s="8">
        <f t="shared" ref="E5:E17" si="0">C5*D5</f>
        <v>5503.79</v>
      </c>
    </row>
    <row r="6" spans="1:7" x14ac:dyDescent="0.25">
      <c r="A6" s="29" t="s">
        <v>19</v>
      </c>
      <c r="B6" s="9" t="s">
        <v>206</v>
      </c>
      <c r="C6" s="37">
        <v>2</v>
      </c>
      <c r="D6" s="10">
        <v>5364.53</v>
      </c>
      <c r="E6" s="8">
        <f t="shared" si="0"/>
        <v>10729.06</v>
      </c>
      <c r="G6" s="4"/>
    </row>
    <row r="7" spans="1:7" x14ac:dyDescent="0.25">
      <c r="A7" s="29" t="s">
        <v>20</v>
      </c>
      <c r="B7" s="9" t="s">
        <v>206</v>
      </c>
      <c r="C7" s="37">
        <v>2</v>
      </c>
      <c r="D7" s="10">
        <v>5145.57</v>
      </c>
      <c r="E7" s="8">
        <f t="shared" si="0"/>
        <v>10291.14</v>
      </c>
    </row>
    <row r="8" spans="1:7" x14ac:dyDescent="0.25">
      <c r="A8" s="29" t="s">
        <v>21</v>
      </c>
      <c r="B8" s="9" t="s">
        <v>206</v>
      </c>
      <c r="C8" s="37">
        <v>2</v>
      </c>
      <c r="D8" s="10">
        <v>5914.13</v>
      </c>
      <c r="E8" s="8">
        <f t="shared" si="0"/>
        <v>11828.26</v>
      </c>
    </row>
    <row r="9" spans="1:7" x14ac:dyDescent="0.25">
      <c r="A9" s="29" t="s">
        <v>22</v>
      </c>
      <c r="B9" s="9" t="s">
        <v>206</v>
      </c>
      <c r="C9" s="37">
        <v>1</v>
      </c>
      <c r="D9" s="10">
        <v>4377.78</v>
      </c>
      <c r="E9" s="8">
        <f t="shared" si="0"/>
        <v>4377.78</v>
      </c>
    </row>
    <row r="10" spans="1:7" x14ac:dyDescent="0.25">
      <c r="A10" s="29"/>
      <c r="B10" s="9" t="s">
        <v>206</v>
      </c>
      <c r="C10" s="37"/>
      <c r="D10" s="7"/>
      <c r="E10" s="8"/>
    </row>
    <row r="11" spans="1:7" x14ac:dyDescent="0.25">
      <c r="A11" s="29" t="s">
        <v>23</v>
      </c>
      <c r="B11" s="9" t="s">
        <v>206</v>
      </c>
      <c r="C11" s="37">
        <v>1</v>
      </c>
      <c r="D11" s="11">
        <v>5503.79</v>
      </c>
      <c r="E11" s="8">
        <f t="shared" si="0"/>
        <v>5503.79</v>
      </c>
    </row>
    <row r="12" spans="1:7" x14ac:dyDescent="0.25">
      <c r="A12" s="29" t="s">
        <v>24</v>
      </c>
      <c r="B12" s="9" t="s">
        <v>206</v>
      </c>
      <c r="C12" s="37">
        <v>1</v>
      </c>
      <c r="D12" s="7">
        <v>4377.78</v>
      </c>
      <c r="E12" s="8">
        <f t="shared" si="0"/>
        <v>4377.78</v>
      </c>
    </row>
    <row r="13" spans="1:7" x14ac:dyDescent="0.25">
      <c r="A13" s="29" t="s">
        <v>25</v>
      </c>
      <c r="B13" s="9" t="s">
        <v>206</v>
      </c>
      <c r="C13" s="37">
        <v>2</v>
      </c>
      <c r="D13" s="7">
        <v>4377.78</v>
      </c>
      <c r="E13" s="8">
        <f t="shared" si="0"/>
        <v>8755.56</v>
      </c>
    </row>
    <row r="14" spans="1:7" x14ac:dyDescent="0.25">
      <c r="A14" s="29" t="s">
        <v>26</v>
      </c>
      <c r="B14" s="9" t="s">
        <v>206</v>
      </c>
      <c r="C14" s="37">
        <v>2</v>
      </c>
      <c r="D14" s="7">
        <v>4377.78</v>
      </c>
      <c r="E14" s="8">
        <f t="shared" si="0"/>
        <v>8755.56</v>
      </c>
    </row>
    <row r="15" spans="1:7" x14ac:dyDescent="0.25">
      <c r="A15" s="29" t="s">
        <v>27</v>
      </c>
      <c r="B15" s="9" t="s">
        <v>206</v>
      </c>
      <c r="C15" s="37">
        <v>1</v>
      </c>
      <c r="D15" s="7">
        <v>4377.78</v>
      </c>
      <c r="E15" s="8">
        <f t="shared" si="0"/>
        <v>4377.78</v>
      </c>
    </row>
    <row r="16" spans="1:7" x14ac:dyDescent="0.25">
      <c r="A16" s="29" t="s">
        <v>28</v>
      </c>
      <c r="B16" s="9" t="s">
        <v>206</v>
      </c>
      <c r="C16" s="37">
        <v>1</v>
      </c>
      <c r="D16" s="7">
        <v>4377.78</v>
      </c>
      <c r="E16" s="8">
        <f t="shared" si="0"/>
        <v>4377.78</v>
      </c>
    </row>
    <row r="17" spans="1:5" x14ac:dyDescent="0.25">
      <c r="A17" s="29" t="s">
        <v>29</v>
      </c>
      <c r="B17" s="9" t="s">
        <v>206</v>
      </c>
      <c r="C17" s="37">
        <v>4</v>
      </c>
      <c r="D17" s="10">
        <v>3353.34</v>
      </c>
      <c r="E17" s="8">
        <f t="shared" si="0"/>
        <v>13413.36</v>
      </c>
    </row>
    <row r="18" spans="1:5" x14ac:dyDescent="0.25">
      <c r="A18" s="30"/>
      <c r="B18" s="9"/>
      <c r="C18" s="38"/>
      <c r="D18" s="8"/>
      <c r="E18" s="8"/>
    </row>
    <row r="19" spans="1:5" ht="15" customHeight="1" x14ac:dyDescent="0.25">
      <c r="A19" s="193"/>
      <c r="B19" s="193"/>
      <c r="C19" s="193"/>
      <c r="D19" s="193"/>
      <c r="E19" s="176">
        <f>SUM(E4:E17)</f>
        <v>93930.8909090909</v>
      </c>
    </row>
    <row r="21" spans="1:5" ht="30" x14ac:dyDescent="0.25">
      <c r="A21" s="27" t="s">
        <v>289</v>
      </c>
      <c r="B21" s="5" t="s">
        <v>12</v>
      </c>
      <c r="C21" s="5" t="s">
        <v>13</v>
      </c>
      <c r="D21" s="6" t="s">
        <v>30</v>
      </c>
      <c r="E21" s="6" t="s">
        <v>15</v>
      </c>
    </row>
    <row r="22" spans="1:5" x14ac:dyDescent="0.25">
      <c r="A22" s="29" t="s">
        <v>31</v>
      </c>
      <c r="B22" s="9" t="s">
        <v>206</v>
      </c>
      <c r="C22" s="37">
        <v>4</v>
      </c>
      <c r="D22" s="7">
        <v>4377.78</v>
      </c>
      <c r="E22" s="12">
        <f>D22*C22</f>
        <v>17511.12</v>
      </c>
    </row>
    <row r="23" spans="1:5" x14ac:dyDescent="0.25">
      <c r="A23" s="28" t="s">
        <v>32</v>
      </c>
      <c r="B23" s="2" t="s">
        <v>17</v>
      </c>
      <c r="C23" s="37">
        <v>20</v>
      </c>
      <c r="D23" s="8">
        <v>81.962545454545449</v>
      </c>
      <c r="E23" s="12">
        <f>D23*C23</f>
        <v>1639.2509090909089</v>
      </c>
    </row>
    <row r="24" spans="1:5" x14ac:dyDescent="0.25">
      <c r="A24" s="193" t="s">
        <v>33</v>
      </c>
      <c r="B24" s="193"/>
      <c r="C24" s="193"/>
      <c r="D24" s="193"/>
      <c r="E24" s="176">
        <f>E22+E23</f>
        <v>19150.370909090907</v>
      </c>
    </row>
    <row r="26" spans="1:5" ht="30" x14ac:dyDescent="0.25">
      <c r="A26" s="31" t="s">
        <v>287</v>
      </c>
      <c r="B26" s="23" t="s">
        <v>12</v>
      </c>
      <c r="C26" s="25" t="s">
        <v>13</v>
      </c>
      <c r="D26" s="6" t="s">
        <v>30</v>
      </c>
      <c r="E26" s="6" t="s">
        <v>15</v>
      </c>
    </row>
    <row r="27" spans="1:5" x14ac:dyDescent="0.25">
      <c r="A27" s="32" t="s">
        <v>34</v>
      </c>
      <c r="B27" s="9" t="s">
        <v>206</v>
      </c>
      <c r="C27" s="37">
        <v>1</v>
      </c>
      <c r="D27" s="4">
        <f>'2. Gerente'!G137</f>
        <v>18031.759999999998</v>
      </c>
      <c r="E27" s="7">
        <f>C27*D27</f>
        <v>18031.759999999998</v>
      </c>
    </row>
    <row r="28" spans="1:5" x14ac:dyDescent="0.25">
      <c r="A28" s="32" t="s">
        <v>35</v>
      </c>
      <c r="B28" s="9" t="s">
        <v>206</v>
      </c>
      <c r="C28" s="37">
        <v>1</v>
      </c>
      <c r="D28" s="13">
        <f>'3. Sup apoio'!G133</f>
        <v>5503.79</v>
      </c>
      <c r="E28" s="7">
        <f t="shared" ref="E28:E29" si="1">C28*D28</f>
        <v>5503.79</v>
      </c>
    </row>
    <row r="29" spans="1:5" x14ac:dyDescent="0.25">
      <c r="A29" s="32" t="s">
        <v>36</v>
      </c>
      <c r="B29" s="9" t="s">
        <v>206</v>
      </c>
      <c r="C29" s="37">
        <v>1</v>
      </c>
      <c r="D29" s="13">
        <f>'4. Sup manut'!G137</f>
        <v>5644.19</v>
      </c>
      <c r="E29" s="7">
        <f t="shared" si="1"/>
        <v>5644.19</v>
      </c>
    </row>
    <row r="30" spans="1:5" x14ac:dyDescent="0.25">
      <c r="A30" s="193" t="s">
        <v>33</v>
      </c>
      <c r="B30" s="193"/>
      <c r="C30" s="193"/>
      <c r="D30" s="193"/>
      <c r="E30" s="176">
        <f>E28+E29+E27</f>
        <v>29179.739999999998</v>
      </c>
    </row>
    <row r="32" spans="1:5" ht="30" x14ac:dyDescent="0.25">
      <c r="A32" s="31" t="s">
        <v>292</v>
      </c>
      <c r="B32" s="23" t="s">
        <v>12</v>
      </c>
      <c r="C32" s="23" t="s">
        <v>13</v>
      </c>
      <c r="D32" s="6" t="s">
        <v>30</v>
      </c>
      <c r="E32" s="6" t="s">
        <v>15</v>
      </c>
    </row>
    <row r="33" spans="1:17" x14ac:dyDescent="0.25">
      <c r="A33" s="29" t="s">
        <v>37</v>
      </c>
      <c r="B33" s="9" t="s">
        <v>206</v>
      </c>
      <c r="C33" s="37">
        <f>7+5</f>
        <v>12</v>
      </c>
      <c r="D33" s="13">
        <f>'5. Copeira'!G133</f>
        <v>3329.13</v>
      </c>
      <c r="E33" s="7">
        <f>C33*D33</f>
        <v>39949.56</v>
      </c>
    </row>
    <row r="34" spans="1:17" x14ac:dyDescent="0.25">
      <c r="A34" s="29" t="s">
        <v>38</v>
      </c>
      <c r="B34" s="9" t="s">
        <v>206</v>
      </c>
      <c r="C34" s="37">
        <f>16+9</f>
        <v>25</v>
      </c>
      <c r="D34" s="13">
        <f>'6. Garçom'!G133</f>
        <v>4372.62</v>
      </c>
      <c r="E34" s="7">
        <f>C34*D34</f>
        <v>109315.5</v>
      </c>
    </row>
    <row r="35" spans="1:17" x14ac:dyDescent="0.25">
      <c r="A35" s="193" t="s">
        <v>33</v>
      </c>
      <c r="B35" s="193"/>
      <c r="C35" s="193"/>
      <c r="D35" s="193"/>
      <c r="E35" s="176">
        <f>E33+E34</f>
        <v>149265.06</v>
      </c>
    </row>
    <row r="37" spans="1:17" ht="30" x14ac:dyDescent="0.25">
      <c r="A37" s="27" t="s">
        <v>293</v>
      </c>
      <c r="B37" s="5" t="s">
        <v>12</v>
      </c>
      <c r="C37" s="5" t="s">
        <v>13</v>
      </c>
      <c r="D37" s="6" t="s">
        <v>30</v>
      </c>
      <c r="E37" s="6" t="s">
        <v>15</v>
      </c>
    </row>
    <row r="38" spans="1:17" x14ac:dyDescent="0.25">
      <c r="A38" s="33" t="s">
        <v>39</v>
      </c>
      <c r="B38" s="9" t="s">
        <v>206</v>
      </c>
      <c r="C38" s="37">
        <v>8</v>
      </c>
      <c r="D38" s="39">
        <f>'8. Brigada 36D'!G133</f>
        <v>7532.21</v>
      </c>
      <c r="E38" s="39">
        <f t="shared" ref="E38:E41" si="2">C38*D38</f>
        <v>60257.68</v>
      </c>
    </row>
    <row r="39" spans="1:17" x14ac:dyDescent="0.25">
      <c r="A39" s="33" t="s">
        <v>40</v>
      </c>
      <c r="B39" s="9" t="s">
        <v>206</v>
      </c>
      <c r="C39" s="37">
        <v>4</v>
      </c>
      <c r="D39" s="39">
        <f>'10. Brigada 36N'!G133</f>
        <v>8711.65</v>
      </c>
      <c r="E39" s="39">
        <f t="shared" si="2"/>
        <v>34846.6</v>
      </c>
    </row>
    <row r="40" spans="1:17" x14ac:dyDescent="0.25">
      <c r="A40" s="33" t="s">
        <v>41</v>
      </c>
      <c r="B40" s="9" t="s">
        <v>206</v>
      </c>
      <c r="C40" s="37">
        <v>2</v>
      </c>
      <c r="D40" s="40">
        <f>'9. Brigada 12N'!G133</f>
        <v>1952.55</v>
      </c>
      <c r="E40" s="39">
        <f t="shared" si="2"/>
        <v>3905.1</v>
      </c>
    </row>
    <row r="41" spans="1:17" x14ac:dyDescent="0.25">
      <c r="A41" s="33" t="s">
        <v>42</v>
      </c>
      <c r="B41" s="9" t="s">
        <v>206</v>
      </c>
      <c r="C41" s="37">
        <v>2</v>
      </c>
      <c r="D41" s="39">
        <f>'7. Brigada líder D'!G133</f>
        <v>9101.14</v>
      </c>
      <c r="E41" s="39">
        <f t="shared" si="2"/>
        <v>18202.28</v>
      </c>
    </row>
    <row r="42" spans="1:17" x14ac:dyDescent="0.25">
      <c r="A42" s="193" t="s">
        <v>33</v>
      </c>
      <c r="B42" s="193"/>
      <c r="C42" s="193"/>
      <c r="D42" s="193"/>
      <c r="E42" s="176">
        <f>E40+E41+E38+E39</f>
        <v>117211.66</v>
      </c>
    </row>
    <row r="44" spans="1:17" ht="30" x14ac:dyDescent="0.25">
      <c r="A44" s="170" t="s">
        <v>294</v>
      </c>
      <c r="B44" s="171" t="s">
        <v>12</v>
      </c>
      <c r="C44" s="171" t="s">
        <v>13</v>
      </c>
      <c r="D44" s="172" t="s">
        <v>30</v>
      </c>
      <c r="E44" s="172" t="s">
        <v>15</v>
      </c>
    </row>
    <row r="45" spans="1:17" s="111" customFormat="1" x14ac:dyDescent="0.25">
      <c r="A45" s="28" t="s">
        <v>43</v>
      </c>
      <c r="B45" s="132" t="s">
        <v>206</v>
      </c>
      <c r="C45" s="147">
        <v>22</v>
      </c>
      <c r="D45" s="148">
        <f>'12. Servente'!G137</f>
        <v>3336.73</v>
      </c>
      <c r="E45" s="11">
        <f>C45*D45</f>
        <v>73408.06</v>
      </c>
      <c r="F45" s="124"/>
      <c r="G45" s="160"/>
      <c r="H45" s="159"/>
      <c r="I45" s="157"/>
      <c r="J45" s="158"/>
      <c r="K45" s="3"/>
      <c r="L45" s="3"/>
      <c r="M45" s="3"/>
      <c r="N45" s="3"/>
      <c r="O45" s="3"/>
      <c r="P45" s="3"/>
      <c r="Q45" s="3"/>
    </row>
    <row r="46" spans="1:17" s="111" customFormat="1" x14ac:dyDescent="0.25">
      <c r="A46" s="28" t="s">
        <v>181</v>
      </c>
      <c r="B46" s="149" t="s">
        <v>320</v>
      </c>
      <c r="C46" s="147">
        <v>3</v>
      </c>
      <c r="D46" s="148">
        <f>'13. Aux de Jardinag'!G138</f>
        <v>158.82</v>
      </c>
      <c r="E46" s="11">
        <f>C46*D46</f>
        <v>476.46</v>
      </c>
      <c r="F46" s="124"/>
      <c r="G46" s="160"/>
      <c r="H46" s="159"/>
      <c r="I46" s="157"/>
      <c r="J46" s="158"/>
      <c r="K46" s="3"/>
      <c r="L46" s="3"/>
      <c r="M46" s="3"/>
      <c r="N46" s="3"/>
      <c r="O46" s="3"/>
      <c r="P46" s="3"/>
      <c r="Q46" s="3"/>
    </row>
    <row r="47" spans="1:17" s="111" customFormat="1" x14ac:dyDescent="0.25">
      <c r="A47" s="150" t="s">
        <v>323</v>
      </c>
      <c r="B47" s="149"/>
      <c r="C47" s="147"/>
      <c r="D47" s="148"/>
      <c r="E47" s="39">
        <f>F47-(F47*9.25%)</f>
        <v>8046.0242280000002</v>
      </c>
      <c r="F47" s="124">
        <f>(E45+E46)*12%</f>
        <v>8866.1424000000006</v>
      </c>
      <c r="G47" s="3"/>
      <c r="H47" s="3"/>
      <c r="I47" s="3"/>
      <c r="J47" s="3"/>
      <c r="K47" s="3"/>
      <c r="L47" s="3"/>
      <c r="M47" s="3"/>
      <c r="N47" s="3"/>
      <c r="O47" s="3"/>
      <c r="P47" s="3"/>
      <c r="Q47" s="3"/>
    </row>
    <row r="48" spans="1:17" x14ac:dyDescent="0.25">
      <c r="A48" s="193" t="s">
        <v>33</v>
      </c>
      <c r="B48" s="193"/>
      <c r="C48" s="193"/>
      <c r="D48" s="193"/>
      <c r="E48" s="176">
        <f>E45+E46+E47</f>
        <v>81930.544227999999</v>
      </c>
      <c r="G48" s="124"/>
    </row>
    <row r="49" spans="1:8" x14ac:dyDescent="0.25">
      <c r="H49" s="124"/>
    </row>
    <row r="50" spans="1:8" ht="14.25" customHeight="1" x14ac:dyDescent="0.25">
      <c r="A50" s="196" t="s">
        <v>45</v>
      </c>
      <c r="B50" s="197"/>
      <c r="C50" s="197"/>
      <c r="D50" s="197"/>
      <c r="E50" s="14">
        <f>E45+E42+E35+E30+E24+E19</f>
        <v>482145.78181818186</v>
      </c>
    </row>
    <row r="51" spans="1:8" ht="14.25" customHeight="1" x14ac:dyDescent="0.25">
      <c r="A51" s="34"/>
      <c r="B51" s="24"/>
      <c r="C51" s="15"/>
      <c r="D51" s="16"/>
      <c r="E51" s="17"/>
    </row>
    <row r="52" spans="1:8" x14ac:dyDescent="0.25">
      <c r="A52" s="195" t="s">
        <v>46</v>
      </c>
      <c r="B52" s="195"/>
      <c r="C52" s="195"/>
      <c r="D52" s="195"/>
      <c r="E52" s="195"/>
    </row>
    <row r="53" spans="1:8" ht="30" x14ac:dyDescent="0.25">
      <c r="A53" s="27" t="s">
        <v>290</v>
      </c>
      <c r="B53" s="5" t="s">
        <v>205</v>
      </c>
      <c r="C53" s="5" t="s">
        <v>13</v>
      </c>
      <c r="D53" s="18" t="s">
        <v>30</v>
      </c>
      <c r="E53" s="18" t="s">
        <v>15</v>
      </c>
    </row>
    <row r="54" spans="1:8" x14ac:dyDescent="0.25">
      <c r="A54" s="35" t="s">
        <v>47</v>
      </c>
      <c r="B54" s="20" t="s">
        <v>17</v>
      </c>
      <c r="C54" s="37">
        <v>380</v>
      </c>
      <c r="D54" s="13">
        <v>24.384227272727273</v>
      </c>
      <c r="E54" s="7">
        <f>C54*D54</f>
        <v>9266.0063636363629</v>
      </c>
      <c r="F54" s="19"/>
    </row>
    <row r="55" spans="1:8" x14ac:dyDescent="0.25">
      <c r="A55" s="35" t="s">
        <v>48</v>
      </c>
      <c r="B55" s="20" t="s">
        <v>17</v>
      </c>
      <c r="C55" s="37">
        <v>289</v>
      </c>
      <c r="D55" s="13">
        <v>15.242454545454546</v>
      </c>
      <c r="E55" s="7">
        <f t="shared" ref="E55:E58" si="3">C55*D55</f>
        <v>4405.069363636364</v>
      </c>
      <c r="F55" s="19"/>
    </row>
    <row r="56" spans="1:8" x14ac:dyDescent="0.25">
      <c r="A56" s="35" t="s">
        <v>49</v>
      </c>
      <c r="B56" s="20" t="s">
        <v>17</v>
      </c>
      <c r="C56" s="37">
        <v>150</v>
      </c>
      <c r="D56" s="13">
        <v>19.898999999999997</v>
      </c>
      <c r="E56" s="7">
        <f t="shared" si="3"/>
        <v>2984.8499999999995</v>
      </c>
      <c r="F56" s="19"/>
    </row>
    <row r="57" spans="1:8" x14ac:dyDescent="0.25">
      <c r="A57" s="35" t="s">
        <v>50</v>
      </c>
      <c r="B57" s="20" t="s">
        <v>17</v>
      </c>
      <c r="C57" s="37">
        <v>150</v>
      </c>
      <c r="D57" s="13">
        <v>16.774000000000001</v>
      </c>
      <c r="E57" s="7">
        <f t="shared" si="3"/>
        <v>2516.1000000000004</v>
      </c>
      <c r="F57" s="19"/>
    </row>
    <row r="58" spans="1:8" x14ac:dyDescent="0.25">
      <c r="A58" s="35" t="s">
        <v>51</v>
      </c>
      <c r="B58" s="20" t="s">
        <v>17</v>
      </c>
      <c r="C58" s="37">
        <v>150</v>
      </c>
      <c r="D58" s="13">
        <v>15.242454545454546</v>
      </c>
      <c r="E58" s="7">
        <f t="shared" si="3"/>
        <v>2286.3681818181817</v>
      </c>
      <c r="F58" s="19"/>
    </row>
    <row r="60" spans="1:8" ht="30" x14ac:dyDescent="0.25">
      <c r="A60" s="27" t="s">
        <v>291</v>
      </c>
      <c r="B60" s="5" t="s">
        <v>205</v>
      </c>
      <c r="C60" s="5" t="s">
        <v>13</v>
      </c>
      <c r="D60" s="6" t="s">
        <v>30</v>
      </c>
      <c r="E60" s="6" t="s">
        <v>15</v>
      </c>
    </row>
    <row r="61" spans="1:8" ht="30" x14ac:dyDescent="0.25">
      <c r="A61" s="33" t="s">
        <v>52</v>
      </c>
      <c r="B61" s="21" t="s">
        <v>17</v>
      </c>
      <c r="C61" s="37">
        <v>2</v>
      </c>
      <c r="D61" s="39">
        <v>13.865772727272727</v>
      </c>
      <c r="E61" s="39">
        <f t="shared" ref="E61" si="4">C61*D61</f>
        <v>27.731545454545454</v>
      </c>
    </row>
    <row r="62" spans="1:8" ht="30" x14ac:dyDescent="0.25">
      <c r="A62" s="33" t="s">
        <v>53</v>
      </c>
      <c r="B62" s="21" t="s">
        <v>17</v>
      </c>
      <c r="C62" s="37">
        <v>4</v>
      </c>
      <c r="D62" s="39">
        <v>13.865772727272727</v>
      </c>
      <c r="E62" s="39">
        <f t="shared" ref="E62" si="5">C62*D62</f>
        <v>55.463090909090909</v>
      </c>
    </row>
    <row r="64" spans="1:8" ht="30" x14ac:dyDescent="0.25">
      <c r="A64" s="170" t="s">
        <v>313</v>
      </c>
      <c r="B64" s="171" t="s">
        <v>205</v>
      </c>
      <c r="C64" s="171" t="s">
        <v>13</v>
      </c>
      <c r="D64" s="172" t="s">
        <v>30</v>
      </c>
      <c r="E64" s="172" t="s">
        <v>15</v>
      </c>
    </row>
    <row r="65" spans="1:10" x14ac:dyDescent="0.25">
      <c r="A65" s="29" t="s">
        <v>44</v>
      </c>
      <c r="B65" s="281" t="s">
        <v>342</v>
      </c>
      <c r="C65" s="37">
        <f>15*5</f>
        <v>75</v>
      </c>
      <c r="D65" s="13">
        <v>216.34</v>
      </c>
      <c r="E65" s="7">
        <f>C65*D65</f>
        <v>16225.5</v>
      </c>
      <c r="H65" s="124"/>
      <c r="I65" s="124"/>
      <c r="J65" s="124"/>
    </row>
    <row r="66" spans="1:10" x14ac:dyDescent="0.25">
      <c r="A66" s="193" t="s">
        <v>33</v>
      </c>
      <c r="B66" s="193"/>
      <c r="C66" s="193"/>
      <c r="D66" s="193"/>
      <c r="E66" s="176">
        <f>E65</f>
        <v>16225.5</v>
      </c>
    </row>
  </sheetData>
  <mergeCells count="10">
    <mergeCell ref="A66:D66"/>
    <mergeCell ref="A19:D19"/>
    <mergeCell ref="A30:D30"/>
    <mergeCell ref="A48:D48"/>
    <mergeCell ref="A1:E1"/>
    <mergeCell ref="A52:E52"/>
    <mergeCell ref="A35:D35"/>
    <mergeCell ref="A50:D50"/>
    <mergeCell ref="A42:D42"/>
    <mergeCell ref="A24:D2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K184"/>
  <sheetViews>
    <sheetView showGridLines="0" topLeftCell="A19" zoomScaleNormal="100" workbookViewId="0">
      <selection activeCell="C15" sqref="C15"/>
    </sheetView>
  </sheetViews>
  <sheetFormatPr defaultColWidth="12.625" defaultRowHeight="15" zeroHeight="1" x14ac:dyDescent="0.25"/>
  <cols>
    <col min="1" max="1" width="7.625" style="41" customWidth="1"/>
    <col min="2" max="5" width="15.75" style="41" customWidth="1"/>
    <col min="6" max="16384" width="12.625" style="41"/>
  </cols>
  <sheetData>
    <row r="1" spans="1:7" ht="60.75" customHeight="1" x14ac:dyDescent="0.25">
      <c r="A1" s="225" t="s">
        <v>54</v>
      </c>
      <c r="B1" s="225"/>
      <c r="C1" s="225"/>
      <c r="D1" s="225"/>
      <c r="E1" s="225"/>
      <c r="F1" s="225"/>
      <c r="G1" s="225"/>
    </row>
    <row r="2" spans="1:7" x14ac:dyDescent="0.25">
      <c r="A2" s="42"/>
      <c r="B2" s="42"/>
      <c r="C2" s="42"/>
      <c r="D2" s="42"/>
      <c r="E2" s="42"/>
      <c r="F2" s="42"/>
      <c r="G2" s="42"/>
    </row>
    <row r="3" spans="1:7" ht="15" customHeight="1" x14ac:dyDescent="0.25">
      <c r="A3" s="200" t="s">
        <v>55</v>
      </c>
      <c r="B3" s="200"/>
      <c r="C3" s="200"/>
      <c r="D3" s="200"/>
      <c r="E3" s="200"/>
      <c r="F3" s="200"/>
      <c r="G3" s="200"/>
    </row>
    <row r="4" spans="1:7" x14ac:dyDescent="0.25">
      <c r="A4" s="43" t="s">
        <v>56</v>
      </c>
      <c r="B4" s="204" t="s">
        <v>57</v>
      </c>
      <c r="C4" s="204"/>
      <c r="D4" s="204"/>
      <c r="E4" s="204"/>
      <c r="F4" s="226" t="s">
        <v>58</v>
      </c>
      <c r="G4" s="226"/>
    </row>
    <row r="5" spans="1:7" ht="15" customHeight="1" x14ac:dyDescent="0.25">
      <c r="A5" s="43" t="s">
        <v>59</v>
      </c>
      <c r="B5" s="204" t="s">
        <v>60</v>
      </c>
      <c r="C5" s="204"/>
      <c r="D5" s="204"/>
      <c r="E5" s="204"/>
      <c r="F5" s="227" t="s">
        <v>61</v>
      </c>
      <c r="G5" s="227"/>
    </row>
    <row r="6" spans="1:7" x14ac:dyDescent="0.25">
      <c r="A6" s="43" t="s">
        <v>62</v>
      </c>
      <c r="B6" s="204" t="s">
        <v>63</v>
      </c>
      <c r="C6" s="204"/>
      <c r="D6" s="204"/>
      <c r="E6" s="204"/>
      <c r="F6" s="224"/>
      <c r="G6" s="221"/>
    </row>
    <row r="7" spans="1:7" x14ac:dyDescent="0.25">
      <c r="A7" s="43" t="s">
        <v>64</v>
      </c>
      <c r="B7" s="204" t="s">
        <v>65</v>
      </c>
      <c r="C7" s="204"/>
      <c r="D7" s="204"/>
      <c r="E7" s="204"/>
      <c r="F7" s="214"/>
      <c r="G7" s="214"/>
    </row>
    <row r="8" spans="1:7" x14ac:dyDescent="0.25">
      <c r="A8" s="43" t="s">
        <v>66</v>
      </c>
      <c r="B8" s="204" t="s">
        <v>67</v>
      </c>
      <c r="C8" s="204"/>
      <c r="D8" s="204"/>
      <c r="E8" s="204"/>
      <c r="F8" s="214"/>
      <c r="G8" s="214"/>
    </row>
    <row r="9" spans="1:7" x14ac:dyDescent="0.25">
      <c r="A9" s="42"/>
      <c r="B9" s="42"/>
      <c r="C9" s="42"/>
      <c r="D9" s="42"/>
      <c r="E9" s="42"/>
      <c r="F9" s="42"/>
      <c r="G9" s="42"/>
    </row>
    <row r="10" spans="1:7" ht="15" customHeight="1" x14ac:dyDescent="0.25">
      <c r="A10" s="200" t="s">
        <v>68</v>
      </c>
      <c r="B10" s="200"/>
      <c r="C10" s="200"/>
      <c r="D10" s="200"/>
      <c r="E10" s="200"/>
      <c r="F10" s="200"/>
      <c r="G10" s="200"/>
    </row>
    <row r="11" spans="1:7" ht="24" customHeight="1" x14ac:dyDescent="0.25">
      <c r="A11" s="200" t="s">
        <v>69</v>
      </c>
      <c r="B11" s="200"/>
      <c r="C11" s="200"/>
      <c r="D11" s="200"/>
      <c r="E11" s="72" t="s">
        <v>70</v>
      </c>
      <c r="F11" s="200" t="s">
        <v>71</v>
      </c>
      <c r="G11" s="200"/>
    </row>
    <row r="12" spans="1:7" x14ac:dyDescent="0.25">
      <c r="A12" s="222"/>
      <c r="B12" s="222"/>
      <c r="C12" s="222"/>
      <c r="D12" s="222"/>
      <c r="E12" s="44"/>
      <c r="F12" s="223"/>
      <c r="G12" s="223"/>
    </row>
    <row r="13" spans="1:7" ht="31.5" customHeight="1" x14ac:dyDescent="0.25">
      <c r="A13" s="202" t="s">
        <v>72</v>
      </c>
      <c r="B13" s="202"/>
      <c r="C13" s="202"/>
      <c r="D13" s="202"/>
      <c r="E13" s="202"/>
      <c r="F13" s="202"/>
      <c r="G13" s="202"/>
    </row>
    <row r="14" spans="1:7" ht="31.5" customHeight="1" x14ac:dyDescent="0.25">
      <c r="A14" s="202" t="s">
        <v>73</v>
      </c>
      <c r="B14" s="202"/>
      <c r="C14" s="202"/>
      <c r="D14" s="202"/>
      <c r="E14" s="202"/>
      <c r="F14" s="202"/>
      <c r="G14" s="202"/>
    </row>
    <row r="15" spans="1:7" x14ac:dyDescent="0.25">
      <c r="A15" s="42"/>
      <c r="B15" s="42"/>
      <c r="C15" s="42"/>
      <c r="D15" s="42"/>
      <c r="E15" s="42"/>
      <c r="F15" s="42"/>
      <c r="G15" s="42"/>
    </row>
    <row r="16" spans="1:7" ht="15" customHeight="1" x14ac:dyDescent="0.25">
      <c r="A16" s="200" t="s">
        <v>74</v>
      </c>
      <c r="B16" s="200"/>
      <c r="C16" s="200"/>
      <c r="D16" s="200"/>
      <c r="E16" s="200"/>
      <c r="F16" s="200"/>
      <c r="G16" s="200"/>
    </row>
    <row r="17" spans="1:11" ht="15" customHeight="1" x14ac:dyDescent="0.25">
      <c r="A17" s="218" t="s">
        <v>75</v>
      </c>
      <c r="B17" s="218"/>
      <c r="C17" s="218"/>
      <c r="D17" s="218"/>
      <c r="E17" s="218"/>
      <c r="F17" s="218"/>
      <c r="G17" s="218"/>
    </row>
    <row r="18" spans="1:11" x14ac:dyDescent="0.25">
      <c r="A18" s="43">
        <v>1</v>
      </c>
      <c r="B18" s="204" t="s">
        <v>76</v>
      </c>
      <c r="C18" s="204"/>
      <c r="D18" s="204"/>
      <c r="E18" s="219" t="s">
        <v>77</v>
      </c>
      <c r="F18" s="220"/>
      <c r="G18" s="221"/>
    </row>
    <row r="19" spans="1:11" x14ac:dyDescent="0.25">
      <c r="A19" s="43">
        <v>2</v>
      </c>
      <c r="B19" s="204" t="s">
        <v>78</v>
      </c>
      <c r="C19" s="204"/>
      <c r="D19" s="204"/>
      <c r="E19" s="214"/>
      <c r="F19" s="214"/>
      <c r="G19" s="214"/>
    </row>
    <row r="20" spans="1:11" x14ac:dyDescent="0.25">
      <c r="A20" s="43">
        <v>3</v>
      </c>
      <c r="B20" s="204" t="s">
        <v>79</v>
      </c>
      <c r="C20" s="204"/>
      <c r="D20" s="204"/>
      <c r="E20" s="216">
        <f>9*1100</f>
        <v>9900</v>
      </c>
      <c r="F20" s="216"/>
      <c r="G20" s="216"/>
    </row>
    <row r="21" spans="1:11" x14ac:dyDescent="0.25">
      <c r="A21" s="43">
        <v>4</v>
      </c>
      <c r="B21" s="204" t="s">
        <v>80</v>
      </c>
      <c r="C21" s="204"/>
      <c r="D21" s="204"/>
      <c r="E21" s="214"/>
      <c r="F21" s="214"/>
      <c r="G21" s="214"/>
      <c r="K21" s="73"/>
    </row>
    <row r="22" spans="1:11" x14ac:dyDescent="0.25">
      <c r="A22" s="43">
        <v>5</v>
      </c>
      <c r="B22" s="204" t="s">
        <v>81</v>
      </c>
      <c r="C22" s="204"/>
      <c r="D22" s="204"/>
      <c r="E22" s="217">
        <v>44197</v>
      </c>
      <c r="F22" s="217"/>
      <c r="G22" s="217"/>
    </row>
    <row r="23" spans="1:11" x14ac:dyDescent="0.25">
      <c r="A23" s="45">
        <v>6</v>
      </c>
      <c r="B23" s="213" t="s">
        <v>82</v>
      </c>
      <c r="C23" s="213"/>
      <c r="D23" s="213"/>
      <c r="E23" s="214">
        <v>21.01</v>
      </c>
      <c r="F23" s="214"/>
      <c r="G23" s="214"/>
    </row>
    <row r="24" spans="1:11" x14ac:dyDescent="0.25">
      <c r="A24" s="45">
        <v>7</v>
      </c>
      <c r="B24" s="213" t="s">
        <v>83</v>
      </c>
      <c r="C24" s="213"/>
      <c r="D24" s="213"/>
      <c r="E24" s="215">
        <v>1100</v>
      </c>
      <c r="F24" s="215"/>
      <c r="G24" s="215"/>
    </row>
    <row r="25" spans="1:11" ht="15" customHeight="1" x14ac:dyDescent="0.25">
      <c r="A25" s="202" t="s">
        <v>84</v>
      </c>
      <c r="B25" s="202"/>
      <c r="C25" s="202"/>
      <c r="D25" s="202"/>
      <c r="E25" s="202"/>
      <c r="F25" s="202"/>
      <c r="G25" s="202"/>
    </row>
    <row r="26" spans="1:11" ht="15" customHeight="1" x14ac:dyDescent="0.25">
      <c r="A26" s="202" t="s">
        <v>85</v>
      </c>
      <c r="B26" s="202"/>
      <c r="C26" s="202"/>
      <c r="D26" s="202"/>
      <c r="E26" s="202"/>
      <c r="F26" s="202"/>
      <c r="G26" s="202"/>
    </row>
    <row r="27" spans="1:11" x14ac:dyDescent="0.25">
      <c r="A27" s="42"/>
      <c r="B27" s="42"/>
      <c r="C27" s="42"/>
      <c r="D27" s="42"/>
      <c r="E27" s="42"/>
      <c r="F27" s="42"/>
      <c r="G27" s="42"/>
    </row>
    <row r="28" spans="1:11" x14ac:dyDescent="0.25">
      <c r="A28" s="199" t="s">
        <v>86</v>
      </c>
      <c r="B28" s="199"/>
      <c r="C28" s="199"/>
      <c r="D28" s="199"/>
      <c r="E28" s="199"/>
      <c r="F28" s="199"/>
      <c r="G28" s="199"/>
    </row>
    <row r="29" spans="1:11" ht="15" customHeight="1" x14ac:dyDescent="0.25">
      <c r="A29" s="72">
        <v>1</v>
      </c>
      <c r="B29" s="200" t="s">
        <v>87</v>
      </c>
      <c r="C29" s="200"/>
      <c r="D29" s="200"/>
      <c r="E29" s="200"/>
      <c r="F29" s="200"/>
      <c r="G29" s="72" t="s">
        <v>88</v>
      </c>
    </row>
    <row r="30" spans="1:11" x14ac:dyDescent="0.25">
      <c r="A30" s="43" t="s">
        <v>56</v>
      </c>
      <c r="B30" s="204" t="s">
        <v>213</v>
      </c>
      <c r="C30" s="204"/>
      <c r="D30" s="204"/>
      <c r="E30" s="204"/>
      <c r="F30" s="204"/>
      <c r="G30" s="46">
        <f>E20</f>
        <v>9900</v>
      </c>
    </row>
    <row r="31" spans="1:11" ht="15" customHeight="1" x14ac:dyDescent="0.25">
      <c r="A31" s="43" t="s">
        <v>59</v>
      </c>
      <c r="B31" s="207" t="s">
        <v>89</v>
      </c>
      <c r="C31" s="207"/>
      <c r="D31" s="207"/>
      <c r="E31" s="207"/>
      <c r="F31" s="207"/>
      <c r="G31" s="47"/>
    </row>
    <row r="32" spans="1:11" x14ac:dyDescent="0.25">
      <c r="A32" s="43" t="s">
        <v>62</v>
      </c>
      <c r="B32" s="204" t="s">
        <v>207</v>
      </c>
      <c r="C32" s="204"/>
      <c r="D32" s="204"/>
      <c r="E32" s="204"/>
      <c r="F32" s="204"/>
      <c r="G32" s="47"/>
    </row>
    <row r="33" spans="1:7" x14ac:dyDescent="0.25">
      <c r="A33" s="43" t="s">
        <v>64</v>
      </c>
      <c r="B33" s="204" t="s">
        <v>208</v>
      </c>
      <c r="C33" s="204"/>
      <c r="D33" s="204"/>
      <c r="E33" s="204"/>
      <c r="F33" s="204"/>
      <c r="G33" s="48">
        <v>0</v>
      </c>
    </row>
    <row r="34" spans="1:7" x14ac:dyDescent="0.25">
      <c r="A34" s="205" t="s">
        <v>90</v>
      </c>
      <c r="B34" s="205"/>
      <c r="C34" s="205"/>
      <c r="D34" s="205"/>
      <c r="E34" s="205"/>
      <c r="F34" s="205"/>
      <c r="G34" s="49">
        <f>ROUND(SUM(G30:G33),2)</f>
        <v>9900</v>
      </c>
    </row>
    <row r="35" spans="1:7" x14ac:dyDescent="0.25">
      <c r="A35" s="42"/>
      <c r="B35" s="42"/>
      <c r="C35" s="42"/>
      <c r="D35" s="42"/>
      <c r="E35" s="42"/>
      <c r="F35" s="42"/>
      <c r="G35" s="42"/>
    </row>
    <row r="36" spans="1:7" x14ac:dyDescent="0.25">
      <c r="A36" s="199" t="s">
        <v>91</v>
      </c>
      <c r="B36" s="199"/>
      <c r="C36" s="199"/>
      <c r="D36" s="199"/>
      <c r="E36" s="199"/>
      <c r="F36" s="199"/>
      <c r="G36" s="199"/>
    </row>
    <row r="37" spans="1:7" ht="15" customHeight="1" x14ac:dyDescent="0.25">
      <c r="A37" s="208" t="s">
        <v>92</v>
      </c>
      <c r="B37" s="208"/>
      <c r="C37" s="208"/>
      <c r="D37" s="208"/>
      <c r="E37" s="208"/>
      <c r="F37" s="208"/>
      <c r="G37" s="208"/>
    </row>
    <row r="38" spans="1:7" ht="15" customHeight="1" x14ac:dyDescent="0.25">
      <c r="A38" s="72" t="s">
        <v>93</v>
      </c>
      <c r="B38" s="200" t="s">
        <v>94</v>
      </c>
      <c r="C38" s="200"/>
      <c r="D38" s="200"/>
      <c r="E38" s="200"/>
      <c r="F38" s="72" t="s">
        <v>95</v>
      </c>
      <c r="G38" s="72" t="s">
        <v>88</v>
      </c>
    </row>
    <row r="39" spans="1:7" x14ac:dyDescent="0.25">
      <c r="A39" s="43" t="s">
        <v>56</v>
      </c>
      <c r="B39" s="204" t="s">
        <v>214</v>
      </c>
      <c r="C39" s="204"/>
      <c r="D39" s="204"/>
      <c r="E39" s="204"/>
      <c r="F39" s="50">
        <f>1/12</f>
        <v>8.3333333333333329E-2</v>
      </c>
      <c r="G39" s="51">
        <f>ROUND($G$34*F39,2)</f>
        <v>825</v>
      </c>
    </row>
    <row r="40" spans="1:7" x14ac:dyDescent="0.25">
      <c r="A40" s="43" t="s">
        <v>59</v>
      </c>
      <c r="B40" s="213" t="s">
        <v>96</v>
      </c>
      <c r="C40" s="213"/>
      <c r="D40" s="213"/>
      <c r="E40" s="213"/>
      <c r="F40" s="50">
        <v>0.1111</v>
      </c>
      <c r="G40" s="51">
        <f>ROUND($G$34*F40,2)</f>
        <v>1099.8900000000001</v>
      </c>
    </row>
    <row r="41" spans="1:7" x14ac:dyDescent="0.25">
      <c r="A41" s="205" t="s">
        <v>97</v>
      </c>
      <c r="B41" s="205"/>
      <c r="C41" s="205"/>
      <c r="D41" s="205"/>
      <c r="E41" s="205"/>
      <c r="F41" s="205"/>
      <c r="G41" s="49">
        <f>ROUND(SUM(G39:G40),2)</f>
        <v>1924.89</v>
      </c>
    </row>
    <row r="42" spans="1:7" ht="30.75" customHeight="1" x14ac:dyDescent="0.25">
      <c r="A42" s="211" t="s">
        <v>98</v>
      </c>
      <c r="B42" s="211"/>
      <c r="C42" s="211"/>
      <c r="D42" s="211"/>
      <c r="E42" s="211"/>
      <c r="F42" s="211"/>
      <c r="G42" s="211"/>
    </row>
    <row r="43" spans="1:7" ht="30.75" customHeight="1" x14ac:dyDescent="0.25">
      <c r="A43" s="202" t="s">
        <v>99</v>
      </c>
      <c r="B43" s="202"/>
      <c r="C43" s="202"/>
      <c r="D43" s="202"/>
      <c r="E43" s="202"/>
      <c r="F43" s="202"/>
      <c r="G43" s="202"/>
    </row>
    <row r="44" spans="1:7" ht="43.5" customHeight="1" x14ac:dyDescent="0.25">
      <c r="A44" s="202" t="s">
        <v>100</v>
      </c>
      <c r="B44" s="202"/>
      <c r="C44" s="202"/>
      <c r="D44" s="202"/>
      <c r="E44" s="202"/>
      <c r="F44" s="202"/>
      <c r="G44" s="202"/>
    </row>
    <row r="45" spans="1:7" x14ac:dyDescent="0.25">
      <c r="A45" s="42"/>
      <c r="B45" s="42"/>
      <c r="C45" s="42"/>
      <c r="D45" s="42"/>
      <c r="E45" s="42"/>
      <c r="F45" s="42"/>
      <c r="G45" s="42"/>
    </row>
    <row r="46" spans="1:7" x14ac:dyDescent="0.25">
      <c r="A46" s="212" t="s">
        <v>101</v>
      </c>
      <c r="B46" s="212"/>
      <c r="C46" s="212"/>
      <c r="D46" s="212"/>
      <c r="E46" s="212"/>
      <c r="F46" s="212"/>
      <c r="G46" s="52">
        <f>ROUND(G34+G41,2)</f>
        <v>11824.89</v>
      </c>
    </row>
    <row r="47" spans="1:7" ht="15" customHeight="1" x14ac:dyDescent="0.25">
      <c r="A47" s="208" t="s">
        <v>102</v>
      </c>
      <c r="B47" s="208"/>
      <c r="C47" s="208"/>
      <c r="D47" s="208"/>
      <c r="E47" s="208"/>
      <c r="F47" s="208"/>
      <c r="G47" s="208"/>
    </row>
    <row r="48" spans="1:7" ht="15" customHeight="1" x14ac:dyDescent="0.25">
      <c r="A48" s="72" t="s">
        <v>103</v>
      </c>
      <c r="B48" s="200" t="s">
        <v>104</v>
      </c>
      <c r="C48" s="200"/>
      <c r="D48" s="200"/>
      <c r="E48" s="200"/>
      <c r="F48" s="72" t="s">
        <v>95</v>
      </c>
      <c r="G48" s="72" t="s">
        <v>88</v>
      </c>
    </row>
    <row r="49" spans="1:7" x14ac:dyDescent="0.25">
      <c r="A49" s="43" t="s">
        <v>56</v>
      </c>
      <c r="B49" s="204" t="s">
        <v>215</v>
      </c>
      <c r="C49" s="204"/>
      <c r="D49" s="204"/>
      <c r="E49" s="204"/>
      <c r="F49" s="50">
        <v>0.2</v>
      </c>
      <c r="G49" s="51">
        <f t="shared" ref="G49:G56" si="0">ROUND($G$46*F49,2)</f>
        <v>2364.98</v>
      </c>
    </row>
    <row r="50" spans="1:7" x14ac:dyDescent="0.25">
      <c r="A50" s="43" t="s">
        <v>105</v>
      </c>
      <c r="B50" s="204" t="s">
        <v>216</v>
      </c>
      <c r="C50" s="204"/>
      <c r="D50" s="204"/>
      <c r="E50" s="204"/>
      <c r="F50" s="50">
        <v>2.5000000000000001E-2</v>
      </c>
      <c r="G50" s="51">
        <f t="shared" si="0"/>
        <v>295.62</v>
      </c>
    </row>
    <row r="51" spans="1:7" x14ac:dyDescent="0.25">
      <c r="A51" s="43" t="s">
        <v>106</v>
      </c>
      <c r="B51" s="204" t="s">
        <v>217</v>
      </c>
      <c r="C51" s="204"/>
      <c r="D51" s="204"/>
      <c r="E51" s="204"/>
      <c r="F51" s="53">
        <v>0.03</v>
      </c>
      <c r="G51" s="51">
        <f t="shared" si="0"/>
        <v>354.75</v>
      </c>
    </row>
    <row r="52" spans="1:7" x14ac:dyDescent="0.25">
      <c r="A52" s="43" t="s">
        <v>59</v>
      </c>
      <c r="B52" s="204" t="s">
        <v>218</v>
      </c>
      <c r="C52" s="204"/>
      <c r="D52" s="204"/>
      <c r="E52" s="204"/>
      <c r="F52" s="50">
        <v>0.08</v>
      </c>
      <c r="G52" s="51">
        <f t="shared" si="0"/>
        <v>945.99</v>
      </c>
    </row>
    <row r="53" spans="1:7" x14ac:dyDescent="0.25">
      <c r="A53" s="43" t="s">
        <v>62</v>
      </c>
      <c r="B53" s="204" t="s">
        <v>219</v>
      </c>
      <c r="C53" s="204"/>
      <c r="D53" s="204"/>
      <c r="E53" s="204"/>
      <c r="F53" s="50">
        <v>1.4999999999999999E-2</v>
      </c>
      <c r="G53" s="51">
        <f t="shared" si="0"/>
        <v>177.37</v>
      </c>
    </row>
    <row r="54" spans="1:7" x14ac:dyDescent="0.25">
      <c r="A54" s="43" t="s">
        <v>64</v>
      </c>
      <c r="B54" s="204" t="s">
        <v>220</v>
      </c>
      <c r="C54" s="204"/>
      <c r="D54" s="204"/>
      <c r="E54" s="204"/>
      <c r="F54" s="50">
        <v>0.01</v>
      </c>
      <c r="G54" s="51">
        <f t="shared" si="0"/>
        <v>118.25</v>
      </c>
    </row>
    <row r="55" spans="1:7" x14ac:dyDescent="0.25">
      <c r="A55" s="43" t="s">
        <v>66</v>
      </c>
      <c r="B55" s="204" t="s">
        <v>221</v>
      </c>
      <c r="C55" s="204"/>
      <c r="D55" s="204"/>
      <c r="E55" s="204"/>
      <c r="F55" s="50">
        <v>6.0000000000000001E-3</v>
      </c>
      <c r="G55" s="51">
        <f t="shared" si="0"/>
        <v>70.95</v>
      </c>
    </row>
    <row r="56" spans="1:7" x14ac:dyDescent="0.25">
      <c r="A56" s="43" t="s">
        <v>107</v>
      </c>
      <c r="B56" s="204" t="s">
        <v>222</v>
      </c>
      <c r="C56" s="204"/>
      <c r="D56" s="204"/>
      <c r="E56" s="204"/>
      <c r="F56" s="50">
        <v>2E-3</v>
      </c>
      <c r="G56" s="51">
        <f t="shared" si="0"/>
        <v>23.65</v>
      </c>
    </row>
    <row r="57" spans="1:7" x14ac:dyDescent="0.25">
      <c r="A57" s="205" t="s">
        <v>108</v>
      </c>
      <c r="B57" s="205"/>
      <c r="C57" s="205"/>
      <c r="D57" s="205"/>
      <c r="E57" s="205"/>
      <c r="F57" s="54">
        <f>SUM(F49:F56)</f>
        <v>0.36800000000000005</v>
      </c>
      <c r="G57" s="49">
        <f>ROUND(SUM(G49:G56),2)</f>
        <v>4351.5600000000004</v>
      </c>
    </row>
    <row r="58" spans="1:7" ht="30.75" customHeight="1" x14ac:dyDescent="0.25">
      <c r="A58" s="202" t="s">
        <v>109</v>
      </c>
      <c r="B58" s="202"/>
      <c r="C58" s="202"/>
      <c r="D58" s="202"/>
      <c r="E58" s="202"/>
      <c r="F58" s="202"/>
      <c r="G58" s="202"/>
    </row>
    <row r="59" spans="1:7" ht="30.75" customHeight="1" x14ac:dyDescent="0.25">
      <c r="A59" s="202" t="s">
        <v>110</v>
      </c>
      <c r="B59" s="202"/>
      <c r="C59" s="202"/>
      <c r="D59" s="202"/>
      <c r="E59" s="202"/>
      <c r="F59" s="202"/>
      <c r="G59" s="202"/>
    </row>
    <row r="60" spans="1:7" x14ac:dyDescent="0.25">
      <c r="A60" s="209" t="s">
        <v>111</v>
      </c>
      <c r="B60" s="209"/>
      <c r="C60" s="209"/>
      <c r="D60" s="209"/>
      <c r="E60" s="209"/>
      <c r="F60" s="209"/>
      <c r="G60" s="209"/>
    </row>
    <row r="61" spans="1:7" x14ac:dyDescent="0.25">
      <c r="A61" s="42"/>
      <c r="B61" s="42"/>
      <c r="C61" s="42"/>
      <c r="D61" s="42"/>
      <c r="E61" s="42"/>
      <c r="F61" s="42"/>
      <c r="G61" s="42"/>
    </row>
    <row r="62" spans="1:7" ht="15" customHeight="1" x14ac:dyDescent="0.25">
      <c r="A62" s="208" t="s">
        <v>112</v>
      </c>
      <c r="B62" s="208"/>
      <c r="C62" s="208"/>
      <c r="D62" s="208"/>
      <c r="E62" s="208"/>
      <c r="F62" s="208"/>
      <c r="G62" s="208"/>
    </row>
    <row r="63" spans="1:7" ht="15" customHeight="1" x14ac:dyDescent="0.25">
      <c r="A63" s="72" t="s">
        <v>113</v>
      </c>
      <c r="B63" s="200" t="s">
        <v>114</v>
      </c>
      <c r="C63" s="200"/>
      <c r="D63" s="200"/>
      <c r="E63" s="200"/>
      <c r="F63" s="200"/>
      <c r="G63" s="72" t="s">
        <v>88</v>
      </c>
    </row>
    <row r="64" spans="1:7" x14ac:dyDescent="0.25">
      <c r="A64" s="43" t="s">
        <v>56</v>
      </c>
      <c r="B64" s="204" t="s">
        <v>115</v>
      </c>
      <c r="C64" s="204"/>
      <c r="D64" s="204"/>
      <c r="E64" s="55" t="s">
        <v>116</v>
      </c>
      <c r="F64" s="48"/>
      <c r="G64" s="56">
        <f>ROUND($E$23,0)*2*F64</f>
        <v>0</v>
      </c>
    </row>
    <row r="65" spans="1:7" x14ac:dyDescent="0.25">
      <c r="A65" s="57" t="s">
        <v>117</v>
      </c>
      <c r="B65" s="210" t="s">
        <v>223</v>
      </c>
      <c r="C65" s="210"/>
      <c r="D65" s="210"/>
      <c r="E65" s="210"/>
      <c r="F65" s="58"/>
      <c r="G65" s="59">
        <f>ROUND($G$30*F65,2)</f>
        <v>0</v>
      </c>
    </row>
    <row r="66" spans="1:7" x14ac:dyDescent="0.25">
      <c r="A66" s="43" t="s">
        <v>59</v>
      </c>
      <c r="B66" s="204" t="s">
        <v>224</v>
      </c>
      <c r="C66" s="204"/>
      <c r="D66" s="204"/>
      <c r="E66" s="55" t="s">
        <v>116</v>
      </c>
      <c r="F66" s="48">
        <v>35</v>
      </c>
      <c r="G66" s="60">
        <f>ROUND($E$23,0)*F66</f>
        <v>735</v>
      </c>
    </row>
    <row r="67" spans="1:7" x14ac:dyDescent="0.25">
      <c r="A67" s="57" t="s">
        <v>118</v>
      </c>
      <c r="B67" s="210" t="s">
        <v>225</v>
      </c>
      <c r="C67" s="210"/>
      <c r="D67" s="210"/>
      <c r="E67" s="210"/>
      <c r="F67" s="47"/>
      <c r="G67" s="59">
        <f>ROUND($E$23,0)*F67</f>
        <v>0</v>
      </c>
    </row>
    <row r="68" spans="1:7" x14ac:dyDescent="0.25">
      <c r="A68" s="43" t="s">
        <v>62</v>
      </c>
      <c r="B68" s="204" t="s">
        <v>209</v>
      </c>
      <c r="C68" s="204"/>
      <c r="D68" s="204"/>
      <c r="E68" s="204"/>
      <c r="F68" s="204"/>
      <c r="G68" s="48">
        <v>0</v>
      </c>
    </row>
    <row r="69" spans="1:7" x14ac:dyDescent="0.25">
      <c r="A69" s="43" t="s">
        <v>64</v>
      </c>
      <c r="B69" s="204" t="s">
        <v>119</v>
      </c>
      <c r="C69" s="204"/>
      <c r="D69" s="204"/>
      <c r="E69" s="204"/>
      <c r="F69" s="204"/>
      <c r="G69" s="48">
        <v>10.63</v>
      </c>
    </row>
    <row r="70" spans="1:7" x14ac:dyDescent="0.25">
      <c r="A70" s="43" t="s">
        <v>66</v>
      </c>
      <c r="B70" s="204" t="s">
        <v>120</v>
      </c>
      <c r="C70" s="204"/>
      <c r="D70" s="204"/>
      <c r="E70" s="204"/>
      <c r="F70" s="204"/>
      <c r="G70" s="48">
        <v>2.2999999999999998</v>
      </c>
    </row>
    <row r="71" spans="1:7" x14ac:dyDescent="0.25">
      <c r="A71" s="43" t="s">
        <v>105</v>
      </c>
      <c r="B71" s="204" t="s">
        <v>121</v>
      </c>
      <c r="C71" s="204"/>
      <c r="D71" s="204"/>
      <c r="E71" s="204"/>
      <c r="F71" s="204"/>
      <c r="G71" s="48">
        <v>160.07</v>
      </c>
    </row>
    <row r="72" spans="1:7" x14ac:dyDescent="0.25">
      <c r="A72" s="43" t="s">
        <v>107</v>
      </c>
      <c r="B72" s="204" t="s">
        <v>226</v>
      </c>
      <c r="C72" s="204"/>
      <c r="D72" s="204"/>
      <c r="E72" s="204"/>
      <c r="F72" s="204"/>
      <c r="G72" s="48">
        <v>0</v>
      </c>
    </row>
    <row r="73" spans="1:7" x14ac:dyDescent="0.25">
      <c r="A73" s="205" t="s">
        <v>122</v>
      </c>
      <c r="B73" s="205"/>
      <c r="C73" s="205"/>
      <c r="D73" s="205"/>
      <c r="E73" s="205"/>
      <c r="F73" s="205"/>
      <c r="G73" s="49">
        <f>ROUND(SUM(G64:G72),2)</f>
        <v>908</v>
      </c>
    </row>
    <row r="74" spans="1:7" x14ac:dyDescent="0.25">
      <c r="A74" s="209" t="s">
        <v>123</v>
      </c>
      <c r="B74" s="209"/>
      <c r="C74" s="209"/>
      <c r="D74" s="209"/>
      <c r="E74" s="209"/>
      <c r="F74" s="209"/>
      <c r="G74" s="209"/>
    </row>
    <row r="75" spans="1:7" ht="32.25" customHeight="1" x14ac:dyDescent="0.25">
      <c r="A75" s="202" t="s">
        <v>124</v>
      </c>
      <c r="B75" s="202"/>
      <c r="C75" s="202"/>
      <c r="D75" s="202"/>
      <c r="E75" s="202"/>
      <c r="F75" s="202"/>
      <c r="G75" s="202"/>
    </row>
    <row r="76" spans="1:7" x14ac:dyDescent="0.25">
      <c r="A76" s="42"/>
      <c r="B76" s="42"/>
      <c r="C76" s="42"/>
      <c r="D76" s="42"/>
      <c r="E76" s="42"/>
      <c r="F76" s="42"/>
      <c r="G76" s="42"/>
    </row>
    <row r="77" spans="1:7" x14ac:dyDescent="0.25">
      <c r="A77" s="199" t="s">
        <v>125</v>
      </c>
      <c r="B77" s="199"/>
      <c r="C77" s="199"/>
      <c r="D77" s="199"/>
      <c r="E77" s="199"/>
      <c r="F77" s="199"/>
      <c r="G77" s="199"/>
    </row>
    <row r="78" spans="1:7" ht="15" customHeight="1" x14ac:dyDescent="0.25">
      <c r="A78" s="72">
        <v>2</v>
      </c>
      <c r="B78" s="200" t="s">
        <v>126</v>
      </c>
      <c r="C78" s="200"/>
      <c r="D78" s="200"/>
      <c r="E78" s="200"/>
      <c r="F78" s="200"/>
      <c r="G78" s="72" t="s">
        <v>88</v>
      </c>
    </row>
    <row r="79" spans="1:7" x14ac:dyDescent="0.25">
      <c r="A79" s="61" t="s">
        <v>93</v>
      </c>
      <c r="B79" s="206" t="s">
        <v>94</v>
      </c>
      <c r="C79" s="206"/>
      <c r="D79" s="206"/>
      <c r="E79" s="206"/>
      <c r="F79" s="206"/>
      <c r="G79" s="62">
        <f>$G$41</f>
        <v>1924.89</v>
      </c>
    </row>
    <row r="80" spans="1:7" x14ac:dyDescent="0.25">
      <c r="A80" s="61" t="s">
        <v>103</v>
      </c>
      <c r="B80" s="206" t="s">
        <v>104</v>
      </c>
      <c r="C80" s="206"/>
      <c r="D80" s="206"/>
      <c r="E80" s="206"/>
      <c r="F80" s="206"/>
      <c r="G80" s="62">
        <f>$G$57</f>
        <v>4351.5600000000004</v>
      </c>
    </row>
    <row r="81" spans="1:7" x14ac:dyDescent="0.25">
      <c r="A81" s="61" t="s">
        <v>113</v>
      </c>
      <c r="B81" s="206" t="s">
        <v>114</v>
      </c>
      <c r="C81" s="206"/>
      <c r="D81" s="206"/>
      <c r="E81" s="206"/>
      <c r="F81" s="206"/>
      <c r="G81" s="62">
        <f>$G$73</f>
        <v>908</v>
      </c>
    </row>
    <row r="82" spans="1:7" x14ac:dyDescent="0.25">
      <c r="A82" s="205" t="s">
        <v>127</v>
      </c>
      <c r="B82" s="205"/>
      <c r="C82" s="205"/>
      <c r="D82" s="205"/>
      <c r="E82" s="205"/>
      <c r="F82" s="205"/>
      <c r="G82" s="49">
        <f>ROUND(SUM(G79:G81),2)</f>
        <v>7184.45</v>
      </c>
    </row>
    <row r="83" spans="1:7" x14ac:dyDescent="0.25">
      <c r="A83" s="42"/>
      <c r="B83" s="42"/>
      <c r="C83" s="42"/>
      <c r="D83" s="42"/>
      <c r="E83" s="42"/>
      <c r="F83" s="42"/>
      <c r="G83" s="42"/>
    </row>
    <row r="84" spans="1:7" x14ac:dyDescent="0.25">
      <c r="A84" s="199" t="s">
        <v>128</v>
      </c>
      <c r="B84" s="199"/>
      <c r="C84" s="199"/>
      <c r="D84" s="199"/>
      <c r="E84" s="199"/>
      <c r="F84" s="199"/>
      <c r="G84" s="199"/>
    </row>
    <row r="85" spans="1:7" ht="15" customHeight="1" x14ac:dyDescent="0.25">
      <c r="A85" s="72">
        <v>3</v>
      </c>
      <c r="B85" s="200" t="s">
        <v>129</v>
      </c>
      <c r="C85" s="200"/>
      <c r="D85" s="200"/>
      <c r="E85" s="200"/>
      <c r="F85" s="72" t="s">
        <v>95</v>
      </c>
      <c r="G85" s="72" t="s">
        <v>88</v>
      </c>
    </row>
    <row r="86" spans="1:7" x14ac:dyDescent="0.25">
      <c r="A86" s="43" t="s">
        <v>56</v>
      </c>
      <c r="B86" s="204" t="s">
        <v>227</v>
      </c>
      <c r="C86" s="204"/>
      <c r="D86" s="204"/>
      <c r="E86" s="204"/>
      <c r="F86" s="50">
        <f>(1/12)*5.55%</f>
        <v>4.6249999999999998E-3</v>
      </c>
      <c r="G86" s="51">
        <f>ROUND($G$34*F86,2)</f>
        <v>45.79</v>
      </c>
    </row>
    <row r="87" spans="1:7" x14ac:dyDescent="0.25">
      <c r="A87" s="43" t="s">
        <v>59</v>
      </c>
      <c r="B87" s="204" t="s">
        <v>130</v>
      </c>
      <c r="C87" s="204"/>
      <c r="D87" s="204"/>
      <c r="E87" s="204"/>
      <c r="F87" s="63">
        <f>$F$52</f>
        <v>0.08</v>
      </c>
      <c r="G87" s="51">
        <f>G86*F87</f>
        <v>3.6631999999999998</v>
      </c>
    </row>
    <row r="88" spans="1:7" x14ac:dyDescent="0.25">
      <c r="A88" s="43" t="s">
        <v>62</v>
      </c>
      <c r="B88" s="204" t="s">
        <v>210</v>
      </c>
      <c r="C88" s="204"/>
      <c r="D88" s="204"/>
      <c r="E88" s="204"/>
      <c r="F88" s="50">
        <f>(7/30)/12</f>
        <v>1.9444444444444445E-2</v>
      </c>
      <c r="G88" s="51">
        <f>ROUND($G$34*F88,2)</f>
        <v>192.5</v>
      </c>
    </row>
    <row r="89" spans="1:7" x14ac:dyDescent="0.25">
      <c r="A89" s="43" t="s">
        <v>64</v>
      </c>
      <c r="B89" s="204" t="s">
        <v>131</v>
      </c>
      <c r="C89" s="204"/>
      <c r="D89" s="204"/>
      <c r="E89" s="204"/>
      <c r="F89" s="63">
        <f>$F$57</f>
        <v>0.36800000000000005</v>
      </c>
      <c r="G89" s="51">
        <f>G88*F89</f>
        <v>70.84</v>
      </c>
    </row>
    <row r="90" spans="1:7" x14ac:dyDescent="0.25">
      <c r="A90" s="43" t="s">
        <v>66</v>
      </c>
      <c r="B90" s="204" t="s">
        <v>211</v>
      </c>
      <c r="C90" s="204"/>
      <c r="D90" s="204"/>
      <c r="E90" s="204"/>
      <c r="F90" s="53">
        <v>0.04</v>
      </c>
      <c r="G90" s="51">
        <f>ROUND($G$34*F90,2)</f>
        <v>396</v>
      </c>
    </row>
    <row r="91" spans="1:7" x14ac:dyDescent="0.25">
      <c r="A91" s="205" t="s">
        <v>132</v>
      </c>
      <c r="B91" s="205"/>
      <c r="C91" s="205"/>
      <c r="D91" s="205"/>
      <c r="E91" s="205"/>
      <c r="F91" s="205"/>
      <c r="G91" s="49">
        <f>ROUND(SUM(G86:G90),2)</f>
        <v>708.79</v>
      </c>
    </row>
    <row r="92" spans="1:7" x14ac:dyDescent="0.25">
      <c r="A92" s="42"/>
      <c r="B92" s="42"/>
      <c r="C92" s="42"/>
      <c r="D92" s="42"/>
      <c r="E92" s="42"/>
      <c r="F92" s="42"/>
      <c r="G92" s="42"/>
    </row>
    <row r="93" spans="1:7" x14ac:dyDescent="0.25">
      <c r="A93" s="199" t="s">
        <v>133</v>
      </c>
      <c r="B93" s="199"/>
      <c r="C93" s="199"/>
      <c r="D93" s="199"/>
      <c r="E93" s="199"/>
      <c r="F93" s="199"/>
      <c r="G93" s="199"/>
    </row>
    <row r="94" spans="1:7" ht="15" customHeight="1" x14ac:dyDescent="0.25">
      <c r="A94" s="208" t="s">
        <v>134</v>
      </c>
      <c r="B94" s="208"/>
      <c r="C94" s="208"/>
      <c r="D94" s="208"/>
      <c r="E94" s="208"/>
      <c r="F94" s="208"/>
      <c r="G94" s="208"/>
    </row>
    <row r="95" spans="1:7" ht="15" customHeight="1" x14ac:dyDescent="0.25">
      <c r="A95" s="72" t="s">
        <v>135</v>
      </c>
      <c r="B95" s="200" t="s">
        <v>136</v>
      </c>
      <c r="C95" s="200"/>
      <c r="D95" s="200"/>
      <c r="E95" s="200"/>
      <c r="F95" s="72" t="s">
        <v>95</v>
      </c>
      <c r="G95" s="72" t="s">
        <v>88</v>
      </c>
    </row>
    <row r="96" spans="1:7" x14ac:dyDescent="0.25">
      <c r="A96" s="43" t="s">
        <v>56</v>
      </c>
      <c r="B96" s="204" t="s">
        <v>137</v>
      </c>
      <c r="C96" s="204"/>
      <c r="D96" s="204"/>
      <c r="E96" s="204"/>
      <c r="F96" s="50">
        <v>9.2999999999999992E-3</v>
      </c>
      <c r="G96" s="51">
        <f>ROUND($G$34*F96,2)</f>
        <v>92.07</v>
      </c>
    </row>
    <row r="97" spans="1:7" ht="15" customHeight="1" x14ac:dyDescent="0.25">
      <c r="A97" s="43" t="s">
        <v>138</v>
      </c>
      <c r="B97" s="207" t="s">
        <v>139</v>
      </c>
      <c r="C97" s="207"/>
      <c r="D97" s="207"/>
      <c r="E97" s="207"/>
      <c r="F97" s="64">
        <f>$F$57</f>
        <v>0.36800000000000005</v>
      </c>
      <c r="G97" s="51">
        <f>ROUND(G96*F97,2)</f>
        <v>33.880000000000003</v>
      </c>
    </row>
    <row r="98" spans="1:7" x14ac:dyDescent="0.25">
      <c r="A98" s="43" t="s">
        <v>59</v>
      </c>
      <c r="B98" s="204" t="s">
        <v>212</v>
      </c>
      <c r="C98" s="204"/>
      <c r="D98" s="204"/>
      <c r="E98" s="204"/>
      <c r="F98" s="65">
        <v>7.3000000000000001E-3</v>
      </c>
      <c r="G98" s="51">
        <f>ROUND($G$34*F98,2)</f>
        <v>72.27</v>
      </c>
    </row>
    <row r="99" spans="1:7" x14ac:dyDescent="0.25">
      <c r="A99" s="43" t="s">
        <v>62</v>
      </c>
      <c r="B99" s="204" t="s">
        <v>228</v>
      </c>
      <c r="C99" s="204"/>
      <c r="D99" s="204"/>
      <c r="E99" s="204"/>
      <c r="F99" s="65">
        <v>8.1999999999999998E-4</v>
      </c>
      <c r="G99" s="51">
        <f>ROUND($G$34*F99,2)</f>
        <v>8.1199999999999992</v>
      </c>
    </row>
    <row r="100" spans="1:7" x14ac:dyDescent="0.25">
      <c r="A100" s="43" t="s">
        <v>64</v>
      </c>
      <c r="B100" s="204" t="s">
        <v>229</v>
      </c>
      <c r="C100" s="204"/>
      <c r="D100" s="204"/>
      <c r="E100" s="204"/>
      <c r="F100" s="65">
        <v>2.7000000000000001E-3</v>
      </c>
      <c r="G100" s="51">
        <f>ROUND($G$34*F100,2)</f>
        <v>26.73</v>
      </c>
    </row>
    <row r="101" spans="1:7" x14ac:dyDescent="0.25">
      <c r="A101" s="43" t="s">
        <v>66</v>
      </c>
      <c r="B101" s="204" t="s">
        <v>230</v>
      </c>
      <c r="C101" s="204"/>
      <c r="D101" s="204"/>
      <c r="E101" s="204"/>
      <c r="F101" s="65">
        <v>5.5000000000000003E-4</v>
      </c>
      <c r="G101" s="51">
        <f>ROUND($G$34*F101,2)</f>
        <v>5.45</v>
      </c>
    </row>
    <row r="102" spans="1:7" ht="15" customHeight="1" x14ac:dyDescent="0.25">
      <c r="A102" s="43" t="s">
        <v>107</v>
      </c>
      <c r="B102" s="207" t="s">
        <v>140</v>
      </c>
      <c r="C102" s="207"/>
      <c r="D102" s="207"/>
      <c r="E102" s="207"/>
      <c r="F102" s="65">
        <v>0</v>
      </c>
      <c r="G102" s="51">
        <f>ROUND($G$34*F102,2)</f>
        <v>0</v>
      </c>
    </row>
    <row r="103" spans="1:7" x14ac:dyDescent="0.25">
      <c r="A103" s="205" t="s">
        <v>141</v>
      </c>
      <c r="B103" s="205"/>
      <c r="C103" s="205"/>
      <c r="D103" s="205"/>
      <c r="E103" s="205"/>
      <c r="F103" s="205"/>
      <c r="G103" s="49">
        <f>ROUND(SUM(G96:G102),2)</f>
        <v>238.52</v>
      </c>
    </row>
    <row r="104" spans="1:7" ht="45" customHeight="1" x14ac:dyDescent="0.25">
      <c r="A104" s="202" t="s">
        <v>142</v>
      </c>
      <c r="B104" s="202"/>
      <c r="C104" s="202"/>
      <c r="D104" s="202"/>
      <c r="E104" s="202"/>
      <c r="F104" s="202"/>
      <c r="G104" s="202"/>
    </row>
    <row r="105" spans="1:7" x14ac:dyDescent="0.25">
      <c r="A105" s="42"/>
      <c r="B105" s="42"/>
      <c r="C105" s="42"/>
      <c r="D105" s="42"/>
      <c r="E105" s="42"/>
      <c r="F105" s="42"/>
      <c r="G105" s="42"/>
    </row>
    <row r="106" spans="1:7" ht="15.75" customHeight="1" x14ac:dyDescent="0.25">
      <c r="A106" s="208" t="s">
        <v>143</v>
      </c>
      <c r="B106" s="208"/>
      <c r="C106" s="208"/>
      <c r="D106" s="208"/>
      <c r="E106" s="208"/>
      <c r="F106" s="208"/>
      <c r="G106" s="208"/>
    </row>
    <row r="107" spans="1:7" ht="15" customHeight="1" x14ac:dyDescent="0.25">
      <c r="A107" s="72" t="s">
        <v>144</v>
      </c>
      <c r="B107" s="200" t="s">
        <v>145</v>
      </c>
      <c r="C107" s="200"/>
      <c r="D107" s="200"/>
      <c r="E107" s="200"/>
      <c r="F107" s="72" t="s">
        <v>146</v>
      </c>
      <c r="G107" s="72" t="s">
        <v>88</v>
      </c>
    </row>
    <row r="108" spans="1:7" x14ac:dyDescent="0.25">
      <c r="A108" s="43" t="s">
        <v>56</v>
      </c>
      <c r="B108" s="204" t="s">
        <v>147</v>
      </c>
      <c r="C108" s="204"/>
      <c r="D108" s="204"/>
      <c r="E108" s="204"/>
      <c r="F108" s="66">
        <v>0</v>
      </c>
      <c r="G108" s="51">
        <f>ROUND(F108*$E$23,2)</f>
        <v>0</v>
      </c>
    </row>
    <row r="109" spans="1:7" x14ac:dyDescent="0.25">
      <c r="A109" s="205" t="s">
        <v>148</v>
      </c>
      <c r="B109" s="205"/>
      <c r="C109" s="205"/>
      <c r="D109" s="205"/>
      <c r="E109" s="205"/>
      <c r="F109" s="205"/>
      <c r="G109" s="49">
        <f>ROUND(SUM(G108),2)</f>
        <v>0</v>
      </c>
    </row>
    <row r="110" spans="1:7" ht="29.25" customHeight="1" x14ac:dyDescent="0.25">
      <c r="A110" s="202" t="s">
        <v>149</v>
      </c>
      <c r="B110" s="202"/>
      <c r="C110" s="202"/>
      <c r="D110" s="202"/>
      <c r="E110" s="202"/>
      <c r="F110" s="202"/>
      <c r="G110" s="202"/>
    </row>
    <row r="111" spans="1:7" x14ac:dyDescent="0.25">
      <c r="A111" s="42"/>
      <c r="B111" s="42"/>
      <c r="C111" s="42"/>
      <c r="D111" s="42"/>
      <c r="E111" s="42"/>
      <c r="F111" s="42"/>
      <c r="G111" s="42"/>
    </row>
    <row r="112" spans="1:7" x14ac:dyDescent="0.25">
      <c r="A112" s="199" t="s">
        <v>150</v>
      </c>
      <c r="B112" s="199"/>
      <c r="C112" s="199"/>
      <c r="D112" s="199"/>
      <c r="E112" s="199"/>
      <c r="F112" s="199"/>
      <c r="G112" s="199"/>
    </row>
    <row r="113" spans="1:7" ht="15" customHeight="1" x14ac:dyDescent="0.25">
      <c r="A113" s="72">
        <v>4</v>
      </c>
      <c r="B113" s="200" t="s">
        <v>126</v>
      </c>
      <c r="C113" s="200"/>
      <c r="D113" s="200"/>
      <c r="E113" s="200"/>
      <c r="F113" s="72" t="s">
        <v>95</v>
      </c>
      <c r="G113" s="72" t="s">
        <v>88</v>
      </c>
    </row>
    <row r="114" spans="1:7" x14ac:dyDescent="0.25">
      <c r="A114" s="61" t="s">
        <v>135</v>
      </c>
      <c r="B114" s="206" t="s">
        <v>151</v>
      </c>
      <c r="C114" s="206"/>
      <c r="D114" s="206"/>
      <c r="E114" s="206"/>
      <c r="F114" s="67" t="s">
        <v>138</v>
      </c>
      <c r="G114" s="62">
        <f>$G$103</f>
        <v>238.52</v>
      </c>
    </row>
    <row r="115" spans="1:7" x14ac:dyDescent="0.25">
      <c r="A115" s="61" t="s">
        <v>144</v>
      </c>
      <c r="B115" s="206" t="s">
        <v>152</v>
      </c>
      <c r="C115" s="206"/>
      <c r="D115" s="206"/>
      <c r="E115" s="206"/>
      <c r="F115" s="67" t="s">
        <v>138</v>
      </c>
      <c r="G115" s="62">
        <f>$G$109</f>
        <v>0</v>
      </c>
    </row>
    <row r="116" spans="1:7" x14ac:dyDescent="0.25">
      <c r="A116" s="205" t="s">
        <v>153</v>
      </c>
      <c r="B116" s="205"/>
      <c r="C116" s="205"/>
      <c r="D116" s="205"/>
      <c r="E116" s="205"/>
      <c r="F116" s="205"/>
      <c r="G116" s="49">
        <f>ROUND(SUM(G114:G115),2)</f>
        <v>238.52</v>
      </c>
    </row>
    <row r="117" spans="1:7" x14ac:dyDescent="0.25">
      <c r="A117" s="42"/>
      <c r="B117" s="42"/>
      <c r="C117" s="42"/>
      <c r="D117" s="42"/>
      <c r="E117" s="42"/>
      <c r="F117" s="42"/>
      <c r="G117" s="42"/>
    </row>
    <row r="118" spans="1:7" x14ac:dyDescent="0.25">
      <c r="A118" s="199" t="s">
        <v>154</v>
      </c>
      <c r="B118" s="199"/>
      <c r="C118" s="199"/>
      <c r="D118" s="199"/>
      <c r="E118" s="199"/>
      <c r="F118" s="199"/>
      <c r="G118" s="199"/>
    </row>
    <row r="119" spans="1:7" ht="15" customHeight="1" x14ac:dyDescent="0.25">
      <c r="A119" s="72">
        <v>5</v>
      </c>
      <c r="B119" s="200" t="s">
        <v>155</v>
      </c>
      <c r="C119" s="200"/>
      <c r="D119" s="200"/>
      <c r="E119" s="200"/>
      <c r="F119" s="200"/>
      <c r="G119" s="72" t="s">
        <v>88</v>
      </c>
    </row>
    <row r="120" spans="1:7" x14ac:dyDescent="0.25">
      <c r="A120" s="43" t="s">
        <v>56</v>
      </c>
      <c r="B120" s="204" t="s">
        <v>231</v>
      </c>
      <c r="C120" s="204"/>
      <c r="D120" s="204"/>
      <c r="E120" s="204"/>
      <c r="F120" s="204"/>
      <c r="G120" s="48"/>
    </row>
    <row r="121" spans="1:7" x14ac:dyDescent="0.25">
      <c r="A121" s="43" t="s">
        <v>59</v>
      </c>
      <c r="B121" s="204" t="s">
        <v>232</v>
      </c>
      <c r="C121" s="204"/>
      <c r="D121" s="204"/>
      <c r="E121" s="204"/>
      <c r="F121" s="204"/>
      <c r="G121" s="48">
        <f>[2]Insumos!G9</f>
        <v>0</v>
      </c>
    </row>
    <row r="122" spans="1:7" x14ac:dyDescent="0.25">
      <c r="A122" s="43" t="s">
        <v>66</v>
      </c>
      <c r="B122" s="204" t="s">
        <v>208</v>
      </c>
      <c r="C122" s="204"/>
      <c r="D122" s="204"/>
      <c r="E122" s="204"/>
      <c r="F122" s="204"/>
      <c r="G122" s="48">
        <v>0</v>
      </c>
    </row>
    <row r="123" spans="1:7" x14ac:dyDescent="0.25">
      <c r="A123" s="205" t="s">
        <v>156</v>
      </c>
      <c r="B123" s="205"/>
      <c r="C123" s="205"/>
      <c r="D123" s="205"/>
      <c r="E123" s="205"/>
      <c r="F123" s="205"/>
      <c r="G123" s="49">
        <f>ROUND(SUM(G120:G122),2)</f>
        <v>0</v>
      </c>
    </row>
    <row r="124" spans="1:7" ht="15" customHeight="1" x14ac:dyDescent="0.25">
      <c r="A124" s="202" t="s">
        <v>157</v>
      </c>
      <c r="B124" s="202"/>
      <c r="C124" s="202"/>
      <c r="D124" s="202"/>
      <c r="E124" s="202"/>
      <c r="F124" s="202"/>
      <c r="G124" s="202"/>
    </row>
    <row r="125" spans="1:7" x14ac:dyDescent="0.25">
      <c r="A125" s="42"/>
      <c r="B125" s="42"/>
      <c r="C125" s="42"/>
      <c r="D125" s="42"/>
      <c r="E125" s="42"/>
      <c r="F125" s="42"/>
      <c r="G125" s="42"/>
    </row>
    <row r="126" spans="1:7" x14ac:dyDescent="0.25">
      <c r="A126" s="199" t="s">
        <v>158</v>
      </c>
      <c r="B126" s="199"/>
      <c r="C126" s="199"/>
      <c r="D126" s="199"/>
      <c r="E126" s="199"/>
      <c r="F126" s="199"/>
      <c r="G126" s="199"/>
    </row>
    <row r="127" spans="1:7" ht="15" customHeight="1" x14ac:dyDescent="0.25">
      <c r="A127" s="72"/>
      <c r="B127" s="200" t="s">
        <v>159</v>
      </c>
      <c r="C127" s="200"/>
      <c r="D127" s="200"/>
      <c r="E127" s="200"/>
      <c r="F127" s="200"/>
      <c r="G127" s="72" t="s">
        <v>88</v>
      </c>
    </row>
    <row r="128" spans="1:7" x14ac:dyDescent="0.25">
      <c r="A128" s="68" t="s">
        <v>56</v>
      </c>
      <c r="B128" s="201" t="s">
        <v>160</v>
      </c>
      <c r="C128" s="201"/>
      <c r="D128" s="201"/>
      <c r="E128" s="201"/>
      <c r="F128" s="201"/>
      <c r="G128" s="69">
        <f>$G$34</f>
        <v>9900</v>
      </c>
    </row>
    <row r="129" spans="1:7" x14ac:dyDescent="0.25">
      <c r="A129" s="68" t="s">
        <v>59</v>
      </c>
      <c r="B129" s="201" t="s">
        <v>161</v>
      </c>
      <c r="C129" s="201"/>
      <c r="D129" s="201"/>
      <c r="E129" s="201"/>
      <c r="F129" s="201"/>
      <c r="G129" s="69">
        <f>$G$82</f>
        <v>7184.45</v>
      </c>
    </row>
    <row r="130" spans="1:7" x14ac:dyDescent="0.25">
      <c r="A130" s="68" t="s">
        <v>62</v>
      </c>
      <c r="B130" s="201" t="s">
        <v>162</v>
      </c>
      <c r="C130" s="201"/>
      <c r="D130" s="201"/>
      <c r="E130" s="201"/>
      <c r="F130" s="201"/>
      <c r="G130" s="69">
        <f>$G$91</f>
        <v>708.79</v>
      </c>
    </row>
    <row r="131" spans="1:7" x14ac:dyDescent="0.25">
      <c r="A131" s="68" t="s">
        <v>64</v>
      </c>
      <c r="B131" s="201" t="s">
        <v>163</v>
      </c>
      <c r="C131" s="201"/>
      <c r="D131" s="201"/>
      <c r="E131" s="201"/>
      <c r="F131" s="201"/>
      <c r="G131" s="69">
        <f>$G$116</f>
        <v>238.52</v>
      </c>
    </row>
    <row r="132" spans="1:7" x14ac:dyDescent="0.25">
      <c r="A132" s="68" t="s">
        <v>66</v>
      </c>
      <c r="B132" s="201" t="s">
        <v>164</v>
      </c>
      <c r="C132" s="201"/>
      <c r="D132" s="201"/>
      <c r="E132" s="201"/>
      <c r="F132" s="201"/>
      <c r="G132" s="69">
        <f>$G$123</f>
        <v>0</v>
      </c>
    </row>
    <row r="133" spans="1:7" x14ac:dyDescent="0.25">
      <c r="A133" s="203" t="s">
        <v>165</v>
      </c>
      <c r="B133" s="203"/>
      <c r="C133" s="203"/>
      <c r="D133" s="203"/>
      <c r="E133" s="203"/>
      <c r="F133" s="203"/>
      <c r="G133" s="62">
        <f>ROUND(SUM(G128:G132),2)</f>
        <v>18031.759999999998</v>
      </c>
    </row>
    <row r="134" spans="1:7" x14ac:dyDescent="0.25">
      <c r="A134" s="42"/>
      <c r="B134" s="42"/>
      <c r="C134" s="42"/>
      <c r="D134" s="42"/>
      <c r="E134" s="42"/>
      <c r="F134" s="42"/>
      <c r="G134" s="42"/>
    </row>
    <row r="135" spans="1:7" x14ac:dyDescent="0.25">
      <c r="A135" s="199" t="s">
        <v>166</v>
      </c>
      <c r="B135" s="199"/>
      <c r="C135" s="199"/>
      <c r="D135" s="199"/>
      <c r="E135" s="199"/>
      <c r="F135" s="199"/>
      <c r="G135" s="199"/>
    </row>
    <row r="136" spans="1:7" ht="15" customHeight="1" x14ac:dyDescent="0.25">
      <c r="A136" s="72"/>
      <c r="B136" s="200" t="s">
        <v>167</v>
      </c>
      <c r="C136" s="200"/>
      <c r="D136" s="200"/>
      <c r="E136" s="200"/>
      <c r="F136" s="200"/>
      <c r="G136" s="72" t="s">
        <v>88</v>
      </c>
    </row>
    <row r="137" spans="1:7" x14ac:dyDescent="0.25">
      <c r="A137" s="68" t="s">
        <v>56</v>
      </c>
      <c r="B137" s="201" t="s">
        <v>168</v>
      </c>
      <c r="C137" s="201"/>
      <c r="D137" s="201"/>
      <c r="E137" s="201"/>
      <c r="F137" s="201"/>
      <c r="G137" s="49">
        <f>G133</f>
        <v>18031.759999999998</v>
      </c>
    </row>
    <row r="138" spans="1:7" x14ac:dyDescent="0.25">
      <c r="A138" s="68" t="s">
        <v>59</v>
      </c>
      <c r="B138" s="201" t="s">
        <v>169</v>
      </c>
      <c r="C138" s="201"/>
      <c r="D138" s="201"/>
      <c r="E138" s="201"/>
      <c r="F138" s="201"/>
      <c r="G138" s="49">
        <f>ROUND($G$137/$E$23,2)</f>
        <v>858.25</v>
      </c>
    </row>
    <row r="139" spans="1:7" x14ac:dyDescent="0.25">
      <c r="A139" s="68" t="s">
        <v>59</v>
      </c>
      <c r="B139" s="201" t="s">
        <v>170</v>
      </c>
      <c r="C139" s="201"/>
      <c r="D139" s="201"/>
      <c r="E139" s="201"/>
      <c r="F139" s="201"/>
      <c r="G139" s="49">
        <f>G137/220</f>
        <v>81.962545454545449</v>
      </c>
    </row>
    <row r="140" spans="1:7" ht="15" customHeight="1" x14ac:dyDescent="0.25">
      <c r="A140" s="202" t="s">
        <v>171</v>
      </c>
      <c r="B140" s="202"/>
      <c r="C140" s="202"/>
      <c r="D140" s="202"/>
      <c r="E140" s="202"/>
      <c r="F140" s="202"/>
      <c r="G140" s="202"/>
    </row>
    <row r="141" spans="1:7" x14ac:dyDescent="0.25">
      <c r="A141" s="42"/>
      <c r="B141" s="42"/>
      <c r="C141" s="42"/>
      <c r="D141" s="42"/>
      <c r="E141" s="42"/>
      <c r="F141" s="42"/>
      <c r="G141" s="42"/>
    </row>
    <row r="142" spans="1:7" x14ac:dyDescent="0.25">
      <c r="A142" s="42"/>
      <c r="B142" s="42"/>
      <c r="C142" s="42"/>
      <c r="D142" s="42"/>
      <c r="E142" s="42"/>
      <c r="F142" s="42"/>
      <c r="G142" s="42"/>
    </row>
    <row r="143" spans="1:7" x14ac:dyDescent="0.25">
      <c r="A143" s="70"/>
      <c r="B143" s="70"/>
      <c r="C143" s="71"/>
      <c r="D143" s="71"/>
      <c r="E143" s="71"/>
      <c r="F143" s="70"/>
      <c r="G143" s="70"/>
    </row>
    <row r="144" spans="1:7" x14ac:dyDescent="0.25">
      <c r="A144" s="70"/>
      <c r="B144" s="70"/>
      <c r="C144" s="198"/>
      <c r="D144" s="198"/>
      <c r="E144" s="198"/>
      <c r="F144" s="70"/>
      <c r="G144" s="70"/>
    </row>
    <row r="145" spans="1:7" x14ac:dyDescent="0.25">
      <c r="A145" s="70"/>
      <c r="B145" s="70"/>
      <c r="C145" s="198"/>
      <c r="D145" s="198"/>
      <c r="E145" s="198"/>
      <c r="F145" s="70"/>
      <c r="G145" s="70"/>
    </row>
    <row r="146" spans="1:7" hidden="1" x14ac:dyDescent="0.25">
      <c r="A146" s="42"/>
      <c r="B146" s="42"/>
      <c r="C146" s="42"/>
      <c r="D146" s="42"/>
      <c r="E146" s="42"/>
      <c r="F146" s="42"/>
      <c r="G146" s="42"/>
    </row>
    <row r="147" spans="1:7" hidden="1" x14ac:dyDescent="0.25">
      <c r="A147" s="42"/>
      <c r="B147" s="42"/>
      <c r="C147" s="42"/>
      <c r="D147" s="42"/>
      <c r="E147" s="42"/>
      <c r="F147" s="42"/>
      <c r="G147" s="42"/>
    </row>
    <row r="148" spans="1:7" hidden="1" x14ac:dyDescent="0.25">
      <c r="A148" s="42"/>
      <c r="B148" s="42"/>
      <c r="C148" s="42"/>
      <c r="D148" s="42"/>
      <c r="E148" s="42"/>
      <c r="F148" s="42"/>
      <c r="G148" s="42"/>
    </row>
    <row r="149" spans="1:7" hidden="1" x14ac:dyDescent="0.25">
      <c r="A149" s="42"/>
      <c r="B149" s="42"/>
      <c r="C149" s="42"/>
      <c r="D149" s="42"/>
      <c r="E149" s="42"/>
      <c r="F149" s="42"/>
      <c r="G149" s="42"/>
    </row>
    <row r="150" spans="1:7" hidden="1" x14ac:dyDescent="0.25">
      <c r="A150" s="42"/>
      <c r="B150" s="42"/>
      <c r="C150" s="42"/>
      <c r="D150" s="42"/>
      <c r="E150" s="42"/>
      <c r="F150" s="42"/>
      <c r="G150" s="42"/>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G184"/>
  <sheetViews>
    <sheetView showGridLines="0" tabSelected="1" zoomScaleNormal="100" workbookViewId="0">
      <selection activeCell="I45" sqref="I45"/>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172</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174</v>
      </c>
      <c r="F18" s="250"/>
      <c r="G18" s="251"/>
    </row>
    <row r="19" spans="1:7" x14ac:dyDescent="0.25">
      <c r="A19" s="75">
        <v>2</v>
      </c>
      <c r="B19" s="234" t="s">
        <v>78</v>
      </c>
      <c r="C19" s="234"/>
      <c r="D19" s="234"/>
      <c r="E19" s="244"/>
      <c r="F19" s="244"/>
      <c r="G19" s="244"/>
    </row>
    <row r="20" spans="1:7" x14ac:dyDescent="0.25">
      <c r="A20" s="75">
        <v>3</v>
      </c>
      <c r="B20" s="234" t="s">
        <v>79</v>
      </c>
      <c r="C20" s="234"/>
      <c r="D20" s="234"/>
      <c r="E20" s="246">
        <v>2575.92</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2575.92</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238</v>
      </c>
      <c r="C33" s="234"/>
      <c r="D33" s="234"/>
      <c r="E33" s="234"/>
      <c r="F33" s="234"/>
      <c r="G33" s="80">
        <v>0</v>
      </c>
    </row>
    <row r="34" spans="1:7" x14ac:dyDescent="0.25">
      <c r="A34" s="235" t="s">
        <v>90</v>
      </c>
      <c r="B34" s="235"/>
      <c r="C34" s="235"/>
      <c r="D34" s="235"/>
      <c r="E34" s="235"/>
      <c r="F34" s="235"/>
      <c r="G34" s="81">
        <f>ROUND(SUM(G30:G33),2)</f>
        <v>2575.92</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214.66</v>
      </c>
    </row>
    <row r="40" spans="1:7" x14ac:dyDescent="0.25">
      <c r="A40" s="75" t="s">
        <v>59</v>
      </c>
      <c r="B40" s="243" t="s">
        <v>96</v>
      </c>
      <c r="C40" s="243"/>
      <c r="D40" s="243"/>
      <c r="E40" s="243"/>
      <c r="F40" s="82">
        <v>0.1111</v>
      </c>
      <c r="G40" s="83">
        <f>ROUND($G$34*F40,2)</f>
        <v>286.18</v>
      </c>
    </row>
    <row r="41" spans="1:7" x14ac:dyDescent="0.25">
      <c r="A41" s="235" t="s">
        <v>97</v>
      </c>
      <c r="B41" s="235"/>
      <c r="C41" s="235"/>
      <c r="D41" s="235"/>
      <c r="E41" s="235"/>
      <c r="F41" s="235"/>
      <c r="G41" s="81">
        <f>ROUND(SUM(G39:G40),2)</f>
        <v>500.84</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3076.76</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615.35</v>
      </c>
    </row>
    <row r="50" spans="1:7" x14ac:dyDescent="0.25">
      <c r="A50" s="75" t="s">
        <v>105</v>
      </c>
      <c r="B50" s="234" t="s">
        <v>242</v>
      </c>
      <c r="C50" s="234"/>
      <c r="D50" s="234"/>
      <c r="E50" s="234"/>
      <c r="F50" s="82">
        <v>2.5000000000000001E-2</v>
      </c>
      <c r="G50" s="83">
        <f t="shared" si="0"/>
        <v>76.92</v>
      </c>
    </row>
    <row r="51" spans="1:7" x14ac:dyDescent="0.25">
      <c r="A51" s="75" t="s">
        <v>106</v>
      </c>
      <c r="B51" s="234" t="s">
        <v>243</v>
      </c>
      <c r="C51" s="234"/>
      <c r="D51" s="234"/>
      <c r="E51" s="234"/>
      <c r="F51" s="85">
        <v>0.03</v>
      </c>
      <c r="G51" s="83">
        <f t="shared" si="0"/>
        <v>92.3</v>
      </c>
    </row>
    <row r="52" spans="1:7" x14ac:dyDescent="0.25">
      <c r="A52" s="75" t="s">
        <v>59</v>
      </c>
      <c r="B52" s="234" t="s">
        <v>244</v>
      </c>
      <c r="C52" s="234"/>
      <c r="D52" s="234"/>
      <c r="E52" s="234"/>
      <c r="F52" s="82">
        <v>0.08</v>
      </c>
      <c r="G52" s="83">
        <f t="shared" si="0"/>
        <v>246.14</v>
      </c>
    </row>
    <row r="53" spans="1:7" x14ac:dyDescent="0.25">
      <c r="A53" s="75" t="s">
        <v>62</v>
      </c>
      <c r="B53" s="234" t="s">
        <v>245</v>
      </c>
      <c r="C53" s="234"/>
      <c r="D53" s="234"/>
      <c r="E53" s="234"/>
      <c r="F53" s="82">
        <v>1.4999999999999999E-2</v>
      </c>
      <c r="G53" s="83">
        <f t="shared" si="0"/>
        <v>46.15</v>
      </c>
    </row>
    <row r="54" spans="1:7" x14ac:dyDescent="0.25">
      <c r="A54" s="75" t="s">
        <v>64</v>
      </c>
      <c r="B54" s="234" t="s">
        <v>246</v>
      </c>
      <c r="C54" s="234"/>
      <c r="D54" s="234"/>
      <c r="E54" s="234"/>
      <c r="F54" s="82">
        <v>0.01</v>
      </c>
      <c r="G54" s="83">
        <f t="shared" si="0"/>
        <v>30.77</v>
      </c>
    </row>
    <row r="55" spans="1:7" x14ac:dyDescent="0.25">
      <c r="A55" s="75" t="s">
        <v>66</v>
      </c>
      <c r="B55" s="234" t="s">
        <v>247</v>
      </c>
      <c r="C55" s="234"/>
      <c r="D55" s="234"/>
      <c r="E55" s="234"/>
      <c r="F55" s="82">
        <v>6.0000000000000001E-3</v>
      </c>
      <c r="G55" s="83">
        <f t="shared" si="0"/>
        <v>18.46</v>
      </c>
    </row>
    <row r="56" spans="1:7" x14ac:dyDescent="0.25">
      <c r="A56" s="75" t="s">
        <v>107</v>
      </c>
      <c r="B56" s="234" t="s">
        <v>248</v>
      </c>
      <c r="C56" s="234"/>
      <c r="D56" s="234"/>
      <c r="E56" s="234"/>
      <c r="F56" s="82">
        <v>2E-3</v>
      </c>
      <c r="G56" s="83">
        <f t="shared" si="0"/>
        <v>6.15</v>
      </c>
    </row>
    <row r="57" spans="1:7" x14ac:dyDescent="0.25">
      <c r="A57" s="235" t="s">
        <v>108</v>
      </c>
      <c r="B57" s="235"/>
      <c r="C57" s="235"/>
      <c r="D57" s="235"/>
      <c r="E57" s="235"/>
      <c r="F57" s="86">
        <f>SUM(F49:F56)</f>
        <v>0.36800000000000005</v>
      </c>
      <c r="G57" s="81">
        <f>ROUND(SUM(G49:G56),2)</f>
        <v>1132.24</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-154.56</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984.44</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500.84</v>
      </c>
    </row>
    <row r="80" spans="1:7" x14ac:dyDescent="0.25">
      <c r="A80" s="93" t="s">
        <v>103</v>
      </c>
      <c r="B80" s="236" t="s">
        <v>104</v>
      </c>
      <c r="C80" s="236"/>
      <c r="D80" s="236"/>
      <c r="E80" s="236"/>
      <c r="F80" s="236"/>
      <c r="G80" s="94">
        <f>$G$57</f>
        <v>1132.24</v>
      </c>
    </row>
    <row r="81" spans="1:7" x14ac:dyDescent="0.25">
      <c r="A81" s="93" t="s">
        <v>113</v>
      </c>
      <c r="B81" s="236" t="s">
        <v>114</v>
      </c>
      <c r="C81" s="236"/>
      <c r="D81" s="236"/>
      <c r="E81" s="236"/>
      <c r="F81" s="236"/>
      <c r="G81" s="94">
        <f>$G$73</f>
        <v>984.44</v>
      </c>
    </row>
    <row r="82" spans="1:7" x14ac:dyDescent="0.25">
      <c r="A82" s="235" t="s">
        <v>127</v>
      </c>
      <c r="B82" s="235"/>
      <c r="C82" s="235"/>
      <c r="D82" s="235"/>
      <c r="E82" s="235"/>
      <c r="F82" s="235"/>
      <c r="G82" s="81">
        <f>ROUND(SUM(G79:G81),2)</f>
        <v>2617.52</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11.91</v>
      </c>
    </row>
    <row r="87" spans="1:7" x14ac:dyDescent="0.25">
      <c r="A87" s="75" t="s">
        <v>59</v>
      </c>
      <c r="B87" s="234" t="s">
        <v>130</v>
      </c>
      <c r="C87" s="234"/>
      <c r="D87" s="234"/>
      <c r="E87" s="234"/>
      <c r="F87" s="95">
        <f>$F$52</f>
        <v>0.08</v>
      </c>
      <c r="G87" s="83">
        <f>G86*F87</f>
        <v>0.95279999999999998</v>
      </c>
    </row>
    <row r="88" spans="1:7" x14ac:dyDescent="0.25">
      <c r="A88" s="75" t="s">
        <v>62</v>
      </c>
      <c r="B88" s="234" t="s">
        <v>235</v>
      </c>
      <c r="C88" s="234"/>
      <c r="D88" s="234"/>
      <c r="E88" s="234"/>
      <c r="F88" s="82">
        <f>(7/30)/12</f>
        <v>1.9444444444444445E-2</v>
      </c>
      <c r="G88" s="83">
        <f>ROUND($G$34*F88,2)</f>
        <v>50.09</v>
      </c>
    </row>
    <row r="89" spans="1:7" x14ac:dyDescent="0.25">
      <c r="A89" s="75" t="s">
        <v>64</v>
      </c>
      <c r="B89" s="234" t="s">
        <v>131</v>
      </c>
      <c r="C89" s="234"/>
      <c r="D89" s="234"/>
      <c r="E89" s="234"/>
      <c r="F89" s="95">
        <f>$F$57</f>
        <v>0.36800000000000005</v>
      </c>
      <c r="G89" s="83">
        <f>G88*F89</f>
        <v>18.433120000000002</v>
      </c>
    </row>
    <row r="90" spans="1:7" x14ac:dyDescent="0.25">
      <c r="A90" s="75" t="s">
        <v>66</v>
      </c>
      <c r="B90" s="234" t="s">
        <v>236</v>
      </c>
      <c r="C90" s="234"/>
      <c r="D90" s="234"/>
      <c r="E90" s="234"/>
      <c r="F90" s="85">
        <v>0.04</v>
      </c>
      <c r="G90" s="83">
        <f>ROUND($G$34*F90,2)</f>
        <v>103.04</v>
      </c>
    </row>
    <row r="91" spans="1:7" x14ac:dyDescent="0.25">
      <c r="A91" s="235" t="s">
        <v>132</v>
      </c>
      <c r="B91" s="235"/>
      <c r="C91" s="235"/>
      <c r="D91" s="235"/>
      <c r="E91" s="235"/>
      <c r="F91" s="235"/>
      <c r="G91" s="81">
        <f>ROUND(SUM(G86:G90),2)</f>
        <v>184.43</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23.96</v>
      </c>
    </row>
    <row r="97" spans="1:7" ht="15" customHeight="1" x14ac:dyDescent="0.25">
      <c r="A97" s="75" t="s">
        <v>138</v>
      </c>
      <c r="B97" s="237" t="s">
        <v>139</v>
      </c>
      <c r="C97" s="237"/>
      <c r="D97" s="237"/>
      <c r="E97" s="237"/>
      <c r="F97" s="96">
        <f>$F$57</f>
        <v>0.36800000000000005</v>
      </c>
      <c r="G97" s="83">
        <f>ROUND(G96*F97,2)</f>
        <v>8.82</v>
      </c>
    </row>
    <row r="98" spans="1:7" x14ac:dyDescent="0.25">
      <c r="A98" s="75" t="s">
        <v>59</v>
      </c>
      <c r="B98" s="234" t="s">
        <v>237</v>
      </c>
      <c r="C98" s="234"/>
      <c r="D98" s="234"/>
      <c r="E98" s="234"/>
      <c r="F98" s="97">
        <v>7.3000000000000001E-3</v>
      </c>
      <c r="G98" s="83">
        <f>ROUND($G$34*F98,2)</f>
        <v>18.8</v>
      </c>
    </row>
    <row r="99" spans="1:7" x14ac:dyDescent="0.25">
      <c r="A99" s="75" t="s">
        <v>62</v>
      </c>
      <c r="B99" s="234" t="s">
        <v>254</v>
      </c>
      <c r="C99" s="234"/>
      <c r="D99" s="234"/>
      <c r="E99" s="234"/>
      <c r="F99" s="97">
        <v>8.1999999999999998E-4</v>
      </c>
      <c r="G99" s="83">
        <f>ROUND($G$34*F99,2)</f>
        <v>2.11</v>
      </c>
    </row>
    <row r="100" spans="1:7" x14ac:dyDescent="0.25">
      <c r="A100" s="75" t="s">
        <v>64</v>
      </c>
      <c r="B100" s="234" t="s">
        <v>255</v>
      </c>
      <c r="C100" s="234"/>
      <c r="D100" s="234"/>
      <c r="E100" s="234"/>
      <c r="F100" s="97">
        <v>2.7000000000000001E-3</v>
      </c>
      <c r="G100" s="83">
        <f>ROUND($G$34*F100,2)</f>
        <v>6.95</v>
      </c>
    </row>
    <row r="101" spans="1:7" x14ac:dyDescent="0.25">
      <c r="A101" s="75" t="s">
        <v>66</v>
      </c>
      <c r="B101" s="234" t="s">
        <v>256</v>
      </c>
      <c r="C101" s="234"/>
      <c r="D101" s="234"/>
      <c r="E101" s="234"/>
      <c r="F101" s="97">
        <v>5.5000000000000003E-4</v>
      </c>
      <c r="G101" s="83">
        <f>ROUND($G$34*F101,2)</f>
        <v>1.42</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62.06</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62.06</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62.06</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80">
        <v>63.86</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63.86</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2575.92</v>
      </c>
    </row>
    <row r="129" spans="1:7" x14ac:dyDescent="0.25">
      <c r="A129" s="100" t="s">
        <v>59</v>
      </c>
      <c r="B129" s="231" t="s">
        <v>161</v>
      </c>
      <c r="C129" s="231"/>
      <c r="D129" s="231"/>
      <c r="E129" s="231"/>
      <c r="F129" s="231"/>
      <c r="G129" s="101">
        <f>$G$82</f>
        <v>2617.52</v>
      </c>
    </row>
    <row r="130" spans="1:7" x14ac:dyDescent="0.25">
      <c r="A130" s="100" t="s">
        <v>62</v>
      </c>
      <c r="B130" s="231" t="s">
        <v>162</v>
      </c>
      <c r="C130" s="231"/>
      <c r="D130" s="231"/>
      <c r="E130" s="231"/>
      <c r="F130" s="231"/>
      <c r="G130" s="101">
        <f>$G$91</f>
        <v>184.43</v>
      </c>
    </row>
    <row r="131" spans="1:7" x14ac:dyDescent="0.25">
      <c r="A131" s="100" t="s">
        <v>64</v>
      </c>
      <c r="B131" s="231" t="s">
        <v>163</v>
      </c>
      <c r="C131" s="231"/>
      <c r="D131" s="231"/>
      <c r="E131" s="231"/>
      <c r="F131" s="231"/>
      <c r="G131" s="101">
        <f>$G$116</f>
        <v>62.06</v>
      </c>
    </row>
    <row r="132" spans="1:7" x14ac:dyDescent="0.25">
      <c r="A132" s="100" t="s">
        <v>66</v>
      </c>
      <c r="B132" s="231" t="s">
        <v>164</v>
      </c>
      <c r="C132" s="231"/>
      <c r="D132" s="231"/>
      <c r="E132" s="231"/>
      <c r="F132" s="231"/>
      <c r="G132" s="101">
        <f>$G$123</f>
        <v>63.86</v>
      </c>
    </row>
    <row r="133" spans="1:7" x14ac:dyDescent="0.25">
      <c r="A133" s="233" t="s">
        <v>165</v>
      </c>
      <c r="B133" s="233"/>
      <c r="C133" s="233"/>
      <c r="D133" s="233"/>
      <c r="E133" s="233"/>
      <c r="F133" s="233"/>
      <c r="G133" s="94">
        <f>ROUND(SUM(G128:G132),2)</f>
        <v>5503.79</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5503.79</v>
      </c>
    </row>
    <row r="138" spans="1:7" x14ac:dyDescent="0.25">
      <c r="A138" s="100" t="s">
        <v>59</v>
      </c>
      <c r="B138" s="231" t="s">
        <v>169</v>
      </c>
      <c r="C138" s="231"/>
      <c r="D138" s="231"/>
      <c r="E138" s="231"/>
      <c r="F138" s="231"/>
      <c r="G138" s="81">
        <f>ROUND($G$137/$E$23,2)</f>
        <v>261.95999999999998</v>
      </c>
    </row>
    <row r="139" spans="1:7" x14ac:dyDescent="0.25">
      <c r="A139" s="100" t="s">
        <v>59</v>
      </c>
      <c r="B139" s="231" t="s">
        <v>170</v>
      </c>
      <c r="C139" s="231"/>
      <c r="D139" s="231"/>
      <c r="E139" s="231"/>
      <c r="F139" s="231"/>
      <c r="G139" s="81">
        <f>G137/220</f>
        <v>25.017227272727272</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G184"/>
  <sheetViews>
    <sheetView showGridLines="0" topLeftCell="A19" zoomScaleNormal="100" workbookViewId="0">
      <selection activeCell="A19" sqref="A1:XFD1048576"/>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174</v>
      </c>
      <c r="F18" s="250"/>
      <c r="G18" s="251"/>
    </row>
    <row r="19" spans="1:7" x14ac:dyDescent="0.25">
      <c r="A19" s="75">
        <v>2</v>
      </c>
      <c r="B19" s="234" t="s">
        <v>78</v>
      </c>
      <c r="C19" s="234"/>
      <c r="D19" s="234"/>
      <c r="E19" s="244"/>
      <c r="F19" s="244"/>
      <c r="G19" s="244"/>
    </row>
    <row r="20" spans="1:7" x14ac:dyDescent="0.25">
      <c r="A20" s="75">
        <v>3</v>
      </c>
      <c r="B20" s="234" t="s">
        <v>79</v>
      </c>
      <c r="C20" s="234"/>
      <c r="D20" s="234"/>
      <c r="E20" s="246">
        <v>2660</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2660</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238</v>
      </c>
      <c r="C33" s="234"/>
      <c r="D33" s="234"/>
      <c r="E33" s="234"/>
      <c r="F33" s="234"/>
      <c r="G33" s="80">
        <v>0</v>
      </c>
    </row>
    <row r="34" spans="1:7" x14ac:dyDescent="0.25">
      <c r="A34" s="235" t="s">
        <v>90</v>
      </c>
      <c r="B34" s="235"/>
      <c r="C34" s="235"/>
      <c r="D34" s="235"/>
      <c r="E34" s="235"/>
      <c r="F34" s="235"/>
      <c r="G34" s="81">
        <f>ROUND(SUM(G30:G33),2)</f>
        <v>2660</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221.67</v>
      </c>
    </row>
    <row r="40" spans="1:7" x14ac:dyDescent="0.25">
      <c r="A40" s="75" t="s">
        <v>59</v>
      </c>
      <c r="B40" s="243" t="s">
        <v>96</v>
      </c>
      <c r="C40" s="243"/>
      <c r="D40" s="243"/>
      <c r="E40" s="243"/>
      <c r="F40" s="82">
        <v>0.1111</v>
      </c>
      <c r="G40" s="83">
        <f>ROUND($G$34*F40,2)</f>
        <v>295.52999999999997</v>
      </c>
    </row>
    <row r="41" spans="1:7" x14ac:dyDescent="0.25">
      <c r="A41" s="235" t="s">
        <v>97</v>
      </c>
      <c r="B41" s="235"/>
      <c r="C41" s="235"/>
      <c r="D41" s="235"/>
      <c r="E41" s="235"/>
      <c r="F41" s="235"/>
      <c r="G41" s="81">
        <f>ROUND(SUM(G39:G40),2)</f>
        <v>517.20000000000005</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3177.2</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635.44000000000005</v>
      </c>
    </row>
    <row r="50" spans="1:7" x14ac:dyDescent="0.25">
      <c r="A50" s="75" t="s">
        <v>105</v>
      </c>
      <c r="B50" s="234" t="s">
        <v>242</v>
      </c>
      <c r="C50" s="234"/>
      <c r="D50" s="234"/>
      <c r="E50" s="234"/>
      <c r="F50" s="82">
        <v>2.5000000000000001E-2</v>
      </c>
      <c r="G50" s="83">
        <f t="shared" si="0"/>
        <v>79.430000000000007</v>
      </c>
    </row>
    <row r="51" spans="1:7" x14ac:dyDescent="0.25">
      <c r="A51" s="75" t="s">
        <v>106</v>
      </c>
      <c r="B51" s="234" t="s">
        <v>243</v>
      </c>
      <c r="C51" s="234"/>
      <c r="D51" s="234"/>
      <c r="E51" s="234"/>
      <c r="F51" s="85">
        <v>0.03</v>
      </c>
      <c r="G51" s="83">
        <f t="shared" si="0"/>
        <v>95.32</v>
      </c>
    </row>
    <row r="52" spans="1:7" x14ac:dyDescent="0.25">
      <c r="A52" s="75" t="s">
        <v>59</v>
      </c>
      <c r="B52" s="234" t="s">
        <v>244</v>
      </c>
      <c r="C52" s="234"/>
      <c r="D52" s="234"/>
      <c r="E52" s="234"/>
      <c r="F52" s="82">
        <v>0.08</v>
      </c>
      <c r="G52" s="83">
        <f t="shared" si="0"/>
        <v>254.18</v>
      </c>
    </row>
    <row r="53" spans="1:7" x14ac:dyDescent="0.25">
      <c r="A53" s="75" t="s">
        <v>62</v>
      </c>
      <c r="B53" s="234" t="s">
        <v>245</v>
      </c>
      <c r="C53" s="234"/>
      <c r="D53" s="234"/>
      <c r="E53" s="234"/>
      <c r="F53" s="82">
        <v>1.4999999999999999E-2</v>
      </c>
      <c r="G53" s="83">
        <f t="shared" si="0"/>
        <v>47.66</v>
      </c>
    </row>
    <row r="54" spans="1:7" x14ac:dyDescent="0.25">
      <c r="A54" s="75" t="s">
        <v>64</v>
      </c>
      <c r="B54" s="234" t="s">
        <v>246</v>
      </c>
      <c r="C54" s="234"/>
      <c r="D54" s="234"/>
      <c r="E54" s="234"/>
      <c r="F54" s="82">
        <v>0.01</v>
      </c>
      <c r="G54" s="83">
        <f t="shared" si="0"/>
        <v>31.77</v>
      </c>
    </row>
    <row r="55" spans="1:7" x14ac:dyDescent="0.25">
      <c r="A55" s="75" t="s">
        <v>66</v>
      </c>
      <c r="B55" s="234" t="s">
        <v>247</v>
      </c>
      <c r="C55" s="234"/>
      <c r="D55" s="234"/>
      <c r="E55" s="234"/>
      <c r="F55" s="82">
        <v>6.0000000000000001E-3</v>
      </c>
      <c r="G55" s="83">
        <f t="shared" si="0"/>
        <v>19.059999999999999</v>
      </c>
    </row>
    <row r="56" spans="1:7" x14ac:dyDescent="0.25">
      <c r="A56" s="75" t="s">
        <v>107</v>
      </c>
      <c r="B56" s="234" t="s">
        <v>248</v>
      </c>
      <c r="C56" s="234"/>
      <c r="D56" s="234"/>
      <c r="E56" s="234"/>
      <c r="F56" s="82">
        <v>2E-3</v>
      </c>
      <c r="G56" s="83">
        <f t="shared" si="0"/>
        <v>6.35</v>
      </c>
    </row>
    <row r="57" spans="1:7" x14ac:dyDescent="0.25">
      <c r="A57" s="235" t="s">
        <v>108</v>
      </c>
      <c r="B57" s="235"/>
      <c r="C57" s="235"/>
      <c r="D57" s="235"/>
      <c r="E57" s="235"/>
      <c r="F57" s="86">
        <f>SUM(F49:F56)</f>
        <v>0.36800000000000005</v>
      </c>
      <c r="G57" s="81">
        <f>ROUND(SUM(G49:G56),2)</f>
        <v>1169.21</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-159.6</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979.4</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517.20000000000005</v>
      </c>
    </row>
    <row r="80" spans="1:7" x14ac:dyDescent="0.25">
      <c r="A80" s="93" t="s">
        <v>103</v>
      </c>
      <c r="B80" s="236" t="s">
        <v>104</v>
      </c>
      <c r="C80" s="236"/>
      <c r="D80" s="236"/>
      <c r="E80" s="236"/>
      <c r="F80" s="236"/>
      <c r="G80" s="94">
        <f>$G$57</f>
        <v>1169.21</v>
      </c>
    </row>
    <row r="81" spans="1:7" x14ac:dyDescent="0.25">
      <c r="A81" s="93" t="s">
        <v>113</v>
      </c>
      <c r="B81" s="236" t="s">
        <v>114</v>
      </c>
      <c r="C81" s="236"/>
      <c r="D81" s="236"/>
      <c r="E81" s="236"/>
      <c r="F81" s="236"/>
      <c r="G81" s="94">
        <f>$G$73</f>
        <v>979.4</v>
      </c>
    </row>
    <row r="82" spans="1:7" x14ac:dyDescent="0.25">
      <c r="A82" s="235" t="s">
        <v>127</v>
      </c>
      <c r="B82" s="235"/>
      <c r="C82" s="235"/>
      <c r="D82" s="235"/>
      <c r="E82" s="235"/>
      <c r="F82" s="235"/>
      <c r="G82" s="81">
        <f>ROUND(SUM(G79:G81),2)</f>
        <v>2665.81</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12.3</v>
      </c>
    </row>
    <row r="87" spans="1:7" x14ac:dyDescent="0.25">
      <c r="A87" s="75" t="s">
        <v>59</v>
      </c>
      <c r="B87" s="234" t="s">
        <v>130</v>
      </c>
      <c r="C87" s="234"/>
      <c r="D87" s="234"/>
      <c r="E87" s="234"/>
      <c r="F87" s="95">
        <f>$F$52</f>
        <v>0.08</v>
      </c>
      <c r="G87" s="83">
        <f>G86*F87</f>
        <v>0.9840000000000001</v>
      </c>
    </row>
    <row r="88" spans="1:7" x14ac:dyDescent="0.25">
      <c r="A88" s="75" t="s">
        <v>62</v>
      </c>
      <c r="B88" s="234" t="s">
        <v>235</v>
      </c>
      <c r="C88" s="234"/>
      <c r="D88" s="234"/>
      <c r="E88" s="234"/>
      <c r="F88" s="82">
        <f>(7/30)/12</f>
        <v>1.9444444444444445E-2</v>
      </c>
      <c r="G88" s="83">
        <f>ROUND($G$34*F88,2)</f>
        <v>51.72</v>
      </c>
    </row>
    <row r="89" spans="1:7" x14ac:dyDescent="0.25">
      <c r="A89" s="75" t="s">
        <v>64</v>
      </c>
      <c r="B89" s="234" t="s">
        <v>131</v>
      </c>
      <c r="C89" s="234"/>
      <c r="D89" s="234"/>
      <c r="E89" s="234"/>
      <c r="F89" s="95">
        <f>$F$57</f>
        <v>0.36800000000000005</v>
      </c>
      <c r="G89" s="83">
        <f>G88*F89</f>
        <v>19.032960000000003</v>
      </c>
    </row>
    <row r="90" spans="1:7" x14ac:dyDescent="0.25">
      <c r="A90" s="75" t="s">
        <v>66</v>
      </c>
      <c r="B90" s="234" t="s">
        <v>236</v>
      </c>
      <c r="C90" s="234"/>
      <c r="D90" s="234"/>
      <c r="E90" s="234"/>
      <c r="F90" s="85">
        <v>0.04</v>
      </c>
      <c r="G90" s="83">
        <f>ROUND($G$34*F90,2)</f>
        <v>106.4</v>
      </c>
    </row>
    <row r="91" spans="1:7" x14ac:dyDescent="0.25">
      <c r="A91" s="235" t="s">
        <v>132</v>
      </c>
      <c r="B91" s="235"/>
      <c r="C91" s="235"/>
      <c r="D91" s="235"/>
      <c r="E91" s="235"/>
      <c r="F91" s="235"/>
      <c r="G91" s="81">
        <f>ROUND(SUM(G86:G90),2)</f>
        <v>190.44</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24.74</v>
      </c>
    </row>
    <row r="97" spans="1:7" ht="15" customHeight="1" x14ac:dyDescent="0.25">
      <c r="A97" s="75" t="s">
        <v>138</v>
      </c>
      <c r="B97" s="237" t="s">
        <v>139</v>
      </c>
      <c r="C97" s="237"/>
      <c r="D97" s="237"/>
      <c r="E97" s="237"/>
      <c r="F97" s="96">
        <f>$F$57</f>
        <v>0.36800000000000005</v>
      </c>
      <c r="G97" s="83">
        <f>ROUND(G96*F97,2)</f>
        <v>9.1</v>
      </c>
    </row>
    <row r="98" spans="1:7" x14ac:dyDescent="0.25">
      <c r="A98" s="75" t="s">
        <v>59</v>
      </c>
      <c r="B98" s="234" t="s">
        <v>237</v>
      </c>
      <c r="C98" s="234"/>
      <c r="D98" s="234"/>
      <c r="E98" s="234"/>
      <c r="F98" s="97">
        <v>7.3000000000000001E-3</v>
      </c>
      <c r="G98" s="83">
        <f>ROUND($G$34*F98,2)</f>
        <v>19.420000000000002</v>
      </c>
    </row>
    <row r="99" spans="1:7" x14ac:dyDescent="0.25">
      <c r="A99" s="75" t="s">
        <v>62</v>
      </c>
      <c r="B99" s="234" t="s">
        <v>254</v>
      </c>
      <c r="C99" s="234"/>
      <c r="D99" s="234"/>
      <c r="E99" s="234"/>
      <c r="F99" s="97">
        <v>8.1999999999999998E-4</v>
      </c>
      <c r="G99" s="83">
        <f>ROUND($G$34*F99,2)</f>
        <v>2.1800000000000002</v>
      </c>
    </row>
    <row r="100" spans="1:7" x14ac:dyDescent="0.25">
      <c r="A100" s="75" t="s">
        <v>64</v>
      </c>
      <c r="B100" s="234" t="s">
        <v>255</v>
      </c>
      <c r="C100" s="234"/>
      <c r="D100" s="234"/>
      <c r="E100" s="234"/>
      <c r="F100" s="97">
        <v>2.7000000000000001E-3</v>
      </c>
      <c r="G100" s="83">
        <f>ROUND($G$34*F100,2)</f>
        <v>7.18</v>
      </c>
    </row>
    <row r="101" spans="1:7" x14ac:dyDescent="0.25">
      <c r="A101" s="75" t="s">
        <v>66</v>
      </c>
      <c r="B101" s="234" t="s">
        <v>256</v>
      </c>
      <c r="C101" s="234"/>
      <c r="D101" s="234"/>
      <c r="E101" s="234"/>
      <c r="F101" s="97">
        <v>5.5000000000000003E-4</v>
      </c>
      <c r="G101" s="83">
        <f>ROUND($G$34*F101,2)</f>
        <v>1.46</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64.08</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64.08</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64.08</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80">
        <v>63.86</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63.86</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2660</v>
      </c>
    </row>
    <row r="129" spans="1:7" x14ac:dyDescent="0.25">
      <c r="A129" s="100" t="s">
        <v>59</v>
      </c>
      <c r="B129" s="231" t="s">
        <v>161</v>
      </c>
      <c r="C129" s="231"/>
      <c r="D129" s="231"/>
      <c r="E129" s="231"/>
      <c r="F129" s="231"/>
      <c r="G129" s="101">
        <f>$G$82</f>
        <v>2665.81</v>
      </c>
    </row>
    <row r="130" spans="1:7" x14ac:dyDescent="0.25">
      <c r="A130" s="100" t="s">
        <v>62</v>
      </c>
      <c r="B130" s="231" t="s">
        <v>162</v>
      </c>
      <c r="C130" s="231"/>
      <c r="D130" s="231"/>
      <c r="E130" s="231"/>
      <c r="F130" s="231"/>
      <c r="G130" s="101">
        <f>$G$91</f>
        <v>190.44</v>
      </c>
    </row>
    <row r="131" spans="1:7" x14ac:dyDescent="0.25">
      <c r="A131" s="100" t="s">
        <v>64</v>
      </c>
      <c r="B131" s="231" t="s">
        <v>163</v>
      </c>
      <c r="C131" s="231"/>
      <c r="D131" s="231"/>
      <c r="E131" s="231"/>
      <c r="F131" s="231"/>
      <c r="G131" s="101">
        <f>$G$116</f>
        <v>64.08</v>
      </c>
    </row>
    <row r="132" spans="1:7" x14ac:dyDescent="0.25">
      <c r="A132" s="100" t="s">
        <v>66</v>
      </c>
      <c r="B132" s="231" t="s">
        <v>164</v>
      </c>
      <c r="C132" s="231"/>
      <c r="D132" s="231"/>
      <c r="E132" s="231"/>
      <c r="F132" s="231"/>
      <c r="G132" s="101">
        <f>$G$123</f>
        <v>63.86</v>
      </c>
    </row>
    <row r="133" spans="1:7" x14ac:dyDescent="0.25">
      <c r="A133" s="233" t="s">
        <v>165</v>
      </c>
      <c r="B133" s="233"/>
      <c r="C133" s="233"/>
      <c r="D133" s="233"/>
      <c r="E133" s="233"/>
      <c r="F133" s="233"/>
      <c r="G133" s="94">
        <f>ROUND(SUM(G128:G132),2)</f>
        <v>5644.19</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5644.19</v>
      </c>
    </row>
    <row r="138" spans="1:7" x14ac:dyDescent="0.25">
      <c r="A138" s="100" t="s">
        <v>59</v>
      </c>
      <c r="B138" s="231" t="s">
        <v>169</v>
      </c>
      <c r="C138" s="231"/>
      <c r="D138" s="231"/>
      <c r="E138" s="231"/>
      <c r="F138" s="231"/>
      <c r="G138" s="81">
        <f>ROUND($G$137/$E$23,2)</f>
        <v>268.64</v>
      </c>
    </row>
    <row r="139" spans="1:7" x14ac:dyDescent="0.25">
      <c r="A139" s="100" t="s">
        <v>59</v>
      </c>
      <c r="B139" s="231" t="s">
        <v>170</v>
      </c>
      <c r="C139" s="231"/>
      <c r="D139" s="231"/>
      <c r="E139" s="231"/>
      <c r="F139" s="231"/>
      <c r="G139" s="81">
        <f>G137/220</f>
        <v>25.655409090909089</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184"/>
  <sheetViews>
    <sheetView showGridLines="0" topLeftCell="A38" zoomScaleNormal="100" workbookViewId="0">
      <selection activeCell="B53" sqref="B53:E53"/>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172</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175</v>
      </c>
      <c r="F18" s="250"/>
      <c r="G18" s="251"/>
    </row>
    <row r="19" spans="1:7" x14ac:dyDescent="0.25">
      <c r="A19" s="75">
        <v>2</v>
      </c>
      <c r="B19" s="234" t="s">
        <v>78</v>
      </c>
      <c r="C19" s="234"/>
      <c r="D19" s="234"/>
      <c r="E19" s="244"/>
      <c r="F19" s="244"/>
      <c r="G19" s="244"/>
    </row>
    <row r="20" spans="1:7" x14ac:dyDescent="0.25">
      <c r="A20" s="75">
        <v>3</v>
      </c>
      <c r="B20" s="234" t="s">
        <v>79</v>
      </c>
      <c r="C20" s="234"/>
      <c r="D20" s="234"/>
      <c r="E20" s="246">
        <v>1287.96</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1287.96</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238</v>
      </c>
      <c r="C33" s="234"/>
      <c r="D33" s="234"/>
      <c r="E33" s="234"/>
      <c r="F33" s="234"/>
      <c r="G33" s="80">
        <v>0</v>
      </c>
    </row>
    <row r="34" spans="1:7" x14ac:dyDescent="0.25">
      <c r="A34" s="235" t="s">
        <v>90</v>
      </c>
      <c r="B34" s="235"/>
      <c r="C34" s="235"/>
      <c r="D34" s="235"/>
      <c r="E34" s="235"/>
      <c r="F34" s="235"/>
      <c r="G34" s="81">
        <f>ROUND(SUM(G30:G33),2)</f>
        <v>1287.96</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107.33</v>
      </c>
    </row>
    <row r="40" spans="1:7" x14ac:dyDescent="0.25">
      <c r="A40" s="75" t="s">
        <v>59</v>
      </c>
      <c r="B40" s="243" t="s">
        <v>96</v>
      </c>
      <c r="C40" s="243"/>
      <c r="D40" s="243"/>
      <c r="E40" s="243"/>
      <c r="F40" s="82">
        <v>0.1111</v>
      </c>
      <c r="G40" s="83">
        <f>ROUND($G$34*F40,2)</f>
        <v>143.09</v>
      </c>
    </row>
    <row r="41" spans="1:7" x14ac:dyDescent="0.25">
      <c r="A41" s="235" t="s">
        <v>97</v>
      </c>
      <c r="B41" s="235"/>
      <c r="C41" s="235"/>
      <c r="D41" s="235"/>
      <c r="E41" s="235"/>
      <c r="F41" s="235"/>
      <c r="G41" s="81">
        <f>ROUND(SUM(G39:G40),2)</f>
        <v>250.42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1538.38</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307.68</v>
      </c>
    </row>
    <row r="50" spans="1:7" x14ac:dyDescent="0.25">
      <c r="A50" s="75" t="s">
        <v>105</v>
      </c>
      <c r="B50" s="234" t="s">
        <v>242</v>
      </c>
      <c r="C50" s="234"/>
      <c r="D50" s="234"/>
      <c r="E50" s="234"/>
      <c r="F50" s="82">
        <v>2.5000000000000001E-2</v>
      </c>
      <c r="G50" s="83">
        <f t="shared" si="0"/>
        <v>38.46</v>
      </c>
    </row>
    <row r="51" spans="1:7" x14ac:dyDescent="0.25">
      <c r="A51" s="75" t="s">
        <v>106</v>
      </c>
      <c r="B51" s="234" t="s">
        <v>243</v>
      </c>
      <c r="C51" s="234"/>
      <c r="D51" s="234"/>
      <c r="E51" s="234"/>
      <c r="F51" s="85">
        <v>0.03</v>
      </c>
      <c r="G51" s="83">
        <f t="shared" si="0"/>
        <v>46.15</v>
      </c>
    </row>
    <row r="52" spans="1:7" x14ac:dyDescent="0.25">
      <c r="A52" s="75" t="s">
        <v>59</v>
      </c>
      <c r="B52" s="234" t="s">
        <v>244</v>
      </c>
      <c r="C52" s="234"/>
      <c r="D52" s="234"/>
      <c r="E52" s="234"/>
      <c r="F52" s="82">
        <v>0.08</v>
      </c>
      <c r="G52" s="83">
        <f t="shared" si="0"/>
        <v>123.07</v>
      </c>
    </row>
    <row r="53" spans="1:7" x14ac:dyDescent="0.25">
      <c r="A53" s="75" t="s">
        <v>62</v>
      </c>
      <c r="B53" s="234" t="s">
        <v>245</v>
      </c>
      <c r="C53" s="234"/>
      <c r="D53" s="234"/>
      <c r="E53" s="234"/>
      <c r="F53" s="82">
        <v>1.4999999999999999E-2</v>
      </c>
      <c r="G53" s="83">
        <f t="shared" si="0"/>
        <v>23.08</v>
      </c>
    </row>
    <row r="54" spans="1:7" x14ac:dyDescent="0.25">
      <c r="A54" s="75" t="s">
        <v>64</v>
      </c>
      <c r="B54" s="234" t="s">
        <v>246</v>
      </c>
      <c r="C54" s="234"/>
      <c r="D54" s="234"/>
      <c r="E54" s="234"/>
      <c r="F54" s="82">
        <v>0.01</v>
      </c>
      <c r="G54" s="83">
        <f t="shared" si="0"/>
        <v>15.38</v>
      </c>
    </row>
    <row r="55" spans="1:7" x14ac:dyDescent="0.25">
      <c r="A55" s="75" t="s">
        <v>66</v>
      </c>
      <c r="B55" s="234" t="s">
        <v>247</v>
      </c>
      <c r="C55" s="234"/>
      <c r="D55" s="234"/>
      <c r="E55" s="234"/>
      <c r="F55" s="82">
        <v>6.0000000000000001E-3</v>
      </c>
      <c r="G55" s="83">
        <f t="shared" si="0"/>
        <v>9.23</v>
      </c>
    </row>
    <row r="56" spans="1:7" x14ac:dyDescent="0.25">
      <c r="A56" s="75" t="s">
        <v>107</v>
      </c>
      <c r="B56" s="234" t="s">
        <v>248</v>
      </c>
      <c r="C56" s="234"/>
      <c r="D56" s="234"/>
      <c r="E56" s="234"/>
      <c r="F56" s="82">
        <v>2E-3</v>
      </c>
      <c r="G56" s="83">
        <f t="shared" si="0"/>
        <v>3.08</v>
      </c>
    </row>
    <row r="57" spans="1:7" x14ac:dyDescent="0.25">
      <c r="A57" s="235" t="s">
        <v>108</v>
      </c>
      <c r="B57" s="235"/>
      <c r="C57" s="235"/>
      <c r="D57" s="235"/>
      <c r="E57" s="235"/>
      <c r="F57" s="86">
        <f>SUM(F49:F56)</f>
        <v>0.36800000000000005</v>
      </c>
      <c r="G57" s="81">
        <f>ROUND(SUM(G49:G56),2)</f>
        <v>566.13</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-77.28</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1061.72</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250.42</v>
      </c>
    </row>
    <row r="80" spans="1:7" x14ac:dyDescent="0.25">
      <c r="A80" s="93" t="s">
        <v>103</v>
      </c>
      <c r="B80" s="236" t="s">
        <v>104</v>
      </c>
      <c r="C80" s="236"/>
      <c r="D80" s="236"/>
      <c r="E80" s="236"/>
      <c r="F80" s="236"/>
      <c r="G80" s="94">
        <f>$G$57</f>
        <v>566.13</v>
      </c>
    </row>
    <row r="81" spans="1:7" x14ac:dyDescent="0.25">
      <c r="A81" s="93" t="s">
        <v>113</v>
      </c>
      <c r="B81" s="236" t="s">
        <v>114</v>
      </c>
      <c r="C81" s="236"/>
      <c r="D81" s="236"/>
      <c r="E81" s="236"/>
      <c r="F81" s="236"/>
      <c r="G81" s="94">
        <f>$G$73</f>
        <v>1061.72</v>
      </c>
    </row>
    <row r="82" spans="1:7" x14ac:dyDescent="0.25">
      <c r="A82" s="235" t="s">
        <v>127</v>
      </c>
      <c r="B82" s="235"/>
      <c r="C82" s="235"/>
      <c r="D82" s="235"/>
      <c r="E82" s="235"/>
      <c r="F82" s="235"/>
      <c r="G82" s="81">
        <f>ROUND(SUM(G79:G81),2)</f>
        <v>1878.27</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5.96</v>
      </c>
    </row>
    <row r="87" spans="1:7" x14ac:dyDescent="0.25">
      <c r="A87" s="75" t="s">
        <v>59</v>
      </c>
      <c r="B87" s="234" t="s">
        <v>130</v>
      </c>
      <c r="C87" s="234"/>
      <c r="D87" s="234"/>
      <c r="E87" s="234"/>
      <c r="F87" s="95">
        <f>$F$52</f>
        <v>0.08</v>
      </c>
      <c r="G87" s="83">
        <f>G86*F87</f>
        <v>0.4768</v>
      </c>
    </row>
    <row r="88" spans="1:7" x14ac:dyDescent="0.25">
      <c r="A88" s="75" t="s">
        <v>62</v>
      </c>
      <c r="B88" s="234" t="s">
        <v>235</v>
      </c>
      <c r="C88" s="234"/>
      <c r="D88" s="234"/>
      <c r="E88" s="234"/>
      <c r="F88" s="82">
        <f>(7/30)/12</f>
        <v>1.9444444444444445E-2</v>
      </c>
      <c r="G88" s="83">
        <f>ROUND($G$34*F88,2)</f>
        <v>25.04</v>
      </c>
    </row>
    <row r="89" spans="1:7" x14ac:dyDescent="0.25">
      <c r="A89" s="75" t="s">
        <v>64</v>
      </c>
      <c r="B89" s="234" t="s">
        <v>131</v>
      </c>
      <c r="C89" s="234"/>
      <c r="D89" s="234"/>
      <c r="E89" s="234"/>
      <c r="F89" s="95">
        <f>$F$57</f>
        <v>0.36800000000000005</v>
      </c>
      <c r="G89" s="83">
        <f>G88*F89</f>
        <v>9.2147200000000016</v>
      </c>
    </row>
    <row r="90" spans="1:7" x14ac:dyDescent="0.25">
      <c r="A90" s="75" t="s">
        <v>66</v>
      </c>
      <c r="B90" s="234" t="s">
        <v>236</v>
      </c>
      <c r="C90" s="234"/>
      <c r="D90" s="234"/>
      <c r="E90" s="234"/>
      <c r="F90" s="85">
        <v>0.04</v>
      </c>
      <c r="G90" s="83">
        <f>ROUND($G$34*F90,2)</f>
        <v>51.52</v>
      </c>
    </row>
    <row r="91" spans="1:7" x14ac:dyDescent="0.25">
      <c r="A91" s="235" t="s">
        <v>132</v>
      </c>
      <c r="B91" s="235"/>
      <c r="C91" s="235"/>
      <c r="D91" s="235"/>
      <c r="E91" s="235"/>
      <c r="F91" s="235"/>
      <c r="G91" s="81">
        <f>ROUND(SUM(G86:G90),2)</f>
        <v>92.21</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11.98</v>
      </c>
    </row>
    <row r="97" spans="1:7" ht="15" customHeight="1" x14ac:dyDescent="0.25">
      <c r="A97" s="75" t="s">
        <v>138</v>
      </c>
      <c r="B97" s="237" t="s">
        <v>139</v>
      </c>
      <c r="C97" s="237"/>
      <c r="D97" s="237"/>
      <c r="E97" s="237"/>
      <c r="F97" s="96">
        <f>$F$57</f>
        <v>0.36800000000000005</v>
      </c>
      <c r="G97" s="83">
        <f>ROUND(G96*F97,2)</f>
        <v>4.41</v>
      </c>
    </row>
    <row r="98" spans="1:7" x14ac:dyDescent="0.25">
      <c r="A98" s="75" t="s">
        <v>59</v>
      </c>
      <c r="B98" s="234" t="s">
        <v>237</v>
      </c>
      <c r="C98" s="234"/>
      <c r="D98" s="234"/>
      <c r="E98" s="234"/>
      <c r="F98" s="97">
        <v>7.3000000000000001E-3</v>
      </c>
      <c r="G98" s="83">
        <f>ROUND($G$34*F98,2)</f>
        <v>9.4</v>
      </c>
    </row>
    <row r="99" spans="1:7" x14ac:dyDescent="0.25">
      <c r="A99" s="75" t="s">
        <v>62</v>
      </c>
      <c r="B99" s="234" t="s">
        <v>254</v>
      </c>
      <c r="C99" s="234"/>
      <c r="D99" s="234"/>
      <c r="E99" s="234"/>
      <c r="F99" s="97">
        <v>8.1999999999999998E-4</v>
      </c>
      <c r="G99" s="83">
        <f>ROUND($G$34*F99,2)</f>
        <v>1.06</v>
      </c>
    </row>
    <row r="100" spans="1:7" x14ac:dyDescent="0.25">
      <c r="A100" s="75" t="s">
        <v>64</v>
      </c>
      <c r="B100" s="234" t="s">
        <v>255</v>
      </c>
      <c r="C100" s="234"/>
      <c r="D100" s="234"/>
      <c r="E100" s="234"/>
      <c r="F100" s="97">
        <v>2.7000000000000001E-3</v>
      </c>
      <c r="G100" s="83">
        <f>ROUND($G$34*F100,2)</f>
        <v>3.48</v>
      </c>
    </row>
    <row r="101" spans="1:7" x14ac:dyDescent="0.25">
      <c r="A101" s="75" t="s">
        <v>66</v>
      </c>
      <c r="B101" s="234" t="s">
        <v>256</v>
      </c>
      <c r="C101" s="234"/>
      <c r="D101" s="234"/>
      <c r="E101" s="234"/>
      <c r="F101" s="97">
        <v>5.5000000000000003E-4</v>
      </c>
      <c r="G101" s="83">
        <f>ROUND($G$34*F101,2)</f>
        <v>0.71</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31.04</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31.04</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31.04</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80">
        <v>39.65</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39.65</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1287.96</v>
      </c>
    </row>
    <row r="129" spans="1:7" x14ac:dyDescent="0.25">
      <c r="A129" s="100" t="s">
        <v>59</v>
      </c>
      <c r="B129" s="231" t="s">
        <v>161</v>
      </c>
      <c r="C129" s="231"/>
      <c r="D129" s="231"/>
      <c r="E129" s="231"/>
      <c r="F129" s="231"/>
      <c r="G129" s="101">
        <f>$G$82</f>
        <v>1878.27</v>
      </c>
    </row>
    <row r="130" spans="1:7" x14ac:dyDescent="0.25">
      <c r="A130" s="100" t="s">
        <v>62</v>
      </c>
      <c r="B130" s="231" t="s">
        <v>162</v>
      </c>
      <c r="C130" s="231"/>
      <c r="D130" s="231"/>
      <c r="E130" s="231"/>
      <c r="F130" s="231"/>
      <c r="G130" s="101">
        <f>$G$91</f>
        <v>92.21</v>
      </c>
    </row>
    <row r="131" spans="1:7" x14ac:dyDescent="0.25">
      <c r="A131" s="100" t="s">
        <v>64</v>
      </c>
      <c r="B131" s="231" t="s">
        <v>163</v>
      </c>
      <c r="C131" s="231"/>
      <c r="D131" s="231"/>
      <c r="E131" s="231"/>
      <c r="F131" s="231"/>
      <c r="G131" s="101">
        <f>$G$116</f>
        <v>31.04</v>
      </c>
    </row>
    <row r="132" spans="1:7" x14ac:dyDescent="0.25">
      <c r="A132" s="100" t="s">
        <v>66</v>
      </c>
      <c r="B132" s="231" t="s">
        <v>164</v>
      </c>
      <c r="C132" s="231"/>
      <c r="D132" s="231"/>
      <c r="E132" s="231"/>
      <c r="F132" s="231"/>
      <c r="G132" s="101">
        <f>$G$123</f>
        <v>39.65</v>
      </c>
    </row>
    <row r="133" spans="1:7" x14ac:dyDescent="0.25">
      <c r="A133" s="233" t="s">
        <v>165</v>
      </c>
      <c r="B133" s="233"/>
      <c r="C133" s="233"/>
      <c r="D133" s="233"/>
      <c r="E133" s="233"/>
      <c r="F133" s="233"/>
      <c r="G133" s="94">
        <f>ROUND(SUM(G128:G132),2)</f>
        <v>3329.13</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3329.13</v>
      </c>
    </row>
    <row r="138" spans="1:7" x14ac:dyDescent="0.25">
      <c r="A138" s="100" t="s">
        <v>59</v>
      </c>
      <c r="B138" s="231" t="s">
        <v>169</v>
      </c>
      <c r="C138" s="231"/>
      <c r="D138" s="231"/>
      <c r="E138" s="231"/>
      <c r="F138" s="231"/>
      <c r="G138" s="81">
        <f>ROUND($G$137/$E$23,2)</f>
        <v>158.44999999999999</v>
      </c>
    </row>
    <row r="139" spans="1:7" x14ac:dyDescent="0.25">
      <c r="A139" s="100" t="s">
        <v>59</v>
      </c>
      <c r="B139" s="231" t="s">
        <v>170</v>
      </c>
      <c r="C139" s="231"/>
      <c r="D139" s="231"/>
      <c r="E139" s="231"/>
      <c r="F139" s="231"/>
      <c r="G139" s="81">
        <f>G137/220</f>
        <v>15.132409090909091</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B138:F138"/>
    <mergeCell ref="A140:G140"/>
    <mergeCell ref="B71:F71"/>
    <mergeCell ref="B139:F139"/>
    <mergeCell ref="B131:F131"/>
    <mergeCell ref="B132:F132"/>
    <mergeCell ref="A133:F133"/>
    <mergeCell ref="C144:E144"/>
    <mergeCell ref="C145:E145"/>
    <mergeCell ref="A135:G135"/>
    <mergeCell ref="B136:F136"/>
    <mergeCell ref="B137:F137"/>
    <mergeCell ref="A126:G126"/>
    <mergeCell ref="B127:F127"/>
    <mergeCell ref="B128:F128"/>
    <mergeCell ref="B129:F129"/>
    <mergeCell ref="B130:F130"/>
    <mergeCell ref="A124:G124"/>
    <mergeCell ref="A118:G118"/>
    <mergeCell ref="B119:F119"/>
    <mergeCell ref="B120:F120"/>
    <mergeCell ref="B121:F121"/>
    <mergeCell ref="B122:F122"/>
    <mergeCell ref="A123:F123"/>
    <mergeCell ref="A110:G110"/>
    <mergeCell ref="A112:G112"/>
    <mergeCell ref="B113:E113"/>
    <mergeCell ref="B114:E114"/>
    <mergeCell ref="B115:E115"/>
    <mergeCell ref="A116:F116"/>
    <mergeCell ref="A103:F103"/>
    <mergeCell ref="A104:G104"/>
    <mergeCell ref="A106:G106"/>
    <mergeCell ref="B107:E107"/>
    <mergeCell ref="B108:E108"/>
    <mergeCell ref="A109:F109"/>
    <mergeCell ref="B97:E97"/>
    <mergeCell ref="B98:E98"/>
    <mergeCell ref="B99:E99"/>
    <mergeCell ref="B100:E100"/>
    <mergeCell ref="B101:E101"/>
    <mergeCell ref="B102:E102"/>
    <mergeCell ref="B90:E90"/>
    <mergeCell ref="A91:F91"/>
    <mergeCell ref="A93:G93"/>
    <mergeCell ref="A94:G94"/>
    <mergeCell ref="B95:E95"/>
    <mergeCell ref="B96:E96"/>
    <mergeCell ref="A84:G84"/>
    <mergeCell ref="B85:E85"/>
    <mergeCell ref="B86:E86"/>
    <mergeCell ref="B87:E87"/>
    <mergeCell ref="B88:E88"/>
    <mergeCell ref="B89:E89"/>
    <mergeCell ref="A77:G77"/>
    <mergeCell ref="B78:F78"/>
    <mergeCell ref="B79:F79"/>
    <mergeCell ref="B80:F80"/>
    <mergeCell ref="B81:F81"/>
    <mergeCell ref="A82:F82"/>
    <mergeCell ref="B69:F69"/>
    <mergeCell ref="B70:F70"/>
    <mergeCell ref="B72:F72"/>
    <mergeCell ref="A73:F73"/>
    <mergeCell ref="A74:G74"/>
    <mergeCell ref="A75:G75"/>
    <mergeCell ref="B63:F63"/>
    <mergeCell ref="B64:D64"/>
    <mergeCell ref="B65:E65"/>
    <mergeCell ref="B66:D66"/>
    <mergeCell ref="B67:E67"/>
    <mergeCell ref="B68:F68"/>
    <mergeCell ref="B56:E56"/>
    <mergeCell ref="A57:E57"/>
    <mergeCell ref="A58:G58"/>
    <mergeCell ref="A59:G59"/>
    <mergeCell ref="A60:G60"/>
    <mergeCell ref="A62:G62"/>
    <mergeCell ref="B50:E50"/>
    <mergeCell ref="B51:E51"/>
    <mergeCell ref="B52:E52"/>
    <mergeCell ref="B53:E53"/>
    <mergeCell ref="B54:E54"/>
    <mergeCell ref="B55:E55"/>
    <mergeCell ref="A43:G43"/>
    <mergeCell ref="A44:G44"/>
    <mergeCell ref="A46:F46"/>
    <mergeCell ref="A47:G47"/>
    <mergeCell ref="B48:E48"/>
    <mergeCell ref="B49:E49"/>
    <mergeCell ref="A37:G37"/>
    <mergeCell ref="B38:E38"/>
    <mergeCell ref="B39:E39"/>
    <mergeCell ref="B40:E40"/>
    <mergeCell ref="A41:F41"/>
    <mergeCell ref="A42:G42"/>
    <mergeCell ref="B30:F30"/>
    <mergeCell ref="B31:F31"/>
    <mergeCell ref="B32:F32"/>
    <mergeCell ref="B33:F33"/>
    <mergeCell ref="A34:F34"/>
    <mergeCell ref="A36:G36"/>
    <mergeCell ref="B24:D24"/>
    <mergeCell ref="E24:G24"/>
    <mergeCell ref="A25:G25"/>
    <mergeCell ref="A26:G26"/>
    <mergeCell ref="A28:G28"/>
    <mergeCell ref="B29:F29"/>
    <mergeCell ref="B21:D21"/>
    <mergeCell ref="E21:G21"/>
    <mergeCell ref="B22:D22"/>
    <mergeCell ref="E22:G22"/>
    <mergeCell ref="B23:D23"/>
    <mergeCell ref="E23:G23"/>
    <mergeCell ref="B18:D18"/>
    <mergeCell ref="E18:G18"/>
    <mergeCell ref="B19:D19"/>
    <mergeCell ref="E19:G19"/>
    <mergeCell ref="B20:D20"/>
    <mergeCell ref="E20:G20"/>
    <mergeCell ref="A13:G13"/>
    <mergeCell ref="A14:G14"/>
    <mergeCell ref="A16:G16"/>
    <mergeCell ref="A17:G17"/>
    <mergeCell ref="B7:E7"/>
    <mergeCell ref="F7:G7"/>
    <mergeCell ref="B8:E8"/>
    <mergeCell ref="F8:G8"/>
    <mergeCell ref="A10:G10"/>
    <mergeCell ref="A11:D11"/>
    <mergeCell ref="F11:G11"/>
    <mergeCell ref="B4:E4"/>
    <mergeCell ref="F4:G4"/>
    <mergeCell ref="B5:E5"/>
    <mergeCell ref="F5:G5"/>
    <mergeCell ref="B6:E6"/>
    <mergeCell ref="F6:G6"/>
    <mergeCell ref="A3:G3"/>
    <mergeCell ref="A1:G1"/>
    <mergeCell ref="A12:D12"/>
    <mergeCell ref="F12:G12"/>
  </mergeCells>
  <pageMargins left="0.25" right="0.25" top="0.75" bottom="0.75" header="0.51180555555555496" footer="0.51180555555555496"/>
  <pageSetup paperSize="9" firstPageNumber="0" fitToHeight="0" orientation="portrait"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184"/>
  <sheetViews>
    <sheetView showGridLines="0" topLeftCell="A22" zoomScaleNormal="100" workbookViewId="0">
      <selection activeCell="I32" sqref="I32"/>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172</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176</v>
      </c>
      <c r="F18" s="250"/>
      <c r="G18" s="251"/>
    </row>
    <row r="19" spans="1:7" x14ac:dyDescent="0.25">
      <c r="A19" s="75">
        <v>2</v>
      </c>
      <c r="B19" s="234" t="s">
        <v>78</v>
      </c>
      <c r="C19" s="234"/>
      <c r="D19" s="234"/>
      <c r="E19" s="244"/>
      <c r="F19" s="244"/>
      <c r="G19" s="244"/>
    </row>
    <row r="20" spans="1:7" x14ac:dyDescent="0.25">
      <c r="A20" s="75">
        <v>3</v>
      </c>
      <c r="B20" s="234" t="s">
        <v>79</v>
      </c>
      <c r="C20" s="234"/>
      <c r="D20" s="234"/>
      <c r="E20" s="246">
        <v>1901.53</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44">
        <v>21.01</v>
      </c>
      <c r="F23" s="244"/>
      <c r="G23" s="244"/>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1901.53</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238</v>
      </c>
      <c r="C33" s="234"/>
      <c r="D33" s="234"/>
      <c r="E33" s="234"/>
      <c r="F33" s="234"/>
      <c r="G33" s="80">
        <v>0</v>
      </c>
    </row>
    <row r="34" spans="1:7" x14ac:dyDescent="0.25">
      <c r="A34" s="235" t="s">
        <v>90</v>
      </c>
      <c r="B34" s="235"/>
      <c r="C34" s="235"/>
      <c r="D34" s="235"/>
      <c r="E34" s="235"/>
      <c r="F34" s="235"/>
      <c r="G34" s="81">
        <f>ROUND(SUM(G30:G33),2)</f>
        <v>1901.53</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158.46</v>
      </c>
    </row>
    <row r="40" spans="1:7" x14ac:dyDescent="0.25">
      <c r="A40" s="75" t="s">
        <v>59</v>
      </c>
      <c r="B40" s="243" t="s">
        <v>96</v>
      </c>
      <c r="C40" s="243"/>
      <c r="D40" s="243"/>
      <c r="E40" s="243"/>
      <c r="F40" s="82">
        <v>0.1111</v>
      </c>
      <c r="G40" s="83">
        <f>ROUND($G$34*F40,2)</f>
        <v>211.26</v>
      </c>
    </row>
    <row r="41" spans="1:7" x14ac:dyDescent="0.25">
      <c r="A41" s="235" t="s">
        <v>97</v>
      </c>
      <c r="B41" s="235"/>
      <c r="C41" s="235"/>
      <c r="D41" s="235"/>
      <c r="E41" s="235"/>
      <c r="F41" s="235"/>
      <c r="G41" s="81">
        <f>ROUND(SUM(G39:G40),2)</f>
        <v>369.72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2271.25</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454.25</v>
      </c>
    </row>
    <row r="50" spans="1:7" x14ac:dyDescent="0.25">
      <c r="A50" s="75" t="s">
        <v>105</v>
      </c>
      <c r="B50" s="234" t="s">
        <v>242</v>
      </c>
      <c r="C50" s="234"/>
      <c r="D50" s="234"/>
      <c r="E50" s="234"/>
      <c r="F50" s="82">
        <v>2.5000000000000001E-2</v>
      </c>
      <c r="G50" s="83">
        <f t="shared" si="0"/>
        <v>56.78</v>
      </c>
    </row>
    <row r="51" spans="1:7" x14ac:dyDescent="0.25">
      <c r="A51" s="75" t="s">
        <v>106</v>
      </c>
      <c r="B51" s="234" t="s">
        <v>243</v>
      </c>
      <c r="C51" s="234"/>
      <c r="D51" s="234"/>
      <c r="E51" s="234"/>
      <c r="F51" s="85">
        <v>0.03</v>
      </c>
      <c r="G51" s="83">
        <f t="shared" si="0"/>
        <v>68.14</v>
      </c>
    </row>
    <row r="52" spans="1:7" x14ac:dyDescent="0.25">
      <c r="A52" s="75" t="s">
        <v>59</v>
      </c>
      <c r="B52" s="234" t="s">
        <v>244</v>
      </c>
      <c r="C52" s="234"/>
      <c r="D52" s="234"/>
      <c r="E52" s="234"/>
      <c r="F52" s="82">
        <v>0.08</v>
      </c>
      <c r="G52" s="83">
        <f t="shared" si="0"/>
        <v>181.7</v>
      </c>
    </row>
    <row r="53" spans="1:7" x14ac:dyDescent="0.25">
      <c r="A53" s="75" t="s">
        <v>62</v>
      </c>
      <c r="B53" s="234" t="s">
        <v>245</v>
      </c>
      <c r="C53" s="234"/>
      <c r="D53" s="234"/>
      <c r="E53" s="234"/>
      <c r="F53" s="82">
        <v>1.4999999999999999E-2</v>
      </c>
      <c r="G53" s="83">
        <f t="shared" si="0"/>
        <v>34.07</v>
      </c>
    </row>
    <row r="54" spans="1:7" x14ac:dyDescent="0.25">
      <c r="A54" s="75" t="s">
        <v>64</v>
      </c>
      <c r="B54" s="234" t="s">
        <v>246</v>
      </c>
      <c r="C54" s="234"/>
      <c r="D54" s="234"/>
      <c r="E54" s="234"/>
      <c r="F54" s="82">
        <v>0.01</v>
      </c>
      <c r="G54" s="83">
        <f t="shared" si="0"/>
        <v>22.71</v>
      </c>
    </row>
    <row r="55" spans="1:7" x14ac:dyDescent="0.25">
      <c r="A55" s="75" t="s">
        <v>66</v>
      </c>
      <c r="B55" s="234" t="s">
        <v>247</v>
      </c>
      <c r="C55" s="234"/>
      <c r="D55" s="234"/>
      <c r="E55" s="234"/>
      <c r="F55" s="82">
        <v>6.0000000000000001E-3</v>
      </c>
      <c r="G55" s="83">
        <f t="shared" si="0"/>
        <v>13.63</v>
      </c>
    </row>
    <row r="56" spans="1:7" x14ac:dyDescent="0.25">
      <c r="A56" s="75" t="s">
        <v>107</v>
      </c>
      <c r="B56" s="234" t="s">
        <v>248</v>
      </c>
      <c r="C56" s="234"/>
      <c r="D56" s="234"/>
      <c r="E56" s="234"/>
      <c r="F56" s="82">
        <v>2E-3</v>
      </c>
      <c r="G56" s="83">
        <f t="shared" si="0"/>
        <v>4.54</v>
      </c>
    </row>
    <row r="57" spans="1:7" x14ac:dyDescent="0.25">
      <c r="A57" s="235" t="s">
        <v>108</v>
      </c>
      <c r="B57" s="235"/>
      <c r="C57" s="235"/>
      <c r="D57" s="235"/>
      <c r="E57" s="235"/>
      <c r="F57" s="86">
        <f>SUM(F49:F56)</f>
        <v>0.36800000000000005</v>
      </c>
      <c r="G57" s="81">
        <f>ROUND(SUM(G49:G56),2)</f>
        <v>835.82</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231</v>
      </c>
    </row>
    <row r="65" spans="1:7" x14ac:dyDescent="0.25">
      <c r="A65" s="89" t="s">
        <v>117</v>
      </c>
      <c r="B65" s="240" t="s">
        <v>249</v>
      </c>
      <c r="C65" s="240"/>
      <c r="D65" s="240"/>
      <c r="E65" s="240"/>
      <c r="F65" s="90">
        <v>-0.06</v>
      </c>
      <c r="G65" s="91">
        <f>ROUND($G$30*F65,2)</f>
        <v>-114.09</v>
      </c>
    </row>
    <row r="66" spans="1:7" x14ac:dyDescent="0.25">
      <c r="A66" s="75" t="s">
        <v>59</v>
      </c>
      <c r="B66" s="234" t="s">
        <v>250</v>
      </c>
      <c r="C66" s="234"/>
      <c r="D66" s="234"/>
      <c r="E66" s="87" t="s">
        <v>116</v>
      </c>
      <c r="F66" s="80">
        <v>35</v>
      </c>
      <c r="G66" s="92">
        <f>ROUND($E$23,0)*F66</f>
        <v>735</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2.2999999999999998</v>
      </c>
    </row>
    <row r="71" spans="1:7" x14ac:dyDescent="0.25">
      <c r="A71" s="75" t="s">
        <v>105</v>
      </c>
      <c r="B71" s="234" t="s">
        <v>121</v>
      </c>
      <c r="C71" s="234"/>
      <c r="D71" s="234"/>
      <c r="E71" s="234"/>
      <c r="F71" s="234"/>
      <c r="G71" s="80">
        <v>160.07</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1024.9100000000001</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369.72</v>
      </c>
    </row>
    <row r="80" spans="1:7" x14ac:dyDescent="0.25">
      <c r="A80" s="93" t="s">
        <v>103</v>
      </c>
      <c r="B80" s="236" t="s">
        <v>104</v>
      </c>
      <c r="C80" s="236"/>
      <c r="D80" s="236"/>
      <c r="E80" s="236"/>
      <c r="F80" s="236"/>
      <c r="G80" s="94">
        <f>$G$57</f>
        <v>835.82</v>
      </c>
    </row>
    <row r="81" spans="1:7" x14ac:dyDescent="0.25">
      <c r="A81" s="93" t="s">
        <v>113</v>
      </c>
      <c r="B81" s="236" t="s">
        <v>114</v>
      </c>
      <c r="C81" s="236"/>
      <c r="D81" s="236"/>
      <c r="E81" s="236"/>
      <c r="F81" s="236"/>
      <c r="G81" s="94">
        <f>$G$73</f>
        <v>1024.9100000000001</v>
      </c>
    </row>
    <row r="82" spans="1:7" x14ac:dyDescent="0.25">
      <c r="A82" s="235" t="s">
        <v>127</v>
      </c>
      <c r="B82" s="235"/>
      <c r="C82" s="235"/>
      <c r="D82" s="235"/>
      <c r="E82" s="235"/>
      <c r="F82" s="235"/>
      <c r="G82" s="81">
        <f>ROUND(SUM(G79:G81),2)</f>
        <v>2230.4499999999998</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8.7899999999999991</v>
      </c>
    </row>
    <row r="87" spans="1:7" x14ac:dyDescent="0.25">
      <c r="A87" s="75" t="s">
        <v>59</v>
      </c>
      <c r="B87" s="234" t="s">
        <v>130</v>
      </c>
      <c r="C87" s="234"/>
      <c r="D87" s="234"/>
      <c r="E87" s="234"/>
      <c r="F87" s="95">
        <f>$F$52</f>
        <v>0.08</v>
      </c>
      <c r="G87" s="83">
        <f>G86*F87</f>
        <v>0.70319999999999994</v>
      </c>
    </row>
    <row r="88" spans="1:7" x14ac:dyDescent="0.25">
      <c r="A88" s="75" t="s">
        <v>62</v>
      </c>
      <c r="B88" s="234" t="s">
        <v>235</v>
      </c>
      <c r="C88" s="234"/>
      <c r="D88" s="234"/>
      <c r="E88" s="234"/>
      <c r="F88" s="82">
        <f>(7/30)/12</f>
        <v>1.9444444444444445E-2</v>
      </c>
      <c r="G88" s="83">
        <f>ROUND($G$34*F88,2)</f>
        <v>36.97</v>
      </c>
    </row>
    <row r="89" spans="1:7" x14ac:dyDescent="0.25">
      <c r="A89" s="75" t="s">
        <v>64</v>
      </c>
      <c r="B89" s="234" t="s">
        <v>131</v>
      </c>
      <c r="C89" s="234"/>
      <c r="D89" s="234"/>
      <c r="E89" s="234"/>
      <c r="F89" s="95">
        <f>$F$57</f>
        <v>0.36800000000000005</v>
      </c>
      <c r="G89" s="83">
        <f>G88*F89</f>
        <v>13.604960000000002</v>
      </c>
    </row>
    <row r="90" spans="1:7" x14ac:dyDescent="0.25">
      <c r="A90" s="75" t="s">
        <v>66</v>
      </c>
      <c r="B90" s="234" t="s">
        <v>236</v>
      </c>
      <c r="C90" s="234"/>
      <c r="D90" s="234"/>
      <c r="E90" s="234"/>
      <c r="F90" s="85">
        <v>0.04</v>
      </c>
      <c r="G90" s="83">
        <f>ROUND($G$34*F90,2)</f>
        <v>76.06</v>
      </c>
    </row>
    <row r="91" spans="1:7" x14ac:dyDescent="0.25">
      <c r="A91" s="235" t="s">
        <v>132</v>
      </c>
      <c r="B91" s="235"/>
      <c r="C91" s="235"/>
      <c r="D91" s="235"/>
      <c r="E91" s="235"/>
      <c r="F91" s="235"/>
      <c r="G91" s="81">
        <f>ROUND(SUM(G86:G90),2)</f>
        <v>136.13</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17.68</v>
      </c>
    </row>
    <row r="97" spans="1:7" ht="15" customHeight="1" x14ac:dyDescent="0.25">
      <c r="A97" s="75" t="s">
        <v>138</v>
      </c>
      <c r="B97" s="237" t="s">
        <v>139</v>
      </c>
      <c r="C97" s="237"/>
      <c r="D97" s="237"/>
      <c r="E97" s="237"/>
      <c r="F97" s="96">
        <f>$F$57</f>
        <v>0.36800000000000005</v>
      </c>
      <c r="G97" s="83">
        <f>ROUND(G96*F97,2)</f>
        <v>6.51</v>
      </c>
    </row>
    <row r="98" spans="1:7" x14ac:dyDescent="0.25">
      <c r="A98" s="75" t="s">
        <v>59</v>
      </c>
      <c r="B98" s="234" t="s">
        <v>237</v>
      </c>
      <c r="C98" s="234"/>
      <c r="D98" s="234"/>
      <c r="E98" s="234"/>
      <c r="F98" s="97">
        <v>7.3000000000000001E-3</v>
      </c>
      <c r="G98" s="83">
        <f>ROUND($G$34*F98,2)</f>
        <v>13.88</v>
      </c>
    </row>
    <row r="99" spans="1:7" x14ac:dyDescent="0.25">
      <c r="A99" s="75" t="s">
        <v>62</v>
      </c>
      <c r="B99" s="234" t="s">
        <v>254</v>
      </c>
      <c r="C99" s="234"/>
      <c r="D99" s="234"/>
      <c r="E99" s="234"/>
      <c r="F99" s="97">
        <v>8.1999999999999998E-4</v>
      </c>
      <c r="G99" s="83">
        <f>ROUND($G$34*F99,2)</f>
        <v>1.56</v>
      </c>
    </row>
    <row r="100" spans="1:7" x14ac:dyDescent="0.25">
      <c r="A100" s="75" t="s">
        <v>64</v>
      </c>
      <c r="B100" s="234" t="s">
        <v>255</v>
      </c>
      <c r="C100" s="234"/>
      <c r="D100" s="234"/>
      <c r="E100" s="234"/>
      <c r="F100" s="97">
        <v>2.7000000000000001E-3</v>
      </c>
      <c r="G100" s="83">
        <f>ROUND($G$34*F100,2)</f>
        <v>5.13</v>
      </c>
    </row>
    <row r="101" spans="1:7" x14ac:dyDescent="0.25">
      <c r="A101" s="75" t="s">
        <v>66</v>
      </c>
      <c r="B101" s="234" t="s">
        <v>256</v>
      </c>
      <c r="C101" s="234"/>
      <c r="D101" s="234"/>
      <c r="E101" s="234"/>
      <c r="F101" s="97">
        <v>5.5000000000000003E-4</v>
      </c>
      <c r="G101" s="83">
        <f>ROUND($G$34*F101,2)</f>
        <v>1.05</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45.81</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45.81</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45.81</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80">
        <v>58.7</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58.7</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1901.53</v>
      </c>
    </row>
    <row r="129" spans="1:7" x14ac:dyDescent="0.25">
      <c r="A129" s="100" t="s">
        <v>59</v>
      </c>
      <c r="B129" s="231" t="s">
        <v>161</v>
      </c>
      <c r="C129" s="231"/>
      <c r="D129" s="231"/>
      <c r="E129" s="231"/>
      <c r="F129" s="231"/>
      <c r="G129" s="101">
        <f>$G$82</f>
        <v>2230.4499999999998</v>
      </c>
    </row>
    <row r="130" spans="1:7" x14ac:dyDescent="0.25">
      <c r="A130" s="100" t="s">
        <v>62</v>
      </c>
      <c r="B130" s="231" t="s">
        <v>162</v>
      </c>
      <c r="C130" s="231"/>
      <c r="D130" s="231"/>
      <c r="E130" s="231"/>
      <c r="F130" s="231"/>
      <c r="G130" s="101">
        <f>$G$91</f>
        <v>136.13</v>
      </c>
    </row>
    <row r="131" spans="1:7" x14ac:dyDescent="0.25">
      <c r="A131" s="100" t="s">
        <v>64</v>
      </c>
      <c r="B131" s="231" t="s">
        <v>163</v>
      </c>
      <c r="C131" s="231"/>
      <c r="D131" s="231"/>
      <c r="E131" s="231"/>
      <c r="F131" s="231"/>
      <c r="G131" s="101">
        <f>$G$116</f>
        <v>45.81</v>
      </c>
    </row>
    <row r="132" spans="1:7" x14ac:dyDescent="0.25">
      <c r="A132" s="100" t="s">
        <v>66</v>
      </c>
      <c r="B132" s="231" t="s">
        <v>164</v>
      </c>
      <c r="C132" s="231"/>
      <c r="D132" s="231"/>
      <c r="E132" s="231"/>
      <c r="F132" s="231"/>
      <c r="G132" s="101">
        <f>$G$123</f>
        <v>58.7</v>
      </c>
    </row>
    <row r="133" spans="1:7" x14ac:dyDescent="0.25">
      <c r="A133" s="233" t="s">
        <v>165</v>
      </c>
      <c r="B133" s="233"/>
      <c r="C133" s="233"/>
      <c r="D133" s="233"/>
      <c r="E133" s="233"/>
      <c r="F133" s="233"/>
      <c r="G133" s="94">
        <f>ROUND(SUM(G128:G132),2)</f>
        <v>4372.62</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4372.62</v>
      </c>
    </row>
    <row r="138" spans="1:7" x14ac:dyDescent="0.25">
      <c r="A138" s="100" t="s">
        <v>59</v>
      </c>
      <c r="B138" s="231" t="s">
        <v>169</v>
      </c>
      <c r="C138" s="231"/>
      <c r="D138" s="231"/>
      <c r="E138" s="231"/>
      <c r="F138" s="231"/>
      <c r="G138" s="81">
        <f>ROUND($G$137/$E$23,2)</f>
        <v>208.12</v>
      </c>
    </row>
    <row r="139" spans="1:7" x14ac:dyDescent="0.25">
      <c r="A139" s="100" t="s">
        <v>59</v>
      </c>
      <c r="B139" s="231" t="s">
        <v>170</v>
      </c>
      <c r="C139" s="231"/>
      <c r="D139" s="231"/>
      <c r="E139" s="231"/>
      <c r="F139" s="231"/>
      <c r="G139" s="81">
        <f>G137/220</f>
        <v>19.875545454545453</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G184"/>
  <sheetViews>
    <sheetView showGridLines="0" topLeftCell="A19" zoomScaleNormal="100" workbookViewId="0">
      <selection activeCell="L43" sqref="L43"/>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177</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42</v>
      </c>
      <c r="F18" s="250"/>
      <c r="G18" s="251"/>
    </row>
    <row r="19" spans="1:7" x14ac:dyDescent="0.25">
      <c r="A19" s="75">
        <v>2</v>
      </c>
      <c r="B19" s="234" t="s">
        <v>78</v>
      </c>
      <c r="C19" s="234"/>
      <c r="D19" s="234"/>
      <c r="E19" s="244"/>
      <c r="F19" s="244"/>
      <c r="G19" s="244"/>
    </row>
    <row r="20" spans="1:7" x14ac:dyDescent="0.25">
      <c r="A20" s="75">
        <v>3</v>
      </c>
      <c r="B20" s="234" t="s">
        <v>79</v>
      </c>
      <c r="C20" s="234"/>
      <c r="D20" s="234"/>
      <c r="E20" s="246">
        <v>3663</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58">
        <f>ROUND((365/12)/2,2)</f>
        <v>15.21</v>
      </c>
      <c r="F23" s="258"/>
      <c r="G23" s="258"/>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3663</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173</v>
      </c>
      <c r="C33" s="234"/>
      <c r="D33" s="234"/>
      <c r="E33" s="234"/>
      <c r="F33" s="234"/>
      <c r="G33" s="80">
        <f>G30*0.3</f>
        <v>1098.8999999999999</v>
      </c>
    </row>
    <row r="34" spans="1:7" x14ac:dyDescent="0.25">
      <c r="A34" s="235" t="s">
        <v>90</v>
      </c>
      <c r="B34" s="235"/>
      <c r="C34" s="235"/>
      <c r="D34" s="235"/>
      <c r="E34" s="235"/>
      <c r="F34" s="235"/>
      <c r="G34" s="81">
        <f>ROUND(SUM(G30:G33),2)</f>
        <v>4761.8999999999996</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396.83</v>
      </c>
    </row>
    <row r="40" spans="1:7" x14ac:dyDescent="0.25">
      <c r="A40" s="75" t="s">
        <v>59</v>
      </c>
      <c r="B40" s="243" t="s">
        <v>96</v>
      </c>
      <c r="C40" s="243"/>
      <c r="D40" s="243"/>
      <c r="E40" s="243"/>
      <c r="F40" s="82">
        <v>0.1111</v>
      </c>
      <c r="G40" s="83">
        <f>ROUND($G$34*F40,2)</f>
        <v>529.04999999999995</v>
      </c>
    </row>
    <row r="41" spans="1:7" x14ac:dyDescent="0.25">
      <c r="A41" s="235" t="s">
        <v>97</v>
      </c>
      <c r="B41" s="235"/>
      <c r="C41" s="235"/>
      <c r="D41" s="235"/>
      <c r="E41" s="235"/>
      <c r="F41" s="235"/>
      <c r="G41" s="81">
        <f>ROUND(SUM(G39:G40),2)</f>
        <v>925.88</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5687.78</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1137.56</v>
      </c>
    </row>
    <row r="50" spans="1:7" x14ac:dyDescent="0.25">
      <c r="A50" s="75" t="s">
        <v>105</v>
      </c>
      <c r="B50" s="234" t="s">
        <v>242</v>
      </c>
      <c r="C50" s="234"/>
      <c r="D50" s="234"/>
      <c r="E50" s="234"/>
      <c r="F50" s="82">
        <v>2.5000000000000001E-2</v>
      </c>
      <c r="G50" s="83">
        <f t="shared" si="0"/>
        <v>142.19</v>
      </c>
    </row>
    <row r="51" spans="1:7" x14ac:dyDescent="0.25">
      <c r="A51" s="75" t="s">
        <v>106</v>
      </c>
      <c r="B51" s="234" t="s">
        <v>243</v>
      </c>
      <c r="C51" s="234"/>
      <c r="D51" s="234"/>
      <c r="E51" s="234"/>
      <c r="F51" s="85">
        <v>0.03</v>
      </c>
      <c r="G51" s="83">
        <f t="shared" si="0"/>
        <v>170.63</v>
      </c>
    </row>
    <row r="52" spans="1:7" x14ac:dyDescent="0.25">
      <c r="A52" s="75" t="s">
        <v>59</v>
      </c>
      <c r="B52" s="234" t="s">
        <v>244</v>
      </c>
      <c r="C52" s="234"/>
      <c r="D52" s="234"/>
      <c r="E52" s="234"/>
      <c r="F52" s="82">
        <v>0.08</v>
      </c>
      <c r="G52" s="83">
        <f t="shared" si="0"/>
        <v>455.02</v>
      </c>
    </row>
    <row r="53" spans="1:7" x14ac:dyDescent="0.25">
      <c r="A53" s="75" t="s">
        <v>62</v>
      </c>
      <c r="B53" s="234" t="s">
        <v>245</v>
      </c>
      <c r="C53" s="234"/>
      <c r="D53" s="234"/>
      <c r="E53" s="234"/>
      <c r="F53" s="82">
        <v>1.4999999999999999E-2</v>
      </c>
      <c r="G53" s="83">
        <f t="shared" si="0"/>
        <v>85.32</v>
      </c>
    </row>
    <row r="54" spans="1:7" x14ac:dyDescent="0.25">
      <c r="A54" s="75" t="s">
        <v>64</v>
      </c>
      <c r="B54" s="234" t="s">
        <v>246</v>
      </c>
      <c r="C54" s="234"/>
      <c r="D54" s="234"/>
      <c r="E54" s="234"/>
      <c r="F54" s="82">
        <v>0.01</v>
      </c>
      <c r="G54" s="83">
        <f t="shared" si="0"/>
        <v>56.88</v>
      </c>
    </row>
    <row r="55" spans="1:7" x14ac:dyDescent="0.25">
      <c r="A55" s="75" t="s">
        <v>66</v>
      </c>
      <c r="B55" s="234" t="s">
        <v>247</v>
      </c>
      <c r="C55" s="234"/>
      <c r="D55" s="234"/>
      <c r="E55" s="234"/>
      <c r="F55" s="82">
        <v>6.0000000000000001E-3</v>
      </c>
      <c r="G55" s="83">
        <f t="shared" si="0"/>
        <v>34.130000000000003</v>
      </c>
    </row>
    <row r="56" spans="1:7" x14ac:dyDescent="0.25">
      <c r="A56" s="75" t="s">
        <v>107</v>
      </c>
      <c r="B56" s="234" t="s">
        <v>248</v>
      </c>
      <c r="C56" s="234"/>
      <c r="D56" s="234"/>
      <c r="E56" s="234"/>
      <c r="F56" s="82">
        <v>2E-3</v>
      </c>
      <c r="G56" s="83">
        <f t="shared" si="0"/>
        <v>11.38</v>
      </c>
    </row>
    <row r="57" spans="1:7" x14ac:dyDescent="0.25">
      <c r="A57" s="235" t="s">
        <v>108</v>
      </c>
      <c r="B57" s="235"/>
      <c r="C57" s="235"/>
      <c r="D57" s="235"/>
      <c r="E57" s="235"/>
      <c r="F57" s="86">
        <f>SUM(F49:F56)</f>
        <v>0.36800000000000005</v>
      </c>
      <c r="G57" s="81">
        <f>ROUND(SUM(G49:G56),2)</f>
        <v>2093.11</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165</v>
      </c>
    </row>
    <row r="65" spans="1:7" x14ac:dyDescent="0.25">
      <c r="A65" s="89" t="s">
        <v>117</v>
      </c>
      <c r="B65" s="240" t="s">
        <v>249</v>
      </c>
      <c r="C65" s="240"/>
      <c r="D65" s="240"/>
      <c r="E65" s="240"/>
      <c r="F65" s="90">
        <v>-0.03</v>
      </c>
      <c r="G65" s="91">
        <f>ROUND($G$30*F65,2)</f>
        <v>-109.89</v>
      </c>
    </row>
    <row r="66" spans="1:7" x14ac:dyDescent="0.25">
      <c r="A66" s="75" t="s">
        <v>59</v>
      </c>
      <c r="B66" s="234" t="s">
        <v>250</v>
      </c>
      <c r="C66" s="234"/>
      <c r="D66" s="234"/>
      <c r="E66" s="87" t="s">
        <v>116</v>
      </c>
      <c r="F66" s="80">
        <v>36</v>
      </c>
      <c r="G66" s="92">
        <f>ROUND($E$23,0)*F66</f>
        <v>540</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8.8800000000000008</v>
      </c>
    </row>
    <row r="71" spans="1:7" x14ac:dyDescent="0.25">
      <c r="A71" s="75" t="s">
        <v>105</v>
      </c>
      <c r="B71" s="234" t="s">
        <v>121</v>
      </c>
      <c r="C71" s="234"/>
      <c r="D71" s="234"/>
      <c r="E71" s="234"/>
      <c r="F71" s="234"/>
      <c r="G71" s="80">
        <v>153.77000000000001</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768.39</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925.88</v>
      </c>
    </row>
    <row r="80" spans="1:7" x14ac:dyDescent="0.25">
      <c r="A80" s="93" t="s">
        <v>103</v>
      </c>
      <c r="B80" s="236" t="s">
        <v>104</v>
      </c>
      <c r="C80" s="236"/>
      <c r="D80" s="236"/>
      <c r="E80" s="236"/>
      <c r="F80" s="236"/>
      <c r="G80" s="94">
        <f>$G$57</f>
        <v>2093.11</v>
      </c>
    </row>
    <row r="81" spans="1:7" x14ac:dyDescent="0.25">
      <c r="A81" s="93" t="s">
        <v>113</v>
      </c>
      <c r="B81" s="236" t="s">
        <v>114</v>
      </c>
      <c r="C81" s="236"/>
      <c r="D81" s="236"/>
      <c r="E81" s="236"/>
      <c r="F81" s="236"/>
      <c r="G81" s="94">
        <f>$G$73</f>
        <v>768.39</v>
      </c>
    </row>
    <row r="82" spans="1:7" x14ac:dyDescent="0.25">
      <c r="A82" s="235" t="s">
        <v>127</v>
      </c>
      <c r="B82" s="235"/>
      <c r="C82" s="235"/>
      <c r="D82" s="235"/>
      <c r="E82" s="235"/>
      <c r="F82" s="235"/>
      <c r="G82" s="81">
        <f>ROUND(SUM(G79:G81),2)</f>
        <v>3787.38</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22.02</v>
      </c>
    </row>
    <row r="87" spans="1:7" x14ac:dyDescent="0.25">
      <c r="A87" s="75" t="s">
        <v>59</v>
      </c>
      <c r="B87" s="234" t="s">
        <v>130</v>
      </c>
      <c r="C87" s="234"/>
      <c r="D87" s="234"/>
      <c r="E87" s="234"/>
      <c r="F87" s="95">
        <f>$F$52</f>
        <v>0.08</v>
      </c>
      <c r="G87" s="83">
        <f>G86*F87</f>
        <v>1.7616000000000001</v>
      </c>
    </row>
    <row r="88" spans="1:7" x14ac:dyDescent="0.25">
      <c r="A88" s="75" t="s">
        <v>62</v>
      </c>
      <c r="B88" s="234" t="s">
        <v>235</v>
      </c>
      <c r="C88" s="234"/>
      <c r="D88" s="234"/>
      <c r="E88" s="234"/>
      <c r="F88" s="82">
        <f>(7/30)/12</f>
        <v>1.9444444444444445E-2</v>
      </c>
      <c r="G88" s="83">
        <f>ROUND($G$34*F88,2)</f>
        <v>92.59</v>
      </c>
    </row>
    <row r="89" spans="1:7" x14ac:dyDescent="0.25">
      <c r="A89" s="75" t="s">
        <v>64</v>
      </c>
      <c r="B89" s="234" t="s">
        <v>131</v>
      </c>
      <c r="C89" s="234"/>
      <c r="D89" s="234"/>
      <c r="E89" s="234"/>
      <c r="F89" s="95">
        <f>$F$57</f>
        <v>0.36800000000000005</v>
      </c>
      <c r="G89" s="83">
        <f>G88*F89</f>
        <v>34.073120000000003</v>
      </c>
    </row>
    <row r="90" spans="1:7" x14ac:dyDescent="0.25">
      <c r="A90" s="75" t="s">
        <v>66</v>
      </c>
      <c r="B90" s="234" t="s">
        <v>236</v>
      </c>
      <c r="C90" s="234"/>
      <c r="D90" s="234"/>
      <c r="E90" s="234"/>
      <c r="F90" s="85">
        <v>0.04</v>
      </c>
      <c r="G90" s="83">
        <f>ROUND($G$34*F90,2)</f>
        <v>190.48</v>
      </c>
    </row>
    <row r="91" spans="1:7" x14ac:dyDescent="0.25">
      <c r="A91" s="235" t="s">
        <v>132</v>
      </c>
      <c r="B91" s="235"/>
      <c r="C91" s="235"/>
      <c r="D91" s="235"/>
      <c r="E91" s="235"/>
      <c r="F91" s="235"/>
      <c r="G91" s="81">
        <f>ROUND(SUM(G86:G90),2)</f>
        <v>340.92</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44.29</v>
      </c>
    </row>
    <row r="97" spans="1:7" ht="15" customHeight="1" x14ac:dyDescent="0.25">
      <c r="A97" s="75" t="s">
        <v>138</v>
      </c>
      <c r="B97" s="237" t="s">
        <v>139</v>
      </c>
      <c r="C97" s="237"/>
      <c r="D97" s="237"/>
      <c r="E97" s="237"/>
      <c r="F97" s="96">
        <f>$F$57</f>
        <v>0.36800000000000005</v>
      </c>
      <c r="G97" s="83">
        <f>ROUND(G96*F97,2)</f>
        <v>16.3</v>
      </c>
    </row>
    <row r="98" spans="1:7" x14ac:dyDescent="0.25">
      <c r="A98" s="75" t="s">
        <v>59</v>
      </c>
      <c r="B98" s="234" t="s">
        <v>237</v>
      </c>
      <c r="C98" s="234"/>
      <c r="D98" s="234"/>
      <c r="E98" s="234"/>
      <c r="F98" s="97">
        <v>7.3000000000000001E-3</v>
      </c>
      <c r="G98" s="83">
        <f>ROUND($G$34*F98,2)</f>
        <v>34.76</v>
      </c>
    </row>
    <row r="99" spans="1:7" x14ac:dyDescent="0.25">
      <c r="A99" s="75" t="s">
        <v>62</v>
      </c>
      <c r="B99" s="234" t="s">
        <v>254</v>
      </c>
      <c r="C99" s="234"/>
      <c r="D99" s="234"/>
      <c r="E99" s="234"/>
      <c r="F99" s="97">
        <v>8.1999999999999998E-4</v>
      </c>
      <c r="G99" s="83">
        <f>ROUND($G$34*F99,2)</f>
        <v>3.9</v>
      </c>
    </row>
    <row r="100" spans="1:7" x14ac:dyDescent="0.25">
      <c r="A100" s="75" t="s">
        <v>64</v>
      </c>
      <c r="B100" s="234" t="s">
        <v>255</v>
      </c>
      <c r="C100" s="234"/>
      <c r="D100" s="234"/>
      <c r="E100" s="234"/>
      <c r="F100" s="97">
        <v>2.7000000000000001E-3</v>
      </c>
      <c r="G100" s="83">
        <f>ROUND($G$34*F100,2)</f>
        <v>12.86</v>
      </c>
    </row>
    <row r="101" spans="1:7" x14ac:dyDescent="0.25">
      <c r="A101" s="75" t="s">
        <v>66</v>
      </c>
      <c r="B101" s="234" t="s">
        <v>256</v>
      </c>
      <c r="C101" s="234"/>
      <c r="D101" s="234"/>
      <c r="E101" s="234"/>
      <c r="F101" s="97">
        <v>5.5000000000000003E-4</v>
      </c>
      <c r="G101" s="83">
        <f>ROUND($G$34*F101,2)</f>
        <v>2.62</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114.73</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114.73</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114.73</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257</v>
      </c>
      <c r="C120" s="234"/>
      <c r="D120" s="234"/>
      <c r="E120" s="234"/>
      <c r="F120" s="234"/>
      <c r="G120" s="108">
        <v>96.21</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96.21</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4761.8999999999996</v>
      </c>
    </row>
    <row r="129" spans="1:7" x14ac:dyDescent="0.25">
      <c r="A129" s="100" t="s">
        <v>59</v>
      </c>
      <c r="B129" s="231" t="s">
        <v>161</v>
      </c>
      <c r="C129" s="231"/>
      <c r="D129" s="231"/>
      <c r="E129" s="231"/>
      <c r="F129" s="231"/>
      <c r="G129" s="101">
        <f>$G$82</f>
        <v>3787.38</v>
      </c>
    </row>
    <row r="130" spans="1:7" x14ac:dyDescent="0.25">
      <c r="A130" s="100" t="s">
        <v>62</v>
      </c>
      <c r="B130" s="231" t="s">
        <v>162</v>
      </c>
      <c r="C130" s="231"/>
      <c r="D130" s="231"/>
      <c r="E130" s="231"/>
      <c r="F130" s="231"/>
      <c r="G130" s="101">
        <f>$G$91</f>
        <v>340.92</v>
      </c>
    </row>
    <row r="131" spans="1:7" x14ac:dyDescent="0.25">
      <c r="A131" s="100" t="s">
        <v>64</v>
      </c>
      <c r="B131" s="231" t="s">
        <v>163</v>
      </c>
      <c r="C131" s="231"/>
      <c r="D131" s="231"/>
      <c r="E131" s="231"/>
      <c r="F131" s="231"/>
      <c r="G131" s="101">
        <f>$G$116</f>
        <v>114.73</v>
      </c>
    </row>
    <row r="132" spans="1:7" x14ac:dyDescent="0.25">
      <c r="A132" s="100" t="s">
        <v>66</v>
      </c>
      <c r="B132" s="231" t="s">
        <v>164</v>
      </c>
      <c r="C132" s="231"/>
      <c r="D132" s="231"/>
      <c r="E132" s="231"/>
      <c r="F132" s="231"/>
      <c r="G132" s="101">
        <f>$G$123</f>
        <v>96.21</v>
      </c>
    </row>
    <row r="133" spans="1:7" x14ac:dyDescent="0.25">
      <c r="A133" s="233" t="s">
        <v>165</v>
      </c>
      <c r="B133" s="233"/>
      <c r="C133" s="233"/>
      <c r="D133" s="233"/>
      <c r="E133" s="233"/>
      <c r="F133" s="233"/>
      <c r="G133" s="94">
        <f>ROUND(SUM(G128:G132),2)</f>
        <v>9101.14</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9101.14</v>
      </c>
    </row>
    <row r="138" spans="1:7" x14ac:dyDescent="0.25">
      <c r="A138" s="100" t="s">
        <v>59</v>
      </c>
      <c r="B138" s="231" t="s">
        <v>169</v>
      </c>
      <c r="C138" s="231"/>
      <c r="D138" s="231"/>
      <c r="E138" s="231"/>
      <c r="F138" s="231"/>
      <c r="G138" s="81">
        <f>ROUND($G$137/$E$23,2)</f>
        <v>598.37</v>
      </c>
    </row>
    <row r="139" spans="1:7" x14ac:dyDescent="0.25">
      <c r="A139" s="100" t="s">
        <v>59</v>
      </c>
      <c r="B139" s="231" t="s">
        <v>170</v>
      </c>
      <c r="C139" s="231"/>
      <c r="D139" s="231"/>
      <c r="E139" s="231"/>
      <c r="F139" s="231"/>
      <c r="G139" s="81">
        <f>G137/220</f>
        <v>41.368818181818177</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G184"/>
  <sheetViews>
    <sheetView showGridLines="0" topLeftCell="A31" zoomScaleNormal="100" workbookViewId="0">
      <selection activeCell="M51" sqref="M51"/>
    </sheetView>
  </sheetViews>
  <sheetFormatPr defaultColWidth="12.625" defaultRowHeight="15" zeroHeight="1" x14ac:dyDescent="0.25"/>
  <cols>
    <col min="1" max="1" width="7.625" style="73" customWidth="1"/>
    <col min="2" max="5" width="15.75" style="73" customWidth="1"/>
    <col min="6" max="16384" width="12.625" style="73"/>
  </cols>
  <sheetData>
    <row r="1" spans="1:7" ht="60.75" customHeight="1" x14ac:dyDescent="0.25">
      <c r="A1" s="255" t="s">
        <v>54</v>
      </c>
      <c r="B1" s="255"/>
      <c r="C1" s="255"/>
      <c r="D1" s="255"/>
      <c r="E1" s="255"/>
      <c r="F1" s="255"/>
      <c r="G1" s="255"/>
    </row>
    <row r="2" spans="1:7" x14ac:dyDescent="0.25">
      <c r="A2" s="74"/>
      <c r="B2" s="74"/>
      <c r="C2" s="74"/>
      <c r="D2" s="74"/>
      <c r="E2" s="74"/>
      <c r="F2" s="74"/>
      <c r="G2" s="74"/>
    </row>
    <row r="3" spans="1:7" ht="15" customHeight="1" x14ac:dyDescent="0.25">
      <c r="A3" s="230" t="s">
        <v>55</v>
      </c>
      <c r="B3" s="230"/>
      <c r="C3" s="230"/>
      <c r="D3" s="230"/>
      <c r="E3" s="230"/>
      <c r="F3" s="230"/>
      <c r="G3" s="230"/>
    </row>
    <row r="4" spans="1:7" x14ac:dyDescent="0.25">
      <c r="A4" s="75" t="s">
        <v>56</v>
      </c>
      <c r="B4" s="234" t="s">
        <v>57</v>
      </c>
      <c r="C4" s="234"/>
      <c r="D4" s="234"/>
      <c r="E4" s="234"/>
      <c r="F4" s="256" t="s">
        <v>58</v>
      </c>
      <c r="G4" s="256"/>
    </row>
    <row r="5" spans="1:7" ht="15" customHeight="1" x14ac:dyDescent="0.25">
      <c r="A5" s="75" t="s">
        <v>59</v>
      </c>
      <c r="B5" s="234" t="s">
        <v>60</v>
      </c>
      <c r="C5" s="234"/>
      <c r="D5" s="234"/>
      <c r="E5" s="234"/>
      <c r="F5" s="257" t="s">
        <v>61</v>
      </c>
      <c r="G5" s="257"/>
    </row>
    <row r="6" spans="1:7" x14ac:dyDescent="0.25">
      <c r="A6" s="75" t="s">
        <v>62</v>
      </c>
      <c r="B6" s="234" t="s">
        <v>63</v>
      </c>
      <c r="C6" s="234"/>
      <c r="D6" s="234"/>
      <c r="E6" s="234"/>
      <c r="F6" s="254" t="s">
        <v>177</v>
      </c>
      <c r="G6" s="251"/>
    </row>
    <row r="7" spans="1:7" x14ac:dyDescent="0.25">
      <c r="A7" s="75" t="s">
        <v>64</v>
      </c>
      <c r="B7" s="234" t="s">
        <v>65</v>
      </c>
      <c r="C7" s="234"/>
      <c r="D7" s="234"/>
      <c r="E7" s="234"/>
      <c r="F7" s="244"/>
      <c r="G7" s="244"/>
    </row>
    <row r="8" spans="1:7" x14ac:dyDescent="0.25">
      <c r="A8" s="75" t="s">
        <v>66</v>
      </c>
      <c r="B8" s="234" t="s">
        <v>67</v>
      </c>
      <c r="C8" s="234"/>
      <c r="D8" s="234"/>
      <c r="E8" s="234"/>
      <c r="F8" s="244"/>
      <c r="G8" s="244"/>
    </row>
    <row r="9" spans="1:7" x14ac:dyDescent="0.25">
      <c r="A9" s="74"/>
      <c r="B9" s="74"/>
      <c r="C9" s="74"/>
      <c r="D9" s="74"/>
      <c r="E9" s="74"/>
      <c r="F9" s="74"/>
      <c r="G9" s="74"/>
    </row>
    <row r="10" spans="1:7" ht="15" customHeight="1" x14ac:dyDescent="0.25">
      <c r="A10" s="230" t="s">
        <v>68</v>
      </c>
      <c r="B10" s="230"/>
      <c r="C10" s="230"/>
      <c r="D10" s="230"/>
      <c r="E10" s="230"/>
      <c r="F10" s="230"/>
      <c r="G10" s="230"/>
    </row>
    <row r="11" spans="1:7" ht="24" customHeight="1" x14ac:dyDescent="0.25">
      <c r="A11" s="230" t="s">
        <v>69</v>
      </c>
      <c r="B11" s="230"/>
      <c r="C11" s="230"/>
      <c r="D11" s="230"/>
      <c r="E11" s="104" t="s">
        <v>70</v>
      </c>
      <c r="F11" s="230" t="s">
        <v>71</v>
      </c>
      <c r="G11" s="230"/>
    </row>
    <row r="12" spans="1:7" x14ac:dyDescent="0.25">
      <c r="A12" s="252"/>
      <c r="B12" s="252"/>
      <c r="C12" s="252"/>
      <c r="D12" s="252"/>
      <c r="E12" s="76"/>
      <c r="F12" s="253"/>
      <c r="G12" s="253"/>
    </row>
    <row r="13" spans="1:7" ht="31.5" customHeight="1" x14ac:dyDescent="0.25">
      <c r="A13" s="232" t="s">
        <v>72</v>
      </c>
      <c r="B13" s="232"/>
      <c r="C13" s="232"/>
      <c r="D13" s="232"/>
      <c r="E13" s="232"/>
      <c r="F13" s="232"/>
      <c r="G13" s="232"/>
    </row>
    <row r="14" spans="1:7" ht="31.5" customHeight="1" x14ac:dyDescent="0.25">
      <c r="A14" s="232" t="s">
        <v>73</v>
      </c>
      <c r="B14" s="232"/>
      <c r="C14" s="232"/>
      <c r="D14" s="232"/>
      <c r="E14" s="232"/>
      <c r="F14" s="232"/>
      <c r="G14" s="232"/>
    </row>
    <row r="15" spans="1:7" x14ac:dyDescent="0.25">
      <c r="A15" s="74"/>
      <c r="B15" s="74"/>
      <c r="C15" s="74"/>
      <c r="D15" s="74"/>
      <c r="E15" s="74"/>
      <c r="F15" s="74"/>
      <c r="G15" s="74"/>
    </row>
    <row r="16" spans="1:7" ht="15" customHeight="1" x14ac:dyDescent="0.25">
      <c r="A16" s="230" t="s">
        <v>74</v>
      </c>
      <c r="B16" s="230"/>
      <c r="C16" s="230"/>
      <c r="D16" s="230"/>
      <c r="E16" s="230"/>
      <c r="F16" s="230"/>
      <c r="G16" s="230"/>
    </row>
    <row r="17" spans="1:7" ht="15" customHeight="1" x14ac:dyDescent="0.25">
      <c r="A17" s="248" t="s">
        <v>75</v>
      </c>
      <c r="B17" s="248"/>
      <c r="C17" s="248"/>
      <c r="D17" s="248"/>
      <c r="E17" s="248"/>
      <c r="F17" s="248"/>
      <c r="G17" s="248"/>
    </row>
    <row r="18" spans="1:7" x14ac:dyDescent="0.25">
      <c r="A18" s="75">
        <v>1</v>
      </c>
      <c r="B18" s="234" t="s">
        <v>76</v>
      </c>
      <c r="C18" s="234"/>
      <c r="D18" s="234"/>
      <c r="E18" s="249" t="s">
        <v>39</v>
      </c>
      <c r="F18" s="250"/>
      <c r="G18" s="251"/>
    </row>
    <row r="19" spans="1:7" x14ac:dyDescent="0.25">
      <c r="A19" s="75">
        <v>2</v>
      </c>
      <c r="B19" s="234" t="s">
        <v>78</v>
      </c>
      <c r="C19" s="234"/>
      <c r="D19" s="234"/>
      <c r="E19" s="244"/>
      <c r="F19" s="244"/>
      <c r="G19" s="244"/>
    </row>
    <row r="20" spans="1:7" x14ac:dyDescent="0.25">
      <c r="A20" s="75">
        <v>3</v>
      </c>
      <c r="B20" s="234" t="s">
        <v>79</v>
      </c>
      <c r="C20" s="234"/>
      <c r="D20" s="234"/>
      <c r="E20" s="246">
        <v>2955.82</v>
      </c>
      <c r="F20" s="246"/>
      <c r="G20" s="246"/>
    </row>
    <row r="21" spans="1:7" x14ac:dyDescent="0.25">
      <c r="A21" s="75">
        <v>4</v>
      </c>
      <c r="B21" s="234" t="s">
        <v>80</v>
      </c>
      <c r="C21" s="234"/>
      <c r="D21" s="234"/>
      <c r="E21" s="244"/>
      <c r="F21" s="244"/>
      <c r="G21" s="244"/>
    </row>
    <row r="22" spans="1:7" x14ac:dyDescent="0.25">
      <c r="A22" s="75">
        <v>5</v>
      </c>
      <c r="B22" s="234" t="s">
        <v>81</v>
      </c>
      <c r="C22" s="234"/>
      <c r="D22" s="234"/>
      <c r="E22" s="247">
        <v>44197</v>
      </c>
      <c r="F22" s="247"/>
      <c r="G22" s="247"/>
    </row>
    <row r="23" spans="1:7" x14ac:dyDescent="0.25">
      <c r="A23" s="77">
        <v>6</v>
      </c>
      <c r="B23" s="243" t="s">
        <v>82</v>
      </c>
      <c r="C23" s="243"/>
      <c r="D23" s="243"/>
      <c r="E23" s="258">
        <f>ROUND((365/12)/2,2)</f>
        <v>15.21</v>
      </c>
      <c r="F23" s="258"/>
      <c r="G23" s="258"/>
    </row>
    <row r="24" spans="1:7" x14ac:dyDescent="0.25">
      <c r="A24" s="77">
        <v>7</v>
      </c>
      <c r="B24" s="243" t="s">
        <v>83</v>
      </c>
      <c r="C24" s="243"/>
      <c r="D24" s="243"/>
      <c r="E24" s="245">
        <v>1100</v>
      </c>
      <c r="F24" s="245"/>
      <c r="G24" s="245"/>
    </row>
    <row r="25" spans="1:7" ht="15" customHeight="1" x14ac:dyDescent="0.25">
      <c r="A25" s="232" t="s">
        <v>84</v>
      </c>
      <c r="B25" s="232"/>
      <c r="C25" s="232"/>
      <c r="D25" s="232"/>
      <c r="E25" s="232"/>
      <c r="F25" s="232"/>
      <c r="G25" s="232"/>
    </row>
    <row r="26" spans="1:7" ht="15" customHeight="1" x14ac:dyDescent="0.25">
      <c r="A26" s="232" t="s">
        <v>85</v>
      </c>
      <c r="B26" s="232"/>
      <c r="C26" s="232"/>
      <c r="D26" s="232"/>
      <c r="E26" s="232"/>
      <c r="F26" s="232"/>
      <c r="G26" s="232"/>
    </row>
    <row r="27" spans="1:7" x14ac:dyDescent="0.25">
      <c r="A27" s="74"/>
      <c r="B27" s="74"/>
      <c r="C27" s="74"/>
      <c r="D27" s="74"/>
      <c r="E27" s="74"/>
      <c r="F27" s="74"/>
      <c r="G27" s="74"/>
    </row>
    <row r="28" spans="1:7" x14ac:dyDescent="0.25">
      <c r="A28" s="229" t="s">
        <v>86</v>
      </c>
      <c r="B28" s="229"/>
      <c r="C28" s="229"/>
      <c r="D28" s="229"/>
      <c r="E28" s="229"/>
      <c r="F28" s="229"/>
      <c r="G28" s="229"/>
    </row>
    <row r="29" spans="1:7" ht="15" customHeight="1" x14ac:dyDescent="0.25">
      <c r="A29" s="104">
        <v>1</v>
      </c>
      <c r="B29" s="230" t="s">
        <v>87</v>
      </c>
      <c r="C29" s="230"/>
      <c r="D29" s="230"/>
      <c r="E29" s="230"/>
      <c r="F29" s="230"/>
      <c r="G29" s="104" t="s">
        <v>88</v>
      </c>
    </row>
    <row r="30" spans="1:7" x14ac:dyDescent="0.25">
      <c r="A30" s="75" t="s">
        <v>56</v>
      </c>
      <c r="B30" s="234" t="s">
        <v>239</v>
      </c>
      <c r="C30" s="234"/>
      <c r="D30" s="234"/>
      <c r="E30" s="234"/>
      <c r="F30" s="234"/>
      <c r="G30" s="78">
        <f>E20</f>
        <v>2955.82</v>
      </c>
    </row>
    <row r="31" spans="1:7" ht="15" customHeight="1" x14ac:dyDescent="0.25">
      <c r="A31" s="75" t="s">
        <v>59</v>
      </c>
      <c r="B31" s="237" t="s">
        <v>89</v>
      </c>
      <c r="C31" s="237"/>
      <c r="D31" s="237"/>
      <c r="E31" s="237"/>
      <c r="F31" s="237"/>
      <c r="G31" s="79"/>
    </row>
    <row r="32" spans="1:7" x14ac:dyDescent="0.25">
      <c r="A32" s="75" t="s">
        <v>62</v>
      </c>
      <c r="B32" s="234" t="s">
        <v>233</v>
      </c>
      <c r="C32" s="234"/>
      <c r="D32" s="234"/>
      <c r="E32" s="234"/>
      <c r="F32" s="234"/>
      <c r="G32" s="79"/>
    </row>
    <row r="33" spans="1:7" x14ac:dyDescent="0.25">
      <c r="A33" s="75" t="s">
        <v>64</v>
      </c>
      <c r="B33" s="234" t="s">
        <v>173</v>
      </c>
      <c r="C33" s="234"/>
      <c r="D33" s="234"/>
      <c r="E33" s="234"/>
      <c r="F33" s="234"/>
      <c r="G33" s="80">
        <f>G30*0.3</f>
        <v>886.74599999999998</v>
      </c>
    </row>
    <row r="34" spans="1:7" x14ac:dyDescent="0.25">
      <c r="A34" s="235" t="s">
        <v>90</v>
      </c>
      <c r="B34" s="235"/>
      <c r="C34" s="235"/>
      <c r="D34" s="235"/>
      <c r="E34" s="235"/>
      <c r="F34" s="235"/>
      <c r="G34" s="81">
        <f>ROUND(SUM(G30:G33),2)</f>
        <v>3842.57</v>
      </c>
    </row>
    <row r="35" spans="1:7" x14ac:dyDescent="0.25">
      <c r="A35" s="74"/>
      <c r="B35" s="74"/>
      <c r="C35" s="74"/>
      <c r="D35" s="74"/>
      <c r="E35" s="74"/>
      <c r="F35" s="74"/>
      <c r="G35" s="74"/>
    </row>
    <row r="36" spans="1:7" x14ac:dyDescent="0.25">
      <c r="A36" s="229" t="s">
        <v>91</v>
      </c>
      <c r="B36" s="229"/>
      <c r="C36" s="229"/>
      <c r="D36" s="229"/>
      <c r="E36" s="229"/>
      <c r="F36" s="229"/>
      <c r="G36" s="229"/>
    </row>
    <row r="37" spans="1:7" ht="15" customHeight="1" x14ac:dyDescent="0.25">
      <c r="A37" s="238" t="s">
        <v>92</v>
      </c>
      <c r="B37" s="238"/>
      <c r="C37" s="238"/>
      <c r="D37" s="238"/>
      <c r="E37" s="238"/>
      <c r="F37" s="238"/>
      <c r="G37" s="238"/>
    </row>
    <row r="38" spans="1:7" ht="15" customHeight="1" x14ac:dyDescent="0.25">
      <c r="A38" s="104" t="s">
        <v>93</v>
      </c>
      <c r="B38" s="230" t="s">
        <v>94</v>
      </c>
      <c r="C38" s="230"/>
      <c r="D38" s="230"/>
      <c r="E38" s="230"/>
      <c r="F38" s="104" t="s">
        <v>95</v>
      </c>
      <c r="G38" s="104" t="s">
        <v>88</v>
      </c>
    </row>
    <row r="39" spans="1:7" x14ac:dyDescent="0.25">
      <c r="A39" s="75" t="s">
        <v>56</v>
      </c>
      <c r="B39" s="234" t="s">
        <v>240</v>
      </c>
      <c r="C39" s="234"/>
      <c r="D39" s="234"/>
      <c r="E39" s="234"/>
      <c r="F39" s="82">
        <f>1/12</f>
        <v>8.3333333333333329E-2</v>
      </c>
      <c r="G39" s="83">
        <f>ROUND($G$34*F39,2)</f>
        <v>320.20999999999998</v>
      </c>
    </row>
    <row r="40" spans="1:7" x14ac:dyDescent="0.25">
      <c r="A40" s="75" t="s">
        <v>59</v>
      </c>
      <c r="B40" s="243" t="s">
        <v>96</v>
      </c>
      <c r="C40" s="243"/>
      <c r="D40" s="243"/>
      <c r="E40" s="243"/>
      <c r="F40" s="82">
        <v>0.1111</v>
      </c>
      <c r="G40" s="83">
        <f>ROUND($G$34*F40,2)</f>
        <v>426.91</v>
      </c>
    </row>
    <row r="41" spans="1:7" x14ac:dyDescent="0.25">
      <c r="A41" s="235" t="s">
        <v>97</v>
      </c>
      <c r="B41" s="235"/>
      <c r="C41" s="235"/>
      <c r="D41" s="235"/>
      <c r="E41" s="235"/>
      <c r="F41" s="235"/>
      <c r="G41" s="81">
        <f>ROUND(SUM(G39:G40),2)</f>
        <v>747.12</v>
      </c>
    </row>
    <row r="42" spans="1:7" ht="30.75" customHeight="1" x14ac:dyDescent="0.25">
      <c r="A42" s="241" t="s">
        <v>98</v>
      </c>
      <c r="B42" s="241"/>
      <c r="C42" s="241"/>
      <c r="D42" s="241"/>
      <c r="E42" s="241"/>
      <c r="F42" s="241"/>
      <c r="G42" s="241"/>
    </row>
    <row r="43" spans="1:7" ht="30.75" customHeight="1" x14ac:dyDescent="0.25">
      <c r="A43" s="232" t="s">
        <v>99</v>
      </c>
      <c r="B43" s="232"/>
      <c r="C43" s="232"/>
      <c r="D43" s="232"/>
      <c r="E43" s="232"/>
      <c r="F43" s="232"/>
      <c r="G43" s="232"/>
    </row>
    <row r="44" spans="1:7" ht="43.5" customHeight="1" x14ac:dyDescent="0.25">
      <c r="A44" s="232" t="s">
        <v>100</v>
      </c>
      <c r="B44" s="232"/>
      <c r="C44" s="232"/>
      <c r="D44" s="232"/>
      <c r="E44" s="232"/>
      <c r="F44" s="232"/>
      <c r="G44" s="232"/>
    </row>
    <row r="45" spans="1:7" x14ac:dyDescent="0.25">
      <c r="A45" s="74"/>
      <c r="B45" s="74"/>
      <c r="C45" s="74"/>
      <c r="D45" s="74"/>
      <c r="E45" s="74"/>
      <c r="F45" s="74"/>
      <c r="G45" s="74"/>
    </row>
    <row r="46" spans="1:7" x14ac:dyDescent="0.25">
      <c r="A46" s="242" t="s">
        <v>101</v>
      </c>
      <c r="B46" s="242"/>
      <c r="C46" s="242"/>
      <c r="D46" s="242"/>
      <c r="E46" s="242"/>
      <c r="F46" s="242"/>
      <c r="G46" s="84">
        <f>ROUND(G34+G41,2)</f>
        <v>4589.6899999999996</v>
      </c>
    </row>
    <row r="47" spans="1:7" ht="15" customHeight="1" x14ac:dyDescent="0.25">
      <c r="A47" s="238" t="s">
        <v>102</v>
      </c>
      <c r="B47" s="238"/>
      <c r="C47" s="238"/>
      <c r="D47" s="238"/>
      <c r="E47" s="238"/>
      <c r="F47" s="238"/>
      <c r="G47" s="238"/>
    </row>
    <row r="48" spans="1:7" ht="15" customHeight="1" x14ac:dyDescent="0.25">
      <c r="A48" s="104" t="s">
        <v>103</v>
      </c>
      <c r="B48" s="230" t="s">
        <v>104</v>
      </c>
      <c r="C48" s="230"/>
      <c r="D48" s="230"/>
      <c r="E48" s="230"/>
      <c r="F48" s="104" t="s">
        <v>95</v>
      </c>
      <c r="G48" s="104" t="s">
        <v>88</v>
      </c>
    </row>
    <row r="49" spans="1:7" x14ac:dyDescent="0.25">
      <c r="A49" s="75" t="s">
        <v>56</v>
      </c>
      <c r="B49" s="234" t="s">
        <v>241</v>
      </c>
      <c r="C49" s="234"/>
      <c r="D49" s="234"/>
      <c r="E49" s="234"/>
      <c r="F49" s="82">
        <v>0.2</v>
      </c>
      <c r="G49" s="83">
        <f t="shared" ref="G49:G56" si="0">ROUND($G$46*F49,2)</f>
        <v>917.94</v>
      </c>
    </row>
    <row r="50" spans="1:7" x14ac:dyDescent="0.25">
      <c r="A50" s="75" t="s">
        <v>105</v>
      </c>
      <c r="B50" s="234" t="s">
        <v>242</v>
      </c>
      <c r="C50" s="234"/>
      <c r="D50" s="234"/>
      <c r="E50" s="234"/>
      <c r="F50" s="82">
        <v>2.5000000000000001E-2</v>
      </c>
      <c r="G50" s="83">
        <f t="shared" si="0"/>
        <v>114.74</v>
      </c>
    </row>
    <row r="51" spans="1:7" x14ac:dyDescent="0.25">
      <c r="A51" s="75" t="s">
        <v>106</v>
      </c>
      <c r="B51" s="234" t="s">
        <v>243</v>
      </c>
      <c r="C51" s="234"/>
      <c r="D51" s="234"/>
      <c r="E51" s="234"/>
      <c r="F51" s="85">
        <v>0.03</v>
      </c>
      <c r="G51" s="83">
        <f t="shared" si="0"/>
        <v>137.69</v>
      </c>
    </row>
    <row r="52" spans="1:7" x14ac:dyDescent="0.25">
      <c r="A52" s="75" t="s">
        <v>59</v>
      </c>
      <c r="B52" s="234" t="s">
        <v>244</v>
      </c>
      <c r="C52" s="234"/>
      <c r="D52" s="234"/>
      <c r="E52" s="234"/>
      <c r="F52" s="82">
        <v>0.08</v>
      </c>
      <c r="G52" s="83">
        <f t="shared" si="0"/>
        <v>367.18</v>
      </c>
    </row>
    <row r="53" spans="1:7" x14ac:dyDescent="0.25">
      <c r="A53" s="75" t="s">
        <v>62</v>
      </c>
      <c r="B53" s="234" t="s">
        <v>245</v>
      </c>
      <c r="C53" s="234"/>
      <c r="D53" s="234"/>
      <c r="E53" s="234"/>
      <c r="F53" s="82">
        <v>1.4999999999999999E-2</v>
      </c>
      <c r="G53" s="83">
        <f t="shared" si="0"/>
        <v>68.849999999999994</v>
      </c>
    </row>
    <row r="54" spans="1:7" x14ac:dyDescent="0.25">
      <c r="A54" s="75" t="s">
        <v>64</v>
      </c>
      <c r="B54" s="234" t="s">
        <v>246</v>
      </c>
      <c r="C54" s="234"/>
      <c r="D54" s="234"/>
      <c r="E54" s="234"/>
      <c r="F54" s="82">
        <v>0.01</v>
      </c>
      <c r="G54" s="83">
        <f t="shared" si="0"/>
        <v>45.9</v>
      </c>
    </row>
    <row r="55" spans="1:7" x14ac:dyDescent="0.25">
      <c r="A55" s="75" t="s">
        <v>66</v>
      </c>
      <c r="B55" s="234" t="s">
        <v>247</v>
      </c>
      <c r="C55" s="234"/>
      <c r="D55" s="234"/>
      <c r="E55" s="234"/>
      <c r="F55" s="82">
        <v>6.0000000000000001E-3</v>
      </c>
      <c r="G55" s="83">
        <f t="shared" si="0"/>
        <v>27.54</v>
      </c>
    </row>
    <row r="56" spans="1:7" x14ac:dyDescent="0.25">
      <c r="A56" s="75" t="s">
        <v>107</v>
      </c>
      <c r="B56" s="234" t="s">
        <v>248</v>
      </c>
      <c r="C56" s="234"/>
      <c r="D56" s="234"/>
      <c r="E56" s="234"/>
      <c r="F56" s="82">
        <v>2E-3</v>
      </c>
      <c r="G56" s="83">
        <f t="shared" si="0"/>
        <v>9.18</v>
      </c>
    </row>
    <row r="57" spans="1:7" x14ac:dyDescent="0.25">
      <c r="A57" s="235" t="s">
        <v>108</v>
      </c>
      <c r="B57" s="235"/>
      <c r="C57" s="235"/>
      <c r="D57" s="235"/>
      <c r="E57" s="235"/>
      <c r="F57" s="86">
        <f>SUM(F49:F56)</f>
        <v>0.36800000000000005</v>
      </c>
      <c r="G57" s="81">
        <f>ROUND(SUM(G49:G56),2)</f>
        <v>1689.02</v>
      </c>
    </row>
    <row r="58" spans="1:7" ht="30.75" customHeight="1" x14ac:dyDescent="0.25">
      <c r="A58" s="232" t="s">
        <v>109</v>
      </c>
      <c r="B58" s="232"/>
      <c r="C58" s="232"/>
      <c r="D58" s="232"/>
      <c r="E58" s="232"/>
      <c r="F58" s="232"/>
      <c r="G58" s="232"/>
    </row>
    <row r="59" spans="1:7" ht="30.75" customHeight="1" x14ac:dyDescent="0.25">
      <c r="A59" s="232" t="s">
        <v>110</v>
      </c>
      <c r="B59" s="232"/>
      <c r="C59" s="232"/>
      <c r="D59" s="232"/>
      <c r="E59" s="232"/>
      <c r="F59" s="232"/>
      <c r="G59" s="232"/>
    </row>
    <row r="60" spans="1:7" x14ac:dyDescent="0.25">
      <c r="A60" s="239" t="s">
        <v>111</v>
      </c>
      <c r="B60" s="239"/>
      <c r="C60" s="239"/>
      <c r="D60" s="239"/>
      <c r="E60" s="239"/>
      <c r="F60" s="239"/>
      <c r="G60" s="239"/>
    </row>
    <row r="61" spans="1:7" x14ac:dyDescent="0.25">
      <c r="A61" s="74"/>
      <c r="B61" s="74"/>
      <c r="C61" s="74"/>
      <c r="D61" s="74"/>
      <c r="E61" s="74"/>
      <c r="F61" s="74"/>
      <c r="G61" s="74"/>
    </row>
    <row r="62" spans="1:7" ht="15" customHeight="1" x14ac:dyDescent="0.25">
      <c r="A62" s="238" t="s">
        <v>112</v>
      </c>
      <c r="B62" s="238"/>
      <c r="C62" s="238"/>
      <c r="D62" s="238"/>
      <c r="E62" s="238"/>
      <c r="F62" s="238"/>
      <c r="G62" s="238"/>
    </row>
    <row r="63" spans="1:7" ht="15" customHeight="1" x14ac:dyDescent="0.25">
      <c r="A63" s="104" t="s">
        <v>113</v>
      </c>
      <c r="B63" s="230" t="s">
        <v>114</v>
      </c>
      <c r="C63" s="230"/>
      <c r="D63" s="230"/>
      <c r="E63" s="230"/>
      <c r="F63" s="230"/>
      <c r="G63" s="104" t="s">
        <v>88</v>
      </c>
    </row>
    <row r="64" spans="1:7" x14ac:dyDescent="0.25">
      <c r="A64" s="75" t="s">
        <v>56</v>
      </c>
      <c r="B64" s="234" t="s">
        <v>115</v>
      </c>
      <c r="C64" s="234"/>
      <c r="D64" s="234"/>
      <c r="E64" s="87" t="s">
        <v>116</v>
      </c>
      <c r="F64" s="80">
        <v>5.5</v>
      </c>
      <c r="G64" s="88">
        <f>ROUND($E$23,0)*2*F64</f>
        <v>165</v>
      </c>
    </row>
    <row r="65" spans="1:7" x14ac:dyDescent="0.25">
      <c r="A65" s="89" t="s">
        <v>117</v>
      </c>
      <c r="B65" s="240" t="s">
        <v>249</v>
      </c>
      <c r="C65" s="240"/>
      <c r="D65" s="240"/>
      <c r="E65" s="240"/>
      <c r="F65" s="90">
        <v>-0.03</v>
      </c>
      <c r="G65" s="91">
        <f>ROUND($G$30*F65,2)</f>
        <v>-88.67</v>
      </c>
    </row>
    <row r="66" spans="1:7" x14ac:dyDescent="0.25">
      <c r="A66" s="75" t="s">
        <v>59</v>
      </c>
      <c r="B66" s="234" t="s">
        <v>250</v>
      </c>
      <c r="C66" s="234"/>
      <c r="D66" s="234"/>
      <c r="E66" s="87" t="s">
        <v>116</v>
      </c>
      <c r="F66" s="80">
        <v>36</v>
      </c>
      <c r="G66" s="92">
        <f>ROUND($E$23,0)*F66</f>
        <v>540</v>
      </c>
    </row>
    <row r="67" spans="1:7" x14ac:dyDescent="0.25">
      <c r="A67" s="89" t="s">
        <v>118</v>
      </c>
      <c r="B67" s="240" t="s">
        <v>251</v>
      </c>
      <c r="C67" s="240"/>
      <c r="D67" s="240"/>
      <c r="E67" s="240"/>
      <c r="F67" s="79"/>
      <c r="G67" s="91">
        <f>ROUND($E$23,0)*F67</f>
        <v>0</v>
      </c>
    </row>
    <row r="68" spans="1:7" x14ac:dyDescent="0.25">
      <c r="A68" s="75" t="s">
        <v>62</v>
      </c>
      <c r="B68" s="234" t="s">
        <v>234</v>
      </c>
      <c r="C68" s="234"/>
      <c r="D68" s="234"/>
      <c r="E68" s="234"/>
      <c r="F68" s="234"/>
      <c r="G68" s="80">
        <v>0</v>
      </c>
    </row>
    <row r="69" spans="1:7" x14ac:dyDescent="0.25">
      <c r="A69" s="75" t="s">
        <v>64</v>
      </c>
      <c r="B69" s="234" t="s">
        <v>119</v>
      </c>
      <c r="C69" s="234"/>
      <c r="D69" s="234"/>
      <c r="E69" s="234"/>
      <c r="F69" s="234"/>
      <c r="G69" s="80">
        <v>10.63</v>
      </c>
    </row>
    <row r="70" spans="1:7" x14ac:dyDescent="0.25">
      <c r="A70" s="75" t="s">
        <v>66</v>
      </c>
      <c r="B70" s="234" t="s">
        <v>120</v>
      </c>
      <c r="C70" s="234"/>
      <c r="D70" s="234"/>
      <c r="E70" s="234"/>
      <c r="F70" s="234"/>
      <c r="G70" s="80">
        <v>8.8800000000000008</v>
      </c>
    </row>
    <row r="71" spans="1:7" x14ac:dyDescent="0.25">
      <c r="A71" s="75" t="s">
        <v>105</v>
      </c>
      <c r="B71" s="234" t="s">
        <v>121</v>
      </c>
      <c r="C71" s="234"/>
      <c r="D71" s="234"/>
      <c r="E71" s="234"/>
      <c r="F71" s="234"/>
      <c r="G71" s="80">
        <v>153.77000000000001</v>
      </c>
    </row>
    <row r="72" spans="1:7" x14ac:dyDescent="0.25">
      <c r="A72" s="75" t="s">
        <v>107</v>
      </c>
      <c r="B72" s="234" t="s">
        <v>252</v>
      </c>
      <c r="C72" s="234"/>
      <c r="D72" s="234"/>
      <c r="E72" s="234"/>
      <c r="F72" s="234"/>
      <c r="G72" s="80">
        <v>0</v>
      </c>
    </row>
    <row r="73" spans="1:7" x14ac:dyDescent="0.25">
      <c r="A73" s="235" t="s">
        <v>122</v>
      </c>
      <c r="B73" s="235"/>
      <c r="C73" s="235"/>
      <c r="D73" s="235"/>
      <c r="E73" s="235"/>
      <c r="F73" s="235"/>
      <c r="G73" s="81">
        <f>ROUND(SUM(G64:G72),2)</f>
        <v>789.61</v>
      </c>
    </row>
    <row r="74" spans="1:7" x14ac:dyDescent="0.25">
      <c r="A74" s="239" t="s">
        <v>123</v>
      </c>
      <c r="B74" s="239"/>
      <c r="C74" s="239"/>
      <c r="D74" s="239"/>
      <c r="E74" s="239"/>
      <c r="F74" s="239"/>
      <c r="G74" s="239"/>
    </row>
    <row r="75" spans="1:7" ht="32.25" customHeight="1" x14ac:dyDescent="0.25">
      <c r="A75" s="232" t="s">
        <v>124</v>
      </c>
      <c r="B75" s="232"/>
      <c r="C75" s="232"/>
      <c r="D75" s="232"/>
      <c r="E75" s="232"/>
      <c r="F75" s="232"/>
      <c r="G75" s="232"/>
    </row>
    <row r="76" spans="1:7" x14ac:dyDescent="0.25">
      <c r="A76" s="74"/>
      <c r="B76" s="74"/>
      <c r="C76" s="74"/>
      <c r="D76" s="74"/>
      <c r="E76" s="74"/>
      <c r="F76" s="74"/>
      <c r="G76" s="74"/>
    </row>
    <row r="77" spans="1:7" x14ac:dyDescent="0.25">
      <c r="A77" s="229" t="s">
        <v>125</v>
      </c>
      <c r="B77" s="229"/>
      <c r="C77" s="229"/>
      <c r="D77" s="229"/>
      <c r="E77" s="229"/>
      <c r="F77" s="229"/>
      <c r="G77" s="229"/>
    </row>
    <row r="78" spans="1:7" ht="15" customHeight="1" x14ac:dyDescent="0.25">
      <c r="A78" s="104">
        <v>2</v>
      </c>
      <c r="B78" s="230" t="s">
        <v>126</v>
      </c>
      <c r="C78" s="230"/>
      <c r="D78" s="230"/>
      <c r="E78" s="230"/>
      <c r="F78" s="230"/>
      <c r="G78" s="104" t="s">
        <v>88</v>
      </c>
    </row>
    <row r="79" spans="1:7" x14ac:dyDescent="0.25">
      <c r="A79" s="93" t="s">
        <v>93</v>
      </c>
      <c r="B79" s="236" t="s">
        <v>94</v>
      </c>
      <c r="C79" s="236"/>
      <c r="D79" s="236"/>
      <c r="E79" s="236"/>
      <c r="F79" s="236"/>
      <c r="G79" s="94">
        <f>$G$41</f>
        <v>747.12</v>
      </c>
    </row>
    <row r="80" spans="1:7" x14ac:dyDescent="0.25">
      <c r="A80" s="93" t="s">
        <v>103</v>
      </c>
      <c r="B80" s="236" t="s">
        <v>104</v>
      </c>
      <c r="C80" s="236"/>
      <c r="D80" s="236"/>
      <c r="E80" s="236"/>
      <c r="F80" s="236"/>
      <c r="G80" s="94">
        <f>$G$57</f>
        <v>1689.02</v>
      </c>
    </row>
    <row r="81" spans="1:7" x14ac:dyDescent="0.25">
      <c r="A81" s="93" t="s">
        <v>113</v>
      </c>
      <c r="B81" s="236" t="s">
        <v>114</v>
      </c>
      <c r="C81" s="236"/>
      <c r="D81" s="236"/>
      <c r="E81" s="236"/>
      <c r="F81" s="236"/>
      <c r="G81" s="94">
        <f>$G$73</f>
        <v>789.61</v>
      </c>
    </row>
    <row r="82" spans="1:7" x14ac:dyDescent="0.25">
      <c r="A82" s="235" t="s">
        <v>127</v>
      </c>
      <c r="B82" s="235"/>
      <c r="C82" s="235"/>
      <c r="D82" s="235"/>
      <c r="E82" s="235"/>
      <c r="F82" s="235"/>
      <c r="G82" s="81">
        <f>ROUND(SUM(G79:G81),2)</f>
        <v>3225.75</v>
      </c>
    </row>
    <row r="83" spans="1:7" x14ac:dyDescent="0.25">
      <c r="A83" s="74"/>
      <c r="B83" s="74"/>
      <c r="C83" s="74"/>
      <c r="D83" s="74"/>
      <c r="E83" s="74"/>
      <c r="F83" s="74"/>
      <c r="G83" s="74"/>
    </row>
    <row r="84" spans="1:7" x14ac:dyDescent="0.25">
      <c r="A84" s="229" t="s">
        <v>128</v>
      </c>
      <c r="B84" s="229"/>
      <c r="C84" s="229"/>
      <c r="D84" s="229"/>
      <c r="E84" s="229"/>
      <c r="F84" s="229"/>
      <c r="G84" s="229"/>
    </row>
    <row r="85" spans="1:7" ht="15" customHeight="1" x14ac:dyDescent="0.25">
      <c r="A85" s="104">
        <v>3</v>
      </c>
      <c r="B85" s="230" t="s">
        <v>129</v>
      </c>
      <c r="C85" s="230"/>
      <c r="D85" s="230"/>
      <c r="E85" s="230"/>
      <c r="F85" s="104" t="s">
        <v>95</v>
      </c>
      <c r="G85" s="104" t="s">
        <v>88</v>
      </c>
    </row>
    <row r="86" spans="1:7" x14ac:dyDescent="0.25">
      <c r="A86" s="75" t="s">
        <v>56</v>
      </c>
      <c r="B86" s="234" t="s">
        <v>253</v>
      </c>
      <c r="C86" s="234"/>
      <c r="D86" s="234"/>
      <c r="E86" s="234"/>
      <c r="F86" s="82">
        <f>(1/12)*5.55%</f>
        <v>4.6249999999999998E-3</v>
      </c>
      <c r="G86" s="83">
        <f>ROUND($G$34*F86,2)</f>
        <v>17.77</v>
      </c>
    </row>
    <row r="87" spans="1:7" x14ac:dyDescent="0.25">
      <c r="A87" s="75" t="s">
        <v>59</v>
      </c>
      <c r="B87" s="234" t="s">
        <v>130</v>
      </c>
      <c r="C87" s="234"/>
      <c r="D87" s="234"/>
      <c r="E87" s="234"/>
      <c r="F87" s="95">
        <f>$F$52</f>
        <v>0.08</v>
      </c>
      <c r="G87" s="83">
        <f>G86*F87</f>
        <v>1.4216</v>
      </c>
    </row>
    <row r="88" spans="1:7" x14ac:dyDescent="0.25">
      <c r="A88" s="75" t="s">
        <v>62</v>
      </c>
      <c r="B88" s="234" t="s">
        <v>235</v>
      </c>
      <c r="C88" s="234"/>
      <c r="D88" s="234"/>
      <c r="E88" s="234"/>
      <c r="F88" s="82">
        <f>(7/30)/12</f>
        <v>1.9444444444444445E-2</v>
      </c>
      <c r="G88" s="83">
        <f>ROUND($G$34*F88,2)</f>
        <v>74.72</v>
      </c>
    </row>
    <row r="89" spans="1:7" x14ac:dyDescent="0.25">
      <c r="A89" s="75" t="s">
        <v>64</v>
      </c>
      <c r="B89" s="234" t="s">
        <v>131</v>
      </c>
      <c r="C89" s="234"/>
      <c r="D89" s="234"/>
      <c r="E89" s="234"/>
      <c r="F89" s="95">
        <f>$F$57</f>
        <v>0.36800000000000005</v>
      </c>
      <c r="G89" s="83">
        <f>G88*F89</f>
        <v>27.496960000000005</v>
      </c>
    </row>
    <row r="90" spans="1:7" x14ac:dyDescent="0.25">
      <c r="A90" s="75" t="s">
        <v>66</v>
      </c>
      <c r="B90" s="234" t="s">
        <v>236</v>
      </c>
      <c r="C90" s="234"/>
      <c r="D90" s="234"/>
      <c r="E90" s="234"/>
      <c r="F90" s="85">
        <v>0.04</v>
      </c>
      <c r="G90" s="83">
        <f>ROUND($G$34*F90,2)</f>
        <v>153.69999999999999</v>
      </c>
    </row>
    <row r="91" spans="1:7" x14ac:dyDescent="0.25">
      <c r="A91" s="235" t="s">
        <v>132</v>
      </c>
      <c r="B91" s="235"/>
      <c r="C91" s="235"/>
      <c r="D91" s="235"/>
      <c r="E91" s="235"/>
      <c r="F91" s="235"/>
      <c r="G91" s="81">
        <f>ROUND(SUM(G86:G90),2)</f>
        <v>275.11</v>
      </c>
    </row>
    <row r="92" spans="1:7" x14ac:dyDescent="0.25">
      <c r="A92" s="74"/>
      <c r="B92" s="74"/>
      <c r="C92" s="74"/>
      <c r="D92" s="74"/>
      <c r="E92" s="74"/>
      <c r="F92" s="74"/>
      <c r="G92" s="74"/>
    </row>
    <row r="93" spans="1:7" x14ac:dyDescent="0.25">
      <c r="A93" s="229" t="s">
        <v>133</v>
      </c>
      <c r="B93" s="229"/>
      <c r="C93" s="229"/>
      <c r="D93" s="229"/>
      <c r="E93" s="229"/>
      <c r="F93" s="229"/>
      <c r="G93" s="229"/>
    </row>
    <row r="94" spans="1:7" ht="15" customHeight="1" x14ac:dyDescent="0.25">
      <c r="A94" s="238" t="s">
        <v>134</v>
      </c>
      <c r="B94" s="238"/>
      <c r="C94" s="238"/>
      <c r="D94" s="238"/>
      <c r="E94" s="238"/>
      <c r="F94" s="238"/>
      <c r="G94" s="238"/>
    </row>
    <row r="95" spans="1:7" ht="15" customHeight="1" x14ac:dyDescent="0.25">
      <c r="A95" s="104" t="s">
        <v>135</v>
      </c>
      <c r="B95" s="230" t="s">
        <v>136</v>
      </c>
      <c r="C95" s="230"/>
      <c r="D95" s="230"/>
      <c r="E95" s="230"/>
      <c r="F95" s="104" t="s">
        <v>95</v>
      </c>
      <c r="G95" s="104" t="s">
        <v>88</v>
      </c>
    </row>
    <row r="96" spans="1:7" x14ac:dyDescent="0.25">
      <c r="A96" s="75" t="s">
        <v>56</v>
      </c>
      <c r="B96" s="234" t="s">
        <v>137</v>
      </c>
      <c r="C96" s="234"/>
      <c r="D96" s="234"/>
      <c r="E96" s="234"/>
      <c r="F96" s="82">
        <v>9.2999999999999992E-3</v>
      </c>
      <c r="G96" s="83">
        <f>ROUND($G$34*F96,2)</f>
        <v>35.74</v>
      </c>
    </row>
    <row r="97" spans="1:7" ht="15" customHeight="1" x14ac:dyDescent="0.25">
      <c r="A97" s="75" t="s">
        <v>138</v>
      </c>
      <c r="B97" s="237" t="s">
        <v>139</v>
      </c>
      <c r="C97" s="237"/>
      <c r="D97" s="237"/>
      <c r="E97" s="237"/>
      <c r="F97" s="96">
        <f>$F$57</f>
        <v>0.36800000000000005</v>
      </c>
      <c r="G97" s="83">
        <f>ROUND(G96*F97,2)</f>
        <v>13.15</v>
      </c>
    </row>
    <row r="98" spans="1:7" x14ac:dyDescent="0.25">
      <c r="A98" s="75" t="s">
        <v>59</v>
      </c>
      <c r="B98" s="234" t="s">
        <v>237</v>
      </c>
      <c r="C98" s="234"/>
      <c r="D98" s="234"/>
      <c r="E98" s="234"/>
      <c r="F98" s="97">
        <v>7.3000000000000001E-3</v>
      </c>
      <c r="G98" s="83">
        <f>ROUND($G$34*F98,2)</f>
        <v>28.05</v>
      </c>
    </row>
    <row r="99" spans="1:7" x14ac:dyDescent="0.25">
      <c r="A99" s="75" t="s">
        <v>62</v>
      </c>
      <c r="B99" s="234" t="s">
        <v>254</v>
      </c>
      <c r="C99" s="234"/>
      <c r="D99" s="234"/>
      <c r="E99" s="234"/>
      <c r="F99" s="97">
        <v>8.1999999999999998E-4</v>
      </c>
      <c r="G99" s="83">
        <f>ROUND($G$34*F99,2)</f>
        <v>3.15</v>
      </c>
    </row>
    <row r="100" spans="1:7" x14ac:dyDescent="0.25">
      <c r="A100" s="75" t="s">
        <v>64</v>
      </c>
      <c r="B100" s="234" t="s">
        <v>255</v>
      </c>
      <c r="C100" s="234"/>
      <c r="D100" s="234"/>
      <c r="E100" s="234"/>
      <c r="F100" s="97">
        <v>2.7000000000000001E-3</v>
      </c>
      <c r="G100" s="83">
        <f>ROUND($G$34*F100,2)</f>
        <v>10.37</v>
      </c>
    </row>
    <row r="101" spans="1:7" x14ac:dyDescent="0.25">
      <c r="A101" s="75" t="s">
        <v>66</v>
      </c>
      <c r="B101" s="234" t="s">
        <v>256</v>
      </c>
      <c r="C101" s="234"/>
      <c r="D101" s="234"/>
      <c r="E101" s="234"/>
      <c r="F101" s="97">
        <v>5.5000000000000003E-4</v>
      </c>
      <c r="G101" s="83">
        <f>ROUND($G$34*F101,2)</f>
        <v>2.11</v>
      </c>
    </row>
    <row r="102" spans="1:7" ht="15" customHeight="1" x14ac:dyDescent="0.25">
      <c r="A102" s="75" t="s">
        <v>107</v>
      </c>
      <c r="B102" s="237" t="s">
        <v>140</v>
      </c>
      <c r="C102" s="237"/>
      <c r="D102" s="237"/>
      <c r="E102" s="237"/>
      <c r="F102" s="97">
        <v>0</v>
      </c>
      <c r="G102" s="83">
        <f>ROUND($G$34*F102,2)</f>
        <v>0</v>
      </c>
    </row>
    <row r="103" spans="1:7" x14ac:dyDescent="0.25">
      <c r="A103" s="235" t="s">
        <v>141</v>
      </c>
      <c r="B103" s="235"/>
      <c r="C103" s="235"/>
      <c r="D103" s="235"/>
      <c r="E103" s="235"/>
      <c r="F103" s="235"/>
      <c r="G103" s="81">
        <f>ROUND(SUM(G96:G102),2)</f>
        <v>92.57</v>
      </c>
    </row>
    <row r="104" spans="1:7" ht="45" customHeight="1" x14ac:dyDescent="0.25">
      <c r="A104" s="232" t="s">
        <v>142</v>
      </c>
      <c r="B104" s="232"/>
      <c r="C104" s="232"/>
      <c r="D104" s="232"/>
      <c r="E104" s="232"/>
      <c r="F104" s="232"/>
      <c r="G104" s="232"/>
    </row>
    <row r="105" spans="1:7" x14ac:dyDescent="0.25">
      <c r="A105" s="74"/>
      <c r="B105" s="74"/>
      <c r="C105" s="74"/>
      <c r="D105" s="74"/>
      <c r="E105" s="74"/>
      <c r="F105" s="74"/>
      <c r="G105" s="74"/>
    </row>
    <row r="106" spans="1:7" ht="15.75" customHeight="1" x14ac:dyDescent="0.25">
      <c r="A106" s="238" t="s">
        <v>143</v>
      </c>
      <c r="B106" s="238"/>
      <c r="C106" s="238"/>
      <c r="D106" s="238"/>
      <c r="E106" s="238"/>
      <c r="F106" s="238"/>
      <c r="G106" s="238"/>
    </row>
    <row r="107" spans="1:7" ht="15" customHeight="1" x14ac:dyDescent="0.25">
      <c r="A107" s="104" t="s">
        <v>144</v>
      </c>
      <c r="B107" s="230" t="s">
        <v>145</v>
      </c>
      <c r="C107" s="230"/>
      <c r="D107" s="230"/>
      <c r="E107" s="230"/>
      <c r="F107" s="104" t="s">
        <v>146</v>
      </c>
      <c r="G107" s="104" t="s">
        <v>88</v>
      </c>
    </row>
    <row r="108" spans="1:7" x14ac:dyDescent="0.25">
      <c r="A108" s="75" t="s">
        <v>56</v>
      </c>
      <c r="B108" s="234" t="s">
        <v>147</v>
      </c>
      <c r="C108" s="234"/>
      <c r="D108" s="234"/>
      <c r="E108" s="234"/>
      <c r="F108" s="98">
        <v>0</v>
      </c>
      <c r="G108" s="83">
        <f>ROUND(F108*$E$23,2)</f>
        <v>0</v>
      </c>
    </row>
    <row r="109" spans="1:7" x14ac:dyDescent="0.25">
      <c r="A109" s="235" t="s">
        <v>148</v>
      </c>
      <c r="B109" s="235"/>
      <c r="C109" s="235"/>
      <c r="D109" s="235"/>
      <c r="E109" s="235"/>
      <c r="F109" s="235"/>
      <c r="G109" s="81">
        <f>ROUND(SUM(G108),2)</f>
        <v>0</v>
      </c>
    </row>
    <row r="110" spans="1:7" ht="29.25" customHeight="1" x14ac:dyDescent="0.25">
      <c r="A110" s="232" t="s">
        <v>149</v>
      </c>
      <c r="B110" s="232"/>
      <c r="C110" s="232"/>
      <c r="D110" s="232"/>
      <c r="E110" s="232"/>
      <c r="F110" s="232"/>
      <c r="G110" s="232"/>
    </row>
    <row r="111" spans="1:7" x14ac:dyDescent="0.25">
      <c r="A111" s="74"/>
      <c r="B111" s="74"/>
      <c r="C111" s="74"/>
      <c r="D111" s="74"/>
      <c r="E111" s="74"/>
      <c r="F111" s="74"/>
      <c r="G111" s="74"/>
    </row>
    <row r="112" spans="1:7" x14ac:dyDescent="0.25">
      <c r="A112" s="229" t="s">
        <v>150</v>
      </c>
      <c r="B112" s="229"/>
      <c r="C112" s="229"/>
      <c r="D112" s="229"/>
      <c r="E112" s="229"/>
      <c r="F112" s="229"/>
      <c r="G112" s="229"/>
    </row>
    <row r="113" spans="1:7" ht="15" customHeight="1" x14ac:dyDescent="0.25">
      <c r="A113" s="104">
        <v>4</v>
      </c>
      <c r="B113" s="230" t="s">
        <v>126</v>
      </c>
      <c r="C113" s="230"/>
      <c r="D113" s="230"/>
      <c r="E113" s="230"/>
      <c r="F113" s="104" t="s">
        <v>95</v>
      </c>
      <c r="G113" s="104" t="s">
        <v>88</v>
      </c>
    </row>
    <row r="114" spans="1:7" x14ac:dyDescent="0.25">
      <c r="A114" s="93" t="s">
        <v>135</v>
      </c>
      <c r="B114" s="236" t="s">
        <v>151</v>
      </c>
      <c r="C114" s="236"/>
      <c r="D114" s="236"/>
      <c r="E114" s="236"/>
      <c r="F114" s="99" t="s">
        <v>138</v>
      </c>
      <c r="G114" s="94">
        <f>$G$103</f>
        <v>92.57</v>
      </c>
    </row>
    <row r="115" spans="1:7" x14ac:dyDescent="0.25">
      <c r="A115" s="93" t="s">
        <v>144</v>
      </c>
      <c r="B115" s="236" t="s">
        <v>152</v>
      </c>
      <c r="C115" s="236"/>
      <c r="D115" s="236"/>
      <c r="E115" s="236"/>
      <c r="F115" s="99" t="s">
        <v>138</v>
      </c>
      <c r="G115" s="94">
        <f>$G$109</f>
        <v>0</v>
      </c>
    </row>
    <row r="116" spans="1:7" x14ac:dyDescent="0.25">
      <c r="A116" s="235" t="s">
        <v>153</v>
      </c>
      <c r="B116" s="235"/>
      <c r="C116" s="235"/>
      <c r="D116" s="235"/>
      <c r="E116" s="235"/>
      <c r="F116" s="235"/>
      <c r="G116" s="81">
        <f>ROUND(SUM(G114:G115),2)</f>
        <v>92.57</v>
      </c>
    </row>
    <row r="117" spans="1:7" x14ac:dyDescent="0.25">
      <c r="A117" s="74"/>
      <c r="B117" s="74"/>
      <c r="C117" s="74"/>
      <c r="D117" s="74"/>
      <c r="E117" s="74"/>
      <c r="F117" s="74"/>
      <c r="G117" s="74"/>
    </row>
    <row r="118" spans="1:7" x14ac:dyDescent="0.25">
      <c r="A118" s="229" t="s">
        <v>154</v>
      </c>
      <c r="B118" s="229"/>
      <c r="C118" s="229"/>
      <c r="D118" s="229"/>
      <c r="E118" s="229"/>
      <c r="F118" s="229"/>
      <c r="G118" s="229"/>
    </row>
    <row r="119" spans="1:7" ht="15" customHeight="1" x14ac:dyDescent="0.25">
      <c r="A119" s="104">
        <v>5</v>
      </c>
      <c r="B119" s="230" t="s">
        <v>155</v>
      </c>
      <c r="C119" s="230"/>
      <c r="D119" s="230"/>
      <c r="E119" s="230"/>
      <c r="F119" s="230"/>
      <c r="G119" s="104" t="s">
        <v>88</v>
      </c>
    </row>
    <row r="120" spans="1:7" x14ac:dyDescent="0.25">
      <c r="A120" s="75" t="s">
        <v>56</v>
      </c>
      <c r="B120" s="234" t="s">
        <v>259</v>
      </c>
      <c r="C120" s="234"/>
      <c r="D120" s="234"/>
      <c r="E120" s="234"/>
      <c r="F120" s="234"/>
      <c r="G120" s="108">
        <v>96.21</v>
      </c>
    </row>
    <row r="121" spans="1:7" x14ac:dyDescent="0.25">
      <c r="A121" s="75" t="s">
        <v>59</v>
      </c>
      <c r="B121" s="234" t="s">
        <v>258</v>
      </c>
      <c r="C121" s="234"/>
      <c r="D121" s="234"/>
      <c r="E121" s="234"/>
      <c r="F121" s="234"/>
      <c r="G121" s="80">
        <f>[2]Insumos!G9</f>
        <v>0</v>
      </c>
    </row>
    <row r="122" spans="1:7" x14ac:dyDescent="0.25">
      <c r="A122" s="75" t="s">
        <v>66</v>
      </c>
      <c r="B122" s="234" t="s">
        <v>238</v>
      </c>
      <c r="C122" s="234"/>
      <c r="D122" s="234"/>
      <c r="E122" s="234"/>
      <c r="F122" s="234"/>
      <c r="G122" s="80">
        <v>0</v>
      </c>
    </row>
    <row r="123" spans="1:7" x14ac:dyDescent="0.25">
      <c r="A123" s="235" t="s">
        <v>156</v>
      </c>
      <c r="B123" s="235"/>
      <c r="C123" s="235"/>
      <c r="D123" s="235"/>
      <c r="E123" s="235"/>
      <c r="F123" s="235"/>
      <c r="G123" s="81">
        <f>ROUND(SUM(G120:G122),2)</f>
        <v>96.21</v>
      </c>
    </row>
    <row r="124" spans="1:7" ht="15" customHeight="1" x14ac:dyDescent="0.25">
      <c r="A124" s="232" t="s">
        <v>157</v>
      </c>
      <c r="B124" s="232"/>
      <c r="C124" s="232"/>
      <c r="D124" s="232"/>
      <c r="E124" s="232"/>
      <c r="F124" s="232"/>
      <c r="G124" s="232"/>
    </row>
    <row r="125" spans="1:7" x14ac:dyDescent="0.25">
      <c r="A125" s="74"/>
      <c r="B125" s="74"/>
      <c r="C125" s="74"/>
      <c r="D125" s="74"/>
      <c r="E125" s="74"/>
      <c r="F125" s="74"/>
      <c r="G125" s="74"/>
    </row>
    <row r="126" spans="1:7" x14ac:dyDescent="0.25">
      <c r="A126" s="229" t="s">
        <v>158</v>
      </c>
      <c r="B126" s="229"/>
      <c r="C126" s="229"/>
      <c r="D126" s="229"/>
      <c r="E126" s="229"/>
      <c r="F126" s="229"/>
      <c r="G126" s="229"/>
    </row>
    <row r="127" spans="1:7" ht="15" customHeight="1" x14ac:dyDescent="0.25">
      <c r="A127" s="104"/>
      <c r="B127" s="230" t="s">
        <v>159</v>
      </c>
      <c r="C127" s="230"/>
      <c r="D127" s="230"/>
      <c r="E127" s="230"/>
      <c r="F127" s="230"/>
      <c r="G127" s="104" t="s">
        <v>88</v>
      </c>
    </row>
    <row r="128" spans="1:7" x14ac:dyDescent="0.25">
      <c r="A128" s="100" t="s">
        <v>56</v>
      </c>
      <c r="B128" s="231" t="s">
        <v>160</v>
      </c>
      <c r="C128" s="231"/>
      <c r="D128" s="231"/>
      <c r="E128" s="231"/>
      <c r="F128" s="231"/>
      <c r="G128" s="101">
        <f>$G$34</f>
        <v>3842.57</v>
      </c>
    </row>
    <row r="129" spans="1:7" x14ac:dyDescent="0.25">
      <c r="A129" s="100" t="s">
        <v>59</v>
      </c>
      <c r="B129" s="231" t="s">
        <v>161</v>
      </c>
      <c r="C129" s="231"/>
      <c r="D129" s="231"/>
      <c r="E129" s="231"/>
      <c r="F129" s="231"/>
      <c r="G129" s="101">
        <f>$G$82</f>
        <v>3225.75</v>
      </c>
    </row>
    <row r="130" spans="1:7" x14ac:dyDescent="0.25">
      <c r="A130" s="100" t="s">
        <v>62</v>
      </c>
      <c r="B130" s="231" t="s">
        <v>162</v>
      </c>
      <c r="C130" s="231"/>
      <c r="D130" s="231"/>
      <c r="E130" s="231"/>
      <c r="F130" s="231"/>
      <c r="G130" s="101">
        <f>$G$91</f>
        <v>275.11</v>
      </c>
    </row>
    <row r="131" spans="1:7" x14ac:dyDescent="0.25">
      <c r="A131" s="100" t="s">
        <v>64</v>
      </c>
      <c r="B131" s="231" t="s">
        <v>163</v>
      </c>
      <c r="C131" s="231"/>
      <c r="D131" s="231"/>
      <c r="E131" s="231"/>
      <c r="F131" s="231"/>
      <c r="G131" s="101">
        <f>$G$116</f>
        <v>92.57</v>
      </c>
    </row>
    <row r="132" spans="1:7" x14ac:dyDescent="0.25">
      <c r="A132" s="100" t="s">
        <v>66</v>
      </c>
      <c r="B132" s="231" t="s">
        <v>164</v>
      </c>
      <c r="C132" s="231"/>
      <c r="D132" s="231"/>
      <c r="E132" s="231"/>
      <c r="F132" s="231"/>
      <c r="G132" s="101">
        <f>$G$123</f>
        <v>96.21</v>
      </c>
    </row>
    <row r="133" spans="1:7" x14ac:dyDescent="0.25">
      <c r="A133" s="233" t="s">
        <v>165</v>
      </c>
      <c r="B133" s="233"/>
      <c r="C133" s="233"/>
      <c r="D133" s="233"/>
      <c r="E133" s="233"/>
      <c r="F133" s="233"/>
      <c r="G133" s="94">
        <f>ROUND(SUM(G128:G132),2)</f>
        <v>7532.21</v>
      </c>
    </row>
    <row r="134" spans="1:7" x14ac:dyDescent="0.25">
      <c r="A134" s="74"/>
      <c r="B134" s="74"/>
      <c r="C134" s="74"/>
      <c r="D134" s="74"/>
      <c r="E134" s="74"/>
      <c r="F134" s="74"/>
      <c r="G134" s="74"/>
    </row>
    <row r="135" spans="1:7" x14ac:dyDescent="0.25">
      <c r="A135" s="229" t="s">
        <v>166</v>
      </c>
      <c r="B135" s="229"/>
      <c r="C135" s="229"/>
      <c r="D135" s="229"/>
      <c r="E135" s="229"/>
      <c r="F135" s="229"/>
      <c r="G135" s="229"/>
    </row>
    <row r="136" spans="1:7" ht="15" customHeight="1" x14ac:dyDescent="0.25">
      <c r="A136" s="104"/>
      <c r="B136" s="230" t="s">
        <v>167</v>
      </c>
      <c r="C136" s="230"/>
      <c r="D136" s="230"/>
      <c r="E136" s="230"/>
      <c r="F136" s="230"/>
      <c r="G136" s="104" t="s">
        <v>88</v>
      </c>
    </row>
    <row r="137" spans="1:7" x14ac:dyDescent="0.25">
      <c r="A137" s="100" t="s">
        <v>56</v>
      </c>
      <c r="B137" s="231" t="s">
        <v>168</v>
      </c>
      <c r="C137" s="231"/>
      <c r="D137" s="231"/>
      <c r="E137" s="231"/>
      <c r="F137" s="231"/>
      <c r="G137" s="81">
        <f>G133</f>
        <v>7532.21</v>
      </c>
    </row>
    <row r="138" spans="1:7" x14ac:dyDescent="0.25">
      <c r="A138" s="100" t="s">
        <v>59</v>
      </c>
      <c r="B138" s="231" t="s">
        <v>169</v>
      </c>
      <c r="C138" s="231"/>
      <c r="D138" s="231"/>
      <c r="E138" s="231"/>
      <c r="F138" s="231"/>
      <c r="G138" s="81">
        <f>ROUND($G$137/$E$23,2)</f>
        <v>495.21</v>
      </c>
    </row>
    <row r="139" spans="1:7" x14ac:dyDescent="0.25">
      <c r="A139" s="100" t="s">
        <v>59</v>
      </c>
      <c r="B139" s="231" t="s">
        <v>170</v>
      </c>
      <c r="C139" s="231"/>
      <c r="D139" s="231"/>
      <c r="E139" s="231"/>
      <c r="F139" s="231"/>
      <c r="G139" s="81">
        <f>G137/220</f>
        <v>34.237318181818182</v>
      </c>
    </row>
    <row r="140" spans="1:7" ht="15" customHeight="1" x14ac:dyDescent="0.25">
      <c r="A140" s="232" t="s">
        <v>171</v>
      </c>
      <c r="B140" s="232"/>
      <c r="C140" s="232"/>
      <c r="D140" s="232"/>
      <c r="E140" s="232"/>
      <c r="F140" s="232"/>
      <c r="G140" s="232"/>
    </row>
    <row r="141" spans="1:7" x14ac:dyDescent="0.25">
      <c r="A141" s="74"/>
      <c r="B141" s="74"/>
      <c r="C141" s="74"/>
      <c r="D141" s="74"/>
      <c r="E141" s="74"/>
      <c r="F141" s="74"/>
      <c r="G141" s="74"/>
    </row>
    <row r="142" spans="1:7" x14ac:dyDescent="0.25">
      <c r="A142" s="74"/>
      <c r="B142" s="74"/>
      <c r="C142" s="74"/>
      <c r="D142" s="74"/>
      <c r="E142" s="74"/>
      <c r="F142" s="74"/>
      <c r="G142" s="74"/>
    </row>
    <row r="143" spans="1:7" x14ac:dyDescent="0.25">
      <c r="A143" s="102"/>
      <c r="B143" s="102"/>
      <c r="C143" s="103"/>
      <c r="D143" s="103"/>
      <c r="E143" s="103"/>
      <c r="F143" s="102"/>
      <c r="G143" s="102"/>
    </row>
    <row r="144" spans="1:7" x14ac:dyDescent="0.25">
      <c r="A144" s="102"/>
      <c r="B144" s="102"/>
      <c r="C144" s="228"/>
      <c r="D144" s="228"/>
      <c r="E144" s="228"/>
      <c r="F144" s="102"/>
      <c r="G144" s="102"/>
    </row>
    <row r="145" spans="1:7" x14ac:dyDescent="0.25">
      <c r="A145" s="102"/>
      <c r="B145" s="102"/>
      <c r="C145" s="228"/>
      <c r="D145" s="228"/>
      <c r="E145" s="228"/>
      <c r="F145" s="102"/>
      <c r="G145" s="102"/>
    </row>
    <row r="146" spans="1:7" hidden="1" x14ac:dyDescent="0.25">
      <c r="A146" s="74"/>
      <c r="B146" s="74"/>
      <c r="C146" s="74"/>
      <c r="D146" s="74"/>
      <c r="E146" s="74"/>
      <c r="F146" s="74"/>
      <c r="G146" s="74"/>
    </row>
    <row r="147" spans="1:7" hidden="1" x14ac:dyDescent="0.25">
      <c r="A147" s="74"/>
      <c r="B147" s="74"/>
      <c r="C147" s="74"/>
      <c r="D147" s="74"/>
      <c r="E147" s="74"/>
      <c r="F147" s="74"/>
      <c r="G147" s="74"/>
    </row>
    <row r="148" spans="1:7" hidden="1" x14ac:dyDescent="0.25">
      <c r="A148" s="74"/>
      <c r="B148" s="74"/>
      <c r="C148" s="74"/>
      <c r="D148" s="74"/>
      <c r="E148" s="74"/>
      <c r="F148" s="74"/>
      <c r="G148" s="74"/>
    </row>
    <row r="149" spans="1:7" hidden="1" x14ac:dyDescent="0.25">
      <c r="A149" s="74"/>
      <c r="B149" s="74"/>
      <c r="C149" s="74"/>
      <c r="D149" s="74"/>
      <c r="E149" s="74"/>
      <c r="F149" s="74"/>
      <c r="G149" s="74"/>
    </row>
    <row r="150" spans="1:7" hidden="1" x14ac:dyDescent="0.25">
      <c r="A150" s="74"/>
      <c r="B150" s="74"/>
      <c r="C150" s="74"/>
      <c r="D150" s="74"/>
      <c r="E150" s="74"/>
      <c r="F150" s="74"/>
      <c r="G150" s="74"/>
    </row>
    <row r="151" spans="1:7" ht="15" customHeight="1" x14ac:dyDescent="0.25"/>
    <row r="152" spans="1:7" x14ac:dyDescent="0.25"/>
    <row r="153" spans="1:7" x14ac:dyDescent="0.25"/>
    <row r="154" spans="1:7" x14ac:dyDescent="0.25"/>
    <row r="155" spans="1:7" x14ac:dyDescent="0.25"/>
    <row r="156" spans="1:7" x14ac:dyDescent="0.25"/>
    <row r="157" spans="1:7" x14ac:dyDescent="0.25"/>
    <row r="158" spans="1:7" x14ac:dyDescent="0.25"/>
    <row r="159" spans="1:7" x14ac:dyDescent="0.25"/>
    <row r="160" spans="1: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sheetData>
  <sheetProtection formatCells="0" formatColumns="0" formatRows="0" insertRows="0"/>
  <mergeCells count="141">
    <mergeCell ref="A1:G1"/>
    <mergeCell ref="A3:G3"/>
    <mergeCell ref="B4:E4"/>
    <mergeCell ref="F4:G4"/>
    <mergeCell ref="B5:E5"/>
    <mergeCell ref="F5:G5"/>
    <mergeCell ref="A10:G10"/>
    <mergeCell ref="A11:D11"/>
    <mergeCell ref="F11:G11"/>
    <mergeCell ref="A12:D12"/>
    <mergeCell ref="F12:G12"/>
    <mergeCell ref="A13:G13"/>
    <mergeCell ref="B6:E6"/>
    <mergeCell ref="F6:G6"/>
    <mergeCell ref="B7:E7"/>
    <mergeCell ref="F7:G7"/>
    <mergeCell ref="B8:E8"/>
    <mergeCell ref="F8:G8"/>
    <mergeCell ref="B20:D20"/>
    <mergeCell ref="E20:G20"/>
    <mergeCell ref="B21:D21"/>
    <mergeCell ref="E21:G21"/>
    <mergeCell ref="B22:D22"/>
    <mergeCell ref="E22:G22"/>
    <mergeCell ref="A14:G14"/>
    <mergeCell ref="A16:G16"/>
    <mergeCell ref="A17:G17"/>
    <mergeCell ref="B18:D18"/>
    <mergeCell ref="E18:G18"/>
    <mergeCell ref="B19:D19"/>
    <mergeCell ref="E19:G19"/>
    <mergeCell ref="A28:G28"/>
    <mergeCell ref="B29:F29"/>
    <mergeCell ref="B30:F30"/>
    <mergeCell ref="B31:F31"/>
    <mergeCell ref="B32:F32"/>
    <mergeCell ref="B33:F33"/>
    <mergeCell ref="B23:D23"/>
    <mergeCell ref="E23:G23"/>
    <mergeCell ref="B24:D24"/>
    <mergeCell ref="E24:G24"/>
    <mergeCell ref="A25:G25"/>
    <mergeCell ref="A26:G26"/>
    <mergeCell ref="A41:F41"/>
    <mergeCell ref="A42:G42"/>
    <mergeCell ref="A43:G43"/>
    <mergeCell ref="A44:G44"/>
    <mergeCell ref="A46:F46"/>
    <mergeCell ref="A47:G47"/>
    <mergeCell ref="A34:F34"/>
    <mergeCell ref="A36:G36"/>
    <mergeCell ref="A37:G37"/>
    <mergeCell ref="B38:E38"/>
    <mergeCell ref="B39:E39"/>
    <mergeCell ref="B40:E40"/>
    <mergeCell ref="B54:E54"/>
    <mergeCell ref="B55:E55"/>
    <mergeCell ref="B56:E56"/>
    <mergeCell ref="A57:E57"/>
    <mergeCell ref="A58:G58"/>
    <mergeCell ref="A59:G59"/>
    <mergeCell ref="B48:E48"/>
    <mergeCell ref="B49:E49"/>
    <mergeCell ref="B50:E50"/>
    <mergeCell ref="B51:E51"/>
    <mergeCell ref="B52:E52"/>
    <mergeCell ref="B53:E53"/>
    <mergeCell ref="B67:E67"/>
    <mergeCell ref="B68:F68"/>
    <mergeCell ref="B69:F69"/>
    <mergeCell ref="B70:F70"/>
    <mergeCell ref="B71:F71"/>
    <mergeCell ref="B72:F72"/>
    <mergeCell ref="A60:G60"/>
    <mergeCell ref="A62:G62"/>
    <mergeCell ref="B63:F63"/>
    <mergeCell ref="B64:D64"/>
    <mergeCell ref="B65:E65"/>
    <mergeCell ref="B66:D66"/>
    <mergeCell ref="B80:F80"/>
    <mergeCell ref="B81:F81"/>
    <mergeCell ref="A82:F82"/>
    <mergeCell ref="A84:G84"/>
    <mergeCell ref="B85:E85"/>
    <mergeCell ref="B86:E86"/>
    <mergeCell ref="A73:F73"/>
    <mergeCell ref="A74:G74"/>
    <mergeCell ref="A75:G75"/>
    <mergeCell ref="A77:G77"/>
    <mergeCell ref="B78:F78"/>
    <mergeCell ref="B79:F79"/>
    <mergeCell ref="A94:G94"/>
    <mergeCell ref="B95:E95"/>
    <mergeCell ref="B96:E96"/>
    <mergeCell ref="B97:E97"/>
    <mergeCell ref="B98:E98"/>
    <mergeCell ref="B99:E99"/>
    <mergeCell ref="B87:E87"/>
    <mergeCell ref="B88:E88"/>
    <mergeCell ref="B89:E89"/>
    <mergeCell ref="B90:E90"/>
    <mergeCell ref="A91:F91"/>
    <mergeCell ref="A93:G93"/>
    <mergeCell ref="B107:E107"/>
    <mergeCell ref="B108:E108"/>
    <mergeCell ref="A109:F109"/>
    <mergeCell ref="A110:G110"/>
    <mergeCell ref="A112:G112"/>
    <mergeCell ref="B113:E113"/>
    <mergeCell ref="B100:E100"/>
    <mergeCell ref="B101:E101"/>
    <mergeCell ref="B102:E102"/>
    <mergeCell ref="A103:F103"/>
    <mergeCell ref="A104:G104"/>
    <mergeCell ref="A106:G106"/>
    <mergeCell ref="B121:F121"/>
    <mergeCell ref="B122:F122"/>
    <mergeCell ref="A123:F123"/>
    <mergeCell ref="A124:G124"/>
    <mergeCell ref="A126:G126"/>
    <mergeCell ref="B127:F127"/>
    <mergeCell ref="B114:E114"/>
    <mergeCell ref="B115:E115"/>
    <mergeCell ref="A116:F116"/>
    <mergeCell ref="A118:G118"/>
    <mergeCell ref="B119:F119"/>
    <mergeCell ref="B120:F120"/>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s>
  <pageMargins left="0.25" right="0.25" top="0.75" bottom="0.75" header="0.51180555555555496" footer="0.51180555555555496"/>
  <pageSetup paperSize="9" firstPageNumber="0" fitToHeight="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BFE9C8E33ACAA4D9CC8A6A87D9D8638" ma:contentTypeVersion="8" ma:contentTypeDescription="Crie um novo documento." ma:contentTypeScope="" ma:versionID="282d3cb0475ca4c263fd62bc5191cf5e">
  <xsd:schema xmlns:xsd="http://www.w3.org/2001/XMLSchema" xmlns:xs="http://www.w3.org/2001/XMLSchema" xmlns:p="http://schemas.microsoft.com/office/2006/metadata/properties" xmlns:ns2="a3029f64-c1f2-401d-83f1-a22ea9f41a66" xmlns:ns3="82a29f81-6133-41c6-a9d8-ec2b97628b98" targetNamespace="http://schemas.microsoft.com/office/2006/metadata/properties" ma:root="true" ma:fieldsID="3b9e67adeaf28befef322476eca99a29" ns2:_="" ns3:_="">
    <xsd:import namespace="a3029f64-c1f2-401d-83f1-a22ea9f41a66"/>
    <xsd:import namespace="82a29f81-6133-41c6-a9d8-ec2b97628b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29f64-c1f2-401d-83f1-a22ea9f41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a29f81-6133-41c6-a9d8-ec2b97628b9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4C3CB6-2772-4DA6-918A-D1A6AD0D562A}">
  <ds:schemaRefs>
    <ds:schemaRef ds:uri="http://schemas.microsoft.com/sharepoint/v3/contenttype/forms"/>
  </ds:schemaRefs>
</ds:datastoreItem>
</file>

<file path=customXml/itemProps2.xml><?xml version="1.0" encoding="utf-8"?>
<ds:datastoreItem xmlns:ds="http://schemas.openxmlformats.org/officeDocument/2006/customXml" ds:itemID="{547E2636-8B15-46F9-A304-6467EEFCE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29f64-c1f2-401d-83f1-a22ea9f41a66"/>
    <ds:schemaRef ds:uri="82a29f81-6133-41c6-a9d8-ec2b97628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D63AF-AE03-42F9-89AF-38E27455F2CE}">
  <ds:schemaRefs>
    <ds:schemaRef ds:uri="http://schemas.openxmlformats.org/package/2006/metadata/core-properties"/>
    <ds:schemaRef ds:uri="http://www.w3.org/XML/1998/namespace"/>
    <ds:schemaRef ds:uri="82a29f81-6133-41c6-a9d8-ec2b97628b98"/>
    <ds:schemaRef ds:uri="http://purl.org/dc/terms/"/>
    <ds:schemaRef ds:uri="http://schemas.microsoft.com/office/2006/documentManagement/types"/>
    <ds:schemaRef ds:uri="http://purl.org/dc/elements/1.1/"/>
    <ds:schemaRef ds:uri="http://schemas.microsoft.com/office/infopath/2007/PartnerControls"/>
    <ds:schemaRef ds:uri="a3029f64-c1f2-401d-83f1-a22ea9f41a6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11</vt:i4>
      </vt:variant>
    </vt:vector>
  </HeadingPairs>
  <TitlesOfParts>
    <vt:vector size="25" baseType="lpstr">
      <vt:lpstr>Observações</vt:lpstr>
      <vt:lpstr>1. Resumo MO</vt:lpstr>
      <vt:lpstr>2. Gerente</vt:lpstr>
      <vt:lpstr>3. Sup apoio</vt:lpstr>
      <vt:lpstr>4. Sup manut</vt:lpstr>
      <vt:lpstr>5. Copeira</vt:lpstr>
      <vt:lpstr>6. Garçom</vt:lpstr>
      <vt:lpstr>7. Brigada líder D</vt:lpstr>
      <vt:lpstr>8. Brigada 36D</vt:lpstr>
      <vt:lpstr>9. Brigada 12N</vt:lpstr>
      <vt:lpstr>10. Brigada 36N</vt:lpstr>
      <vt:lpstr>11. Limpeza prod</vt:lpstr>
      <vt:lpstr>12. Servente</vt:lpstr>
      <vt:lpstr>13. Aux de Jardinag</vt:lpstr>
      <vt:lpstr>'10. Brigada 36N'!Area_de_impressao</vt:lpstr>
      <vt:lpstr>'12. Servente'!Area_de_impressao</vt:lpstr>
      <vt:lpstr>'13. Aux de Jardinag'!Area_de_impressao</vt:lpstr>
      <vt:lpstr>'2. Gerente'!Area_de_impressao</vt:lpstr>
      <vt:lpstr>'3. Sup apoio'!Area_de_impressao</vt:lpstr>
      <vt:lpstr>'4. Sup manut'!Area_de_impressao</vt:lpstr>
      <vt:lpstr>'5. Copeira'!Area_de_impressao</vt:lpstr>
      <vt:lpstr>'6. Garçom'!Area_de_impressao</vt:lpstr>
      <vt:lpstr>'7. Brigada líder D'!Area_de_impressao</vt:lpstr>
      <vt:lpstr>'8. Brigada 36D'!Area_de_impressao</vt:lpstr>
      <vt:lpstr>'9. Brigada 12N'!Area_de_impressao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Edvaldo Mota Frazao</dc:creator>
  <cp:keywords/>
  <dc:description/>
  <cp:lastModifiedBy>REMOTO</cp:lastModifiedBy>
  <cp:revision/>
  <dcterms:created xsi:type="dcterms:W3CDTF">2019-08-19T12:51:59Z</dcterms:created>
  <dcterms:modified xsi:type="dcterms:W3CDTF">2021-12-02T20:40:11Z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0x0101008BFE9C8E33ACAA4D9CC8A6A87D9D8638</vt:lpwstr>
  </property>
</Properties>
</file>