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lanilhas\2020\DF\MPOG DF PE 10.2020\PROPOSTA\LOTE 08\06\"/>
    </mc:Choice>
  </mc:AlternateContent>
  <xr:revisionPtr revIDLastSave="0" documentId="13_ncr:1_{BF9299C2-96AA-433A-9A7E-A1F43B7B92C6}" xr6:coauthVersionLast="45" xr6:coauthVersionMax="45" xr10:uidLastSave="{00000000-0000-0000-0000-000000000000}"/>
  <bookViews>
    <workbookView xWindow="-120" yWindow="-120" windowWidth="38640" windowHeight="15840" tabRatio="922" xr2:uid="{00000000-000D-0000-FFFF-FFFF00000000}"/>
  </bookViews>
  <sheets>
    <sheet name="RESUMO 01" sheetId="15" r:id="rId1"/>
    <sheet name="Precificação por Lote" sheetId="10" r:id="rId2"/>
    <sheet name="Precificação total" sheetId="1" r:id="rId3"/>
    <sheet name="resumo" sheetId="9" r:id="rId4"/>
    <sheet name="Memória de Cálculo Salários" sheetId="13" r:id="rId5"/>
    <sheet name="Encargos e CITL" sheetId="12" r:id="rId6"/>
    <sheet name="UNIFORME" sheetId="11" r:id="rId7"/>
    <sheet name="VA E VT" sheetId="14" r:id="rId8"/>
  </sheets>
  <definedNames>
    <definedName name="_xlnm.Print_Area" localSheetId="5">'Encargos e CITL'!$A$2:$E$36</definedName>
    <definedName name="_xlnm.Print_Area" localSheetId="4">'Memória de Cálculo Salários'!$B$2:$G$22</definedName>
    <definedName name="_xlnm.Print_Area" localSheetId="3">resumo!$B$2:$J$20</definedName>
    <definedName name="_xlnm.Print_Area" localSheetId="6">UNIFORME!$B$2:$J$50</definedName>
    <definedName name="_xlnm.Print_Area" localSheetId="7">'VA E VT'!$B$2:$K$46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81" i="1" l="1"/>
  <c r="P81" i="1"/>
  <c r="Q72" i="1"/>
  <c r="P72" i="1"/>
  <c r="N72" i="1"/>
  <c r="N73" i="1"/>
  <c r="N70" i="1"/>
  <c r="N68" i="1"/>
  <c r="N62" i="1"/>
  <c r="N61" i="1"/>
  <c r="N60" i="1"/>
  <c r="N59" i="1"/>
  <c r="N63" i="1" s="1"/>
  <c r="N58" i="1"/>
  <c r="N67" i="1"/>
  <c r="N57" i="1"/>
  <c r="N55" i="1"/>
  <c r="N54" i="1"/>
  <c r="N53" i="1"/>
  <c r="N52" i="1"/>
  <c r="N51" i="1"/>
  <c r="N50" i="1"/>
  <c r="N49" i="1"/>
  <c r="N48" i="1"/>
  <c r="N47" i="1"/>
  <c r="N46" i="1"/>
  <c r="N45" i="1"/>
  <c r="N42" i="1"/>
  <c r="N41" i="1"/>
  <c r="N40" i="1"/>
  <c r="N39" i="1"/>
  <c r="N38" i="1"/>
  <c r="N37" i="1"/>
  <c r="N36" i="1"/>
  <c r="N35" i="1"/>
  <c r="N32" i="1"/>
  <c r="N31" i="1"/>
  <c r="N30" i="1"/>
  <c r="N29" i="1"/>
  <c r="N28" i="1"/>
  <c r="N27" i="1"/>
  <c r="N26" i="1"/>
  <c r="N25" i="1"/>
  <c r="N16" i="1"/>
  <c r="N15" i="1"/>
  <c r="N14" i="1"/>
  <c r="N13" i="1"/>
  <c r="N12" i="1"/>
  <c r="N11" i="1"/>
  <c r="N10" i="1"/>
  <c r="N44" i="1"/>
  <c r="N34" i="1"/>
  <c r="N24" i="1"/>
  <c r="N22" i="1"/>
  <c r="P22" i="1" s="1"/>
  <c r="N19" i="1"/>
  <c r="N9" i="1"/>
  <c r="N8" i="1"/>
  <c r="N65" i="1" l="1"/>
  <c r="N64" i="1"/>
  <c r="N66" i="1"/>
  <c r="Q22" i="1"/>
  <c r="N9" i="10" l="1"/>
  <c r="C20" i="14" l="1"/>
  <c r="F19" i="14"/>
  <c r="H19" i="14" s="1"/>
  <c r="C9" i="14"/>
  <c r="C10" i="14"/>
  <c r="C11" i="14"/>
  <c r="C17" i="14"/>
  <c r="C18" i="14"/>
  <c r="C19" i="14"/>
  <c r="B9" i="14"/>
  <c r="B10" i="14"/>
  <c r="B11" i="14"/>
  <c r="B17" i="14"/>
  <c r="B18" i="14"/>
  <c r="B19" i="14"/>
  <c r="AI18" i="1"/>
  <c r="AI20" i="1"/>
  <c r="AI21" i="1"/>
  <c r="AI22" i="1"/>
  <c r="AH18" i="1"/>
  <c r="AH20" i="1"/>
  <c r="AH21" i="1"/>
  <c r="AH22" i="1"/>
  <c r="AH6" i="1"/>
  <c r="AG73" i="1"/>
  <c r="AF73" i="1"/>
  <c r="AC73" i="1"/>
  <c r="AB73" i="1"/>
  <c r="Y73" i="1"/>
  <c r="X73" i="1"/>
  <c r="U73" i="1"/>
  <c r="T73" i="1"/>
  <c r="M73" i="1"/>
  <c r="L73" i="1"/>
  <c r="I73" i="1"/>
  <c r="H73" i="1"/>
  <c r="H70" i="1"/>
  <c r="E28" i="12"/>
  <c r="B19" i="13"/>
  <c r="B34" i="12" s="1"/>
  <c r="C47" i="11" s="1"/>
  <c r="B40" i="14" s="1"/>
  <c r="B18" i="13"/>
  <c r="B33" i="12" s="1"/>
  <c r="C46" i="11" s="1"/>
  <c r="B39" i="14" s="1"/>
  <c r="B16" i="13"/>
  <c r="B30" i="12" s="1"/>
  <c r="C43" i="11" s="1"/>
  <c r="B36" i="14" s="1"/>
  <c r="D31" i="14"/>
  <c r="E31" i="14" s="1"/>
  <c r="D27" i="14"/>
  <c r="E27" i="14" s="1"/>
  <c r="D28" i="14"/>
  <c r="E28" i="14" s="1"/>
  <c r="D29" i="14"/>
  <c r="E29" i="14" s="1"/>
  <c r="D30" i="14"/>
  <c r="D32" i="14"/>
  <c r="E32" i="14" s="1"/>
  <c r="D26" i="14"/>
  <c r="E26" i="14" s="1"/>
  <c r="C27" i="14"/>
  <c r="C28" i="14"/>
  <c r="C29" i="14"/>
  <c r="C30" i="14"/>
  <c r="K30" i="14" s="1"/>
  <c r="C31" i="14"/>
  <c r="C32" i="14"/>
  <c r="C26" i="14"/>
  <c r="B27" i="14"/>
  <c r="B28" i="14"/>
  <c r="B29" i="14"/>
  <c r="B30" i="14"/>
  <c r="B31" i="14"/>
  <c r="B32" i="14"/>
  <c r="B26" i="14"/>
  <c r="I32" i="14"/>
  <c r="K31" i="14"/>
  <c r="I31" i="14"/>
  <c r="I30" i="14"/>
  <c r="E30" i="14"/>
  <c r="I29" i="14"/>
  <c r="I28" i="14"/>
  <c r="I27" i="14"/>
  <c r="I26" i="14"/>
  <c r="C8" i="14"/>
  <c r="C12" i="14" s="1"/>
  <c r="B8" i="14"/>
  <c r="F18" i="14"/>
  <c r="H18" i="14" s="1"/>
  <c r="F17" i="14"/>
  <c r="H17" i="14" s="1"/>
  <c r="F11" i="14"/>
  <c r="H11" i="14" s="1"/>
  <c r="F10" i="14"/>
  <c r="H10" i="14" s="1"/>
  <c r="F9" i="14"/>
  <c r="H9" i="14" s="1"/>
  <c r="F8" i="14"/>
  <c r="H8" i="14" s="1"/>
  <c r="I19" i="14" l="1"/>
  <c r="I20" i="14" s="1"/>
  <c r="I18" i="14"/>
  <c r="I17" i="14"/>
  <c r="J27" i="14"/>
  <c r="K27" i="14" s="1"/>
  <c r="C33" i="14"/>
  <c r="J26" i="14"/>
  <c r="K26" i="14" s="1"/>
  <c r="J28" i="14"/>
  <c r="K28" i="14" s="1"/>
  <c r="J32" i="14"/>
  <c r="K32" i="14" s="1"/>
  <c r="J29" i="14"/>
  <c r="K29" i="14" s="1"/>
  <c r="I10" i="14"/>
  <c r="I9" i="14"/>
  <c r="I8" i="14"/>
  <c r="I11" i="14"/>
  <c r="I12" i="14" l="1"/>
  <c r="K33" i="14"/>
  <c r="F12" i="9"/>
  <c r="G33" i="11"/>
  <c r="H33" i="11" s="1"/>
  <c r="G17" i="11"/>
  <c r="G16" i="11"/>
  <c r="G36" i="11"/>
  <c r="H36" i="11" s="1"/>
  <c r="G27" i="11"/>
  <c r="G35" i="11" s="1"/>
  <c r="H35" i="11" s="1"/>
  <c r="G26" i="11"/>
  <c r="H26" i="11" s="1"/>
  <c r="G25" i="11"/>
  <c r="H25" i="11" s="1"/>
  <c r="F36" i="11"/>
  <c r="F33" i="11"/>
  <c r="C32" i="11"/>
  <c r="B32" i="11"/>
  <c r="F28" i="11"/>
  <c r="F27" i="11"/>
  <c r="F26" i="11"/>
  <c r="F25" i="11"/>
  <c r="C24" i="11"/>
  <c r="B24" i="11"/>
  <c r="F18" i="11"/>
  <c r="L15" i="11"/>
  <c r="I15" i="11"/>
  <c r="C14" i="11"/>
  <c r="B14" i="11"/>
  <c r="F10" i="11"/>
  <c r="I10" i="11" s="1"/>
  <c r="J10" i="11" s="1"/>
  <c r="F9" i="11"/>
  <c r="I9" i="11" s="1"/>
  <c r="J9" i="11" s="1"/>
  <c r="F8" i="11"/>
  <c r="I8" i="11" s="1"/>
  <c r="J8" i="11" s="1"/>
  <c r="N7" i="11"/>
  <c r="I7" i="11"/>
  <c r="C6" i="11"/>
  <c r="B6" i="11"/>
  <c r="E19" i="12"/>
  <c r="AD21" i="1"/>
  <c r="AD20" i="1"/>
  <c r="Z21" i="1"/>
  <c r="Z20" i="1"/>
  <c r="V21" i="1"/>
  <c r="V20" i="1"/>
  <c r="R21" i="1"/>
  <c r="R20" i="1"/>
  <c r="N21" i="1"/>
  <c r="N20" i="1"/>
  <c r="J21" i="1"/>
  <c r="J20" i="1"/>
  <c r="F21" i="1"/>
  <c r="F20" i="1"/>
  <c r="AD18" i="1"/>
  <c r="Z18" i="1"/>
  <c r="V18" i="1"/>
  <c r="R18" i="1"/>
  <c r="N18" i="1"/>
  <c r="J18" i="1"/>
  <c r="F18" i="1"/>
  <c r="AD6" i="1"/>
  <c r="Z6" i="1"/>
  <c r="V6" i="1"/>
  <c r="R6" i="1"/>
  <c r="N6" i="1"/>
  <c r="J6" i="1"/>
  <c r="F6" i="1"/>
  <c r="F8" i="1"/>
  <c r="I16" i="11" l="1"/>
  <c r="J16" i="11" s="1"/>
  <c r="H28" i="11"/>
  <c r="I28" i="11"/>
  <c r="J28" i="11" s="1"/>
  <c r="I18" i="11"/>
  <c r="J18" i="11" s="1"/>
  <c r="I17" i="11"/>
  <c r="J17" i="11" s="1"/>
  <c r="I27" i="11"/>
  <c r="J27" i="11" s="1"/>
  <c r="H27" i="11"/>
  <c r="I35" i="11"/>
  <c r="J35" i="11" s="1"/>
  <c r="I33" i="11"/>
  <c r="J33" i="11" s="1"/>
  <c r="I36" i="11"/>
  <c r="J36" i="11" s="1"/>
  <c r="G34" i="11"/>
  <c r="H34" i="11" s="1"/>
  <c r="I26" i="11"/>
  <c r="J26" i="11" s="1"/>
  <c r="I25" i="11"/>
  <c r="J25" i="11" s="1"/>
  <c r="H11" i="11"/>
  <c r="J15" i="11"/>
  <c r="H19" i="11"/>
  <c r="J7" i="11"/>
  <c r="J11" i="11" s="1"/>
  <c r="I11" i="11"/>
  <c r="H37" i="11" l="1"/>
  <c r="H29" i="11"/>
  <c r="I34" i="11"/>
  <c r="J34" i="11" s="1"/>
  <c r="J19" i="11"/>
  <c r="J20" i="11" s="1"/>
  <c r="I19" i="11"/>
  <c r="I20" i="11" s="1"/>
  <c r="I29" i="11"/>
  <c r="J37" i="11"/>
  <c r="J29" i="11"/>
  <c r="H20" i="11"/>
  <c r="H38" i="11" l="1"/>
  <c r="H40" i="11" s="1"/>
  <c r="R8" i="11" s="1"/>
  <c r="I37" i="11"/>
  <c r="I38" i="11" s="1"/>
  <c r="J38" i="11"/>
  <c r="C6" i="9" l="1"/>
  <c r="C7" i="9" s="1"/>
  <c r="C8" i="9" s="1"/>
  <c r="C9" i="9" s="1"/>
  <c r="C10" i="9" s="1"/>
  <c r="C11" i="9" s="1"/>
  <c r="F16" i="1"/>
  <c r="AD42" i="1"/>
  <c r="Z42" i="1"/>
  <c r="AB42" i="1" s="1"/>
  <c r="R16" i="1"/>
  <c r="T16" i="1" s="1"/>
  <c r="AD70" i="1"/>
  <c r="AD71" i="1" s="1"/>
  <c r="AF42" i="1"/>
  <c r="AF30" i="1"/>
  <c r="AD22" i="1"/>
  <c r="AF22" i="1" s="1"/>
  <c r="AD19" i="1"/>
  <c r="AF19" i="1" s="1"/>
  <c r="AD59" i="1"/>
  <c r="AD58" i="1"/>
  <c r="AF58" i="1" s="1"/>
  <c r="AD57" i="1"/>
  <c r="AD47" i="1"/>
  <c r="AF47" i="1" s="1"/>
  <c r="AG47" i="1" s="1"/>
  <c r="AD46" i="1"/>
  <c r="AF46" i="1" s="1"/>
  <c r="AD44" i="1"/>
  <c r="AD49" i="1" s="1"/>
  <c r="AF49" i="1" s="1"/>
  <c r="AD34" i="1"/>
  <c r="AF34" i="1" s="1"/>
  <c r="AD29" i="1"/>
  <c r="AF29" i="1" s="1"/>
  <c r="AG29" i="1" s="1"/>
  <c r="AD24" i="1"/>
  <c r="AD30" i="1" s="1"/>
  <c r="AF20" i="1"/>
  <c r="AG20" i="1" s="1"/>
  <c r="AD8" i="1"/>
  <c r="AD13" i="1" s="1"/>
  <c r="AF13" i="1" s="1"/>
  <c r="Z70" i="1"/>
  <c r="Z71" i="1" s="1"/>
  <c r="AB19" i="1"/>
  <c r="AC19" i="1" s="1"/>
  <c r="Z22" i="1"/>
  <c r="AB22" i="1" s="1"/>
  <c r="AC22" i="1" s="1"/>
  <c r="Z19" i="1"/>
  <c r="AB8" i="1"/>
  <c r="Z59" i="1"/>
  <c r="AB59" i="1" s="1"/>
  <c r="Z58" i="1"/>
  <c r="AB58" i="1" s="1"/>
  <c r="AC58" i="1" s="1"/>
  <c r="Z57" i="1"/>
  <c r="Z67" i="1" s="1"/>
  <c r="AB67" i="1" s="1"/>
  <c r="Z47" i="1"/>
  <c r="Z46" i="1"/>
  <c r="AB46" i="1" s="1"/>
  <c r="AC46" i="1" s="1"/>
  <c r="Z44" i="1"/>
  <c r="Z51" i="1" s="1"/>
  <c r="AB51" i="1" s="1"/>
  <c r="Z37" i="1"/>
  <c r="AB37" i="1" s="1"/>
  <c r="AC37" i="1" s="1"/>
  <c r="Z34" i="1"/>
  <c r="AB34" i="1" s="1"/>
  <c r="AC34" i="1" s="1"/>
  <c r="Z24" i="1"/>
  <c r="Z29" i="1" s="1"/>
  <c r="AB29" i="1" s="1"/>
  <c r="AC29" i="1" s="1"/>
  <c r="AB20" i="1"/>
  <c r="AC20" i="1" s="1"/>
  <c r="Z8" i="1"/>
  <c r="Z15" i="1" s="1"/>
  <c r="AB15" i="1" s="1"/>
  <c r="V70" i="1"/>
  <c r="X70" i="1" s="1"/>
  <c r="X19" i="1"/>
  <c r="V22" i="1"/>
  <c r="X22" i="1" s="1"/>
  <c r="V19" i="1"/>
  <c r="V59" i="1"/>
  <c r="X59" i="1" s="1"/>
  <c r="V58" i="1"/>
  <c r="X58" i="1" s="1"/>
  <c r="V57" i="1"/>
  <c r="X57" i="1" s="1"/>
  <c r="V47" i="1"/>
  <c r="X47" i="1" s="1"/>
  <c r="V46" i="1"/>
  <c r="X46" i="1" s="1"/>
  <c r="V44" i="1"/>
  <c r="X44" i="1" s="1"/>
  <c r="V34" i="1"/>
  <c r="V42" i="1" s="1"/>
  <c r="X42" i="1" s="1"/>
  <c r="V31" i="1"/>
  <c r="X31" i="1" s="1"/>
  <c r="V26" i="1"/>
  <c r="X26" i="1" s="1"/>
  <c r="V24" i="1"/>
  <c r="V30" i="1" s="1"/>
  <c r="X30" i="1" s="1"/>
  <c r="X20" i="1"/>
  <c r="Y20" i="1" s="1"/>
  <c r="V15" i="1"/>
  <c r="X15" i="1" s="1"/>
  <c r="V8" i="1"/>
  <c r="V13" i="1" s="1"/>
  <c r="X13" i="1" s="1"/>
  <c r="R70" i="1"/>
  <c r="R71" i="1" s="1"/>
  <c r="T44" i="1"/>
  <c r="R22" i="1"/>
  <c r="T22" i="1" s="1"/>
  <c r="R19" i="1"/>
  <c r="T19" i="1" s="1"/>
  <c r="T8" i="1"/>
  <c r="R59" i="1"/>
  <c r="R58" i="1"/>
  <c r="T58" i="1" s="1"/>
  <c r="R57" i="1"/>
  <c r="T57" i="1" s="1"/>
  <c r="U57" i="1" s="1"/>
  <c r="R47" i="1"/>
  <c r="R46" i="1"/>
  <c r="T46" i="1" s="1"/>
  <c r="R44" i="1"/>
  <c r="R53" i="1" s="1"/>
  <c r="T53" i="1" s="1"/>
  <c r="R41" i="1"/>
  <c r="T41" i="1" s="1"/>
  <c r="U41" i="1" s="1"/>
  <c r="R34" i="1"/>
  <c r="R37" i="1" s="1"/>
  <c r="T37" i="1" s="1"/>
  <c r="U37" i="1" s="1"/>
  <c r="R24" i="1"/>
  <c r="R29" i="1" s="1"/>
  <c r="T29" i="1" s="1"/>
  <c r="U29" i="1" s="1"/>
  <c r="T20" i="1"/>
  <c r="U20" i="1" s="1"/>
  <c r="R8" i="1"/>
  <c r="R15" i="1" s="1"/>
  <c r="T15" i="1" s="1"/>
  <c r="U15" i="1" s="1"/>
  <c r="P47" i="1"/>
  <c r="P70" i="1"/>
  <c r="P35" i="1"/>
  <c r="P19" i="1"/>
  <c r="N71" i="1"/>
  <c r="P59" i="1"/>
  <c r="P58" i="1"/>
  <c r="P57" i="1"/>
  <c r="P46" i="1"/>
  <c r="P44" i="1"/>
  <c r="P41" i="1"/>
  <c r="P20" i="1"/>
  <c r="Q20" i="1" s="1"/>
  <c r="P15" i="1"/>
  <c r="J70" i="1"/>
  <c r="J71" i="1" s="1"/>
  <c r="J34" i="1"/>
  <c r="L34" i="1" s="1"/>
  <c r="J24" i="1"/>
  <c r="J32" i="1" s="1"/>
  <c r="L32" i="1" s="1"/>
  <c r="J22" i="1"/>
  <c r="L22" i="1" s="1"/>
  <c r="M22" i="1" s="1"/>
  <c r="J19" i="1"/>
  <c r="L19" i="1" s="1"/>
  <c r="L8" i="1"/>
  <c r="J59" i="1"/>
  <c r="L59" i="1" s="1"/>
  <c r="J58" i="1"/>
  <c r="L58" i="1" s="1"/>
  <c r="M58" i="1" s="1"/>
  <c r="J57" i="1"/>
  <c r="J61" i="1" s="1"/>
  <c r="L61" i="1" s="1"/>
  <c r="J51" i="1"/>
  <c r="L51" i="1" s="1"/>
  <c r="J47" i="1"/>
  <c r="L47" i="1" s="1"/>
  <c r="J46" i="1"/>
  <c r="J44" i="1"/>
  <c r="J49" i="1" s="1"/>
  <c r="L49" i="1" s="1"/>
  <c r="J39" i="1"/>
  <c r="L39" i="1" s="1"/>
  <c r="J29" i="1"/>
  <c r="L29" i="1" s="1"/>
  <c r="J27" i="1"/>
  <c r="L27" i="1" s="1"/>
  <c r="L20" i="1"/>
  <c r="M20" i="1" s="1"/>
  <c r="J8" i="1"/>
  <c r="P71" i="1" l="1"/>
  <c r="Q70" i="1"/>
  <c r="AI70" i="1" s="1"/>
  <c r="AH70" i="1"/>
  <c r="Q59" i="1"/>
  <c r="AI59" i="1" s="1"/>
  <c r="AH59" i="1"/>
  <c r="Q58" i="1"/>
  <c r="AI58" i="1" s="1"/>
  <c r="AH58" i="1"/>
  <c r="Q57" i="1"/>
  <c r="AI57" i="1" s="1"/>
  <c r="AH57" i="1"/>
  <c r="Q46" i="1"/>
  <c r="AI46" i="1" s="1"/>
  <c r="AH46" i="1"/>
  <c r="Q47" i="1"/>
  <c r="AI47" i="1" s="1"/>
  <c r="AH47" i="1"/>
  <c r="Q44" i="1"/>
  <c r="AI44" i="1" s="1"/>
  <c r="AH44" i="1"/>
  <c r="Q35" i="1"/>
  <c r="AI35" i="1" s="1"/>
  <c r="AH35" i="1"/>
  <c r="Q41" i="1"/>
  <c r="AI41" i="1" s="1"/>
  <c r="AH41" i="1"/>
  <c r="Q19" i="1"/>
  <c r="AI19" i="1" s="1"/>
  <c r="AH19" i="1"/>
  <c r="Q15" i="1"/>
  <c r="AI15" i="1" s="1"/>
  <c r="AH15" i="1"/>
  <c r="L44" i="1"/>
  <c r="P9" i="1"/>
  <c r="AB70" i="1"/>
  <c r="AC70" i="1" s="1"/>
  <c r="AD31" i="1"/>
  <c r="AF31" i="1" s="1"/>
  <c r="AF70" i="1"/>
  <c r="AG70" i="1" s="1"/>
  <c r="R55" i="1"/>
  <c r="T55" i="1" s="1"/>
  <c r="J35" i="1"/>
  <c r="L35" i="1" s="1"/>
  <c r="L57" i="1"/>
  <c r="P11" i="1"/>
  <c r="P37" i="1"/>
  <c r="R9" i="1"/>
  <c r="T9" i="1" s="1"/>
  <c r="T70" i="1"/>
  <c r="X24" i="1"/>
  <c r="Z10" i="1"/>
  <c r="AB10" i="1" s="1"/>
  <c r="Z31" i="1"/>
  <c r="AB44" i="1"/>
  <c r="AC44" i="1" s="1"/>
  <c r="AD25" i="1"/>
  <c r="AF25" i="1" s="1"/>
  <c r="AG25" i="1" s="1"/>
  <c r="AF44" i="1"/>
  <c r="J42" i="1"/>
  <c r="L42" i="1" s="1"/>
  <c r="V67" i="1"/>
  <c r="X67" i="1" s="1"/>
  <c r="J37" i="1"/>
  <c r="L37" i="1" s="1"/>
  <c r="P39" i="1"/>
  <c r="P34" i="1"/>
  <c r="R11" i="1"/>
  <c r="T11" i="1" s="1"/>
  <c r="U11" i="1" s="1"/>
  <c r="R39" i="1"/>
  <c r="T39" i="1" s="1"/>
  <c r="V25" i="1"/>
  <c r="X25" i="1" s="1"/>
  <c r="V37" i="1"/>
  <c r="X37" i="1" s="1"/>
  <c r="Y37" i="1" s="1"/>
  <c r="Z13" i="1"/>
  <c r="AB13" i="1" s="1"/>
  <c r="AB57" i="1"/>
  <c r="AD11" i="1"/>
  <c r="AF11" i="1" s="1"/>
  <c r="AG11" i="1" s="1"/>
  <c r="AD27" i="1"/>
  <c r="AF27" i="1" s="1"/>
  <c r="AD41" i="1"/>
  <c r="AF41" i="1" s="1"/>
  <c r="AG41" i="1" s="1"/>
  <c r="AD67" i="1"/>
  <c r="AF67" i="1" s="1"/>
  <c r="AF57" i="1"/>
  <c r="AG57" i="1" s="1"/>
  <c r="J67" i="1"/>
  <c r="L67" i="1" s="1"/>
  <c r="Z16" i="1"/>
  <c r="AB16" i="1" s="1"/>
  <c r="P30" i="1"/>
  <c r="P24" i="1"/>
  <c r="P32" i="1"/>
  <c r="P31" i="1"/>
  <c r="P27" i="1"/>
  <c r="AF59" i="1"/>
  <c r="AD63" i="1"/>
  <c r="AF63" i="1" s="1"/>
  <c r="AG63" i="1" s="1"/>
  <c r="P29" i="1"/>
  <c r="Z55" i="1"/>
  <c r="AB55" i="1" s="1"/>
  <c r="AC55" i="1" s="1"/>
  <c r="AB47" i="1"/>
  <c r="Z49" i="1"/>
  <c r="AB49" i="1" s="1"/>
  <c r="AC49" i="1" s="1"/>
  <c r="J13" i="1"/>
  <c r="L13" i="1" s="1"/>
  <c r="M13" i="1" s="1"/>
  <c r="J16" i="1"/>
  <c r="L16" i="1" s="1"/>
  <c r="M16" i="1" s="1"/>
  <c r="J15" i="1"/>
  <c r="L15" i="1" s="1"/>
  <c r="J9" i="1"/>
  <c r="R65" i="1"/>
  <c r="T65" i="1" s="1"/>
  <c r="U65" i="1" s="1"/>
  <c r="R67" i="1"/>
  <c r="T67" i="1" s="1"/>
  <c r="L46" i="1"/>
  <c r="J55" i="1"/>
  <c r="L55" i="1" s="1"/>
  <c r="M55" i="1" s="1"/>
  <c r="T59" i="1"/>
  <c r="U59" i="1" s="1"/>
  <c r="P25" i="1"/>
  <c r="R31" i="1"/>
  <c r="T31" i="1" s="1"/>
  <c r="U31" i="1" s="1"/>
  <c r="R27" i="1"/>
  <c r="T27" i="1" s="1"/>
  <c r="R32" i="1"/>
  <c r="T32" i="1" s="1"/>
  <c r="T24" i="1"/>
  <c r="R25" i="1"/>
  <c r="T25" i="1" s="1"/>
  <c r="U25" i="1" s="1"/>
  <c r="L70" i="1"/>
  <c r="L71" i="1" s="1"/>
  <c r="M71" i="1" s="1"/>
  <c r="Z53" i="1"/>
  <c r="AB53" i="1" s="1"/>
  <c r="J11" i="1"/>
  <c r="L11" i="1" s="1"/>
  <c r="AB31" i="1"/>
  <c r="AC31" i="1" s="1"/>
  <c r="AD55" i="1"/>
  <c r="AF55" i="1" s="1"/>
  <c r="AG55" i="1" s="1"/>
  <c r="J31" i="1"/>
  <c r="L31" i="1" s="1"/>
  <c r="P8" i="1"/>
  <c r="R63" i="1"/>
  <c r="T63" i="1" s="1"/>
  <c r="U63" i="1" s="1"/>
  <c r="T34" i="1"/>
  <c r="V36" i="1"/>
  <c r="X36" i="1" s="1"/>
  <c r="Z14" i="1"/>
  <c r="AB14" i="1" s="1"/>
  <c r="Z35" i="1"/>
  <c r="AB35" i="1" s="1"/>
  <c r="AC35" i="1" s="1"/>
  <c r="AD9" i="1"/>
  <c r="AF9" i="1" s="1"/>
  <c r="AF8" i="1"/>
  <c r="R42" i="1"/>
  <c r="T42" i="1" s="1"/>
  <c r="Z32" i="1"/>
  <c r="AB32" i="1" s="1"/>
  <c r="AC32" i="1" s="1"/>
  <c r="T47" i="1"/>
  <c r="U47" i="1" s="1"/>
  <c r="L24" i="1"/>
  <c r="M24" i="1" s="1"/>
  <c r="P13" i="1"/>
  <c r="P51" i="1"/>
  <c r="R13" i="1"/>
  <c r="T13" i="1" s="1"/>
  <c r="U13" i="1" s="1"/>
  <c r="R49" i="1"/>
  <c r="T49" i="1" s="1"/>
  <c r="U49" i="1" s="1"/>
  <c r="V9" i="1"/>
  <c r="X9" i="1" s="1"/>
  <c r="Y9" i="1" s="1"/>
  <c r="V28" i="1"/>
  <c r="X28" i="1" s="1"/>
  <c r="Y28" i="1" s="1"/>
  <c r="V39" i="1"/>
  <c r="X39" i="1" s="1"/>
  <c r="Y39" i="1" s="1"/>
  <c r="V71" i="1"/>
  <c r="Z25" i="1"/>
  <c r="AB25" i="1" s="1"/>
  <c r="AC25" i="1" s="1"/>
  <c r="Z41" i="1"/>
  <c r="AB41" i="1" s="1"/>
  <c r="AC41" i="1" s="1"/>
  <c r="AD15" i="1"/>
  <c r="AF15" i="1" s="1"/>
  <c r="AD35" i="1"/>
  <c r="AF35" i="1" s="1"/>
  <c r="AG35" i="1" s="1"/>
  <c r="AD53" i="1"/>
  <c r="AF53" i="1" s="1"/>
  <c r="AG53" i="1" s="1"/>
  <c r="P16" i="1"/>
  <c r="P42" i="1"/>
  <c r="V32" i="1"/>
  <c r="X32" i="1" s="1"/>
  <c r="Y32" i="1" s="1"/>
  <c r="V38" i="1"/>
  <c r="X38" i="1" s="1"/>
  <c r="Y38" i="1" s="1"/>
  <c r="X34" i="1"/>
  <c r="J41" i="1"/>
  <c r="L41" i="1" s="1"/>
  <c r="P65" i="1"/>
  <c r="R35" i="1"/>
  <c r="T35" i="1" s="1"/>
  <c r="U35" i="1" s="1"/>
  <c r="V11" i="1"/>
  <c r="X11" i="1" s="1"/>
  <c r="Y11" i="1" s="1"/>
  <c r="V29" i="1"/>
  <c r="X29" i="1" s="1"/>
  <c r="Y29" i="1" s="1"/>
  <c r="V41" i="1"/>
  <c r="X41" i="1" s="1"/>
  <c r="X8" i="1"/>
  <c r="Y8" i="1" s="1"/>
  <c r="Z27" i="1"/>
  <c r="AB27" i="1" s="1"/>
  <c r="AC27" i="1" s="1"/>
  <c r="AB24" i="1"/>
  <c r="AC24" i="1" s="1"/>
  <c r="AD37" i="1"/>
  <c r="AF37" i="1" s="1"/>
  <c r="AD61" i="1"/>
  <c r="AF61" i="1" s="1"/>
  <c r="AG61" i="1" s="1"/>
  <c r="V16" i="1"/>
  <c r="X16" i="1" s="1"/>
  <c r="P55" i="1"/>
  <c r="AD16" i="1"/>
  <c r="AF16" i="1" s="1"/>
  <c r="Z39" i="1"/>
  <c r="AB39" i="1" s="1"/>
  <c r="AC39" i="1" s="1"/>
  <c r="J25" i="1"/>
  <c r="L25" i="1" s="1"/>
  <c r="M25" i="1" s="1"/>
  <c r="V50" i="1"/>
  <c r="X50" i="1" s="1"/>
  <c r="Y50" i="1" s="1"/>
  <c r="Z9" i="1"/>
  <c r="AB9" i="1" s="1"/>
  <c r="AD39" i="1"/>
  <c r="AF39" i="1" s="1"/>
  <c r="AG39" i="1" s="1"/>
  <c r="AF24" i="1"/>
  <c r="P67" i="1"/>
  <c r="V55" i="1"/>
  <c r="X55" i="1" s="1"/>
  <c r="AD32" i="1"/>
  <c r="AF32" i="1" s="1"/>
  <c r="AC42" i="1"/>
  <c r="U46" i="1"/>
  <c r="AG37" i="1"/>
  <c r="M27" i="1"/>
  <c r="AG8" i="1"/>
  <c r="M35" i="1"/>
  <c r="Y31" i="1"/>
  <c r="AC53" i="1"/>
  <c r="AG27" i="1"/>
  <c r="Y47" i="1"/>
  <c r="AC59" i="1"/>
  <c r="AC47" i="1"/>
  <c r="Y59" i="1"/>
  <c r="U53" i="1"/>
  <c r="U8" i="1"/>
  <c r="U9" i="1"/>
  <c r="M41" i="1"/>
  <c r="M46" i="1"/>
  <c r="M29" i="1"/>
  <c r="M47" i="1"/>
  <c r="AF71" i="1"/>
  <c r="AG71" i="1" s="1"/>
  <c r="AG49" i="1"/>
  <c r="AG31" i="1"/>
  <c r="AG13" i="1"/>
  <c r="AG15" i="1"/>
  <c r="AG19" i="1"/>
  <c r="AD65" i="1"/>
  <c r="AF65" i="1" s="1"/>
  <c r="AG59" i="1"/>
  <c r="AG9" i="1"/>
  <c r="AG30" i="1"/>
  <c r="AD51" i="1"/>
  <c r="AF51" i="1" s="1"/>
  <c r="AD66" i="1"/>
  <c r="AF66" i="1" s="1"/>
  <c r="AD64" i="1"/>
  <c r="AF64" i="1" s="1"/>
  <c r="AD60" i="1"/>
  <c r="AF60" i="1" s="1"/>
  <c r="AD62" i="1"/>
  <c r="AF62" i="1" s="1"/>
  <c r="AD28" i="1"/>
  <c r="AF28" i="1" s="1"/>
  <c r="AD38" i="1"/>
  <c r="AF38" i="1" s="1"/>
  <c r="AD40" i="1"/>
  <c r="AF40" i="1" s="1"/>
  <c r="AD50" i="1"/>
  <c r="AF50" i="1" s="1"/>
  <c r="AD10" i="1"/>
  <c r="AF10" i="1" s="1"/>
  <c r="AD12" i="1"/>
  <c r="AF12" i="1" s="1"/>
  <c r="AD14" i="1"/>
  <c r="AF14" i="1" s="1"/>
  <c r="AG22" i="1"/>
  <c r="AG46" i="1"/>
  <c r="AG58" i="1"/>
  <c r="AD26" i="1"/>
  <c r="AF26" i="1" s="1"/>
  <c r="AD36" i="1"/>
  <c r="AF36" i="1" s="1"/>
  <c r="AD48" i="1"/>
  <c r="AF48" i="1" s="1"/>
  <c r="AD52" i="1"/>
  <c r="AF52" i="1" s="1"/>
  <c r="AD54" i="1"/>
  <c r="AF54" i="1" s="1"/>
  <c r="AC51" i="1"/>
  <c r="AC13" i="1"/>
  <c r="AC15" i="1"/>
  <c r="AC10" i="1"/>
  <c r="AC14" i="1"/>
  <c r="Z65" i="1"/>
  <c r="AB65" i="1" s="1"/>
  <c r="Z11" i="1"/>
  <c r="AB11" i="1" s="1"/>
  <c r="Z66" i="1"/>
  <c r="AB66" i="1" s="1"/>
  <c r="Z64" i="1"/>
  <c r="AB64" i="1" s="1"/>
  <c r="Z62" i="1"/>
  <c r="AB62" i="1" s="1"/>
  <c r="Z60" i="1"/>
  <c r="AB60" i="1" s="1"/>
  <c r="Z61" i="1"/>
  <c r="AB61" i="1" s="1"/>
  <c r="AC9" i="1"/>
  <c r="Z12" i="1"/>
  <c r="Z63" i="1"/>
  <c r="AB63" i="1" s="1"/>
  <c r="Z26" i="1"/>
  <c r="Z28" i="1"/>
  <c r="AB28" i="1" s="1"/>
  <c r="Z30" i="1"/>
  <c r="AB30" i="1" s="1"/>
  <c r="Z36" i="1"/>
  <c r="AB36" i="1" s="1"/>
  <c r="Z38" i="1"/>
  <c r="AB38" i="1" s="1"/>
  <c r="Z40" i="1"/>
  <c r="AB40" i="1" s="1"/>
  <c r="Z48" i="1"/>
  <c r="AB48" i="1" s="1"/>
  <c r="Z50" i="1"/>
  <c r="AB50" i="1" s="1"/>
  <c r="Z52" i="1"/>
  <c r="AB52" i="1" s="1"/>
  <c r="Z54" i="1"/>
  <c r="AB54" i="1" s="1"/>
  <c r="Y41" i="1"/>
  <c r="Y25" i="1"/>
  <c r="Y15" i="1"/>
  <c r="Y30" i="1"/>
  <c r="Y46" i="1"/>
  <c r="Y57" i="1"/>
  <c r="V63" i="1"/>
  <c r="X63" i="1" s="1"/>
  <c r="Y36" i="1"/>
  <c r="V52" i="1"/>
  <c r="X52" i="1" s="1"/>
  <c r="V64" i="1"/>
  <c r="X64" i="1" s="1"/>
  <c r="Y26" i="1"/>
  <c r="Y42" i="1"/>
  <c r="V53" i="1"/>
  <c r="X53" i="1" s="1"/>
  <c r="Y58" i="1"/>
  <c r="V65" i="1"/>
  <c r="X65" i="1" s="1"/>
  <c r="V27" i="1"/>
  <c r="X27" i="1" s="1"/>
  <c r="V48" i="1"/>
  <c r="X48" i="1" s="1"/>
  <c r="V66" i="1"/>
  <c r="X66" i="1" s="1"/>
  <c r="V49" i="1"/>
  <c r="X49" i="1" s="1"/>
  <c r="Y13" i="1"/>
  <c r="V61" i="1"/>
  <c r="X61" i="1" s="1"/>
  <c r="Y22" i="1"/>
  <c r="V54" i="1"/>
  <c r="X54" i="1" s="1"/>
  <c r="V60" i="1"/>
  <c r="X60" i="1" s="1"/>
  <c r="Y19" i="1"/>
  <c r="V35" i="1"/>
  <c r="V40" i="1"/>
  <c r="X40" i="1" s="1"/>
  <c r="V51" i="1"/>
  <c r="X51" i="1" s="1"/>
  <c r="V62" i="1"/>
  <c r="X62" i="1" s="1"/>
  <c r="V10" i="1"/>
  <c r="X10" i="1" s="1"/>
  <c r="V12" i="1"/>
  <c r="X12" i="1" s="1"/>
  <c r="V14" i="1"/>
  <c r="X14" i="1" s="1"/>
  <c r="U39" i="1"/>
  <c r="U27" i="1"/>
  <c r="U19" i="1"/>
  <c r="R51" i="1"/>
  <c r="T51" i="1" s="1"/>
  <c r="U55" i="1"/>
  <c r="R61" i="1"/>
  <c r="T61" i="1" s="1"/>
  <c r="U32" i="1"/>
  <c r="R64" i="1"/>
  <c r="T64" i="1" s="1"/>
  <c r="R66" i="1"/>
  <c r="T66" i="1" s="1"/>
  <c r="R62" i="1"/>
  <c r="T62" i="1" s="1"/>
  <c r="R60" i="1"/>
  <c r="R26" i="1"/>
  <c r="T26" i="1" s="1"/>
  <c r="R30" i="1"/>
  <c r="T30" i="1" s="1"/>
  <c r="R38" i="1"/>
  <c r="T38" i="1" s="1"/>
  <c r="R40" i="1"/>
  <c r="T40" i="1" s="1"/>
  <c r="R50" i="1"/>
  <c r="T50" i="1" s="1"/>
  <c r="R52" i="1"/>
  <c r="T52" i="1" s="1"/>
  <c r="R54" i="1"/>
  <c r="T54" i="1" s="1"/>
  <c r="R10" i="1"/>
  <c r="T10" i="1" s="1"/>
  <c r="R12" i="1"/>
  <c r="T12" i="1" s="1"/>
  <c r="R14" i="1"/>
  <c r="T14" i="1" s="1"/>
  <c r="U22" i="1"/>
  <c r="U58" i="1"/>
  <c r="R28" i="1"/>
  <c r="T28" i="1" s="1"/>
  <c r="R36" i="1"/>
  <c r="T36" i="1" s="1"/>
  <c r="R48" i="1"/>
  <c r="T48" i="1" s="1"/>
  <c r="P61" i="1"/>
  <c r="P49" i="1"/>
  <c r="P63" i="1"/>
  <c r="P66" i="1"/>
  <c r="P64" i="1"/>
  <c r="P62" i="1"/>
  <c r="P60" i="1"/>
  <c r="P53" i="1"/>
  <c r="P26" i="1"/>
  <c r="P28" i="1"/>
  <c r="P36" i="1"/>
  <c r="P48" i="1"/>
  <c r="P52" i="1"/>
  <c r="P54" i="1"/>
  <c r="P10" i="1"/>
  <c r="P12" i="1"/>
  <c r="P14" i="1"/>
  <c r="P38" i="1"/>
  <c r="P40" i="1"/>
  <c r="P50" i="1"/>
  <c r="M59" i="1"/>
  <c r="M49" i="1"/>
  <c r="M51" i="1"/>
  <c r="M37" i="1"/>
  <c r="M39" i="1"/>
  <c r="M31" i="1"/>
  <c r="J66" i="1"/>
  <c r="L66" i="1" s="1"/>
  <c r="J64" i="1"/>
  <c r="L64" i="1" s="1"/>
  <c r="J62" i="1"/>
  <c r="L62" i="1" s="1"/>
  <c r="J60" i="1"/>
  <c r="L60" i="1" s="1"/>
  <c r="M11" i="1"/>
  <c r="M15" i="1"/>
  <c r="J63" i="1"/>
  <c r="L63" i="1" s="1"/>
  <c r="M19" i="1"/>
  <c r="J53" i="1"/>
  <c r="L53" i="1" s="1"/>
  <c r="M67" i="1"/>
  <c r="M61" i="1"/>
  <c r="J65" i="1"/>
  <c r="L65" i="1" s="1"/>
  <c r="M8" i="1"/>
  <c r="M34" i="1"/>
  <c r="M44" i="1"/>
  <c r="J30" i="1"/>
  <c r="L30" i="1" s="1"/>
  <c r="J36" i="1"/>
  <c r="L36" i="1" s="1"/>
  <c r="J38" i="1"/>
  <c r="L38" i="1" s="1"/>
  <c r="J48" i="1"/>
  <c r="L48" i="1" s="1"/>
  <c r="J52" i="1"/>
  <c r="L52" i="1" s="1"/>
  <c r="J54" i="1"/>
  <c r="L54" i="1" s="1"/>
  <c r="J10" i="1"/>
  <c r="L10" i="1" s="1"/>
  <c r="J12" i="1"/>
  <c r="L12" i="1" s="1"/>
  <c r="J14" i="1"/>
  <c r="L14" i="1" s="1"/>
  <c r="J26" i="1"/>
  <c r="J28" i="1"/>
  <c r="L28" i="1" s="1"/>
  <c r="J40" i="1"/>
  <c r="L40" i="1" s="1"/>
  <c r="J50" i="1"/>
  <c r="L50" i="1" s="1"/>
  <c r="Q71" i="1" l="1"/>
  <c r="AI71" i="1" s="1"/>
  <c r="AH71" i="1"/>
  <c r="Q62" i="1"/>
  <c r="AI62" i="1" s="1"/>
  <c r="AH62" i="1"/>
  <c r="Q65" i="1"/>
  <c r="AI65" i="1" s="1"/>
  <c r="AH65" i="1"/>
  <c r="Q64" i="1"/>
  <c r="AI64" i="1" s="1"/>
  <c r="AH64" i="1"/>
  <c r="Q61" i="1"/>
  <c r="AI61" i="1" s="1"/>
  <c r="AH61" i="1"/>
  <c r="Q67" i="1"/>
  <c r="AI67" i="1" s="1"/>
  <c r="AH67" i="1"/>
  <c r="Q66" i="1"/>
  <c r="AI66" i="1" s="1"/>
  <c r="AH66" i="1"/>
  <c r="Q60" i="1"/>
  <c r="AI60" i="1" s="1"/>
  <c r="AH60" i="1"/>
  <c r="Q63" i="1"/>
  <c r="AI63" i="1" s="1"/>
  <c r="AH63" i="1"/>
  <c r="Q54" i="1"/>
  <c r="AI54" i="1" s="1"/>
  <c r="AH54" i="1"/>
  <c r="Q52" i="1"/>
  <c r="AI52" i="1" s="1"/>
  <c r="AH52" i="1"/>
  <c r="Q50" i="1"/>
  <c r="AI50" i="1" s="1"/>
  <c r="AH50" i="1"/>
  <c r="Q48" i="1"/>
  <c r="AI48" i="1" s="1"/>
  <c r="AH48" i="1"/>
  <c r="Q53" i="1"/>
  <c r="AI53" i="1" s="1"/>
  <c r="AH53" i="1"/>
  <c r="Q51" i="1"/>
  <c r="AI51" i="1" s="1"/>
  <c r="AH51" i="1"/>
  <c r="Q49" i="1"/>
  <c r="AI49" i="1" s="1"/>
  <c r="AH49" i="1"/>
  <c r="Q55" i="1"/>
  <c r="AI55" i="1" s="1"/>
  <c r="AH55" i="1"/>
  <c r="Q42" i="1"/>
  <c r="AI42" i="1" s="1"/>
  <c r="AH42" i="1"/>
  <c r="P43" i="1"/>
  <c r="Q34" i="1"/>
  <c r="AI34" i="1" s="1"/>
  <c r="AH34" i="1"/>
  <c r="Q37" i="1"/>
  <c r="AI37" i="1" s="1"/>
  <c r="AH37" i="1"/>
  <c r="Q38" i="1"/>
  <c r="AI38" i="1" s="1"/>
  <c r="AH38" i="1"/>
  <c r="Q39" i="1"/>
  <c r="AI39" i="1" s="1"/>
  <c r="AH39" i="1"/>
  <c r="Q40" i="1"/>
  <c r="AI40" i="1" s="1"/>
  <c r="AH40" i="1"/>
  <c r="Q36" i="1"/>
  <c r="AI36" i="1" s="1"/>
  <c r="AH36" i="1"/>
  <c r="Q31" i="1"/>
  <c r="AI31" i="1" s="1"/>
  <c r="AH31" i="1"/>
  <c r="Q26" i="1"/>
  <c r="AI26" i="1" s="1"/>
  <c r="AH26" i="1"/>
  <c r="Q32" i="1"/>
  <c r="AI32" i="1" s="1"/>
  <c r="AH32" i="1"/>
  <c r="P33" i="1"/>
  <c r="Q24" i="1"/>
  <c r="AI24" i="1" s="1"/>
  <c r="AH24" i="1"/>
  <c r="Q28" i="1"/>
  <c r="AI28" i="1" s="1"/>
  <c r="AH28" i="1"/>
  <c r="Q29" i="1"/>
  <c r="AI29" i="1" s="1"/>
  <c r="AH29" i="1"/>
  <c r="Q25" i="1"/>
  <c r="AI25" i="1" s="1"/>
  <c r="AH25" i="1"/>
  <c r="Q27" i="1"/>
  <c r="AI27" i="1" s="1"/>
  <c r="AH27" i="1"/>
  <c r="Q30" i="1"/>
  <c r="AI30" i="1" s="1"/>
  <c r="AH30" i="1"/>
  <c r="Q9" i="1"/>
  <c r="AI9" i="1" s="1"/>
  <c r="AH9" i="1"/>
  <c r="Q8" i="1"/>
  <c r="AI8" i="1" s="1"/>
  <c r="P17" i="1"/>
  <c r="AH8" i="1"/>
  <c r="Q11" i="1"/>
  <c r="AI11" i="1" s="1"/>
  <c r="AH11" i="1"/>
  <c r="Q14" i="1"/>
  <c r="AI14" i="1" s="1"/>
  <c r="AH14" i="1"/>
  <c r="Q10" i="1"/>
  <c r="AI10" i="1" s="1"/>
  <c r="AH10" i="1"/>
  <c r="Q13" i="1"/>
  <c r="AI13" i="1" s="1"/>
  <c r="AH13" i="1"/>
  <c r="Q12" i="1"/>
  <c r="AI12" i="1" s="1"/>
  <c r="AH12" i="1"/>
  <c r="Q16" i="1"/>
  <c r="AI16" i="1" s="1"/>
  <c r="AH16" i="1"/>
  <c r="J17" i="1"/>
  <c r="AB71" i="1"/>
  <c r="AC71" i="1" s="1"/>
  <c r="P68" i="1"/>
  <c r="Z68" i="1"/>
  <c r="AB68" i="1" s="1"/>
  <c r="AC68" i="1" s="1"/>
  <c r="AF17" i="1"/>
  <c r="V68" i="1"/>
  <c r="X68" i="1" s="1"/>
  <c r="X35" i="1"/>
  <c r="AD68" i="1"/>
  <c r="AF68" i="1" s="1"/>
  <c r="AF69" i="1" s="1"/>
  <c r="R43" i="1"/>
  <c r="Z33" i="1"/>
  <c r="AB26" i="1"/>
  <c r="J43" i="1"/>
  <c r="R68" i="1"/>
  <c r="T68" i="1" s="1"/>
  <c r="T60" i="1"/>
  <c r="J68" i="1"/>
  <c r="L68" i="1" s="1"/>
  <c r="L9" i="1"/>
  <c r="J33" i="1"/>
  <c r="L26" i="1"/>
  <c r="R17" i="1"/>
  <c r="M70" i="1"/>
  <c r="Z17" i="1"/>
  <c r="AB12" i="1"/>
  <c r="AB17" i="1" s="1"/>
  <c r="AC17" i="1" s="1"/>
  <c r="AG40" i="1"/>
  <c r="AG51" i="1"/>
  <c r="AG68" i="1"/>
  <c r="AG44" i="1"/>
  <c r="AG38" i="1"/>
  <c r="AG66" i="1"/>
  <c r="AG54" i="1"/>
  <c r="AG16" i="1"/>
  <c r="AG14" i="1"/>
  <c r="AG48" i="1"/>
  <c r="AG10" i="1"/>
  <c r="AG67" i="1"/>
  <c r="AG26" i="1"/>
  <c r="AG50" i="1"/>
  <c r="AG62" i="1"/>
  <c r="AG17" i="1"/>
  <c r="AG64" i="1"/>
  <c r="AG34" i="1"/>
  <c r="AG32" i="1"/>
  <c r="AG52" i="1"/>
  <c r="AG24" i="1"/>
  <c r="AF33" i="1"/>
  <c r="AG33" i="1" s="1"/>
  <c r="AG28" i="1"/>
  <c r="AD33" i="1"/>
  <c r="AG12" i="1"/>
  <c r="AD43" i="1"/>
  <c r="AG36" i="1"/>
  <c r="AG65" i="1"/>
  <c r="AG42" i="1"/>
  <c r="AG60" i="1"/>
  <c r="AD69" i="1"/>
  <c r="AD17" i="1"/>
  <c r="AC30" i="1"/>
  <c r="AC50" i="1"/>
  <c r="AC67" i="1"/>
  <c r="AC64" i="1"/>
  <c r="AC65" i="1"/>
  <c r="AC48" i="1"/>
  <c r="AC8" i="1"/>
  <c r="AC66" i="1"/>
  <c r="AC40" i="1"/>
  <c r="AC63" i="1"/>
  <c r="AC38" i="1"/>
  <c r="Z43" i="1"/>
  <c r="AC61" i="1"/>
  <c r="AC11" i="1"/>
  <c r="AC57" i="1"/>
  <c r="AC54" i="1"/>
  <c r="AC28" i="1"/>
  <c r="AC16" i="1"/>
  <c r="AC60" i="1"/>
  <c r="AC52" i="1"/>
  <c r="AC12" i="1"/>
  <c r="AC62" i="1"/>
  <c r="Y68" i="1"/>
  <c r="Y16" i="1"/>
  <c r="Y62" i="1"/>
  <c r="Y27" i="1"/>
  <c r="Y14" i="1"/>
  <c r="Y54" i="1"/>
  <c r="Y34" i="1"/>
  <c r="Y67" i="1"/>
  <c r="Y52" i="1"/>
  <c r="Y12" i="1"/>
  <c r="Y51" i="1"/>
  <c r="V33" i="1"/>
  <c r="Y49" i="1"/>
  <c r="Y65" i="1"/>
  <c r="V43" i="1"/>
  <c r="Y40" i="1"/>
  <c r="Y60" i="1"/>
  <c r="Y55" i="1"/>
  <c r="V69" i="1"/>
  <c r="Y53" i="1"/>
  <c r="V17" i="1"/>
  <c r="Y24" i="1"/>
  <c r="X33" i="1"/>
  <c r="Y33" i="1" s="1"/>
  <c r="Y44" i="1"/>
  <c r="Y61" i="1"/>
  <c r="Y48" i="1"/>
  <c r="Y35" i="1"/>
  <c r="Y66" i="1"/>
  <c r="Y70" i="1"/>
  <c r="X71" i="1"/>
  <c r="Y64" i="1"/>
  <c r="Y63" i="1"/>
  <c r="U68" i="1"/>
  <c r="U70" i="1"/>
  <c r="T71" i="1"/>
  <c r="U52" i="1"/>
  <c r="U50" i="1"/>
  <c r="U16" i="1"/>
  <c r="U62" i="1"/>
  <c r="U14" i="1"/>
  <c r="U40" i="1"/>
  <c r="U12" i="1"/>
  <c r="U64" i="1"/>
  <c r="U48" i="1"/>
  <c r="U30" i="1"/>
  <c r="U28" i="1"/>
  <c r="U54" i="1"/>
  <c r="U67" i="1"/>
  <c r="U61" i="1"/>
  <c r="R69" i="1"/>
  <c r="U44" i="1"/>
  <c r="U42" i="1"/>
  <c r="U34" i="1"/>
  <c r="U66" i="1"/>
  <c r="R33" i="1"/>
  <c r="U24" i="1"/>
  <c r="T33" i="1"/>
  <c r="U33" i="1" s="1"/>
  <c r="U38" i="1"/>
  <c r="U36" i="1"/>
  <c r="U26" i="1"/>
  <c r="U51" i="1"/>
  <c r="N43" i="1"/>
  <c r="N33" i="1"/>
  <c r="N17" i="1"/>
  <c r="M64" i="1"/>
  <c r="M53" i="1"/>
  <c r="M66" i="1"/>
  <c r="M50" i="1"/>
  <c r="M52" i="1"/>
  <c r="M40" i="1"/>
  <c r="M48" i="1"/>
  <c r="M32" i="1"/>
  <c r="M42" i="1"/>
  <c r="M54" i="1"/>
  <c r="M65" i="1"/>
  <c r="M57" i="1"/>
  <c r="M14" i="1"/>
  <c r="M60" i="1"/>
  <c r="M28" i="1"/>
  <c r="M38" i="1"/>
  <c r="M12" i="1"/>
  <c r="M30" i="1"/>
  <c r="M63" i="1"/>
  <c r="M62" i="1"/>
  <c r="F70" i="1"/>
  <c r="AH9" i="10"/>
  <c r="AC9" i="10"/>
  <c r="X9" i="10"/>
  <c r="S9" i="10"/>
  <c r="I9" i="10"/>
  <c r="D9" i="10"/>
  <c r="Q43" i="1" l="1"/>
  <c r="AI43" i="1" s="1"/>
  <c r="AH43" i="1"/>
  <c r="Q33" i="1"/>
  <c r="AI33" i="1" s="1"/>
  <c r="AH33" i="1"/>
  <c r="P69" i="1"/>
  <c r="Q68" i="1"/>
  <c r="AI68" i="1" s="1"/>
  <c r="AH68" i="1"/>
  <c r="Q17" i="1"/>
  <c r="AI17" i="1" s="1"/>
  <c r="AH17" i="1"/>
  <c r="Z69" i="1"/>
  <c r="L17" i="1"/>
  <c r="M9" i="1"/>
  <c r="N69" i="1"/>
  <c r="AG69" i="1"/>
  <c r="AF43" i="1"/>
  <c r="AG43" i="1" s="1"/>
  <c r="AB69" i="1"/>
  <c r="AC36" i="1"/>
  <c r="AB43" i="1"/>
  <c r="AC43" i="1" s="1"/>
  <c r="AC26" i="1"/>
  <c r="AB33" i="1"/>
  <c r="AC33" i="1" s="1"/>
  <c r="Y10" i="1"/>
  <c r="X17" i="1"/>
  <c r="Y17" i="1" s="1"/>
  <c r="Y71" i="1"/>
  <c r="X69" i="1"/>
  <c r="Y69" i="1" s="1"/>
  <c r="X43" i="1"/>
  <c r="Y43" i="1" s="1"/>
  <c r="U10" i="1"/>
  <c r="T17" i="1"/>
  <c r="U17" i="1" s="1"/>
  <c r="T43" i="1"/>
  <c r="U43" i="1" s="1"/>
  <c r="U60" i="1"/>
  <c r="T69" i="1"/>
  <c r="U69" i="1" s="1"/>
  <c r="U71" i="1"/>
  <c r="M36" i="1"/>
  <c r="L43" i="1"/>
  <c r="M43" i="1" s="1"/>
  <c r="M68" i="1"/>
  <c r="M26" i="1"/>
  <c r="L33" i="1"/>
  <c r="M33" i="1" s="1"/>
  <c r="J69" i="1"/>
  <c r="M10" i="1"/>
  <c r="M17" i="1"/>
  <c r="AH8" i="10"/>
  <c r="AC8" i="10"/>
  <c r="X8" i="10"/>
  <c r="S8" i="10"/>
  <c r="N8" i="10"/>
  <c r="I8" i="10"/>
  <c r="D8" i="10"/>
  <c r="AM7" i="10"/>
  <c r="AM6" i="10"/>
  <c r="Q69" i="1" l="1"/>
  <c r="AI69" i="1" s="1"/>
  <c r="AH69" i="1"/>
  <c r="AM8" i="10"/>
  <c r="AM9" i="10" s="1"/>
  <c r="AC69" i="1"/>
  <c r="L69" i="1"/>
  <c r="M69" i="1" l="1"/>
  <c r="F59" i="1"/>
  <c r="F58" i="1"/>
  <c r="F57" i="1"/>
  <c r="F67" i="1" s="1"/>
  <c r="F44" i="1"/>
  <c r="F34" i="1"/>
  <c r="F42" i="1" s="1"/>
  <c r="F24" i="1"/>
  <c r="F26" i="1" l="1"/>
  <c r="F32" i="1"/>
  <c r="F28" i="1"/>
  <c r="F25" i="1"/>
  <c r="F27" i="1"/>
  <c r="H71" i="1" l="1"/>
  <c r="H58" i="1"/>
  <c r="I58" i="1" s="1"/>
  <c r="H59" i="1"/>
  <c r="H67" i="1"/>
  <c r="H57" i="1"/>
  <c r="H44" i="1"/>
  <c r="H42" i="1"/>
  <c r="I42" i="1" s="1"/>
  <c r="H34" i="1"/>
  <c r="I34" i="1" s="1"/>
  <c r="H32" i="1"/>
  <c r="I32" i="1" s="1"/>
  <c r="H24" i="1"/>
  <c r="I24" i="1" s="1"/>
  <c r="H20" i="1"/>
  <c r="H21" i="1"/>
  <c r="L21" i="1" s="1"/>
  <c r="H16" i="1"/>
  <c r="I16" i="1" s="1"/>
  <c r="H8" i="1"/>
  <c r="I8" i="1" s="1"/>
  <c r="F71" i="1"/>
  <c r="F64" i="1"/>
  <c r="H64" i="1" s="1"/>
  <c r="F60" i="1"/>
  <c r="H60" i="1" s="1"/>
  <c r="F47" i="1"/>
  <c r="H47" i="1" s="1"/>
  <c r="F46" i="1"/>
  <c r="F51" i="1"/>
  <c r="H51" i="1" s="1"/>
  <c r="F41" i="1"/>
  <c r="F40" i="1"/>
  <c r="H40" i="1" s="1"/>
  <c r="I40" i="1" s="1"/>
  <c r="F39" i="1"/>
  <c r="H39" i="1" s="1"/>
  <c r="F38" i="1"/>
  <c r="H38" i="1" s="1"/>
  <c r="F36" i="1"/>
  <c r="H36" i="1" s="1"/>
  <c r="F35" i="1"/>
  <c r="H35" i="1" s="1"/>
  <c r="F37" i="1"/>
  <c r="H37" i="1" s="1"/>
  <c r="F31" i="1"/>
  <c r="H31" i="1" s="1"/>
  <c r="F30" i="1"/>
  <c r="H30" i="1" s="1"/>
  <c r="H28" i="1"/>
  <c r="F29" i="1"/>
  <c r="H29" i="1" s="1"/>
  <c r="F22" i="1"/>
  <c r="H22" i="1" s="1"/>
  <c r="F19" i="1"/>
  <c r="H19" i="1" s="1"/>
  <c r="H18" i="1"/>
  <c r="F15" i="1"/>
  <c r="H15" i="1" s="1"/>
  <c r="F14" i="1"/>
  <c r="F12" i="1"/>
  <c r="H12" i="1" s="1"/>
  <c r="F9" i="1"/>
  <c r="F13" i="1"/>
  <c r="H13" i="1" s="1"/>
  <c r="F55" i="1" l="1"/>
  <c r="H55" i="1" s="1"/>
  <c r="H46" i="1"/>
  <c r="I18" i="1"/>
  <c r="M21" i="1"/>
  <c r="P21" i="1"/>
  <c r="I46" i="1"/>
  <c r="H9" i="1"/>
  <c r="I9" i="1" s="1"/>
  <c r="H14" i="1"/>
  <c r="I14" i="1" s="1"/>
  <c r="H41" i="1"/>
  <c r="I41" i="1" s="1"/>
  <c r="H25" i="1"/>
  <c r="I25" i="1" s="1"/>
  <c r="I21" i="1"/>
  <c r="H23" i="1"/>
  <c r="I57" i="1"/>
  <c r="I39" i="1"/>
  <c r="I38" i="1"/>
  <c r="I59" i="1"/>
  <c r="I12" i="1"/>
  <c r="I19" i="1"/>
  <c r="I30" i="1"/>
  <c r="I31" i="1"/>
  <c r="I47" i="1"/>
  <c r="I35" i="1"/>
  <c r="I60" i="1"/>
  <c r="I28" i="1"/>
  <c r="I36" i="1"/>
  <c r="I64" i="1"/>
  <c r="I20" i="1"/>
  <c r="I22" i="1"/>
  <c r="I15" i="1"/>
  <c r="I13" i="1"/>
  <c r="I51" i="1"/>
  <c r="I29" i="1"/>
  <c r="I37" i="1"/>
  <c r="F23" i="1"/>
  <c r="F45" i="1" s="1"/>
  <c r="F52" i="1"/>
  <c r="H52" i="1" s="1"/>
  <c r="F62" i="1"/>
  <c r="H62" i="1" s="1"/>
  <c r="F66" i="1"/>
  <c r="H66" i="1" s="1"/>
  <c r="F49" i="1"/>
  <c r="H49" i="1" s="1"/>
  <c r="F11" i="1"/>
  <c r="H11" i="1" s="1"/>
  <c r="H27" i="1"/>
  <c r="F43" i="1"/>
  <c r="I70" i="1"/>
  <c r="F50" i="1"/>
  <c r="H50" i="1" s="1"/>
  <c r="F53" i="1"/>
  <c r="H53" i="1" s="1"/>
  <c r="F63" i="1"/>
  <c r="H63" i="1" s="1"/>
  <c r="F54" i="1"/>
  <c r="H54" i="1" s="1"/>
  <c r="I44" i="1"/>
  <c r="F48" i="1"/>
  <c r="H48" i="1" s="1"/>
  <c r="F10" i="1"/>
  <c r="H26" i="1"/>
  <c r="F61" i="1"/>
  <c r="H61" i="1" s="1"/>
  <c r="F65" i="1"/>
  <c r="H65" i="1" s="1"/>
  <c r="F68" i="1" l="1"/>
  <c r="Q21" i="1"/>
  <c r="T21" i="1"/>
  <c r="U21" i="1" s="1"/>
  <c r="X21" i="1" s="1"/>
  <c r="Y21" i="1" s="1"/>
  <c r="AB21" i="1" s="1"/>
  <c r="AC21" i="1" s="1"/>
  <c r="AF21" i="1" s="1"/>
  <c r="AG21" i="1" s="1"/>
  <c r="L18" i="1"/>
  <c r="J23" i="1"/>
  <c r="H43" i="1"/>
  <c r="I43" i="1" s="1"/>
  <c r="F17" i="1"/>
  <c r="H10" i="1"/>
  <c r="H17" i="1" s="1"/>
  <c r="I17" i="1" s="1"/>
  <c r="H68" i="1"/>
  <c r="H69" i="1" s="1"/>
  <c r="H33" i="1"/>
  <c r="I33" i="1" s="1"/>
  <c r="F33" i="1"/>
  <c r="I65" i="1"/>
  <c r="I54" i="1"/>
  <c r="I53" i="1"/>
  <c r="I61" i="1"/>
  <c r="I50" i="1"/>
  <c r="I27" i="1"/>
  <c r="I26" i="1"/>
  <c r="I11" i="1"/>
  <c r="I66" i="1"/>
  <c r="I71" i="1"/>
  <c r="I62" i="1"/>
  <c r="I67" i="1"/>
  <c r="I49" i="1"/>
  <c r="I55" i="1"/>
  <c r="I63" i="1"/>
  <c r="I52" i="1"/>
  <c r="I48" i="1"/>
  <c r="I23" i="1"/>
  <c r="H45" i="1"/>
  <c r="H56" i="1" s="1"/>
  <c r="J45" i="1" l="1"/>
  <c r="L45" i="1" s="1"/>
  <c r="M18" i="1"/>
  <c r="L23" i="1"/>
  <c r="M23" i="1" s="1"/>
  <c r="I10" i="1"/>
  <c r="H72" i="1"/>
  <c r="F69" i="1"/>
  <c r="I45" i="1"/>
  <c r="F56" i="1"/>
  <c r="I68" i="1"/>
  <c r="H74" i="1" l="1"/>
  <c r="J56" i="1"/>
  <c r="M45" i="1"/>
  <c r="L56" i="1"/>
  <c r="N23" i="1"/>
  <c r="P18" i="1"/>
  <c r="I56" i="1"/>
  <c r="F72" i="1"/>
  <c r="F73" i="1" s="1"/>
  <c r="F74" i="1" s="1"/>
  <c r="F79" i="1" s="1"/>
  <c r="I69" i="1"/>
  <c r="H79" i="1" l="1"/>
  <c r="H80" i="1" s="1"/>
  <c r="H77" i="1" s="1"/>
  <c r="H75" i="1"/>
  <c r="H76" i="1"/>
  <c r="J72" i="1"/>
  <c r="J73" i="1" s="1"/>
  <c r="N56" i="1"/>
  <c r="M56" i="1"/>
  <c r="M72" i="1" s="1"/>
  <c r="L72" i="1"/>
  <c r="Q18" i="1"/>
  <c r="P23" i="1"/>
  <c r="I72" i="1"/>
  <c r="P45" i="1" l="1"/>
  <c r="Q23" i="1"/>
  <c r="AH23" i="1"/>
  <c r="M74" i="1"/>
  <c r="L74" i="1"/>
  <c r="T18" i="1"/>
  <c r="R23" i="1"/>
  <c r="H78" i="1"/>
  <c r="H81" i="1" s="1"/>
  <c r="H82" i="1" s="1"/>
  <c r="I74" i="1"/>
  <c r="P56" i="1" l="1"/>
  <c r="Q45" i="1"/>
  <c r="AI45" i="1" s="1"/>
  <c r="AH45" i="1"/>
  <c r="AI23" i="1"/>
  <c r="L79" i="1"/>
  <c r="L80" i="1" s="1"/>
  <c r="L75" i="1" s="1"/>
  <c r="L77" i="1"/>
  <c r="L76" i="1"/>
  <c r="M79" i="1"/>
  <c r="M80" i="1" s="1"/>
  <c r="M77" i="1"/>
  <c r="M76" i="1"/>
  <c r="M75" i="1"/>
  <c r="I79" i="1"/>
  <c r="I80" i="1" s="1"/>
  <c r="I75" i="1"/>
  <c r="I77" i="1"/>
  <c r="I76" i="1"/>
  <c r="J74" i="1"/>
  <c r="J79" i="1" s="1"/>
  <c r="R45" i="1"/>
  <c r="T45" i="1" s="1"/>
  <c r="U18" i="1"/>
  <c r="T23" i="1"/>
  <c r="U23" i="1" s="1"/>
  <c r="Q56" i="1" l="1"/>
  <c r="AH56" i="1"/>
  <c r="L78" i="1"/>
  <c r="L81" i="1" s="1"/>
  <c r="L82" i="1" s="1"/>
  <c r="M78" i="1"/>
  <c r="M81" i="1" s="1"/>
  <c r="M82" i="1" s="1"/>
  <c r="N74" i="1"/>
  <c r="N79" i="1" s="1"/>
  <c r="R56" i="1"/>
  <c r="U45" i="1"/>
  <c r="T56" i="1"/>
  <c r="X18" i="1"/>
  <c r="V23" i="1"/>
  <c r="I78" i="1"/>
  <c r="I81" i="1" s="1"/>
  <c r="I82" i="1" s="1"/>
  <c r="F80" i="1"/>
  <c r="P73" i="1" l="1"/>
  <c r="AH72" i="1"/>
  <c r="AI56" i="1"/>
  <c r="AI72" i="1"/>
  <c r="V45" i="1"/>
  <c r="V56" i="1" s="1"/>
  <c r="R72" i="1"/>
  <c r="R73" i="1" s="1"/>
  <c r="J80" i="1"/>
  <c r="T72" i="1"/>
  <c r="U56" i="1"/>
  <c r="U72" i="1" s="1"/>
  <c r="Y18" i="1"/>
  <c r="X23" i="1"/>
  <c r="Y23" i="1" s="1"/>
  <c r="F76" i="1"/>
  <c r="F77" i="1"/>
  <c r="F75" i="1"/>
  <c r="Q73" i="1" l="1"/>
  <c r="AH73" i="1"/>
  <c r="P74" i="1"/>
  <c r="V72" i="1"/>
  <c r="V73" i="1" s="1"/>
  <c r="N80" i="1"/>
  <c r="X45" i="1"/>
  <c r="Y45" i="1" s="1"/>
  <c r="J75" i="1"/>
  <c r="J77" i="1"/>
  <c r="J76" i="1"/>
  <c r="U74" i="1"/>
  <c r="T74" i="1"/>
  <c r="AB18" i="1"/>
  <c r="Z23" i="1"/>
  <c r="F78" i="1"/>
  <c r="N77" i="1" l="1"/>
  <c r="N76" i="1"/>
  <c r="N75" i="1"/>
  <c r="P79" i="1"/>
  <c r="AH74" i="1"/>
  <c r="AI73" i="1"/>
  <c r="Q74" i="1"/>
  <c r="AI74" i="1" s="1"/>
  <c r="U79" i="1"/>
  <c r="U80" i="1" s="1"/>
  <c r="U77" i="1"/>
  <c r="U75" i="1"/>
  <c r="U76" i="1"/>
  <c r="T79" i="1"/>
  <c r="T80" i="1" s="1"/>
  <c r="T76" i="1"/>
  <c r="T77" i="1"/>
  <c r="T75" i="1"/>
  <c r="X56" i="1"/>
  <c r="R74" i="1"/>
  <c r="R79" i="1" s="1"/>
  <c r="J78" i="1"/>
  <c r="Z45" i="1"/>
  <c r="AB45" i="1" s="1"/>
  <c r="F81" i="1"/>
  <c r="V74" i="1"/>
  <c r="V79" i="1" s="1"/>
  <c r="Y56" i="1"/>
  <c r="Y72" i="1" s="1"/>
  <c r="X72" i="1"/>
  <c r="AB23" i="1"/>
  <c r="AC23" i="1" s="1"/>
  <c r="AC18" i="1"/>
  <c r="Q79" i="1" l="1"/>
  <c r="P80" i="1"/>
  <c r="AH79" i="1"/>
  <c r="Z56" i="1"/>
  <c r="Z72" i="1" s="1"/>
  <c r="Z73" i="1" s="1"/>
  <c r="F82" i="1"/>
  <c r="G5" i="9" s="1"/>
  <c r="M5" i="9" s="1"/>
  <c r="N78" i="1"/>
  <c r="J81" i="1"/>
  <c r="U78" i="1"/>
  <c r="U81" i="1" s="1"/>
  <c r="U82" i="1" s="1"/>
  <c r="AF18" i="1"/>
  <c r="AD23" i="1"/>
  <c r="X74" i="1"/>
  <c r="AC45" i="1"/>
  <c r="AB56" i="1"/>
  <c r="Y74" i="1"/>
  <c r="T78" i="1"/>
  <c r="T81" i="1" s="1"/>
  <c r="T82" i="1" s="1"/>
  <c r="P75" i="1" l="1"/>
  <c r="P77" i="1"/>
  <c r="AH80" i="1"/>
  <c r="P76" i="1"/>
  <c r="Q80" i="1"/>
  <c r="AI79" i="1"/>
  <c r="Y79" i="1"/>
  <c r="Y80" i="1" s="1"/>
  <c r="Y77" i="1" s="1"/>
  <c r="G81" i="1"/>
  <c r="G23" i="1"/>
  <c r="G33" i="1"/>
  <c r="G55" i="1"/>
  <c r="G29" i="1"/>
  <c r="G51" i="1"/>
  <c r="G25" i="1"/>
  <c r="G48" i="1"/>
  <c r="G21" i="1"/>
  <c r="G68" i="1"/>
  <c r="G42" i="1"/>
  <c r="G10" i="1"/>
  <c r="G69" i="1"/>
  <c r="G30" i="1"/>
  <c r="G20" i="1"/>
  <c r="G65" i="1"/>
  <c r="G38" i="1"/>
  <c r="G13" i="1"/>
  <c r="G64" i="1"/>
  <c r="G60" i="1"/>
  <c r="G47" i="1"/>
  <c r="G39" i="1"/>
  <c r="G82" i="1"/>
  <c r="G71" i="1"/>
  <c r="G19" i="1"/>
  <c r="G12" i="1"/>
  <c r="G43" i="1"/>
  <c r="G67" i="1"/>
  <c r="G57" i="1"/>
  <c r="G46" i="1"/>
  <c r="G14" i="1"/>
  <c r="G16" i="1"/>
  <c r="G28" i="1"/>
  <c r="G22" i="1"/>
  <c r="G37" i="1"/>
  <c r="G35" i="1"/>
  <c r="G34" i="1"/>
  <c r="G18" i="1"/>
  <c r="G9" i="1"/>
  <c r="G11" i="1"/>
  <c r="G40" i="1"/>
  <c r="G8" i="1"/>
  <c r="G36" i="1"/>
  <c r="G52" i="1"/>
  <c r="G54" i="1"/>
  <c r="G49" i="1"/>
  <c r="G32" i="1"/>
  <c r="G26" i="1"/>
  <c r="G70" i="1"/>
  <c r="G63" i="1"/>
  <c r="G58" i="1"/>
  <c r="G41" i="1"/>
  <c r="G44" i="1"/>
  <c r="G53" i="1"/>
  <c r="G66" i="1"/>
  <c r="G50" i="1"/>
  <c r="G61" i="1"/>
  <c r="G62" i="1"/>
  <c r="G15" i="1"/>
  <c r="G17" i="1"/>
  <c r="G59" i="1"/>
  <c r="G31" i="1"/>
  <c r="G27" i="1"/>
  <c r="G24" i="1"/>
  <c r="G45" i="1"/>
  <c r="G56" i="1"/>
  <c r="G72" i="1"/>
  <c r="G73" i="1"/>
  <c r="G74" i="1"/>
  <c r="G79" i="1"/>
  <c r="G80" i="1"/>
  <c r="G75" i="1"/>
  <c r="G77" i="1"/>
  <c r="G76" i="1"/>
  <c r="G78" i="1"/>
  <c r="J82" i="1"/>
  <c r="N81" i="1"/>
  <c r="N82" i="1" s="1"/>
  <c r="O6" i="10" s="1"/>
  <c r="R80" i="1"/>
  <c r="AD45" i="1"/>
  <c r="V80" i="1"/>
  <c r="X79" i="1"/>
  <c r="X80" i="1" s="1"/>
  <c r="X77" i="1" s="1"/>
  <c r="AC56" i="1"/>
  <c r="AC72" i="1" s="1"/>
  <c r="AB72" i="1"/>
  <c r="AG18" i="1"/>
  <c r="AF23" i="1"/>
  <c r="AG23" i="1" s="1"/>
  <c r="H5" i="9"/>
  <c r="J5" i="9" s="1"/>
  <c r="K5" i="9"/>
  <c r="E6" i="10"/>
  <c r="Q76" i="1" l="1"/>
  <c r="AI76" i="1" s="1"/>
  <c r="AH76" i="1"/>
  <c r="AH77" i="1"/>
  <c r="Q77" i="1"/>
  <c r="AI77" i="1" s="1"/>
  <c r="Q75" i="1"/>
  <c r="AI80" i="1"/>
  <c r="AH75" i="1"/>
  <c r="P78" i="1"/>
  <c r="X76" i="1"/>
  <c r="Y75" i="1"/>
  <c r="X75" i="1"/>
  <c r="Y76" i="1"/>
  <c r="K81" i="1"/>
  <c r="J6" i="10"/>
  <c r="K6" i="10" s="1"/>
  <c r="I5" i="9"/>
  <c r="V75" i="1"/>
  <c r="V76" i="1"/>
  <c r="V77" i="1"/>
  <c r="G6" i="9"/>
  <c r="K12" i="1"/>
  <c r="K21" i="1"/>
  <c r="K29" i="1"/>
  <c r="K37" i="1"/>
  <c r="K53" i="1"/>
  <c r="K61" i="1"/>
  <c r="K69" i="1"/>
  <c r="K13" i="1"/>
  <c r="K22" i="1"/>
  <c r="K30" i="1"/>
  <c r="K38" i="1"/>
  <c r="K46" i="1"/>
  <c r="K54" i="1"/>
  <c r="K62" i="1"/>
  <c r="K70" i="1"/>
  <c r="K20" i="1"/>
  <c r="K14" i="1"/>
  <c r="K31" i="1"/>
  <c r="K39" i="1"/>
  <c r="K47" i="1"/>
  <c r="K55" i="1"/>
  <c r="K63" i="1"/>
  <c r="K71" i="1"/>
  <c r="K16" i="1"/>
  <c r="K25" i="1"/>
  <c r="K33" i="1"/>
  <c r="K41" i="1"/>
  <c r="K49" i="1"/>
  <c r="K57" i="1"/>
  <c r="K65" i="1"/>
  <c r="K19" i="1"/>
  <c r="K36" i="1"/>
  <c r="K52" i="1"/>
  <c r="K68" i="1"/>
  <c r="K40" i="1"/>
  <c r="K27" i="1"/>
  <c r="K17" i="1"/>
  <c r="K82" i="1"/>
  <c r="K8" i="1"/>
  <c r="K24" i="1"/>
  <c r="K10" i="1"/>
  <c r="K59" i="1"/>
  <c r="K66" i="1"/>
  <c r="K35" i="1"/>
  <c r="K9" i="1"/>
  <c r="K26" i="1"/>
  <c r="K42" i="1"/>
  <c r="K58" i="1"/>
  <c r="K43" i="1"/>
  <c r="K50" i="1"/>
  <c r="K51" i="1"/>
  <c r="K11" i="1"/>
  <c r="K28" i="1"/>
  <c r="K44" i="1"/>
  <c r="K60" i="1"/>
  <c r="K15" i="1"/>
  <c r="K32" i="1"/>
  <c r="K48" i="1"/>
  <c r="K64" i="1"/>
  <c r="K34" i="1"/>
  <c r="K67" i="1"/>
  <c r="K18" i="1"/>
  <c r="K23" i="1"/>
  <c r="K45" i="1"/>
  <c r="K56" i="1"/>
  <c r="K72" i="1"/>
  <c r="K73" i="1"/>
  <c r="K74" i="1"/>
  <c r="K79" i="1"/>
  <c r="K80" i="1"/>
  <c r="K75" i="1"/>
  <c r="K77" i="1"/>
  <c r="K76" i="1"/>
  <c r="K78" i="1"/>
  <c r="Y78" i="1"/>
  <c r="Y81" i="1" s="1"/>
  <c r="Y82" i="1" s="1"/>
  <c r="Z74" i="1"/>
  <c r="Z79" i="1" s="1"/>
  <c r="AD56" i="1"/>
  <c r="AF45" i="1"/>
  <c r="AF56" i="1" s="1"/>
  <c r="R76" i="1"/>
  <c r="R77" i="1"/>
  <c r="R75" i="1"/>
  <c r="AC74" i="1"/>
  <c r="AB74" i="1"/>
  <c r="F6" i="10"/>
  <c r="E7" i="10"/>
  <c r="F7" i="10" s="1"/>
  <c r="G7" i="10" s="1"/>
  <c r="J7" i="10"/>
  <c r="K7" i="10" s="1"/>
  <c r="L7" i="10" s="1"/>
  <c r="AH78" i="1" l="1"/>
  <c r="Q78" i="1"/>
  <c r="AI75" i="1"/>
  <c r="AC79" i="1"/>
  <c r="AC80" i="1" s="1"/>
  <c r="AC76" i="1" s="1"/>
  <c r="AC77" i="1"/>
  <c r="AC75" i="1"/>
  <c r="P6" i="10"/>
  <c r="N84" i="1"/>
  <c r="X78" i="1"/>
  <c r="X81" i="1" s="1"/>
  <c r="X82" i="1" s="1"/>
  <c r="AD72" i="1"/>
  <c r="AD73" i="1" s="1"/>
  <c r="M6" i="9"/>
  <c r="H6" i="9"/>
  <c r="J6" i="9" s="1"/>
  <c r="K6" i="9"/>
  <c r="AG45" i="1"/>
  <c r="R78" i="1"/>
  <c r="G7" i="9"/>
  <c r="O15" i="1"/>
  <c r="O31" i="1"/>
  <c r="O39" i="1"/>
  <c r="O47" i="1"/>
  <c r="O55" i="1"/>
  <c r="O63" i="1"/>
  <c r="O71" i="1"/>
  <c r="O16" i="1"/>
  <c r="O24" i="1"/>
  <c r="O32" i="1"/>
  <c r="O40" i="1"/>
  <c r="O48" i="1"/>
  <c r="O64" i="1"/>
  <c r="O9" i="1"/>
  <c r="O17" i="1"/>
  <c r="O25" i="1"/>
  <c r="O33" i="1"/>
  <c r="O41" i="1"/>
  <c r="O49" i="1"/>
  <c r="O57" i="1"/>
  <c r="O65" i="1"/>
  <c r="O11" i="1"/>
  <c r="O19" i="1"/>
  <c r="O27" i="1"/>
  <c r="O35" i="1"/>
  <c r="O43" i="1"/>
  <c r="O51" i="1"/>
  <c r="O59" i="1"/>
  <c r="O67" i="1"/>
  <c r="O8" i="1"/>
  <c r="O14" i="1"/>
  <c r="O30" i="1"/>
  <c r="O46" i="1"/>
  <c r="O62" i="1"/>
  <c r="O53" i="1"/>
  <c r="O29" i="1"/>
  <c r="O34" i="1"/>
  <c r="O50" i="1"/>
  <c r="O66" i="1"/>
  <c r="O82" i="1"/>
  <c r="O37" i="1"/>
  <c r="O44" i="1"/>
  <c r="O61" i="1"/>
  <c r="O20" i="1"/>
  <c r="O36" i="1"/>
  <c r="O52" i="1"/>
  <c r="O68" i="1"/>
  <c r="O21" i="1"/>
  <c r="O69" i="1"/>
  <c r="O28" i="1"/>
  <c r="O22" i="1"/>
  <c r="O38" i="1"/>
  <c r="O54" i="1"/>
  <c r="O70" i="1"/>
  <c r="O10" i="1"/>
  <c r="O26" i="1"/>
  <c r="O42" i="1"/>
  <c r="O58" i="1"/>
  <c r="O12" i="1"/>
  <c r="O60" i="1"/>
  <c r="O13" i="1"/>
  <c r="O18" i="1"/>
  <c r="O23" i="1"/>
  <c r="O45" i="1"/>
  <c r="O56" i="1"/>
  <c r="O72" i="1"/>
  <c r="O73" i="1"/>
  <c r="O74" i="1"/>
  <c r="O79" i="1"/>
  <c r="O80" i="1"/>
  <c r="O75" i="1"/>
  <c r="O76" i="1"/>
  <c r="O77" i="1"/>
  <c r="O78" i="1"/>
  <c r="V78" i="1"/>
  <c r="O81" i="1"/>
  <c r="AB79" i="1"/>
  <c r="AB80" i="1" s="1"/>
  <c r="AB77" i="1" s="1"/>
  <c r="AG56" i="1"/>
  <c r="AG72" i="1" s="1"/>
  <c r="AF72" i="1"/>
  <c r="K9" i="10"/>
  <c r="L6" i="10"/>
  <c r="L9" i="10" s="1"/>
  <c r="F9" i="10"/>
  <c r="G6" i="10"/>
  <c r="G9" i="10" s="1"/>
  <c r="AI78" i="1" l="1"/>
  <c r="P82" i="1"/>
  <c r="AH82" i="1" s="1"/>
  <c r="AH81" i="1"/>
  <c r="Q6" i="10"/>
  <c r="AB75" i="1"/>
  <c r="AB76" i="1"/>
  <c r="O7" i="10"/>
  <c r="P7" i="10" s="1"/>
  <c r="Q7" i="10" s="1"/>
  <c r="I6" i="9"/>
  <c r="M7" i="9"/>
  <c r="G23" i="12" s="1"/>
  <c r="K7" i="9"/>
  <c r="H7" i="9"/>
  <c r="J7" i="9" s="1"/>
  <c r="I7" i="9" s="1"/>
  <c r="V81" i="1"/>
  <c r="R81" i="1"/>
  <c r="Z80" i="1"/>
  <c r="AC78" i="1"/>
  <c r="AC81" i="1" s="1"/>
  <c r="AC82" i="1" s="1"/>
  <c r="AG74" i="1"/>
  <c r="AF74" i="1"/>
  <c r="Q82" i="1" l="1"/>
  <c r="AI82" i="1" s="1"/>
  <c r="AI81" i="1"/>
  <c r="P9" i="10"/>
  <c r="AF79" i="1"/>
  <c r="AF80" i="1" s="1"/>
  <c r="AF76" i="1" s="1"/>
  <c r="AF77" i="1"/>
  <c r="AF75" i="1"/>
  <c r="AG79" i="1"/>
  <c r="AG80" i="1" s="1"/>
  <c r="AG77" i="1"/>
  <c r="AG75" i="1"/>
  <c r="AG76" i="1"/>
  <c r="Q9" i="10"/>
  <c r="R82" i="1"/>
  <c r="Z75" i="1"/>
  <c r="Z76" i="1"/>
  <c r="Z77" i="1"/>
  <c r="AD74" i="1"/>
  <c r="AD79" i="1" s="1"/>
  <c r="V82" i="1"/>
  <c r="Y6" i="10" s="1"/>
  <c r="AB78" i="1"/>
  <c r="AB81" i="1" s="1"/>
  <c r="AB82" i="1" s="1"/>
  <c r="AJ81" i="1" l="1"/>
  <c r="AJ29" i="1"/>
  <c r="AJ61" i="1"/>
  <c r="AJ51" i="1"/>
  <c r="AJ22" i="1"/>
  <c r="AJ54" i="1"/>
  <c r="AJ40" i="1"/>
  <c r="AJ68" i="1"/>
  <c r="AJ39" i="1"/>
  <c r="AJ71" i="1"/>
  <c r="AJ19" i="1"/>
  <c r="AJ44" i="1"/>
  <c r="AJ41" i="1"/>
  <c r="AJ10" i="1"/>
  <c r="AJ42" i="1"/>
  <c r="AJ82" i="1"/>
  <c r="AJ20" i="1"/>
  <c r="AJ72" i="1"/>
  <c r="AJ80" i="1"/>
  <c r="AJ45" i="1"/>
  <c r="AJ70" i="1"/>
  <c r="AJ23" i="1"/>
  <c r="AJ32" i="1"/>
  <c r="AJ25" i="1"/>
  <c r="AJ26" i="1"/>
  <c r="AJ59" i="1"/>
  <c r="AJ79" i="1"/>
  <c r="AJ53" i="1"/>
  <c r="AJ14" i="1"/>
  <c r="AJ24" i="1"/>
  <c r="AJ31" i="1"/>
  <c r="AJ56" i="1"/>
  <c r="AJ33" i="1"/>
  <c r="AJ34" i="1"/>
  <c r="AJ8" i="1"/>
  <c r="AJ76" i="1"/>
  <c r="AJ37" i="1"/>
  <c r="AJ69" i="1"/>
  <c r="AJ28" i="1"/>
  <c r="AJ30" i="1"/>
  <c r="AJ62" i="1"/>
  <c r="AJ64" i="1"/>
  <c r="AJ15" i="1"/>
  <c r="AJ47" i="1"/>
  <c r="AJ16" i="1"/>
  <c r="AJ43" i="1"/>
  <c r="AJ9" i="1"/>
  <c r="AJ49" i="1"/>
  <c r="AJ18" i="1"/>
  <c r="AJ50" i="1"/>
  <c r="AJ27" i="1"/>
  <c r="AJ60" i="1"/>
  <c r="AJ74" i="1"/>
  <c r="AJ77" i="1"/>
  <c r="AJ13" i="1"/>
  <c r="AJ48" i="1"/>
  <c r="AJ52" i="1"/>
  <c r="AJ38" i="1"/>
  <c r="AJ35" i="1"/>
  <c r="AJ55" i="1"/>
  <c r="AJ67" i="1"/>
  <c r="AJ57" i="1"/>
  <c r="AJ58" i="1"/>
  <c r="AJ17" i="1"/>
  <c r="AJ75" i="1"/>
  <c r="AJ21" i="1"/>
  <c r="AJ11" i="1"/>
  <c r="AJ46" i="1"/>
  <c r="AJ36" i="1"/>
  <c r="AJ63" i="1"/>
  <c r="AJ12" i="1"/>
  <c r="AJ65" i="1"/>
  <c r="AJ66" i="1"/>
  <c r="AJ73" i="1"/>
  <c r="AJ78" i="1"/>
  <c r="W81" i="1"/>
  <c r="S81" i="1"/>
  <c r="T6" i="10"/>
  <c r="Y7" i="10"/>
  <c r="Z7" i="10" s="1"/>
  <c r="AA7" i="10" s="1"/>
  <c r="Z6" i="10"/>
  <c r="AF78" i="1"/>
  <c r="AF81" i="1" s="1"/>
  <c r="AF82" i="1" s="1"/>
  <c r="AG78" i="1"/>
  <c r="AG81" i="1" s="1"/>
  <c r="AG82" i="1" s="1"/>
  <c r="G9" i="9"/>
  <c r="W13" i="1"/>
  <c r="W21" i="1"/>
  <c r="W29" i="1"/>
  <c r="W37" i="1"/>
  <c r="W53" i="1"/>
  <c r="W61" i="1"/>
  <c r="W69" i="1"/>
  <c r="W14" i="1"/>
  <c r="W22" i="1"/>
  <c r="W30" i="1"/>
  <c r="W38" i="1"/>
  <c r="W46" i="1"/>
  <c r="W54" i="1"/>
  <c r="W62" i="1"/>
  <c r="W70" i="1"/>
  <c r="W15" i="1"/>
  <c r="W31" i="1"/>
  <c r="W39" i="1"/>
  <c r="W47" i="1"/>
  <c r="W55" i="1"/>
  <c r="W63" i="1"/>
  <c r="W71" i="1"/>
  <c r="W9" i="1"/>
  <c r="W17" i="1"/>
  <c r="W25" i="1"/>
  <c r="W33" i="1"/>
  <c r="W41" i="1"/>
  <c r="W49" i="1"/>
  <c r="W57" i="1"/>
  <c r="W65" i="1"/>
  <c r="W10" i="1"/>
  <c r="W26" i="1"/>
  <c r="W34" i="1"/>
  <c r="W42" i="1"/>
  <c r="W50" i="1"/>
  <c r="W11" i="1"/>
  <c r="W32" i="1"/>
  <c r="W52" i="1"/>
  <c r="W68" i="1"/>
  <c r="W59" i="1"/>
  <c r="W51" i="1"/>
  <c r="W12" i="1"/>
  <c r="W35" i="1"/>
  <c r="W40" i="1"/>
  <c r="W28" i="1"/>
  <c r="W16" i="1"/>
  <c r="W36" i="1"/>
  <c r="W58" i="1"/>
  <c r="W19" i="1"/>
  <c r="W67" i="1"/>
  <c r="W20" i="1"/>
  <c r="W43" i="1"/>
  <c r="W60" i="1"/>
  <c r="W24" i="1"/>
  <c r="W44" i="1"/>
  <c r="W64" i="1"/>
  <c r="W27" i="1"/>
  <c r="W48" i="1"/>
  <c r="W66" i="1"/>
  <c r="W82" i="1"/>
  <c r="W8" i="1"/>
  <c r="W18" i="1"/>
  <c r="W23" i="1"/>
  <c r="W56" i="1"/>
  <c r="W45" i="1"/>
  <c r="W72" i="1"/>
  <c r="W73" i="1"/>
  <c r="W74" i="1"/>
  <c r="W79" i="1"/>
  <c r="W80" i="1"/>
  <c r="W75" i="1"/>
  <c r="W76" i="1"/>
  <c r="W77" i="1"/>
  <c r="W78" i="1"/>
  <c r="G8" i="9"/>
  <c r="S10" i="1"/>
  <c r="S26" i="1"/>
  <c r="S34" i="1"/>
  <c r="S42" i="1"/>
  <c r="S50" i="1"/>
  <c r="S58" i="1"/>
  <c r="S66" i="1"/>
  <c r="S82" i="1"/>
  <c r="S11" i="1"/>
  <c r="S19" i="1"/>
  <c r="S27" i="1"/>
  <c r="S35" i="1"/>
  <c r="S43" i="1"/>
  <c r="S51" i="1"/>
  <c r="S59" i="1"/>
  <c r="S67" i="1"/>
  <c r="S8" i="1"/>
  <c r="S12" i="1"/>
  <c r="S20" i="1"/>
  <c r="S28" i="1"/>
  <c r="S36" i="1"/>
  <c r="S44" i="1"/>
  <c r="S52" i="1"/>
  <c r="S60" i="1"/>
  <c r="S68" i="1"/>
  <c r="S14" i="1"/>
  <c r="S22" i="1"/>
  <c r="S30" i="1"/>
  <c r="S38" i="1"/>
  <c r="S46" i="1"/>
  <c r="S54" i="1"/>
  <c r="S62" i="1"/>
  <c r="S70" i="1"/>
  <c r="S9" i="1"/>
  <c r="S25" i="1"/>
  <c r="S41" i="1"/>
  <c r="S57" i="1"/>
  <c r="S32" i="1"/>
  <c r="S40" i="1"/>
  <c r="S13" i="1"/>
  <c r="S29" i="1"/>
  <c r="S61" i="1"/>
  <c r="S16" i="1"/>
  <c r="S64" i="1"/>
  <c r="S24" i="1"/>
  <c r="S15" i="1"/>
  <c r="S31" i="1"/>
  <c r="S47" i="1"/>
  <c r="S63" i="1"/>
  <c r="S48" i="1"/>
  <c r="S17" i="1"/>
  <c r="S33" i="1"/>
  <c r="S49" i="1"/>
  <c r="S65" i="1"/>
  <c r="S21" i="1"/>
  <c r="S37" i="1"/>
  <c r="S53" i="1"/>
  <c r="S69" i="1"/>
  <c r="S39" i="1"/>
  <c r="S55" i="1"/>
  <c r="S71" i="1"/>
  <c r="S18" i="1"/>
  <c r="S23" i="1"/>
  <c r="S45" i="1"/>
  <c r="S56" i="1"/>
  <c r="S72" i="1"/>
  <c r="S73" i="1"/>
  <c r="S74" i="1"/>
  <c r="S79" i="1"/>
  <c r="S80" i="1"/>
  <c r="S75" i="1"/>
  <c r="S76" i="1"/>
  <c r="S77" i="1"/>
  <c r="S78" i="1"/>
  <c r="Z78" i="1"/>
  <c r="AA6" i="10" l="1"/>
  <c r="AA9" i="10" s="1"/>
  <c r="Z9" i="10"/>
  <c r="U6" i="10"/>
  <c r="T7" i="10"/>
  <c r="U7" i="10" s="1"/>
  <c r="Z81" i="1"/>
  <c r="AD80" i="1"/>
  <c r="H8" i="9"/>
  <c r="J8" i="9" s="1"/>
  <c r="M8" i="9"/>
  <c r="K8" i="9"/>
  <c r="M9" i="9"/>
  <c r="K9" i="9"/>
  <c r="H9" i="9"/>
  <c r="J9" i="9" s="1"/>
  <c r="I9" i="9" s="1"/>
  <c r="V7" i="10" l="1"/>
  <c r="V6" i="10"/>
  <c r="U9" i="10"/>
  <c r="I8" i="9"/>
  <c r="AD75" i="1"/>
  <c r="AD76" i="1"/>
  <c r="AD77" i="1"/>
  <c r="Z82" i="1"/>
  <c r="V9" i="10" l="1"/>
  <c r="AA81" i="1"/>
  <c r="AD6" i="10"/>
  <c r="G10" i="9"/>
  <c r="AA16" i="1"/>
  <c r="AA24" i="1"/>
  <c r="AA32" i="1"/>
  <c r="AA40" i="1"/>
  <c r="AA48" i="1"/>
  <c r="AA64" i="1"/>
  <c r="AA9" i="1"/>
  <c r="AA17" i="1"/>
  <c r="AA25" i="1"/>
  <c r="AA33" i="1"/>
  <c r="AA41" i="1"/>
  <c r="AA49" i="1"/>
  <c r="AA57" i="1"/>
  <c r="AA65" i="1"/>
  <c r="AA10" i="1"/>
  <c r="AA26" i="1"/>
  <c r="AA34" i="1"/>
  <c r="AA42" i="1"/>
  <c r="AA50" i="1"/>
  <c r="AA58" i="1"/>
  <c r="AA66" i="1"/>
  <c r="AA82" i="1"/>
  <c r="AA12" i="1"/>
  <c r="AA20" i="1"/>
  <c r="AA28" i="1"/>
  <c r="AA36" i="1"/>
  <c r="AA44" i="1"/>
  <c r="AA52" i="1"/>
  <c r="AA60" i="1"/>
  <c r="AA68" i="1"/>
  <c r="AA13" i="1"/>
  <c r="AA21" i="1"/>
  <c r="AA29" i="1"/>
  <c r="AA37" i="1"/>
  <c r="AA53" i="1"/>
  <c r="AA61" i="1"/>
  <c r="AA69" i="1"/>
  <c r="AA22" i="1"/>
  <c r="AA43" i="1"/>
  <c r="AA63" i="1"/>
  <c r="AA71" i="1"/>
  <c r="AA46" i="1"/>
  <c r="AA67" i="1"/>
  <c r="AA51" i="1"/>
  <c r="AA27" i="1"/>
  <c r="AA47" i="1"/>
  <c r="AA70" i="1"/>
  <c r="AA30" i="1"/>
  <c r="AA62" i="1"/>
  <c r="AA11" i="1"/>
  <c r="AA31" i="1"/>
  <c r="AA54" i="1"/>
  <c r="AA14" i="1"/>
  <c r="AA35" i="1"/>
  <c r="AA55" i="1"/>
  <c r="AA15" i="1"/>
  <c r="AA38" i="1"/>
  <c r="AA59" i="1"/>
  <c r="AA19" i="1"/>
  <c r="AA39" i="1"/>
  <c r="AA8" i="1"/>
  <c r="AA18" i="1"/>
  <c r="AA23" i="1"/>
  <c r="AA56" i="1"/>
  <c r="AA45" i="1"/>
  <c r="AA72" i="1"/>
  <c r="AA73" i="1"/>
  <c r="AA74" i="1"/>
  <c r="AA79" i="1"/>
  <c r="AA80" i="1"/>
  <c r="AA77" i="1"/>
  <c r="AA75" i="1"/>
  <c r="AA76" i="1"/>
  <c r="AA78" i="1"/>
  <c r="AD78" i="1"/>
  <c r="AD7" i="10" l="1"/>
  <c r="AE7" i="10" s="1"/>
  <c r="AE6" i="10"/>
  <c r="AD81" i="1"/>
  <c r="K10" i="9"/>
  <c r="M10" i="9"/>
  <c r="H10" i="9"/>
  <c r="J10" i="9" s="1"/>
  <c r="AF7" i="10" l="1"/>
  <c r="AE9" i="10"/>
  <c r="AF6" i="10"/>
  <c r="I10" i="9"/>
  <c r="AD82" i="1"/>
  <c r="AF9" i="10" l="1"/>
  <c r="AE81" i="1"/>
  <c r="AI6" i="10"/>
  <c r="G11" i="9"/>
  <c r="AE11" i="1"/>
  <c r="AE19" i="1"/>
  <c r="AE27" i="1"/>
  <c r="AE35" i="1"/>
  <c r="AE43" i="1"/>
  <c r="AE51" i="1"/>
  <c r="AE59" i="1"/>
  <c r="AE67" i="1"/>
  <c r="AE8" i="1"/>
  <c r="AE22" i="1"/>
  <c r="AE12" i="1"/>
  <c r="AE20" i="1"/>
  <c r="AE28" i="1"/>
  <c r="AE36" i="1"/>
  <c r="AE44" i="1"/>
  <c r="AE52" i="1"/>
  <c r="AE60" i="1"/>
  <c r="AE68" i="1"/>
  <c r="AE13" i="1"/>
  <c r="AE21" i="1"/>
  <c r="AE29" i="1"/>
  <c r="AE37" i="1"/>
  <c r="AE53" i="1"/>
  <c r="AE61" i="1"/>
  <c r="AE69" i="1"/>
  <c r="AE14" i="1"/>
  <c r="AE15" i="1"/>
  <c r="AE31" i="1"/>
  <c r="AE39" i="1"/>
  <c r="AE47" i="1"/>
  <c r="AE55" i="1"/>
  <c r="AE63" i="1"/>
  <c r="AE71" i="1"/>
  <c r="AE16" i="1"/>
  <c r="AE24" i="1"/>
  <c r="AE32" i="1"/>
  <c r="AE40" i="1"/>
  <c r="AE48" i="1"/>
  <c r="AE64" i="1"/>
  <c r="AE33" i="1"/>
  <c r="AE54" i="1"/>
  <c r="AE41" i="1"/>
  <c r="AE82" i="1"/>
  <c r="AE50" i="1"/>
  <c r="AE9" i="1"/>
  <c r="AE34" i="1"/>
  <c r="AE57" i="1"/>
  <c r="AE17" i="1"/>
  <c r="AE30" i="1"/>
  <c r="AE10" i="1"/>
  <c r="AE38" i="1"/>
  <c r="AE58" i="1"/>
  <c r="AE62" i="1"/>
  <c r="AE42" i="1"/>
  <c r="AE65" i="1"/>
  <c r="AE25" i="1"/>
  <c r="AE46" i="1"/>
  <c r="AE66" i="1"/>
  <c r="AE26" i="1"/>
  <c r="AE49" i="1"/>
  <c r="AE70" i="1"/>
  <c r="AE18" i="1"/>
  <c r="AE23" i="1"/>
  <c r="AE45" i="1"/>
  <c r="AE56" i="1"/>
  <c r="AE72" i="1"/>
  <c r="AE73" i="1"/>
  <c r="AE74" i="1"/>
  <c r="AE79" i="1"/>
  <c r="AE80" i="1"/>
  <c r="AE75" i="1"/>
  <c r="AE76" i="1"/>
  <c r="AE77" i="1"/>
  <c r="AE78" i="1"/>
  <c r="AI7" i="10" l="1"/>
  <c r="AJ7" i="10" s="1"/>
  <c r="AJ6" i="10"/>
  <c r="K11" i="9"/>
  <c r="K12" i="9" s="1"/>
  <c r="M11" i="9"/>
  <c r="H11" i="9"/>
  <c r="AK6" i="10" l="1"/>
  <c r="AJ9" i="10"/>
  <c r="AN6" i="10"/>
  <c r="AK7" i="10"/>
  <c r="AN7" i="10"/>
  <c r="J11" i="9"/>
  <c r="AP7" i="10" l="1"/>
  <c r="AO7" i="10"/>
  <c r="AP6" i="10"/>
  <c r="AO6" i="10"/>
  <c r="AN8" i="10"/>
  <c r="AK9" i="10"/>
  <c r="I11" i="9"/>
  <c r="I12" i="9" s="1"/>
  <c r="J12" i="9"/>
  <c r="J14" i="9" s="1"/>
  <c r="AP8" i="10" l="1"/>
  <c r="AP9" i="10" s="1"/>
  <c r="AN9" i="10"/>
  <c r="AO8" i="10"/>
  <c r="AO9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Fábio Vieira Ribeiro</author>
  </authors>
  <commentList>
    <comment ref="H6" authorId="0" shapeId="0" xr:uid="{00000000-0006-0000-0200-000001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Piso salarial CCT 2020 SEAC/DF x Sindiserviços/DF.</t>
        </r>
      </text>
    </comment>
    <comment ref="L6" authorId="0" shapeId="0" xr:uid="{00000000-0006-0000-0200-000002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Base 126 contratos - média valores cargos serviço apoio administrativo menos um desvio padrão.</t>
        </r>
      </text>
    </comment>
    <comment ref="P6" authorId="0" shapeId="0" xr:uid="{00000000-0006-0000-0200-000003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Piso salarial CCT 2020 SEAC/DF x Sindiserviços/DF.
</t>
        </r>
      </text>
    </comment>
    <comment ref="T6" authorId="0" shapeId="0" xr:uid="{00000000-0006-0000-0200-000004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Valor do cargo de Recepcionista acrescido de 13,3% (mesma diferença percentual entre valores dos salários de Secretário Executivo I e Secretário Executivo II).</t>
        </r>
      </text>
    </comment>
    <comment ref="X6" authorId="0" shapeId="0" xr:uid="{00000000-0006-0000-0200-000005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Piso salarial CCT 2020 SEAC/DF x SISDF. 
</t>
        </r>
      </text>
    </comment>
    <comment ref="AB6" authorId="0" shapeId="0" xr:uid="{00000000-0006-0000-0200-000006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Piso salarial CCT 2020 SEAC/DF x SISDF. 
</t>
        </r>
      </text>
    </comment>
    <comment ref="AF6" authorId="0" shapeId="0" xr:uid="{00000000-0006-0000-0200-000007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Piso salarial CCT 2020 SEAC/DF x SISDF </t>
        </r>
      </text>
    </comment>
    <comment ref="D8" authorId="0" shapeId="0" xr:uid="{00000000-0006-0000-0200-000008000000}">
      <text>
        <r>
          <rPr>
            <b/>
            <sz val="10"/>
            <color rgb="FF000000"/>
            <rFont val="Tahoma"/>
            <family val="2"/>
          </rPr>
          <t xml:space="preserve">Fábio Vieira Ribeio
</t>
        </r>
        <r>
          <rPr>
            <sz val="10"/>
            <color rgb="FF000000"/>
            <rFont val="Tahoma"/>
            <family val="2"/>
          </rPr>
          <t xml:space="preserve">Considerado prazo de execução de 28 meses de execução dos serviços e 60 dias de férias no periodo. </t>
        </r>
      </text>
    </comment>
    <comment ref="C9" authorId="0" shapeId="0" xr:uid="{00000000-0006-0000-0200-000009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8.036/1990.</t>
        </r>
      </text>
    </comment>
    <comment ref="C10" authorId="0" shapeId="0" xr:uid="{00000000-0006-0000-0200-00000A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8.212/1991, Decreto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3.048/1999, e IN RFB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971/2009, considerando o código 7830-2 da CNAE e o código 515 do FPAS.</t>
        </r>
      </text>
    </comment>
    <comment ref="C11" authorId="0" shapeId="0" xr:uid="{00000000-0006-0000-0200-00000B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8.212/1991, Decreto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3.048/1999, e IN RFB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971/2009, considerando o código 7830-2 da CNAE e o código 515 do FPAS </t>
        </r>
      </text>
    </comment>
    <comment ref="C12" authorId="0" shapeId="0" xr:uid="{00000000-0006-0000-0200-00000C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8.212/1991, Decreto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3.048/1999, e IN RFB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971/2009, considerando o código 7830-2 da CNAE e o código 515 do FPAS. </t>
        </r>
      </text>
    </comment>
    <comment ref="C13" authorId="0" shapeId="0" xr:uid="{00000000-0006-0000-0200-00000D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8.212/1991, Decreto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3.048/1999, e IN RFB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971/2009, considerando o código 7830-2 da CNAE e o código 515 do FPAS. </t>
        </r>
      </text>
    </comment>
    <comment ref="C14" authorId="0" shapeId="0" xr:uid="{00000000-0006-0000-0200-00000E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8.212/1991, Decreto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3.048/1999, e IN RFB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971/2009, considerando o código 7830-2 da CNAE e o código 515 do FPAS. </t>
        </r>
      </text>
    </comment>
    <comment ref="C15" authorId="0" shapeId="0" xr:uid="{00000000-0006-0000-0200-00000F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8.212/1991, Decreto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3.048/1999, e IN RFB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971/2009, considerando o código 7830-2 da CNAE e o código 515 do FPAS. </t>
        </r>
      </text>
    </comment>
    <comment ref="C16" authorId="0" shapeId="0" xr:uid="{00000000-0006-0000-0200-000010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8.212/1991, Decreto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3.048/1999, e IN RFB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971/2009, considerando o código 7830-2 da CNAE.</t>
        </r>
      </text>
    </comment>
    <comment ref="A18" authorId="0" shapeId="0" xr:uid="{00000000-0006-0000-0200-000011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Valores das CCT 2020 SEAC/DF x Sindiserviços/DF e CCT 2020 SEAC/DF x SISDF.</t>
        </r>
      </text>
    </comment>
    <comment ref="D19" authorId="0" shapeId="0" xr:uid="{00000000-0006-0000-0200-000012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Valor diário.</t>
        </r>
      </text>
    </comment>
    <comment ref="D21" authorId="0" shapeId="0" xr:uid="{00000000-0006-0000-0200-000013000000}">
      <text>
        <r>
          <rPr>
            <b/>
            <sz val="10"/>
            <color rgb="FF000000"/>
            <rFont val="Tahoma"/>
            <family val="2"/>
          </rPr>
          <t xml:space="preserve">Fábio Vieira Ribeiro
</t>
        </r>
        <r>
          <rPr>
            <sz val="10"/>
            <color rgb="FF000000"/>
            <rFont val="Tahoma"/>
            <family val="2"/>
          </rPr>
          <t>Valor da CCT 2020 SEAC/DF x Sindiserviços/DF.</t>
        </r>
      </text>
    </comment>
    <comment ref="E21" authorId="0" shapeId="0" xr:uid="{00000000-0006-0000-0200-000014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Valor da CCT 2020 SEAC/DF x SISDF.
</t>
        </r>
      </text>
    </comment>
    <comment ref="C22" authorId="0" shapeId="0" xr:uid="{00000000-0006-0000-0200-000015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Valor conforme Decreto no 40.381/2020, do DF, e percentuais da nota do GDF "REAJUSTE DO TRANSPORTE PÚBLICO: ENTENDA CADA TARIFA" (http://www.brasilia.df.gov.br/reajuste-do-transporte-publico-entenda-cada-tarifa/).</t>
        </r>
      </text>
    </comment>
    <comment ref="D22" authorId="0" shapeId="0" xr:uid="{00000000-0006-0000-0200-000016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Valor diário para cada passagem.
</t>
        </r>
      </text>
    </comment>
    <comment ref="A24" authorId="0" shapeId="0" xr:uid="{00000000-0006-0000-0200-000017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Observado o prazo de execução dos serviços de 28 meses, considerada a quantidade de 70 dias de férias no período.</t>
        </r>
      </text>
    </comment>
    <comment ref="A44" authorId="0" shapeId="0" xr:uid="{00000000-0006-0000-0200-000018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Considerada a necessidade se substituição de empregado alocado ausente por período superior a 3 dias, no caso do serviço de recepção, ou 15 dias, nos casos de serviços de apoio administrativo e secretariado, sendo estabelecidas as estimativas de 28,1028 e 26,6339 dias de ausências anuais que necessitarão substituição, respectivamente, tendo como base os parâmetros do Estudo sobre a Composição dos Custos dos Valores Limites Serviços de Limpeza e Conservação - Distrito Federal - 2019, que na página 20 apresenta o quadro "Memória de Cálculo - Número de dias de reposição do profissional ausente para cada evento".</t>
        </r>
      </text>
    </comment>
    <comment ref="A57" authorId="0" shapeId="0" xr:uid="{00000000-0006-0000-0200-000019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Considerada a necessidade rescisão sem justa causa do contrato de trabalho de 85,43% dos empregados alocados, sendo 21,36% com indenização de aviso prévio, estimado em 33 dias, tendo como base os parâmetros do Estudo sobre a Composição dos Custos dos Valores Limites Serviços de Limpeza e Conservação - Distrito Federal - 2019, que na página 36 apresenta o quadro "Percentuais por Tipo de Desligamento". </t>
        </r>
      </text>
    </comment>
    <comment ref="D70" authorId="0" shapeId="0" xr:uid="{00000000-0006-0000-0200-00001A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Valor de 1 uniforme, correspondente à média dos valores de cada jogo de uniforme dos contratos vigentes menos 1 desvio padrão ajustada em 3,2% (reajuste CCT 2020/2020), considerado o prazo de execução dos serviços e as CCT 2020/2020 firmadas entre o SEAC/DF e o Sindiserviços e o SEAC/DF e o SISDF, sendo que a primeira prevê 2 jogos de unformes no início da alocação do empregado e 1 jogo completo a cada 6 meses (6 no total) e a segunda prevê 2 jogos no início e 2 jogos a cada 6 meses (10 no total). </t>
        </r>
      </text>
    </comment>
    <comment ref="D73" authorId="0" shapeId="0" xr:uid="{00000000-0006-0000-0200-00001B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Correspondente à média dos contratos vigentes.</t>
        </r>
      </text>
    </comment>
    <comment ref="D75" authorId="0" shapeId="0" xr:uid="{00000000-0006-0000-0200-00001C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Adotando-se a sistemática de cálculo "por dentro", a Base Tributos considera os custos com os empregados, os custos indiretos e o lucro, observadas as disposições da Lei </t>
        </r>
        <r>
          <rPr>
            <sz val="10"/>
            <color rgb="FF000000"/>
            <rFont val="Calibri"/>
            <family val="2"/>
          </rPr>
          <t>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</t>
        </r>
        <r>
          <rPr>
            <sz val="10"/>
            <color rgb="FF000000"/>
            <rFont val="Tahoma"/>
            <family val="2"/>
          </rPr>
          <t>10.833/2003.</t>
        </r>
      </text>
    </comment>
    <comment ref="D76" authorId="0" shapeId="0" xr:uid="{00000000-0006-0000-0200-00001D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Adotando-se a sistemática de cálculo "por dentro", a Base Tributos considera os custos com os empregados, os custos indiretos e o lucro, observadas as disposições da Decreto DF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25.508/2005. </t>
        </r>
      </text>
    </comment>
    <comment ref="D77" authorId="0" shapeId="0" xr:uid="{00000000-0006-0000-0200-00001E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Adotando-se a sistemática de cálculo "por dentro", a Base Tributos considera os custos com os empregados, os custos indiretos e o lucro, observadas as disposições da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10.637/2002. 
</t>
        </r>
      </text>
    </comment>
    <comment ref="D79" authorId="0" shapeId="0" xr:uid="{00000000-0006-0000-0200-00001F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Correspondente à média dos contratos vigentes.
</t>
        </r>
      </text>
    </comment>
  </commentList>
</comments>
</file>

<file path=xl/sharedStrings.xml><?xml version="1.0" encoding="utf-8"?>
<sst xmlns="http://schemas.openxmlformats.org/spreadsheetml/2006/main" count="700" uniqueCount="361">
  <si>
    <t>Grupo</t>
  </si>
  <si>
    <t>Item</t>
  </si>
  <si>
    <t>Descrição</t>
  </si>
  <si>
    <t>Salário</t>
  </si>
  <si>
    <t>A</t>
  </si>
  <si>
    <t>B</t>
  </si>
  <si>
    <t>FGTS</t>
  </si>
  <si>
    <t>C</t>
  </si>
  <si>
    <t>Previdência Social</t>
  </si>
  <si>
    <t>D</t>
  </si>
  <si>
    <t>INCRA</t>
  </si>
  <si>
    <t>E</t>
  </si>
  <si>
    <t>SENAC</t>
  </si>
  <si>
    <t>F</t>
  </si>
  <si>
    <t>SESC</t>
  </si>
  <si>
    <t>G</t>
  </si>
  <si>
    <t>SEBRAE</t>
  </si>
  <si>
    <t>H</t>
  </si>
  <si>
    <t>Salário Educação</t>
  </si>
  <si>
    <t>I</t>
  </si>
  <si>
    <t>GIIL-RAT</t>
  </si>
  <si>
    <t>J</t>
  </si>
  <si>
    <t>Subtotal</t>
  </si>
  <si>
    <t>Benefícios</t>
  </si>
  <si>
    <t>K</t>
  </si>
  <si>
    <t>Assistência Odontológica</t>
  </si>
  <si>
    <t>L</t>
  </si>
  <si>
    <t>Auxílio Alimentação</t>
  </si>
  <si>
    <t>M</t>
  </si>
  <si>
    <t>Plano de Saúde</t>
  </si>
  <si>
    <t>N</t>
  </si>
  <si>
    <t>Seguro de Vida/Assistência Funeral</t>
  </si>
  <si>
    <t>O</t>
  </si>
  <si>
    <t>Vale-transporte</t>
  </si>
  <si>
    <t>P</t>
  </si>
  <si>
    <t>Férias</t>
  </si>
  <si>
    <t>Q</t>
  </si>
  <si>
    <t>R</t>
  </si>
  <si>
    <t>S</t>
  </si>
  <si>
    <t>T</t>
  </si>
  <si>
    <t>U</t>
  </si>
  <si>
    <t>V</t>
  </si>
  <si>
    <t>W</t>
  </si>
  <si>
    <t>Y</t>
  </si>
  <si>
    <t>Z</t>
  </si>
  <si>
    <t>AA</t>
  </si>
  <si>
    <t>13º Salário</t>
  </si>
  <si>
    <t>AB</t>
  </si>
  <si>
    <t>AC</t>
  </si>
  <si>
    <t>AD</t>
  </si>
  <si>
    <t>AE</t>
  </si>
  <si>
    <t>AF</t>
  </si>
  <si>
    <t>AG</t>
  </si>
  <si>
    <t>AH</t>
  </si>
  <si>
    <t>AI</t>
  </si>
  <si>
    <t>AJ</t>
  </si>
  <si>
    <t>AK</t>
  </si>
  <si>
    <t>Substituição Temporária</t>
  </si>
  <si>
    <t>AL</t>
  </si>
  <si>
    <t>AM</t>
  </si>
  <si>
    <t>AN</t>
  </si>
  <si>
    <t>AO</t>
  </si>
  <si>
    <t>AP</t>
  </si>
  <si>
    <t>AQ</t>
  </si>
  <si>
    <t>AR</t>
  </si>
  <si>
    <t>AS</t>
  </si>
  <si>
    <t>AT</t>
  </si>
  <si>
    <t>AU</t>
  </si>
  <si>
    <t>AV</t>
  </si>
  <si>
    <t>AW</t>
  </si>
  <si>
    <t>AY</t>
  </si>
  <si>
    <t>Rescisão de Contrato</t>
  </si>
  <si>
    <t>AZ</t>
  </si>
  <si>
    <t>Aviso Prévio Indenizado</t>
  </si>
  <si>
    <t>BA</t>
  </si>
  <si>
    <t>Férias  - Aviso Prévio Indenizado</t>
  </si>
  <si>
    <t>BB</t>
  </si>
  <si>
    <t>13º Salário - Aviso Prévio Indenizado</t>
  </si>
  <si>
    <t>BC</t>
  </si>
  <si>
    <t>BD</t>
  </si>
  <si>
    <t>BE</t>
  </si>
  <si>
    <t>BF</t>
  </si>
  <si>
    <t>BG</t>
  </si>
  <si>
    <t>BH</t>
  </si>
  <si>
    <t>BI</t>
  </si>
  <si>
    <t>BJ</t>
  </si>
  <si>
    <t>BK</t>
  </si>
  <si>
    <t>Multa FGTS</t>
  </si>
  <si>
    <t>BL</t>
  </si>
  <si>
    <t>Uniforme</t>
  </si>
  <si>
    <t>BM</t>
  </si>
  <si>
    <t>BN</t>
  </si>
  <si>
    <t>CITL</t>
  </si>
  <si>
    <t>BO</t>
  </si>
  <si>
    <t>Custos Indiretos</t>
  </si>
  <si>
    <t>BP</t>
  </si>
  <si>
    <t>BQ</t>
  </si>
  <si>
    <t>COFINS</t>
  </si>
  <si>
    <t>BR</t>
  </si>
  <si>
    <t>ISS</t>
  </si>
  <si>
    <t>BS</t>
  </si>
  <si>
    <t>PIS</t>
  </si>
  <si>
    <t>BT</t>
  </si>
  <si>
    <t>BU</t>
  </si>
  <si>
    <t>Lucro</t>
  </si>
  <si>
    <t>BV</t>
  </si>
  <si>
    <t>Parâmetros Cálculo Custo Mensal</t>
  </si>
  <si>
    <t>Auxiliar Administrativo</t>
  </si>
  <si>
    <t>Postos</t>
  </si>
  <si>
    <t>Valor Mensal Unitário (R$)</t>
  </si>
  <si>
    <t>%</t>
  </si>
  <si>
    <t>Valor Mensal Total (R$)</t>
  </si>
  <si>
    <t>Valor Total (R$)</t>
  </si>
  <si>
    <t>Salário/28*26</t>
  </si>
  <si>
    <t>A*8%</t>
  </si>
  <si>
    <t>A*20%</t>
  </si>
  <si>
    <t>A*0,2%</t>
  </si>
  <si>
    <t>A*1%</t>
  </si>
  <si>
    <t>A*1,5%</t>
  </si>
  <si>
    <t>A*0,6%</t>
  </si>
  <si>
    <t>A*2,5%</t>
  </si>
  <si>
    <t>A+B+C+D+E+F+G+H+I</t>
  </si>
  <si>
    <t>K+L+M+N+O</t>
  </si>
  <si>
    <t>(Salário+Salário/3)/30*70/28</t>
  </si>
  <si>
    <t>Q*8%</t>
  </si>
  <si>
    <t>Q*20%</t>
  </si>
  <si>
    <t>Q*0,2%</t>
  </si>
  <si>
    <t>Q*1%</t>
  </si>
  <si>
    <t>Q*1,5%</t>
  </si>
  <si>
    <t>Q*0,6%</t>
  </si>
  <si>
    <t>Q*2,5%</t>
  </si>
  <si>
    <t>Q+R+S+T+U+U+V+W+Y+Z</t>
  </si>
  <si>
    <t>Salário/30*70/28</t>
  </si>
  <si>
    <t>AB*8%</t>
  </si>
  <si>
    <t>AB*20%</t>
  </si>
  <si>
    <t>AB*O,2%</t>
  </si>
  <si>
    <t>AB*1%</t>
  </si>
  <si>
    <t>AB*1,5%</t>
  </si>
  <si>
    <t>AB*0,6%</t>
  </si>
  <si>
    <t>AB*2,5%</t>
  </si>
  <si>
    <t>AB+AC+AD+AE+AF+AG+AH+AI+AJ</t>
  </si>
  <si>
    <t>(Salário+Salário/3)/12/28</t>
  </si>
  <si>
    <t>Salário/12/28</t>
  </si>
  <si>
    <t>(AL+AN+AO)*8%</t>
  </si>
  <si>
    <t>(AL+AN+AO)*20%</t>
  </si>
  <si>
    <t>(AL+AN+AO)*O,2%</t>
  </si>
  <si>
    <t>(AL+AN+AO)*1%</t>
  </si>
  <si>
    <t>(AL+AN+AO)*1,5%</t>
  </si>
  <si>
    <t>(AL+AN+AO)*0,6%</t>
  </si>
  <si>
    <t>(Z+AB+AC)*2,5%</t>
  </si>
  <si>
    <t>AL+AM+AN+AO+AP+AQ+AR+AS+AT+AU+AV+AW</t>
  </si>
  <si>
    <t>((Salário/30*33)*21,36%)/28</t>
  </si>
  <si>
    <t>(Salário + Salário/3)/12/28</t>
  </si>
  <si>
    <t>(AZ+BB)*8%</t>
  </si>
  <si>
    <t>(AZ+BB)*20%</t>
  </si>
  <si>
    <t>(AZ+BB)*O,2%</t>
  </si>
  <si>
    <t>(AZ+BB)*1%</t>
  </si>
  <si>
    <t>(AZ+BB)*1,5%</t>
  </si>
  <si>
    <t>(AZ+BB)*0,6%</t>
  </si>
  <si>
    <t>(AZ+BB)*2,5%</t>
  </si>
  <si>
    <t>AZ+BA+BB+BC+BD+BE+BF+BG+BH+BI+BJ+BK</t>
  </si>
  <si>
    <t>Base Tributos * 5,00%</t>
  </si>
  <si>
    <t>BQ+BR+BS</t>
  </si>
  <si>
    <t>Assistente Administrativo</t>
  </si>
  <si>
    <t>Recepcionista</t>
  </si>
  <si>
    <t>Recepcionista Bilíngue</t>
  </si>
  <si>
    <t>Secretário Executivo I</t>
  </si>
  <si>
    <t>Secretário Executivo II</t>
  </si>
  <si>
    <t>Técnico em Secretariado</t>
  </si>
  <si>
    <t>ITEM</t>
  </si>
  <si>
    <t>DESCRIÇÃO</t>
  </si>
  <si>
    <t>UNIDADE</t>
  </si>
  <si>
    <t>QUANTIDADE</t>
  </si>
  <si>
    <t>LOTE</t>
  </si>
  <si>
    <t>VALOR DO POSTO (MÊS)</t>
  </si>
  <si>
    <t>posto</t>
  </si>
  <si>
    <t>Base Tributos * 3,00%</t>
  </si>
  <si>
    <t>Base Tributos * 0,65%</t>
  </si>
  <si>
    <t>(Subtotal Custo Empregados + BP) * 1,00%</t>
  </si>
  <si>
    <t>Lote</t>
  </si>
  <si>
    <t>Órgão ou Entidade</t>
  </si>
  <si>
    <t>Unidade</t>
  </si>
  <si>
    <t>Cargos</t>
  </si>
  <si>
    <t>Total</t>
  </si>
  <si>
    <t>Quantidade</t>
  </si>
  <si>
    <t>Valor (R$)</t>
  </si>
  <si>
    <t>Valor do Posto (R$)</t>
  </si>
  <si>
    <t>Subtotal mensal (R$)</t>
  </si>
  <si>
    <t>Subtotal - 28 meses (R$)</t>
  </si>
  <si>
    <t>Data Contratação</t>
  </si>
  <si>
    <t>Mensal</t>
  </si>
  <si>
    <t>Anual                (12 meses)</t>
  </si>
  <si>
    <t>Total                 (28 meses)</t>
  </si>
  <si>
    <t>INSS</t>
  </si>
  <si>
    <t>ANS</t>
  </si>
  <si>
    <t>-</t>
  </si>
  <si>
    <t>Total Geral</t>
  </si>
  <si>
    <t>Valor Unitário</t>
  </si>
  <si>
    <t>A*2,017%</t>
  </si>
  <si>
    <t>Q*2,017%</t>
  </si>
  <si>
    <t>AB*2,017%</t>
  </si>
  <si>
    <t>(Z+AB+AC)*2,017%</t>
  </si>
  <si>
    <t>(AZ+BB)*2,017%</t>
  </si>
  <si>
    <t>Salário/30*((26,6339)*28/12)/28</t>
  </si>
  <si>
    <t>((B+R+AC+AP+BC)*40%)*85%</t>
  </si>
  <si>
    <t>Subtotal Custo Empregados</t>
  </si>
  <si>
    <t>Subtotal CITL</t>
  </si>
  <si>
    <t>ENCARGOS</t>
  </si>
  <si>
    <t xml:space="preserve">SENAC </t>
  </si>
  <si>
    <t xml:space="preserve">SESC </t>
  </si>
  <si>
    <t>Percetual total CITL</t>
  </si>
  <si>
    <t xml:space="preserve">RELAÇÃO DE UNIFORMES </t>
  </si>
  <si>
    <t>Auxiliar Administrativo, Assistente Administrativo, Recepcionista e Recepcionista Bilíngue</t>
  </si>
  <si>
    <t>MASCULINO</t>
  </si>
  <si>
    <t xml:space="preserve">Quant. Inicial </t>
  </si>
  <si>
    <t>Quant.a cada semestre</t>
  </si>
  <si>
    <t>Quant. Total (28 meses)</t>
  </si>
  <si>
    <t>Valor por jogo</t>
  </si>
  <si>
    <t>Valor (28 meses)</t>
  </si>
  <si>
    <t>Valor / Mês</t>
  </si>
  <si>
    <t>Calça</t>
  </si>
  <si>
    <t>preta e tecido de poliviscose</t>
  </si>
  <si>
    <t>Camisa</t>
  </si>
  <si>
    <t>branca, manga longa e tecido com o mínimo de 50% de fibras naturais</t>
  </si>
  <si>
    <t>Sapato</t>
  </si>
  <si>
    <t>preto e de couro</t>
  </si>
  <si>
    <t>Meia</t>
  </si>
  <si>
    <t>preta e de tecido poliéster ou poliamida</t>
  </si>
  <si>
    <t>TOTAL</t>
  </si>
  <si>
    <t>FEMININO</t>
  </si>
  <si>
    <t>Calça ou Saia</t>
  </si>
  <si>
    <t>MÉDIA</t>
  </si>
  <si>
    <t>Secretário Executivo I, Secretário Executivo II e Técnico em Secretariado</t>
  </si>
  <si>
    <t>Demais</t>
  </si>
  <si>
    <t>Valor médio do conjunto</t>
  </si>
  <si>
    <t>Secretariado</t>
  </si>
  <si>
    <t>Resumo Lote nº  08</t>
  </si>
  <si>
    <t>Valor do Posto
Mensal Unitário</t>
  </si>
  <si>
    <t>Valor unitário global do posto</t>
  </si>
  <si>
    <t>Valor para Global
  (28 Meses)</t>
  </si>
  <si>
    <t>Categoria</t>
  </si>
  <si>
    <t>Registro no MTE</t>
  </si>
  <si>
    <t>01/01/2020 a 31/12/2020</t>
  </si>
  <si>
    <t>DF000001/2020</t>
  </si>
  <si>
    <t>Terceira</t>
  </si>
  <si>
    <t>Assistente Administrativo (*)</t>
  </si>
  <si>
    <t>DF000013/2020</t>
  </si>
  <si>
    <t>Salário definido em CCT</t>
  </si>
  <si>
    <t>Salário utilizado conforme referencia de edital</t>
  </si>
  <si>
    <t xml:space="preserve">Recepcionista Bilíngue </t>
  </si>
  <si>
    <t xml:space="preserve">Piso da CCT (1.278,71) + acrescimo de  39,98% </t>
  </si>
  <si>
    <t>Ref.: Proposta de Preços referente ao Pregão Eletrônico  Nº 10/2020 - lote 08</t>
  </si>
  <si>
    <t>PLANILHA AUXILIAR CÁLCULO DO VALE ALIMENTAÇÃO - DF000001/2020 - CLÁUSULA DÉCIMA QUARTA</t>
  </si>
  <si>
    <t>FUNÇÕES</t>
  </si>
  <si>
    <t>QUANTIDADE PROFISSIONAL</t>
  </si>
  <si>
    <t>VALOR DO BENEFÍCIO</t>
  </si>
  <si>
    <t>DESCONTO</t>
  </si>
  <si>
    <t>VALOR DO BENEFÍCIO COM DESCONTO</t>
  </si>
  <si>
    <t>DIAS TRABALHADOS</t>
  </si>
  <si>
    <t>CUSTO MENSAL POR PROFISSIONAL
( D x E ) / 28 * 26</t>
  </si>
  <si>
    <t>CUSTO MENSAL TOTAL POR FUNÇÃO
( A x F )</t>
  </si>
  <si>
    <t>PLANILHA AUXILIAR CÁLCULO DO VALE TRANSPORTE</t>
  </si>
  <si>
    <t>SALÁRIO BASE</t>
  </si>
  <si>
    <t>DESCONTO PROSISSIONAL (B x 6% )</t>
  </si>
  <si>
    <t>VALOR DA TARIFA</t>
  </si>
  <si>
    <t>QUANTIDADE DE PASSAGEM POR DIA</t>
  </si>
  <si>
    <t>CUSTO MENSAL DA TARIFA
(D x E xF )</t>
  </si>
  <si>
    <t>CUSTO POR PROFISSIONAL (G - C ) / 28 * 26</t>
  </si>
  <si>
    <t>CUSTO MENSAL TOTAL POR FUNÇÃO
( H x A )</t>
  </si>
  <si>
    <t>Piso da secretaria executiva bilingue</t>
  </si>
  <si>
    <t>PLANSUL PLANEJAMENTO E CONSULTORIA EIRELI</t>
  </si>
  <si>
    <t>CNPJ: 78.533.312/0001-58</t>
  </si>
  <si>
    <r>
      <rPr>
        <b/>
        <sz val="13"/>
        <rFont val="Arial"/>
        <family val="2"/>
      </rPr>
      <t xml:space="preserve">PLANILHA DE CUSTOS E FORMAÇÃO DE PREÇOS  - MEMÓRIA DE CÁLCULO
MÓDULO 1 – COMPOSIÇÃO  DA REMUNERAÇÃO
</t>
    </r>
    <r>
      <rPr>
        <b/>
        <sz val="11"/>
        <rFont val="Arial"/>
        <family val="2"/>
      </rPr>
      <t xml:space="preserve">A – Salário Base
</t>
    </r>
  </si>
  <si>
    <r>
      <rPr>
        <b/>
        <sz val="11"/>
        <rFont val="Arial"/>
        <family val="2"/>
      </rPr>
      <t>Convenção
Coletiva Vigência</t>
    </r>
  </si>
  <si>
    <r>
      <rPr>
        <b/>
        <sz val="11"/>
        <rFont val="Arial"/>
        <family val="2"/>
      </rPr>
      <t>Dispositivo
(Cláusula)</t>
    </r>
  </si>
  <si>
    <t>Ao</t>
  </si>
  <si>
    <t>MINISTÉRIO DA ECONOMIA</t>
  </si>
  <si>
    <t>Secretaria Especial de Desburocratização, Gestão e Governo Digital</t>
  </si>
  <si>
    <t>Secretaria de Gestão</t>
  </si>
  <si>
    <t>Central de Compras</t>
  </si>
  <si>
    <t>Coordenação-Geral de Licitações</t>
  </si>
  <si>
    <t>Processo Administrativo n.º 19973.101170/2020-93</t>
  </si>
  <si>
    <t>Data/Hora: 03/12/2020 às 09:00h</t>
  </si>
  <si>
    <t>Local: www.comprasgovernamentais.gov.br</t>
  </si>
  <si>
    <r>
      <t xml:space="preserve"> </t>
    </r>
    <r>
      <rPr>
        <b/>
        <sz val="11"/>
        <color rgb="FF000000"/>
        <rFont val="Garamond"/>
        <family val="1"/>
      </rPr>
      <t>PROPOSTA - LOTE Nº 08</t>
    </r>
  </si>
  <si>
    <t>Quadro 1 - Dados da Licitante</t>
  </si>
  <si>
    <t>Razão Social</t>
  </si>
  <si>
    <t>CNPJ</t>
  </si>
  <si>
    <t> PLANSUL PLANEJAMENTO E CONSULTORIA EIRELI</t>
  </si>
  <si>
    <t> 78.533.312/0001-58</t>
  </si>
  <si>
    <t>Endereço</t>
  </si>
  <si>
    <t>Bairro</t>
  </si>
  <si>
    <t>Cidade</t>
  </si>
  <si>
    <t>RUA JOAQUIM COSTA N 270 </t>
  </si>
  <si>
    <t> AGRONOMICA</t>
  </si>
  <si>
    <t>FLORIANOPOLIS</t>
  </si>
  <si>
    <t>UF</t>
  </si>
  <si>
    <t>CEP</t>
  </si>
  <si>
    <t>E-mail</t>
  </si>
  <si>
    <t>DDD/Telefone</t>
  </si>
  <si>
    <t>SC </t>
  </si>
  <si>
    <t>88.025-400 </t>
  </si>
  <si>
    <t>PATRICIA.REGINA@PLANSUL.NET.BR  </t>
  </si>
  <si>
    <t> 48 3271 1351</t>
  </si>
  <si>
    <t>Quadro 2 - Dados do Representante Legal da Licitante</t>
  </si>
  <si>
    <t xml:space="preserve">Nome </t>
  </si>
  <si>
    <t>CPF/RG</t>
  </si>
  <si>
    <t>RAFAEL BEDA GUALDA </t>
  </si>
  <si>
    <t>932.194.409-59</t>
  </si>
  <si>
    <t> RUA JOAQUIM COSTA N 270 </t>
  </si>
  <si>
    <t>  AGRONOMICA</t>
  </si>
  <si>
    <t>FLORIANOPOLIS </t>
  </si>
  <si>
    <t> SC</t>
  </si>
  <si>
    <t>88.025-400  </t>
  </si>
  <si>
    <t> PATRICIA.REGINA@PLANSUL.NET.BR  </t>
  </si>
  <si>
    <t> 48 3271 1351 </t>
  </si>
  <si>
    <t>Quadro 3 - Validade da Proposta - Lote 08</t>
  </si>
  <si>
    <t>Pregão Eletrônico</t>
  </si>
  <si>
    <t>Data da Proposta</t>
  </si>
  <si>
    <t xml:space="preserve"> Validade da Proposta (dias)1</t>
  </si>
  <si>
    <t xml:space="preserve"> 60 (sessenta) dias, a contar da data de sua apresentação</t>
  </si>
  <si>
    <t>Objeto</t>
  </si>
  <si>
    <t>Contratação para prestação de serviços de apoio administrativo, recepção e secretariado pelos órgãos e entidades da Administração Pública Federal - APF direta, autárquica e fundacional, no âmbito do Distrito Federal - DF, com execução realizada mediante alocação pela contratada de empregados com os cargos de Auxiliar Administrativo, Assistente Administrativo, Recepcionista, Recepcionista Bilíngue, Secretário Executivo I, Secretário Executivo II e Técnico em Secretariado, com disponibilização de solução tecnológica para gestão e fiscalização contratual, por meio de aplicação web e aplicativo mobile, observadas as condições estabelecidas no Termo de Referência - TR.</t>
  </si>
  <si>
    <t>¹ Observada a validade mínima de 60 dias, conforme Lei nº 8.666/1993.</t>
  </si>
  <si>
    <t>Quadro 4 - ACT/CCT/DCT</t>
  </si>
  <si>
    <t>Categorias Vinculadas a CCT abaixo: Auxiliar Administrativo; Assistente Administrativo; Recepcionista; Recepcionista Bilingue</t>
  </si>
  <si>
    <t>Entidade Sindical da Empresa</t>
  </si>
  <si>
    <t>SINDICATO DAS EMPRESAS DE ASSEIO, CONSERVACAO, TRABALHOS TEMPORARIO E SERVICOS TERCEIRIZAVEIS DO DF</t>
  </si>
  <si>
    <t>Entidade Sindical dos Empregados</t>
  </si>
  <si>
    <t>SINDICATO DOS EMPR DE EMPR DE ASSEIO, CONSERVACAO, TRAB TEMPORARIO, PREST SERVICOS E SERV TERCEIRIZAVEIS DO DF-SINDISERVICOS/DF</t>
  </si>
  <si>
    <r>
      <t>Número de Registro</t>
    </r>
    <r>
      <rPr>
        <sz val="12"/>
        <color rgb="FF000000"/>
        <rFont val="Arial"/>
        <family val="2"/>
      </rPr>
      <t>¹</t>
    </r>
  </si>
  <si>
    <t>Início Vigência</t>
  </si>
  <si>
    <t>Fim Vigência</t>
  </si>
  <si>
    <r>
      <t>Número de Registro</t>
    </r>
    <r>
      <rPr>
        <sz val="12"/>
        <color theme="1"/>
        <rFont val="Arial"/>
        <family val="2"/>
      </rPr>
      <t>¹</t>
    </r>
  </si>
  <si>
    <t>DF000428/2020</t>
  </si>
  <si>
    <t>Categorias Vinculadas a CCT abaixo: Secretário Executivo I, Secretário Executivo II, Técnico em Secretariado</t>
  </si>
  <si>
    <t>SINDICATO DAS SECRETARIA E DOS SECRETARIOS DO DF</t>
  </si>
  <si>
    <t>Quadro 5 - Regime Tributário da Licitante</t>
  </si>
  <si>
    <t>Regime tributário</t>
  </si>
  <si>
    <t>Documento Comprobatório¹</t>
  </si>
  <si>
    <t>LUCRO REAL TRIMESTRAL CUMULATIVO NÃO CUMULATIVO</t>
  </si>
  <si>
    <t>COMPROVANTE PIS E COFINS</t>
  </si>
  <si>
    <t>¹ Anexar documento comprobatório.</t>
  </si>
  <si>
    <t>Quadro 6 - Contribuições Sociais</t>
  </si>
  <si>
    <r>
      <t xml:space="preserve">Código </t>
    </r>
    <r>
      <rPr>
        <b/>
        <sz val="12"/>
        <color rgb="FF000000"/>
        <rFont val="Arial"/>
        <family val="2"/>
      </rPr>
      <t>FPAS</t>
    </r>
  </si>
  <si>
    <r>
      <t xml:space="preserve">Índice </t>
    </r>
    <r>
      <rPr>
        <b/>
        <sz val="11"/>
        <color rgb="FF000000"/>
        <rFont val="Garamond"/>
        <family val="1"/>
      </rPr>
      <t>FAP¹</t>
    </r>
  </si>
  <si>
    <t>Contribuições Sociais (%)</t>
  </si>
  <si>
    <t>Ref.: Proposta de Preços referente ao Pregão Eletrônico Nº 10/2020 - Lote 08</t>
  </si>
  <si>
    <t>Quadro 7 - Valor da Proposta</t>
  </si>
  <si>
    <t>Declaramos que:</t>
  </si>
  <si>
    <t>1. concordamos com TODAS as condições estabelecidas no Edital do Pregão Eletrônico nº 10/2020 e seus Anexos.</t>
  </si>
  <si>
    <t>2. nos preços cotados estamos computando todos os custos necessários para a execução dos serviços, bem como tributos diretos e indiretos, encargos trabalhistas, comerciais e quaisquer outras despesas necessárias ao fiel e integral cumprimento do objeto, e não serão solicitados acréscimos, a qualquer título, sendo os serviços prestados sem ônus adicional;</t>
  </si>
  <si>
    <t>3. caso nos seja adjudicado o objeto da licitação, comprometemo-nos a assinar a Ata de Registro de Preços e os Contratos de Serviço dela advindos; e</t>
  </si>
  <si>
    <t>4. estamos cientes e concordamos com todas as condições estabelecidas no Edital desta Licitação e seus Anexos.</t>
  </si>
  <si>
    <t>Quadro 8 – Planilha de Custos e Formação de Preços¹
Planilha de Custos e Formação de Preços</t>
  </si>
  <si>
    <t>recepcionista</t>
  </si>
  <si>
    <t>Valor  Total (R$)</t>
  </si>
  <si>
    <t>P/30*((26,6339)*28/12)/28</t>
  </si>
  <si>
    <t>Subtotal Custo Empregados * Custo Indireto</t>
  </si>
  <si>
    <t>PLANILHA AUXILIAR CÁLCULO DO VALE ALIMENTAÇÃO  - DF000013/2020 - CLÁUSULA DÉCIMA TERCEIRA</t>
  </si>
  <si>
    <t>FLORIANOPOLIS, 08 DE JULHO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</si>
</sst>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  <numFmt numFmtId="165" formatCode="&quot;R$&quot;\ #,##0.00"/>
    <numFmt numFmtId="166" formatCode="#,##0.0000_ ;[Red]\-#,##0.0000\ "/>
    <numFmt numFmtId="167" formatCode="dd/mm/yy;@"/>
    <numFmt numFmtId="168" formatCode="0.0000%"/>
    <numFmt numFmtId="169" formatCode="_(&quot;R$ &quot;* #,##0.00_);_(&quot;R$ &quot;* \(#,##0.00\);_(&quot;R$ &quot;* \-??_);_(@_)"/>
    <numFmt numFmtId="170" formatCode="_(&quot;R$ &quot;* #,##0.00_);_(&quot;R$ &quot;* \(#,##0.00\);_(&quot;R$ &quot;* &quot;-&quot;??_);_(@_)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000000"/>
      <name val="Tahoma"/>
      <family val="2"/>
    </font>
    <font>
      <sz val="10"/>
      <color rgb="FF000000"/>
      <name val="Tahoma"/>
      <family val="2"/>
    </font>
    <font>
      <sz val="10"/>
      <color rgb="FF000000"/>
      <name val="Calibri"/>
      <family val="2"/>
    </font>
    <font>
      <vertAlign val="superscript"/>
      <sz val="10"/>
      <color rgb="FF000000"/>
      <name val="Calibri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  <font>
      <b/>
      <sz val="11"/>
      <color theme="1"/>
      <name val="Garamond"/>
      <family val="1"/>
    </font>
    <font>
      <sz val="11"/>
      <color theme="1"/>
      <name val="Garamond"/>
      <family val="1"/>
    </font>
    <font>
      <sz val="10"/>
      <name val="Arial"/>
      <family val="2"/>
    </font>
    <font>
      <b/>
      <sz val="11"/>
      <color rgb="FF000000"/>
      <name val="Garamond"/>
      <family val="1"/>
    </font>
    <font>
      <sz val="11"/>
      <color rgb="FF000000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0"/>
      <color rgb="FF000000"/>
      <name val="Times New Roman"/>
      <family val="1"/>
    </font>
    <font>
      <sz val="10"/>
      <color rgb="FF000000"/>
      <name val="Garamond"/>
      <family val="1"/>
    </font>
    <font>
      <sz val="9"/>
      <name val="Garamond"/>
      <family val="1"/>
    </font>
    <font>
      <sz val="11"/>
      <name val="Garamond"/>
      <family val="1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3"/>
      <name val="Arial"/>
      <family val="2"/>
    </font>
    <font>
      <sz val="11"/>
      <color rgb="FF000000"/>
      <name val="Arial"/>
      <family val="2"/>
    </font>
    <font>
      <sz val="12"/>
      <color rgb="FF000000"/>
      <name val="Garamond"/>
      <family val="1"/>
    </font>
    <font>
      <sz val="12"/>
      <color rgb="FF000000"/>
      <name val="Arial"/>
      <family val="2"/>
    </font>
    <font>
      <sz val="10.5"/>
      <color theme="1"/>
      <name val="Arial"/>
      <family val="2"/>
    </font>
    <font>
      <b/>
      <sz val="11.5"/>
      <color rgb="FF000000"/>
      <name val="Garamond"/>
      <family val="1"/>
    </font>
    <font>
      <u/>
      <sz val="11"/>
      <color theme="10"/>
      <name val="Calibri"/>
      <family val="2"/>
      <scheme val="minor"/>
    </font>
    <font>
      <b/>
      <sz val="11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rgb="FF000000"/>
      </patternFill>
    </fill>
    <fill>
      <patternFill patternType="lightUp">
        <bgColor theme="4" tint="0.39994506668294322"/>
      </patternFill>
    </fill>
    <fill>
      <patternFill patternType="solid">
        <fgColor rgb="FFFF000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9" fillId="0" borderId="0"/>
    <xf numFmtId="0" fontId="1" fillId="0" borderId="0"/>
    <xf numFmtId="44" fontId="1" fillId="0" borderId="0" applyFont="0" applyFill="0" applyBorder="0" applyAlignment="0" applyProtection="0"/>
    <xf numFmtId="0" fontId="24" fillId="0" borderId="0"/>
    <xf numFmtId="164" fontId="1" fillId="0" borderId="0" applyFont="0" applyFill="0" applyBorder="0" applyAlignment="0" applyProtection="0"/>
    <xf numFmtId="0" fontId="19" fillId="0" borderId="0"/>
    <xf numFmtId="169" fontId="19" fillId="0" borderId="0" applyFont="0" applyFill="0" applyAlignment="0" applyProtection="0"/>
    <xf numFmtId="170" fontId="19" fillId="0" borderId="0" applyFont="0" applyFill="0" applyBorder="0" applyAlignment="0" applyProtection="0"/>
    <xf numFmtId="0" fontId="1" fillId="0" borderId="0"/>
    <xf numFmtId="0" fontId="39" fillId="0" borderId="0" applyNumberFormat="0" applyFill="0" applyBorder="0" applyAlignment="0" applyProtection="0"/>
  </cellStyleXfs>
  <cellXfs count="427">
    <xf numFmtId="0" fontId="0" fillId="0" borderId="0" xfId="0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0" fontId="2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vertical="center"/>
    </xf>
    <xf numFmtId="10" fontId="5" fillId="0" borderId="0" xfId="0" applyNumberFormat="1" applyFont="1" applyAlignment="1">
      <alignment vertical="center"/>
    </xf>
    <xf numFmtId="8" fontId="5" fillId="0" borderId="0" xfId="0" applyNumberFormat="1" applyFont="1" applyAlignment="1">
      <alignment vertical="center"/>
    </xf>
    <xf numFmtId="10" fontId="0" fillId="0" borderId="0" xfId="0" applyNumberFormat="1"/>
    <xf numFmtId="0" fontId="11" fillId="0" borderId="0" xfId="0" applyFont="1"/>
    <xf numFmtId="44" fontId="11" fillId="0" borderId="0" xfId="0" applyNumberFormat="1" applyFont="1"/>
    <xf numFmtId="44" fontId="11" fillId="0" borderId="0" xfId="1" applyFont="1"/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44" fontId="0" fillId="0" borderId="0" xfId="0" applyNumberFormat="1"/>
    <xf numFmtId="0" fontId="12" fillId="6" borderId="1" xfId="0" applyFont="1" applyFill="1" applyBorder="1" applyAlignment="1">
      <alignment horizontal="center"/>
    </xf>
    <xf numFmtId="0" fontId="12" fillId="6" borderId="1" xfId="0" applyFont="1" applyFill="1" applyBorder="1"/>
    <xf numFmtId="44" fontId="12" fillId="6" borderId="0" xfId="0" applyNumberFormat="1" applyFont="1" applyFill="1"/>
    <xf numFmtId="0" fontId="5" fillId="0" borderId="0" xfId="0" applyFont="1"/>
    <xf numFmtId="0" fontId="2" fillId="7" borderId="1" xfId="0" applyFont="1" applyFill="1" applyBorder="1" applyAlignment="1">
      <alignment horizontal="center" vertical="center" wrapText="1"/>
    </xf>
    <xf numFmtId="167" fontId="2" fillId="7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167" fontId="5" fillId="0" borderId="0" xfId="0" applyNumberFormat="1" applyFont="1" applyAlignment="1">
      <alignment horizontal="center"/>
    </xf>
    <xf numFmtId="4" fontId="5" fillId="0" borderId="0" xfId="0" applyNumberFormat="1" applyFont="1"/>
    <xf numFmtId="44" fontId="5" fillId="0" borderId="0" xfId="0" applyNumberFormat="1" applyFont="1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10" fontId="0" fillId="0" borderId="0" xfId="0" applyNumberFormat="1" applyBorder="1"/>
    <xf numFmtId="10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8" fontId="5" fillId="0" borderId="0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vertical="center"/>
    </xf>
    <xf numFmtId="4" fontId="4" fillId="3" borderId="13" xfId="0" applyNumberFormat="1" applyFont="1" applyFill="1" applyBorder="1" applyAlignment="1">
      <alignment vertical="center"/>
    </xf>
    <xf numFmtId="4" fontId="5" fillId="0" borderId="12" xfId="0" applyNumberFormat="1" applyFont="1" applyBorder="1" applyAlignment="1">
      <alignment vertical="center"/>
    </xf>
    <xf numFmtId="4" fontId="0" fillId="0" borderId="0" xfId="0" applyNumberFormat="1" applyBorder="1"/>
    <xf numFmtId="0" fontId="3" fillId="8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vertical="center"/>
    </xf>
    <xf numFmtId="8" fontId="3" fillId="8" borderId="1" xfId="0" applyNumberFormat="1" applyFont="1" applyFill="1" applyBorder="1" applyAlignment="1">
      <alignment horizontal="center" vertical="center"/>
    </xf>
    <xf numFmtId="8" fontId="3" fillId="8" borderId="6" xfId="0" applyNumberFormat="1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vertical="center"/>
    </xf>
    <xf numFmtId="0" fontId="4" fillId="8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vertical="center"/>
    </xf>
    <xf numFmtId="3" fontId="3" fillId="5" borderId="1" xfId="0" applyNumberFormat="1" applyFont="1" applyFill="1" applyBorder="1" applyAlignment="1">
      <alignment horizontal="right" vertical="center" wrapText="1"/>
    </xf>
    <xf numFmtId="3" fontId="2" fillId="5" borderId="1" xfId="0" applyNumberFormat="1" applyFont="1" applyFill="1" applyBorder="1" applyAlignment="1">
      <alignment horizontal="right" vertical="center" wrapText="1"/>
    </xf>
    <xf numFmtId="4" fontId="3" fillId="8" borderId="12" xfId="0" applyNumberFormat="1" applyFont="1" applyFill="1" applyBorder="1" applyAlignment="1">
      <alignment horizontal="right" vertical="center"/>
    </xf>
    <xf numFmtId="4" fontId="2" fillId="8" borderId="12" xfId="0" applyNumberFormat="1" applyFont="1" applyFill="1" applyBorder="1" applyAlignment="1">
      <alignment horizontal="right" vertical="center"/>
    </xf>
    <xf numFmtId="0" fontId="0" fillId="5" borderId="0" xfId="0" applyFill="1"/>
    <xf numFmtId="4" fontId="5" fillId="8" borderId="12" xfId="0" applyNumberFormat="1" applyFont="1" applyFill="1" applyBorder="1" applyAlignment="1">
      <alignment horizontal="right" vertical="center"/>
    </xf>
    <xf numFmtId="4" fontId="4" fillId="8" borderId="12" xfId="0" applyNumberFormat="1" applyFont="1" applyFill="1" applyBorder="1" applyAlignment="1">
      <alignment vertical="center"/>
    </xf>
    <xf numFmtId="4" fontId="5" fillId="8" borderId="12" xfId="0" applyNumberFormat="1" applyFont="1" applyFill="1" applyBorder="1" applyAlignment="1">
      <alignment vertical="center"/>
    </xf>
    <xf numFmtId="4" fontId="10" fillId="8" borderId="28" xfId="0" applyNumberFormat="1" applyFont="1" applyFill="1" applyBorder="1" applyAlignment="1">
      <alignment vertical="center"/>
    </xf>
    <xf numFmtId="10" fontId="4" fillId="8" borderId="1" xfId="0" applyNumberFormat="1" applyFont="1" applyFill="1" applyBorder="1" applyAlignment="1">
      <alignment vertical="center"/>
    </xf>
    <xf numFmtId="10" fontId="5" fillId="5" borderId="1" xfId="0" applyNumberFormat="1" applyFont="1" applyFill="1" applyBorder="1" applyAlignment="1">
      <alignment horizontal="right" vertical="center"/>
    </xf>
    <xf numFmtId="10" fontId="3" fillId="5" borderId="1" xfId="0" applyNumberFormat="1" applyFont="1" applyFill="1" applyBorder="1" applyAlignment="1">
      <alignment horizontal="right" vertical="center"/>
    </xf>
    <xf numFmtId="10" fontId="2" fillId="5" borderId="1" xfId="0" applyNumberFormat="1" applyFont="1" applyFill="1" applyBorder="1" applyAlignment="1">
      <alignment horizontal="right" vertical="center"/>
    </xf>
    <xf numFmtId="10" fontId="4" fillId="5" borderId="1" xfId="0" applyNumberFormat="1" applyFont="1" applyFill="1" applyBorder="1" applyAlignment="1">
      <alignment vertical="center"/>
    </xf>
    <xf numFmtId="10" fontId="5" fillId="5" borderId="1" xfId="0" applyNumberFormat="1" applyFont="1" applyFill="1" applyBorder="1" applyAlignment="1">
      <alignment vertical="center"/>
    </xf>
    <xf numFmtId="10" fontId="10" fillId="5" borderId="29" xfId="0" applyNumberFormat="1" applyFont="1" applyFill="1" applyBorder="1" applyAlignment="1">
      <alignment vertical="center"/>
    </xf>
    <xf numFmtId="4" fontId="2" fillId="8" borderId="1" xfId="0" applyNumberFormat="1" applyFont="1" applyFill="1" applyBorder="1" applyAlignment="1">
      <alignment horizontal="right" vertical="center"/>
    </xf>
    <xf numFmtId="4" fontId="3" fillId="8" borderId="1" xfId="0" applyNumberFormat="1" applyFont="1" applyFill="1" applyBorder="1" applyAlignment="1">
      <alignment horizontal="right" vertical="center"/>
    </xf>
    <xf numFmtId="4" fontId="3" fillId="8" borderId="13" xfId="0" applyNumberFormat="1" applyFont="1" applyFill="1" applyBorder="1" applyAlignment="1">
      <alignment horizontal="right" vertical="center"/>
    </xf>
    <xf numFmtId="4" fontId="2" fillId="8" borderId="13" xfId="0" applyNumberFormat="1" applyFont="1" applyFill="1" applyBorder="1" applyAlignment="1">
      <alignment horizontal="right" vertical="center"/>
    </xf>
    <xf numFmtId="4" fontId="4" fillId="8" borderId="1" xfId="0" applyNumberFormat="1" applyFont="1" applyFill="1" applyBorder="1" applyAlignment="1">
      <alignment vertical="center"/>
    </xf>
    <xf numFmtId="4" fontId="4" fillId="8" borderId="13" xfId="0" applyNumberFormat="1" applyFont="1" applyFill="1" applyBorder="1" applyAlignment="1">
      <alignment vertical="center"/>
    </xf>
    <xf numFmtId="4" fontId="5" fillId="8" borderId="1" xfId="0" applyNumberFormat="1" applyFont="1" applyFill="1" applyBorder="1" applyAlignment="1">
      <alignment vertical="center"/>
    </xf>
    <xf numFmtId="4" fontId="5" fillId="8" borderId="13" xfId="0" applyNumberFormat="1" applyFont="1" applyFill="1" applyBorder="1" applyAlignment="1">
      <alignment vertical="center"/>
    </xf>
    <xf numFmtId="4" fontId="10" fillId="8" borderId="29" xfId="0" applyNumberFormat="1" applyFont="1" applyFill="1" applyBorder="1" applyAlignment="1">
      <alignment vertical="center"/>
    </xf>
    <xf numFmtId="4" fontId="10" fillId="8" borderId="30" xfId="0" applyNumberFormat="1" applyFont="1" applyFill="1" applyBorder="1" applyAlignment="1">
      <alignment vertical="center"/>
    </xf>
    <xf numFmtId="4" fontId="3" fillId="5" borderId="1" xfId="0" applyNumberFormat="1" applyFont="1" applyFill="1" applyBorder="1" applyAlignment="1">
      <alignment horizontal="right" vertical="center"/>
    </xf>
    <xf numFmtId="4" fontId="3" fillId="5" borderId="12" xfId="0" applyNumberFormat="1" applyFont="1" applyFill="1" applyBorder="1" applyAlignment="1">
      <alignment horizontal="right" vertical="center"/>
    </xf>
    <xf numFmtId="44" fontId="12" fillId="8" borderId="1" xfId="1" applyFont="1" applyFill="1" applyBorder="1"/>
    <xf numFmtId="0" fontId="2" fillId="8" borderId="1" xfId="0" applyFont="1" applyFill="1" applyBorder="1" applyAlignment="1">
      <alignment horizontal="center" vertical="center" wrapText="1"/>
    </xf>
    <xf numFmtId="4" fontId="2" fillId="8" borderId="1" xfId="0" applyNumberFormat="1" applyFont="1" applyFill="1" applyBorder="1" applyAlignment="1">
      <alignment horizontal="right" vertical="center" wrapText="1"/>
    </xf>
    <xf numFmtId="4" fontId="3" fillId="5" borderId="1" xfId="0" applyNumberFormat="1" applyFont="1" applyFill="1" applyBorder="1" applyAlignment="1">
      <alignment horizontal="right" vertical="center" wrapText="1"/>
    </xf>
    <xf numFmtId="167" fontId="3" fillId="5" borderId="1" xfId="0" applyNumberFormat="1" applyFont="1" applyFill="1" applyBorder="1" applyAlignment="1">
      <alignment horizontal="center" vertical="center"/>
    </xf>
    <xf numFmtId="167" fontId="3" fillId="5" borderId="1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right" vertical="center" wrapText="1"/>
    </xf>
    <xf numFmtId="167" fontId="2" fillId="5" borderId="1" xfId="0" applyNumberFormat="1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horizontal="center" vertical="center"/>
    </xf>
    <xf numFmtId="0" fontId="13" fillId="0" borderId="0" xfId="0" applyFont="1"/>
    <xf numFmtId="0" fontId="14" fillId="0" borderId="0" xfId="0" applyFont="1"/>
    <xf numFmtId="0" fontId="15" fillId="11" borderId="1" xfId="0" applyFont="1" applyFill="1" applyBorder="1" applyAlignment="1">
      <alignment vertical="center"/>
    </xf>
    <xf numFmtId="10" fontId="15" fillId="11" borderId="1" xfId="2" applyNumberFormat="1" applyFont="1" applyFill="1" applyBorder="1" applyAlignment="1">
      <alignment horizontal="right"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10" fontId="15" fillId="0" borderId="1" xfId="2" applyNumberFormat="1" applyFont="1" applyBorder="1" applyAlignment="1">
      <alignment horizontal="right" vertical="center"/>
    </xf>
    <xf numFmtId="168" fontId="15" fillId="0" borderId="1" xfId="2" applyNumberFormat="1" applyFont="1" applyFill="1" applyBorder="1" applyAlignment="1">
      <alignment horizontal="right" vertical="center"/>
    </xf>
    <xf numFmtId="10" fontId="15" fillId="0" borderId="1" xfId="0" applyNumberFormat="1" applyFont="1" applyFill="1" applyBorder="1"/>
    <xf numFmtId="0" fontId="18" fillId="0" borderId="0" xfId="3" applyFont="1"/>
    <xf numFmtId="0" fontId="18" fillId="11" borderId="0" xfId="3" applyFont="1" applyFill="1"/>
    <xf numFmtId="0" fontId="21" fillId="14" borderId="15" xfId="3" applyFont="1" applyFill="1" applyBorder="1" applyAlignment="1">
      <alignment horizontal="center" vertical="center" wrapText="1"/>
    </xf>
    <xf numFmtId="0" fontId="21" fillId="14" borderId="1" xfId="3" applyFont="1" applyFill="1" applyBorder="1" applyAlignment="1">
      <alignment horizontal="justify" vertical="center" wrapText="1"/>
    </xf>
    <xf numFmtId="0" fontId="21" fillId="14" borderId="1" xfId="3" applyFont="1" applyFill="1" applyBorder="1" applyAlignment="1">
      <alignment horizontal="center" vertical="center" wrapText="1"/>
    </xf>
    <xf numFmtId="44" fontId="21" fillId="11" borderId="1" xfId="4" applyNumberFormat="1" applyFont="1" applyFill="1" applyBorder="1" applyAlignment="1">
      <alignment horizontal="center" vertical="center" wrapText="1"/>
    </xf>
    <xf numFmtId="44" fontId="21" fillId="0" borderId="1" xfId="4" applyNumberFormat="1" applyFont="1" applyBorder="1" applyAlignment="1">
      <alignment horizontal="center" vertical="center" wrapText="1"/>
    </xf>
    <xf numFmtId="44" fontId="21" fillId="0" borderId="16" xfId="4" applyNumberFormat="1" applyFont="1" applyBorder="1" applyAlignment="1">
      <alignment horizontal="center" vertical="center" wrapText="1"/>
    </xf>
    <xf numFmtId="164" fontId="18" fillId="0" borderId="0" xfId="3" applyNumberFormat="1" applyFont="1"/>
    <xf numFmtId="0" fontId="21" fillId="14" borderId="1" xfId="3" applyFont="1" applyFill="1" applyBorder="1" applyAlignment="1">
      <alignment vertical="center" wrapText="1"/>
    </xf>
    <xf numFmtId="44" fontId="21" fillId="0" borderId="4" xfId="4" applyNumberFormat="1" applyFont="1" applyBorder="1" applyAlignment="1">
      <alignment horizontal="center" vertical="center" wrapText="1"/>
    </xf>
    <xf numFmtId="0" fontId="21" fillId="14" borderId="4" xfId="3" applyFont="1" applyFill="1" applyBorder="1" applyAlignment="1">
      <alignment horizontal="center" vertical="center" wrapText="1"/>
    </xf>
    <xf numFmtId="0" fontId="18" fillId="13" borderId="0" xfId="3" applyFont="1" applyFill="1"/>
    <xf numFmtId="44" fontId="22" fillId="11" borderId="31" xfId="4" applyNumberFormat="1" applyFont="1" applyFill="1" applyBorder="1" applyAlignment="1">
      <alignment horizontal="center" vertical="center"/>
    </xf>
    <xf numFmtId="44" fontId="22" fillId="11" borderId="22" xfId="4" applyNumberFormat="1" applyFont="1" applyFill="1" applyBorder="1" applyAlignment="1">
      <alignment horizontal="center" vertical="center"/>
    </xf>
    <xf numFmtId="44" fontId="22" fillId="11" borderId="32" xfId="4" applyNumberFormat="1" applyFont="1" applyFill="1" applyBorder="1" applyAlignment="1">
      <alignment vertical="center"/>
    </xf>
    <xf numFmtId="44" fontId="18" fillId="0" borderId="0" xfId="1" applyFont="1"/>
    <xf numFmtId="10" fontId="18" fillId="0" borderId="0" xfId="2" applyNumberFormat="1" applyFont="1"/>
    <xf numFmtId="0" fontId="20" fillId="5" borderId="15" xfId="4" applyFont="1" applyFill="1" applyBorder="1" applyAlignment="1">
      <alignment horizontal="center" vertical="center" wrapText="1"/>
    </xf>
    <xf numFmtId="0" fontId="20" fillId="5" borderId="1" xfId="4" applyFont="1" applyFill="1" applyBorder="1" applyAlignment="1">
      <alignment horizontal="center" vertical="center" wrapText="1"/>
    </xf>
    <xf numFmtId="0" fontId="20" fillId="5" borderId="16" xfId="4" applyFont="1" applyFill="1" applyBorder="1" applyAlignment="1">
      <alignment horizontal="center" vertical="center" wrapText="1"/>
    </xf>
    <xf numFmtId="44" fontId="22" fillId="5" borderId="35" xfId="4" applyNumberFormat="1" applyFont="1" applyFill="1" applyBorder="1" applyAlignment="1">
      <alignment horizontal="center" vertical="center"/>
    </xf>
    <xf numFmtId="44" fontId="22" fillId="5" borderId="11" xfId="4" applyNumberFormat="1" applyFont="1" applyFill="1" applyBorder="1" applyAlignment="1">
      <alignment horizontal="center" vertical="center"/>
    </xf>
    <xf numFmtId="44" fontId="22" fillId="5" borderId="14" xfId="4" applyNumberFormat="1" applyFont="1" applyFill="1" applyBorder="1" applyAlignment="1">
      <alignment vertical="center"/>
    </xf>
    <xf numFmtId="0" fontId="23" fillId="5" borderId="0" xfId="3" applyFont="1" applyFill="1" applyAlignment="1">
      <alignment vertical="center"/>
    </xf>
    <xf numFmtId="164" fontId="17" fillId="5" borderId="1" xfId="3" applyNumberFormat="1" applyFont="1" applyFill="1" applyBorder="1" applyAlignment="1">
      <alignment vertical="center"/>
    </xf>
    <xf numFmtId="0" fontId="17" fillId="5" borderId="0" xfId="3" applyFont="1" applyFill="1" applyAlignment="1">
      <alignment vertical="center"/>
    </xf>
    <xf numFmtId="0" fontId="21" fillId="0" borderId="15" xfId="3" applyFont="1" applyFill="1" applyBorder="1" applyAlignment="1">
      <alignment horizontal="center" vertical="center" wrapText="1"/>
    </xf>
    <xf numFmtId="0" fontId="21" fillId="0" borderId="1" xfId="3" applyFont="1" applyFill="1" applyBorder="1" applyAlignment="1">
      <alignment horizontal="justify" vertical="center" wrapText="1"/>
    </xf>
    <xf numFmtId="0" fontId="21" fillId="0" borderId="1" xfId="3" applyFont="1" applyFill="1" applyBorder="1" applyAlignment="1">
      <alignment horizontal="center" vertical="center" wrapText="1"/>
    </xf>
    <xf numFmtId="44" fontId="21" fillId="0" borderId="1" xfId="4" applyNumberFormat="1" applyFont="1" applyFill="1" applyBorder="1" applyAlignment="1">
      <alignment horizontal="center" vertical="center" wrapText="1"/>
    </xf>
    <xf numFmtId="44" fontId="21" fillId="0" borderId="16" xfId="4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44" fontId="11" fillId="4" borderId="1" xfId="1" applyFont="1" applyFill="1" applyBorder="1" applyAlignment="1">
      <alignment horizontal="center" vertical="center" wrapText="1"/>
    </xf>
    <xf numFmtId="44" fontId="12" fillId="8" borderId="1" xfId="0" applyNumberFormat="1" applyFont="1" applyFill="1" applyBorder="1"/>
    <xf numFmtId="44" fontId="12" fillId="8" borderId="7" xfId="0" applyNumberFormat="1" applyFont="1" applyFill="1" applyBorder="1" applyAlignment="1"/>
    <xf numFmtId="44" fontId="12" fillId="8" borderId="8" xfId="0" applyNumberFormat="1" applyFont="1" applyFill="1" applyBorder="1" applyAlignment="1"/>
    <xf numFmtId="0" fontId="12" fillId="8" borderId="7" xfId="0" applyNumberFormat="1" applyFont="1" applyFill="1" applyBorder="1" applyAlignment="1">
      <alignment horizontal="center"/>
    </xf>
    <xf numFmtId="0" fontId="20" fillId="0" borderId="0" xfId="7" applyFont="1" applyAlignment="1">
      <alignment horizontal="left" vertical="top"/>
    </xf>
    <xf numFmtId="0" fontId="25" fillId="0" borderId="0" xfId="7" applyFont="1" applyAlignment="1">
      <alignment horizontal="left" vertical="top"/>
    </xf>
    <xf numFmtId="0" fontId="25" fillId="0" borderId="0" xfId="7" applyFont="1" applyAlignment="1">
      <alignment vertical="top" wrapText="1"/>
    </xf>
    <xf numFmtId="164" fontId="25" fillId="0" borderId="0" xfId="8" applyFont="1" applyAlignment="1">
      <alignment horizontal="left" vertical="top"/>
    </xf>
    <xf numFmtId="0" fontId="26" fillId="0" borderId="21" xfId="7" applyFont="1" applyBorder="1" applyAlignment="1">
      <alignment horizontal="center" vertical="center" wrapText="1"/>
    </xf>
    <xf numFmtId="0" fontId="27" fillId="0" borderId="21" xfId="7" applyFont="1" applyBorder="1" applyAlignment="1">
      <alignment horizontal="center" vertical="center" wrapText="1"/>
    </xf>
    <xf numFmtId="4" fontId="21" fillId="0" borderId="21" xfId="7" applyNumberFormat="1" applyFont="1" applyBorder="1" applyAlignment="1">
      <alignment horizontal="center" vertical="center" shrinkToFit="1"/>
    </xf>
    <xf numFmtId="4" fontId="20" fillId="0" borderId="0" xfId="7" applyNumberFormat="1" applyFont="1" applyAlignment="1">
      <alignment horizontal="left" vertical="top"/>
    </xf>
    <xf numFmtId="44" fontId="20" fillId="0" borderId="0" xfId="1" applyFont="1" applyAlignment="1">
      <alignment horizontal="left" vertical="top"/>
    </xf>
    <xf numFmtId="4" fontId="25" fillId="0" borderId="0" xfId="7" applyNumberFormat="1" applyFont="1" applyAlignment="1">
      <alignment horizontal="left" vertical="top"/>
    </xf>
    <xf numFmtId="10" fontId="25" fillId="0" borderId="0" xfId="2" applyNumberFormat="1" applyFont="1" applyAlignment="1">
      <alignment horizontal="left" vertical="top"/>
    </xf>
    <xf numFmtId="0" fontId="28" fillId="16" borderId="1" xfId="9" applyFont="1" applyFill="1" applyBorder="1" applyAlignment="1">
      <alignment horizontal="center"/>
    </xf>
    <xf numFmtId="0" fontId="28" fillId="16" borderId="16" xfId="9" applyFont="1" applyFill="1" applyBorder="1" applyAlignment="1">
      <alignment horizontal="center"/>
    </xf>
    <xf numFmtId="0" fontId="28" fillId="9" borderId="1" xfId="9" applyFont="1" applyFill="1" applyBorder="1" applyAlignment="1">
      <alignment horizontal="center" vertical="center" wrapText="1"/>
    </xf>
    <xf numFmtId="0" fontId="28" fillId="9" borderId="41" xfId="9" applyFont="1" applyFill="1" applyBorder="1" applyAlignment="1">
      <alignment horizontal="center" vertical="center" wrapText="1"/>
    </xf>
    <xf numFmtId="164" fontId="29" fillId="0" borderId="1" xfId="7" applyNumberFormat="1" applyFont="1" applyBorder="1" applyAlignment="1">
      <alignment horizontal="left" vertical="center" wrapText="1"/>
    </xf>
    <xf numFmtId="1" fontId="29" fillId="0" borderId="1" xfId="9" applyNumberFormat="1" applyFont="1" applyBorder="1" applyAlignment="1">
      <alignment horizontal="center" vertical="center" wrapText="1"/>
    </xf>
    <xf numFmtId="164" fontId="29" fillId="0" borderId="1" xfId="8" applyFont="1" applyBorder="1" applyAlignment="1">
      <alignment horizontal="center" vertical="center" wrapText="1"/>
    </xf>
    <xf numFmtId="0" fontId="29" fillId="0" borderId="1" xfId="10" applyNumberFormat="1" applyFont="1" applyBorder="1" applyAlignment="1">
      <alignment horizontal="center" vertical="center" wrapText="1"/>
    </xf>
    <xf numFmtId="170" fontId="29" fillId="0" borderId="1" xfId="11" applyFont="1" applyBorder="1" applyAlignment="1">
      <alignment horizontal="center" vertical="center" wrapText="1"/>
    </xf>
    <xf numFmtId="169" fontId="29" fillId="0" borderId="16" xfId="10" applyFont="1" applyBorder="1" applyAlignment="1">
      <alignment horizontal="center" vertical="center" wrapText="1"/>
    </xf>
    <xf numFmtId="0" fontId="28" fillId="0" borderId="17" xfId="9" applyFont="1" applyBorder="1" applyAlignment="1">
      <alignment horizontal="center"/>
    </xf>
    <xf numFmtId="1" fontId="28" fillId="0" borderId="42" xfId="9" applyNumberFormat="1" applyFont="1" applyBorder="1" applyAlignment="1">
      <alignment horizontal="center"/>
    </xf>
    <xf numFmtId="0" fontId="15" fillId="17" borderId="43" xfId="0" applyFont="1" applyFill="1" applyBorder="1" applyAlignment="1">
      <alignment horizontal="center" vertical="center"/>
    </xf>
    <xf numFmtId="169" fontId="28" fillId="0" borderId="20" xfId="9" applyNumberFormat="1" applyFont="1" applyBorder="1"/>
    <xf numFmtId="0" fontId="28" fillId="16" borderId="1" xfId="9" applyFont="1" applyFill="1" applyBorder="1" applyAlignment="1">
      <alignment horizontal="center" vertical="center"/>
    </xf>
    <xf numFmtId="169" fontId="29" fillId="0" borderId="1" xfId="10" applyFont="1" applyBorder="1" applyAlignment="1">
      <alignment horizontal="center" vertical="center" wrapText="1"/>
    </xf>
    <xf numFmtId="169" fontId="29" fillId="12" borderId="1" xfId="10" applyFont="1" applyFill="1" applyBorder="1" applyAlignment="1">
      <alignment horizontal="center" vertical="center" wrapText="1"/>
    </xf>
    <xf numFmtId="0" fontId="29" fillId="11" borderId="1" xfId="10" applyNumberFormat="1" applyFont="1" applyFill="1" applyBorder="1" applyAlignment="1">
      <alignment horizontal="center" vertical="center" wrapText="1"/>
    </xf>
    <xf numFmtId="169" fontId="29" fillId="0" borderId="1" xfId="10" applyFont="1" applyBorder="1" applyAlignment="1">
      <alignment vertical="center" wrapText="1"/>
    </xf>
    <xf numFmtId="0" fontId="28" fillId="0" borderId="1" xfId="9" applyFont="1" applyBorder="1" applyAlignment="1">
      <alignment horizontal="center"/>
    </xf>
    <xf numFmtId="1" fontId="28" fillId="0" borderId="1" xfId="9" applyNumberFormat="1" applyFont="1" applyBorder="1" applyAlignment="1">
      <alignment horizontal="center"/>
    </xf>
    <xf numFmtId="0" fontId="15" fillId="17" borderId="6" xfId="12" applyFont="1" applyFill="1" applyBorder="1" applyAlignment="1">
      <alignment horizontal="center" vertical="center"/>
    </xf>
    <xf numFmtId="169" fontId="28" fillId="0" borderId="44" xfId="9" applyNumberFormat="1" applyFont="1" applyBorder="1"/>
    <xf numFmtId="0" fontId="3" fillId="0" borderId="9" xfId="7" applyFont="1" applyBorder="1" applyAlignment="1">
      <alignment horizontal="left" vertical="top"/>
    </xf>
    <xf numFmtId="0" fontId="3" fillId="0" borderId="0" xfId="7" applyFont="1" applyAlignment="1">
      <alignment horizontal="left" vertical="top"/>
    </xf>
    <xf numFmtId="0" fontId="3" fillId="0" borderId="40" xfId="7" applyFont="1" applyBorder="1" applyAlignment="1">
      <alignment horizontal="left" vertical="top"/>
    </xf>
    <xf numFmtId="0" fontId="30" fillId="10" borderId="1" xfId="7" applyFont="1" applyFill="1" applyBorder="1" applyAlignment="1">
      <alignment horizontal="center" vertical="center" wrapText="1"/>
    </xf>
    <xf numFmtId="0" fontId="3" fillId="10" borderId="1" xfId="7" applyFont="1" applyFill="1" applyBorder="1" applyAlignment="1">
      <alignment horizontal="center" vertical="center" wrapText="1"/>
    </xf>
    <xf numFmtId="164" fontId="31" fillId="0" borderId="1" xfId="7" applyNumberFormat="1" applyFont="1" applyBorder="1" applyAlignment="1">
      <alignment horizontal="center" vertical="center" wrapText="1"/>
    </xf>
    <xf numFmtId="0" fontId="32" fillId="0" borderId="1" xfId="7" applyFont="1" applyBorder="1" applyAlignment="1">
      <alignment horizontal="center" vertical="center" wrapText="1"/>
    </xf>
    <xf numFmtId="4" fontId="34" fillId="0" borderId="1" xfId="7" applyNumberFormat="1" applyFont="1" applyBorder="1" applyAlignment="1">
      <alignment horizontal="center" vertical="center" shrinkToFit="1"/>
    </xf>
    <xf numFmtId="0" fontId="31" fillId="0" borderId="1" xfId="7" applyFont="1" applyBorder="1" applyAlignment="1">
      <alignment horizontal="center" vertical="center" wrapText="1"/>
    </xf>
    <xf numFmtId="0" fontId="3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35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 indent="1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14" fillId="0" borderId="48" xfId="0" applyFont="1" applyBorder="1" applyAlignment="1">
      <alignment vertical="center" wrapText="1"/>
    </xf>
    <xf numFmtId="0" fontId="15" fillId="0" borderId="0" xfId="0" applyFont="1" applyAlignment="1">
      <alignment horizontal="center" vertical="center"/>
    </xf>
    <xf numFmtId="0" fontId="14" fillId="2" borderId="44" xfId="0" applyFont="1" applyFill="1" applyBorder="1" applyAlignment="1">
      <alignment horizontal="center" vertical="center" wrapText="1"/>
    </xf>
    <xf numFmtId="0" fontId="14" fillId="0" borderId="46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21" fillId="0" borderId="45" xfId="0" applyFont="1" applyBorder="1" applyAlignment="1">
      <alignment vertical="center" wrapText="1"/>
    </xf>
    <xf numFmtId="0" fontId="4" fillId="2" borderId="44" xfId="0" applyFont="1" applyFill="1" applyBorder="1" applyAlignment="1">
      <alignment horizontal="center" vertical="center" wrapText="1"/>
    </xf>
    <xf numFmtId="0" fontId="2" fillId="2" borderId="45" xfId="0" applyFont="1" applyFill="1" applyBorder="1" applyAlignment="1">
      <alignment horizontal="center" vertical="center" wrapText="1"/>
    </xf>
    <xf numFmtId="10" fontId="14" fillId="0" borderId="46" xfId="0" applyNumberFormat="1" applyFont="1" applyBorder="1" applyAlignment="1">
      <alignment horizontal="center" vertical="center" wrapText="1"/>
    </xf>
    <xf numFmtId="10" fontId="14" fillId="0" borderId="48" xfId="0" applyNumberFormat="1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vertical="center" wrapText="1"/>
    </xf>
    <xf numFmtId="0" fontId="40" fillId="2" borderId="1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vertical="center" wrapText="1"/>
    </xf>
    <xf numFmtId="0" fontId="40" fillId="2" borderId="46" xfId="0" applyFont="1" applyFill="1" applyBorder="1" applyAlignment="1">
      <alignment horizontal="center" vertical="center" wrapText="1"/>
    </xf>
    <xf numFmtId="0" fontId="40" fillId="2" borderId="48" xfId="0" applyFont="1" applyFill="1" applyBorder="1" applyAlignment="1">
      <alignment horizontal="center" vertical="center" wrapText="1"/>
    </xf>
    <xf numFmtId="0" fontId="34" fillId="0" borderId="46" xfId="0" applyFont="1" applyBorder="1" applyAlignment="1">
      <alignment horizontal="center" vertical="center" wrapText="1"/>
    </xf>
    <xf numFmtId="0" fontId="34" fillId="0" borderId="48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vertical="center" wrapText="1"/>
    </xf>
    <xf numFmtId="44" fontId="0" fillId="0" borderId="0" xfId="1" applyFont="1"/>
    <xf numFmtId="0" fontId="14" fillId="2" borderId="1" xfId="0" applyFont="1" applyFill="1" applyBorder="1" applyAlignment="1">
      <alignment vertical="center" wrapText="1"/>
    </xf>
    <xf numFmtId="0" fontId="36" fillId="2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41" fillId="0" borderId="0" xfId="0" applyFont="1" applyAlignment="1">
      <alignment vertical="center"/>
    </xf>
    <xf numFmtId="0" fontId="41" fillId="0" borderId="0" xfId="0" applyFont="1"/>
    <xf numFmtId="44" fontId="14" fillId="0" borderId="0" xfId="0" applyNumberFormat="1" applyFont="1"/>
    <xf numFmtId="0" fontId="15" fillId="17" borderId="43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 wrapText="1"/>
    </xf>
    <xf numFmtId="168" fontId="14" fillId="18" borderId="48" xfId="0" applyNumberFormat="1" applyFont="1" applyFill="1" applyBorder="1" applyAlignment="1">
      <alignment horizontal="center" vertical="center" wrapText="1"/>
    </xf>
    <xf numFmtId="4" fontId="5" fillId="18" borderId="1" xfId="0" applyNumberFormat="1" applyFont="1" applyFill="1" applyBorder="1" applyAlignment="1">
      <alignment vertical="center"/>
    </xf>
    <xf numFmtId="4" fontId="5" fillId="18" borderId="13" xfId="0" applyNumberFormat="1" applyFont="1" applyFill="1" applyBorder="1" applyAlignment="1">
      <alignment vertical="center"/>
    </xf>
    <xf numFmtId="4" fontId="5" fillId="18" borderId="1" xfId="0" applyNumberFormat="1" applyFont="1" applyFill="1" applyBorder="1" applyAlignment="1">
      <alignment horizontal="right" vertical="center"/>
    </xf>
    <xf numFmtId="4" fontId="5" fillId="18" borderId="13" xfId="0" applyNumberFormat="1" applyFont="1" applyFill="1" applyBorder="1" applyAlignment="1">
      <alignment horizontal="right" vertical="center"/>
    </xf>
    <xf numFmtId="44" fontId="5" fillId="0" borderId="0" xfId="0" applyNumberFormat="1" applyFont="1" applyBorder="1" applyAlignment="1">
      <alignment vertical="center"/>
    </xf>
    <xf numFmtId="0" fontId="42" fillId="9" borderId="1" xfId="0" applyFont="1" applyFill="1" applyBorder="1" applyAlignment="1">
      <alignment horizontal="center" vertical="center" wrapText="1"/>
    </xf>
    <xf numFmtId="0" fontId="42" fillId="9" borderId="8" xfId="0" applyFont="1" applyFill="1" applyBorder="1" applyAlignment="1">
      <alignment horizontal="center" vertical="center" wrapText="1"/>
    </xf>
    <xf numFmtId="4" fontId="3" fillId="8" borderId="6" xfId="0" applyNumberFormat="1" applyFont="1" applyFill="1" applyBorder="1" applyAlignment="1">
      <alignment horizontal="right" vertical="center"/>
    </xf>
    <xf numFmtId="4" fontId="2" fillId="8" borderId="6" xfId="0" applyNumberFormat="1" applyFont="1" applyFill="1" applyBorder="1" applyAlignment="1">
      <alignment horizontal="right" vertical="center"/>
    </xf>
    <xf numFmtId="4" fontId="5" fillId="18" borderId="6" xfId="0" applyNumberFormat="1" applyFont="1" applyFill="1" applyBorder="1" applyAlignment="1">
      <alignment horizontal="right" vertical="center"/>
    </xf>
    <xf numFmtId="4" fontId="4" fillId="8" borderId="6" xfId="0" applyNumberFormat="1" applyFont="1" applyFill="1" applyBorder="1" applyAlignment="1">
      <alignment vertical="center"/>
    </xf>
    <xf numFmtId="4" fontId="5" fillId="18" borderId="6" xfId="0" applyNumberFormat="1" applyFont="1" applyFill="1" applyBorder="1" applyAlignment="1">
      <alignment vertical="center"/>
    </xf>
    <xf numFmtId="4" fontId="4" fillId="3" borderId="6" xfId="0" applyNumberFormat="1" applyFont="1" applyFill="1" applyBorder="1" applyAlignment="1">
      <alignment vertical="center"/>
    </xf>
    <xf numFmtId="4" fontId="5" fillId="8" borderId="6" xfId="0" applyNumberFormat="1" applyFont="1" applyFill="1" applyBorder="1" applyAlignment="1">
      <alignment vertical="center"/>
    </xf>
    <xf numFmtId="4" fontId="10" fillId="8" borderId="51" xfId="0" applyNumberFormat="1" applyFont="1" applyFill="1" applyBorder="1" applyAlignment="1">
      <alignment vertical="center"/>
    </xf>
    <xf numFmtId="4" fontId="0" fillId="18" borderId="1" xfId="0" applyNumberFormat="1" applyFont="1" applyFill="1" applyBorder="1"/>
    <xf numFmtId="10" fontId="0" fillId="18" borderId="1" xfId="2" applyNumberFormat="1" applyFont="1" applyFill="1" applyBorder="1"/>
    <xf numFmtId="164" fontId="29" fillId="0" borderId="5" xfId="8" applyFont="1" applyBorder="1" applyAlignment="1">
      <alignment horizontal="center" vertical="center" wrapText="1"/>
    </xf>
    <xf numFmtId="164" fontId="29" fillId="0" borderId="21" xfId="8" applyFont="1" applyBorder="1" applyAlignment="1">
      <alignment horizontal="center" vertical="center" wrapText="1"/>
    </xf>
    <xf numFmtId="164" fontId="29" fillId="18" borderId="1" xfId="7" applyNumberFormat="1" applyFont="1" applyFill="1" applyBorder="1" applyAlignment="1">
      <alignment horizontal="left" vertical="center" wrapText="1"/>
    </xf>
    <xf numFmtId="167" fontId="2" fillId="7" borderId="6" xfId="0" applyNumberFormat="1" applyFont="1" applyFill="1" applyBorder="1" applyAlignment="1">
      <alignment horizontal="center" vertical="center" wrapText="1"/>
    </xf>
    <xf numFmtId="167" fontId="3" fillId="5" borderId="6" xfId="0" applyNumberFormat="1" applyFont="1" applyFill="1" applyBorder="1" applyAlignment="1">
      <alignment horizontal="center" vertical="center"/>
    </xf>
    <xf numFmtId="167" fontId="2" fillId="5" borderId="6" xfId="0" applyNumberFormat="1" applyFont="1" applyFill="1" applyBorder="1" applyAlignment="1">
      <alignment horizontal="center" vertical="center" wrapText="1"/>
    </xf>
    <xf numFmtId="3" fontId="3" fillId="5" borderId="8" xfId="0" applyNumberFormat="1" applyFont="1" applyFill="1" applyBorder="1" applyAlignment="1">
      <alignment horizontal="right" vertical="center" wrapText="1"/>
    </xf>
    <xf numFmtId="3" fontId="2" fillId="5" borderId="8" xfId="0" applyNumberFormat="1" applyFont="1" applyFill="1" applyBorder="1" applyAlignment="1">
      <alignment horizontal="right" vertical="center" wrapText="1"/>
    </xf>
    <xf numFmtId="0" fontId="2" fillId="7" borderId="15" xfId="0" applyFont="1" applyFill="1" applyBorder="1" applyAlignment="1">
      <alignment horizontal="center" vertical="center" wrapText="1"/>
    </xf>
    <xf numFmtId="167" fontId="2" fillId="7" borderId="16" xfId="0" applyNumberFormat="1" applyFont="1" applyFill="1" applyBorder="1" applyAlignment="1">
      <alignment horizontal="center" vertical="center" wrapText="1"/>
    </xf>
    <xf numFmtId="3" fontId="3" fillId="5" borderId="15" xfId="0" applyNumberFormat="1" applyFont="1" applyFill="1" applyBorder="1" applyAlignment="1">
      <alignment horizontal="right" vertical="center" wrapText="1"/>
    </xf>
    <xf numFmtId="167" fontId="3" fillId="5" borderId="16" xfId="0" applyNumberFormat="1" applyFont="1" applyFill="1" applyBorder="1" applyAlignment="1">
      <alignment horizontal="center" vertical="center"/>
    </xf>
    <xf numFmtId="3" fontId="2" fillId="5" borderId="15" xfId="0" applyNumberFormat="1" applyFont="1" applyFill="1" applyBorder="1" applyAlignment="1">
      <alignment horizontal="right" vertical="center" wrapText="1"/>
    </xf>
    <xf numFmtId="167" fontId="2" fillId="5" borderId="16" xfId="0" applyNumberFormat="1" applyFont="1" applyFill="1" applyBorder="1" applyAlignment="1">
      <alignment horizontal="center" vertical="center" wrapText="1"/>
    </xf>
    <xf numFmtId="3" fontId="2" fillId="5" borderId="52" xfId="0" applyNumberFormat="1" applyFont="1" applyFill="1" applyBorder="1" applyAlignment="1">
      <alignment horizontal="right" vertical="center" wrapText="1"/>
    </xf>
    <xf numFmtId="3" fontId="2" fillId="5" borderId="42" xfId="0" applyNumberFormat="1" applyFont="1" applyFill="1" applyBorder="1" applyAlignment="1">
      <alignment horizontal="right" vertical="center" wrapText="1"/>
    </xf>
    <xf numFmtId="4" fontId="2" fillId="5" borderId="42" xfId="0" applyNumberFormat="1" applyFont="1" applyFill="1" applyBorder="1" applyAlignment="1">
      <alignment horizontal="right" vertical="center" wrapText="1"/>
    </xf>
    <xf numFmtId="167" fontId="2" fillId="5" borderId="20" xfId="0" applyNumberFormat="1" applyFont="1" applyFill="1" applyBorder="1" applyAlignment="1">
      <alignment horizontal="center" vertical="center" wrapText="1"/>
    </xf>
    <xf numFmtId="0" fontId="29" fillId="12" borderId="1" xfId="1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40" fillId="2" borderId="47" xfId="0" applyFont="1" applyFill="1" applyBorder="1" applyAlignment="1">
      <alignment horizontal="center" vertical="center" wrapText="1"/>
    </xf>
    <xf numFmtId="0" fontId="40" fillId="2" borderId="48" xfId="0" applyFont="1" applyFill="1" applyBorder="1" applyAlignment="1">
      <alignment horizontal="center" vertical="center" wrapText="1"/>
    </xf>
    <xf numFmtId="0" fontId="39" fillId="0" borderId="36" xfId="13" applyFont="1" applyBorder="1" applyAlignment="1">
      <alignment horizontal="center" vertical="center" wrapText="1"/>
    </xf>
    <xf numFmtId="0" fontId="39" fillId="0" borderId="45" xfId="13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9" fillId="0" borderId="1" xfId="13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justify" vertical="center"/>
    </xf>
    <xf numFmtId="0" fontId="14" fillId="0" borderId="37" xfId="0" applyFont="1" applyBorder="1" applyAlignment="1">
      <alignment horizontal="justify" vertical="center"/>
    </xf>
    <xf numFmtId="0" fontId="14" fillId="0" borderId="45" xfId="0" applyFont="1" applyBorder="1" applyAlignment="1">
      <alignment horizontal="justify" vertical="center"/>
    </xf>
    <xf numFmtId="0" fontId="34" fillId="0" borderId="1" xfId="0" applyFont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center" wrapText="1"/>
    </xf>
    <xf numFmtId="17" fontId="3" fillId="0" borderId="46" xfId="0" applyNumberFormat="1" applyFont="1" applyBorder="1" applyAlignment="1">
      <alignment horizontal="center" vertical="center" wrapText="1"/>
    </xf>
    <xf numFmtId="14" fontId="3" fillId="0" borderId="49" xfId="0" applyNumberFormat="1" applyFont="1" applyBorder="1" applyAlignment="1">
      <alignment horizontal="center" vertical="center"/>
    </xf>
    <xf numFmtId="14" fontId="3" fillId="0" borderId="46" xfId="0" applyNumberFormat="1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0" fontId="16" fillId="0" borderId="45" xfId="0" applyFont="1" applyBorder="1" applyAlignment="1">
      <alignment horizontal="center" vertical="center"/>
    </xf>
    <xf numFmtId="0" fontId="16" fillId="2" borderId="36" xfId="0" applyFont="1" applyFill="1" applyBorder="1" applyAlignment="1">
      <alignment horizontal="center" vertical="center"/>
    </xf>
    <xf numFmtId="0" fontId="16" fillId="2" borderId="37" xfId="0" applyFont="1" applyFill="1" applyBorder="1" applyAlignment="1">
      <alignment horizontal="center" vertical="center"/>
    </xf>
    <xf numFmtId="0" fontId="16" fillId="2" borderId="45" xfId="0" applyFont="1" applyFill="1" applyBorder="1" applyAlignment="1">
      <alignment horizontal="center" vertical="center"/>
    </xf>
    <xf numFmtId="44" fontId="14" fillId="0" borderId="1" xfId="1" applyFont="1" applyBorder="1" applyAlignment="1">
      <alignment horizontal="center" vertical="center" wrapText="1"/>
    </xf>
    <xf numFmtId="14" fontId="14" fillId="0" borderId="1" xfId="0" applyNumberFormat="1" applyFont="1" applyBorder="1" applyAlignment="1">
      <alignment horizontal="center" vertical="center" wrapText="1"/>
    </xf>
    <xf numFmtId="0" fontId="14" fillId="0" borderId="5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4" fontId="14" fillId="18" borderId="1" xfId="0" applyNumberFormat="1" applyFon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36" fillId="2" borderId="50" xfId="0" applyFont="1" applyFill="1" applyBorder="1" applyAlignment="1">
      <alignment horizontal="center" vertical="center" wrapText="1"/>
    </xf>
    <xf numFmtId="0" fontId="36" fillId="2" borderId="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33" xfId="0" applyFont="1" applyFill="1" applyBorder="1" applyAlignment="1">
      <alignment horizontal="center" vertical="center" wrapText="1"/>
    </xf>
    <xf numFmtId="0" fontId="2" fillId="7" borderId="34" xfId="0" applyFont="1" applyFill="1" applyBorder="1" applyAlignment="1">
      <alignment horizontal="center" vertical="center" wrapText="1"/>
    </xf>
    <xf numFmtId="0" fontId="2" fillId="7" borderId="39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4" xfId="0" applyFont="1" applyFill="1" applyBorder="1" applyAlignment="1">
      <alignment horizontal="center" vertical="center" textRotation="90" wrapText="1"/>
    </xf>
    <xf numFmtId="4" fontId="2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2" fillId="8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7" borderId="1" xfId="0" applyFont="1" applyFill="1" applyBorder="1" applyAlignment="1">
      <alignment horizontal="center" vertical="center" textRotation="90" wrapText="1"/>
    </xf>
    <xf numFmtId="0" fontId="2" fillId="7" borderId="2" xfId="0" applyFont="1" applyFill="1" applyBorder="1" applyAlignment="1">
      <alignment horizontal="center" vertical="center" textRotation="90" wrapText="1"/>
    </xf>
    <xf numFmtId="0" fontId="2" fillId="7" borderId="3" xfId="0" applyFont="1" applyFill="1" applyBorder="1" applyAlignment="1">
      <alignment horizontal="center" vertical="center" textRotation="90" wrapText="1"/>
    </xf>
    <xf numFmtId="0" fontId="2" fillId="7" borderId="4" xfId="0" applyFont="1" applyFill="1" applyBorder="1" applyAlignment="1">
      <alignment horizontal="center" vertical="center" textRotation="90" wrapText="1"/>
    </xf>
    <xf numFmtId="0" fontId="2" fillId="7" borderId="6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2" fillId="7" borderId="21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42" fillId="8" borderId="6" xfId="0" applyFont="1" applyFill="1" applyBorder="1" applyAlignment="1">
      <alignment horizontal="center" vertical="center" wrapText="1"/>
    </xf>
    <xf numFmtId="0" fontId="42" fillId="8" borderId="7" xfId="0" applyFont="1" applyFill="1" applyBorder="1" applyAlignment="1">
      <alignment horizontal="center" vertical="center" wrapText="1"/>
    </xf>
    <xf numFmtId="0" fontId="42" fillId="8" borderId="8" xfId="0" applyFont="1" applyFill="1" applyBorder="1" applyAlignment="1">
      <alignment horizontal="center" vertical="center" wrapText="1"/>
    </xf>
    <xf numFmtId="0" fontId="42" fillId="9" borderId="6" xfId="0" applyFont="1" applyFill="1" applyBorder="1" applyAlignment="1">
      <alignment horizontal="center" vertical="center" wrapText="1"/>
    </xf>
    <xf numFmtId="0" fontId="42" fillId="9" borderId="8" xfId="0" applyFont="1" applyFill="1" applyBorder="1" applyAlignment="1">
      <alignment horizontal="center" vertical="center" wrapText="1"/>
    </xf>
    <xf numFmtId="0" fontId="42" fillId="9" borderId="2" xfId="0" applyFont="1" applyFill="1" applyBorder="1" applyAlignment="1">
      <alignment horizontal="center" vertical="center" wrapText="1"/>
    </xf>
    <xf numFmtId="0" fontId="42" fillId="9" borderId="3" xfId="0" applyFont="1" applyFill="1" applyBorder="1" applyAlignment="1">
      <alignment horizontal="center" vertical="center" wrapText="1"/>
    </xf>
    <xf numFmtId="0" fontId="42" fillId="9" borderId="4" xfId="0" applyFont="1" applyFill="1" applyBorder="1" applyAlignment="1">
      <alignment horizontal="center" vertical="center" wrapText="1"/>
    </xf>
    <xf numFmtId="3" fontId="42" fillId="5" borderId="1" xfId="0" applyNumberFormat="1" applyFont="1" applyFill="1" applyBorder="1" applyAlignment="1">
      <alignment horizontal="center" vertical="center" wrapText="1"/>
    </xf>
    <xf numFmtId="0" fontId="2" fillId="8" borderId="23" xfId="0" applyFont="1" applyFill="1" applyBorder="1" applyAlignment="1">
      <alignment horizontal="center" vertical="center" wrapText="1"/>
    </xf>
    <xf numFmtId="0" fontId="2" fillId="8" borderId="24" xfId="0" applyFont="1" applyFill="1" applyBorder="1" applyAlignment="1">
      <alignment horizontal="center" vertical="center" wrapText="1"/>
    </xf>
    <xf numFmtId="0" fontId="2" fillId="8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3" fontId="2" fillId="2" borderId="6" xfId="0" applyNumberFormat="1" applyFont="1" applyFill="1" applyBorder="1" applyAlignment="1">
      <alignment horizontal="center" vertical="center" wrapText="1"/>
    </xf>
    <xf numFmtId="3" fontId="2" fillId="2" borderId="27" xfId="0" applyNumberFormat="1" applyFont="1" applyFill="1" applyBorder="1" applyAlignment="1">
      <alignment horizontal="center" vertical="center" wrapText="1"/>
    </xf>
    <xf numFmtId="3" fontId="2" fillId="5" borderId="26" xfId="0" applyNumberFormat="1" applyFont="1" applyFill="1" applyBorder="1" applyAlignment="1">
      <alignment horizontal="center" vertical="center" wrapText="1"/>
    </xf>
    <xf numFmtId="3" fontId="2" fillId="5" borderId="8" xfId="0" applyNumberFormat="1" applyFont="1" applyFill="1" applyBorder="1" applyAlignment="1">
      <alignment horizontal="center" vertical="center" wrapText="1"/>
    </xf>
    <xf numFmtId="165" fontId="2" fillId="8" borderId="6" xfId="0" applyNumberFormat="1" applyFont="1" applyFill="1" applyBorder="1" applyAlignment="1">
      <alignment horizontal="center" vertical="center" wrapText="1"/>
    </xf>
    <xf numFmtId="165" fontId="2" fillId="8" borderId="27" xfId="0" applyNumberFormat="1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/>
    </xf>
    <xf numFmtId="0" fontId="4" fillId="8" borderId="7" xfId="0" applyFont="1" applyFill="1" applyBorder="1" applyAlignment="1">
      <alignment horizontal="center" vertical="center"/>
    </xf>
    <xf numFmtId="9" fontId="3" fillId="5" borderId="6" xfId="0" applyNumberFormat="1" applyFont="1" applyFill="1" applyBorder="1" applyAlignment="1">
      <alignment horizontal="center" vertical="center"/>
    </xf>
    <xf numFmtId="9" fontId="3" fillId="5" borderId="7" xfId="0" applyNumberFormat="1" applyFont="1" applyFill="1" applyBorder="1" applyAlignment="1">
      <alignment horizontal="center" vertical="center"/>
    </xf>
    <xf numFmtId="0" fontId="2" fillId="8" borderId="6" xfId="0" applyFont="1" applyFill="1" applyBorder="1" applyAlignment="1">
      <alignment horizontal="center" vertical="center"/>
    </xf>
    <xf numFmtId="0" fontId="2" fillId="8" borderId="7" xfId="0" applyFont="1" applyFill="1" applyBorder="1" applyAlignment="1">
      <alignment horizontal="center" vertical="center"/>
    </xf>
    <xf numFmtId="8" fontId="3" fillId="8" borderId="6" xfId="0" applyNumberFormat="1" applyFont="1" applyFill="1" applyBorder="1" applyAlignment="1">
      <alignment horizontal="center" vertical="center"/>
    </xf>
    <xf numFmtId="0" fontId="3" fillId="8" borderId="7" xfId="0" applyFont="1" applyFill="1" applyBorder="1" applyAlignment="1">
      <alignment horizontal="center" vertical="center"/>
    </xf>
    <xf numFmtId="10" fontId="5" fillId="18" borderId="6" xfId="0" applyNumberFormat="1" applyFont="1" applyFill="1" applyBorder="1" applyAlignment="1">
      <alignment horizontal="center" vertical="center"/>
    </xf>
    <xf numFmtId="10" fontId="5" fillId="18" borderId="7" xfId="0" applyNumberFormat="1" applyFont="1" applyFill="1" applyBorder="1" applyAlignment="1">
      <alignment horizontal="center" vertical="center"/>
    </xf>
    <xf numFmtId="9" fontId="5" fillId="0" borderId="6" xfId="0" applyNumberFormat="1" applyFont="1" applyBorder="1" applyAlignment="1">
      <alignment horizontal="center" vertical="center"/>
    </xf>
    <xf numFmtId="9" fontId="5" fillId="0" borderId="7" xfId="0" applyNumberFormat="1" applyFont="1" applyBorder="1" applyAlignment="1">
      <alignment horizontal="center" vertical="center"/>
    </xf>
    <xf numFmtId="10" fontId="5" fillId="0" borderId="6" xfId="0" applyNumberFormat="1" applyFont="1" applyBorder="1" applyAlignment="1">
      <alignment horizontal="center" vertical="center"/>
    </xf>
    <xf numFmtId="10" fontId="5" fillId="0" borderId="7" xfId="0" applyNumberFormat="1" applyFont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10" fontId="5" fillId="8" borderId="6" xfId="0" applyNumberFormat="1" applyFont="1" applyFill="1" applyBorder="1" applyAlignment="1">
      <alignment horizontal="center" vertical="center"/>
    </xf>
    <xf numFmtId="10" fontId="5" fillId="8" borderId="7" xfId="0" applyNumberFormat="1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/>
    </xf>
    <xf numFmtId="0" fontId="13" fillId="5" borderId="27" xfId="0" applyFont="1" applyFill="1" applyBorder="1" applyAlignment="1">
      <alignment horizontal="center"/>
    </xf>
    <xf numFmtId="0" fontId="3" fillId="8" borderId="6" xfId="0" applyFont="1" applyFill="1" applyBorder="1" applyAlignment="1">
      <alignment horizontal="center" vertical="center"/>
    </xf>
    <xf numFmtId="166" fontId="3" fillId="8" borderId="6" xfId="0" applyNumberFormat="1" applyFont="1" applyFill="1" applyBorder="1" applyAlignment="1">
      <alignment horizontal="center" vertical="center"/>
    </xf>
    <xf numFmtId="166" fontId="3" fillId="8" borderId="7" xfId="0" applyNumberFormat="1" applyFont="1" applyFill="1" applyBorder="1" applyAlignment="1">
      <alignment horizontal="center" vertical="center"/>
    </xf>
    <xf numFmtId="166" fontId="3" fillId="5" borderId="6" xfId="0" applyNumberFormat="1" applyFont="1" applyFill="1" applyBorder="1" applyAlignment="1">
      <alignment horizontal="center" vertical="center"/>
    </xf>
    <xf numFmtId="166" fontId="3" fillId="5" borderId="7" xfId="0" applyNumberFormat="1" applyFont="1" applyFill="1" applyBorder="1" applyAlignment="1">
      <alignment horizontal="center" vertical="center"/>
    </xf>
    <xf numFmtId="166" fontId="3" fillId="18" borderId="6" xfId="0" applyNumberFormat="1" applyFont="1" applyFill="1" applyBorder="1" applyAlignment="1">
      <alignment horizontal="center" vertical="center"/>
    </xf>
    <xf numFmtId="166" fontId="3" fillId="18" borderId="7" xfId="0" applyNumberFormat="1" applyFont="1" applyFill="1" applyBorder="1" applyAlignment="1">
      <alignment horizontal="center" vertical="center"/>
    </xf>
    <xf numFmtId="8" fontId="3" fillId="8" borderId="7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 vertical="center"/>
    </xf>
    <xf numFmtId="0" fontId="12" fillId="8" borderId="2" xfId="0" applyFont="1" applyFill="1" applyBorder="1" applyAlignment="1">
      <alignment horizontal="center" vertical="center"/>
    </xf>
    <xf numFmtId="0" fontId="12" fillId="8" borderId="3" xfId="0" applyFont="1" applyFill="1" applyBorder="1" applyAlignment="1">
      <alignment horizontal="center" vertical="center"/>
    </xf>
    <xf numFmtId="0" fontId="12" fillId="8" borderId="4" xfId="0" applyFont="1" applyFill="1" applyBorder="1" applyAlignment="1">
      <alignment horizontal="center" vertical="center"/>
    </xf>
    <xf numFmtId="44" fontId="12" fillId="8" borderId="6" xfId="0" applyNumberFormat="1" applyFont="1" applyFill="1" applyBorder="1" applyAlignment="1">
      <alignment horizontal="center"/>
    </xf>
    <xf numFmtId="44" fontId="12" fillId="8" borderId="7" xfId="0" applyNumberFormat="1" applyFont="1" applyFill="1" applyBorder="1" applyAlignment="1">
      <alignment horizontal="center"/>
    </xf>
    <xf numFmtId="0" fontId="20" fillId="0" borderId="0" xfId="7" applyFont="1" applyAlignment="1">
      <alignment horizontal="center" vertical="top"/>
    </xf>
    <xf numFmtId="0" fontId="10" fillId="0" borderId="6" xfId="7" applyFont="1" applyBorder="1" applyAlignment="1">
      <alignment horizontal="center" vertical="top" wrapText="1"/>
    </xf>
    <xf numFmtId="0" fontId="3" fillId="0" borderId="7" xfId="7" applyFont="1" applyBorder="1" applyAlignment="1">
      <alignment horizontal="center" vertical="top" wrapText="1"/>
    </xf>
    <xf numFmtId="0" fontId="3" fillId="0" borderId="8" xfId="7" applyFont="1" applyBorder="1" applyAlignment="1">
      <alignment horizontal="center" vertical="top" wrapText="1"/>
    </xf>
    <xf numFmtId="0" fontId="25" fillId="0" borderId="0" xfId="7" applyFont="1" applyAlignment="1">
      <alignment horizontal="center" vertical="top" wrapText="1"/>
    </xf>
    <xf numFmtId="0" fontId="15" fillId="7" borderId="2" xfId="0" applyFont="1" applyFill="1" applyBorder="1" applyAlignment="1">
      <alignment horizontal="center" vertical="center" textRotation="90"/>
    </xf>
    <xf numFmtId="0" fontId="15" fillId="7" borderId="3" xfId="0" applyFont="1" applyFill="1" applyBorder="1" applyAlignment="1">
      <alignment horizontal="center" vertical="center" textRotation="90"/>
    </xf>
    <xf numFmtId="0" fontId="15" fillId="7" borderId="4" xfId="0" applyFont="1" applyFill="1" applyBorder="1" applyAlignment="1">
      <alignment horizontal="center" vertical="center" textRotation="90"/>
    </xf>
    <xf numFmtId="0" fontId="16" fillId="2" borderId="1" xfId="0" applyFont="1" applyFill="1" applyBorder="1" applyAlignment="1">
      <alignment horizontal="center" vertical="center" textRotation="90"/>
    </xf>
    <xf numFmtId="0" fontId="15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7" fillId="3" borderId="0" xfId="3" applyFont="1" applyFill="1" applyAlignment="1">
      <alignment horizontal="center"/>
    </xf>
    <xf numFmtId="0" fontId="17" fillId="5" borderId="31" xfId="3" applyFont="1" applyFill="1" applyBorder="1" applyAlignment="1">
      <alignment horizontal="center" vertical="center" wrapText="1"/>
    </xf>
    <xf numFmtId="0" fontId="17" fillId="5" borderId="22" xfId="3" applyFont="1" applyFill="1" applyBorder="1" applyAlignment="1">
      <alignment horizontal="center" vertical="center" wrapText="1"/>
    </xf>
    <xf numFmtId="0" fontId="17" fillId="5" borderId="32" xfId="3" applyFont="1" applyFill="1" applyBorder="1" applyAlignment="1">
      <alignment horizontal="center" vertical="center" wrapText="1"/>
    </xf>
    <xf numFmtId="0" fontId="17" fillId="5" borderId="7" xfId="3" applyFont="1" applyFill="1" applyBorder="1" applyAlignment="1">
      <alignment horizontal="center"/>
    </xf>
    <xf numFmtId="44" fontId="22" fillId="5" borderId="33" xfId="4" applyNumberFormat="1" applyFont="1" applyFill="1" applyBorder="1" applyAlignment="1">
      <alignment horizontal="center" vertical="center"/>
    </xf>
    <xf numFmtId="44" fontId="22" fillId="5" borderId="34" xfId="4" applyNumberFormat="1" applyFont="1" applyFill="1" applyBorder="1" applyAlignment="1">
      <alignment horizontal="center" vertical="center"/>
    </xf>
    <xf numFmtId="44" fontId="22" fillId="5" borderId="36" xfId="4" applyNumberFormat="1" applyFont="1" applyFill="1" applyBorder="1" applyAlignment="1">
      <alignment horizontal="center" vertical="center"/>
    </xf>
    <xf numFmtId="44" fontId="22" fillId="5" borderId="37" xfId="4" applyNumberFormat="1" applyFont="1" applyFill="1" applyBorder="1" applyAlignment="1">
      <alignment horizontal="center" vertical="center"/>
    </xf>
    <xf numFmtId="44" fontId="22" fillId="5" borderId="38" xfId="4" applyNumberFormat="1" applyFont="1" applyFill="1" applyBorder="1" applyAlignment="1">
      <alignment horizontal="center" vertical="center"/>
    </xf>
    <xf numFmtId="0" fontId="17" fillId="9" borderId="7" xfId="3" applyFont="1" applyFill="1" applyBorder="1" applyAlignment="1">
      <alignment horizontal="center"/>
    </xf>
    <xf numFmtId="0" fontId="15" fillId="17" borderId="6" xfId="12" applyFont="1" applyFill="1" applyBorder="1" applyAlignment="1">
      <alignment horizontal="center" vertical="center"/>
    </xf>
    <xf numFmtId="0" fontId="15" fillId="17" borderId="8" xfId="12" applyFont="1" applyFill="1" applyBorder="1" applyAlignment="1">
      <alignment horizontal="center" vertical="center"/>
    </xf>
    <xf numFmtId="0" fontId="28" fillId="15" borderId="33" xfId="9" applyFont="1" applyFill="1" applyBorder="1" applyAlignment="1">
      <alignment horizontal="center"/>
    </xf>
    <xf numFmtId="0" fontId="28" fillId="15" borderId="34" xfId="9" applyFont="1" applyFill="1" applyBorder="1" applyAlignment="1">
      <alignment horizontal="center"/>
    </xf>
    <xf numFmtId="0" fontId="28" fillId="15" borderId="39" xfId="9" applyFont="1" applyFill="1" applyBorder="1" applyAlignment="1">
      <alignment horizontal="center"/>
    </xf>
    <xf numFmtId="0" fontId="28" fillId="9" borderId="2" xfId="9" applyFont="1" applyFill="1" applyBorder="1" applyAlignment="1">
      <alignment horizontal="center" vertical="center" wrapText="1"/>
    </xf>
    <xf numFmtId="0" fontId="28" fillId="9" borderId="4" xfId="9" applyFont="1" applyFill="1" applyBorder="1" applyAlignment="1">
      <alignment horizontal="center" vertical="center" wrapText="1"/>
    </xf>
    <xf numFmtId="0" fontId="15" fillId="17" borderId="43" xfId="0" applyFont="1" applyFill="1" applyBorder="1" applyAlignment="1">
      <alignment horizontal="center" vertical="center"/>
    </xf>
    <xf numFmtId="0" fontId="15" fillId="17" borderId="18" xfId="0" applyFont="1" applyFill="1" applyBorder="1" applyAlignment="1">
      <alignment horizontal="center" vertical="center"/>
    </xf>
    <xf numFmtId="0" fontId="15" fillId="17" borderId="19" xfId="0" applyFont="1" applyFill="1" applyBorder="1" applyAlignment="1">
      <alignment horizontal="center" vertical="center"/>
    </xf>
    <xf numFmtId="0" fontId="28" fillId="15" borderId="6" xfId="9" applyFont="1" applyFill="1" applyBorder="1" applyAlignment="1">
      <alignment horizontal="center"/>
    </xf>
    <xf numFmtId="0" fontId="28" fillId="15" borderId="7" xfId="9" applyFont="1" applyFill="1" applyBorder="1" applyAlignment="1">
      <alignment horizontal="center"/>
    </xf>
    <xf numFmtId="0" fontId="28" fillId="15" borderId="8" xfId="9" applyFont="1" applyFill="1" applyBorder="1" applyAlignment="1">
      <alignment horizontal="center"/>
    </xf>
    <xf numFmtId="0" fontId="28" fillId="9" borderId="5" xfId="9" applyFont="1" applyFill="1" applyBorder="1" applyAlignment="1">
      <alignment horizontal="center" vertical="center" wrapText="1"/>
    </xf>
    <xf numFmtId="0" fontId="28" fillId="9" borderId="10" xfId="9" applyFont="1" applyFill="1" applyBorder="1" applyAlignment="1">
      <alignment horizontal="center" vertical="center" wrapText="1"/>
    </xf>
    <xf numFmtId="0" fontId="28" fillId="18" borderId="33" xfId="9" applyFont="1" applyFill="1" applyBorder="1" applyAlignment="1">
      <alignment horizontal="center"/>
    </xf>
    <xf numFmtId="0" fontId="28" fillId="18" borderId="34" xfId="9" applyFont="1" applyFill="1" applyBorder="1" applyAlignment="1">
      <alignment horizontal="center"/>
    </xf>
    <xf numFmtId="0" fontId="28" fillId="18" borderId="39" xfId="9" applyFont="1" applyFill="1" applyBorder="1" applyAlignment="1">
      <alignment horizontal="center"/>
    </xf>
  </cellXfs>
  <cellStyles count="14">
    <cellStyle name="Hiperlink" xfId="13" builtinId="8"/>
    <cellStyle name="Moeda" xfId="1" builtinId="4"/>
    <cellStyle name="Moeda 2" xfId="8" xr:uid="{00000000-0005-0000-0000-000002000000}"/>
    <cellStyle name="Moeda 2 2 3" xfId="11" xr:uid="{00000000-0005-0000-0000-000003000000}"/>
    <cellStyle name="Moeda 3" xfId="6" xr:uid="{00000000-0005-0000-0000-000004000000}"/>
    <cellStyle name="Moeda 3 2 2" xfId="10" xr:uid="{00000000-0005-0000-0000-000005000000}"/>
    <cellStyle name="Normal" xfId="0" builtinId="0"/>
    <cellStyle name="Normal 10" xfId="9" xr:uid="{00000000-0005-0000-0000-000007000000}"/>
    <cellStyle name="Normal 12" xfId="3" xr:uid="{00000000-0005-0000-0000-000008000000}"/>
    <cellStyle name="Normal 2 2 2" xfId="4" xr:uid="{00000000-0005-0000-0000-000009000000}"/>
    <cellStyle name="Normal 2 3" xfId="7" xr:uid="{00000000-0005-0000-0000-00000A000000}"/>
    <cellStyle name="Normal 4" xfId="12" xr:uid="{00000000-0005-0000-0000-00000B000000}"/>
    <cellStyle name="Normal 5" xfId="5" xr:uid="{00000000-0005-0000-0000-00000C000000}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0</xdr:row>
          <xdr:rowOff>0</xdr:rowOff>
        </xdr:from>
        <xdr:to>
          <xdr:col>1</xdr:col>
          <xdr:colOff>2381250</xdr:colOff>
          <xdr:row>3</xdr:row>
          <xdr:rowOff>47625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0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7" Type="http://schemas.openxmlformats.org/officeDocument/2006/relationships/image" Target="../media/image1.png"/><Relationship Id="rId2" Type="http://schemas.openxmlformats.org/officeDocument/2006/relationships/hyperlink" Target="mailto:PATRICIA.REGINA@PLANSUL.NET.BR" TargetMode="External"/><Relationship Id="rId1" Type="http://schemas.openxmlformats.org/officeDocument/2006/relationships/hyperlink" Target="mailto:PATRICIA.REGINA@PLANSUL.NET.BR" TargetMode="External"/><Relationship Id="rId6" Type="http://schemas.openxmlformats.org/officeDocument/2006/relationships/oleObject" Target="../embeddings/oleObject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96"/>
  <sheetViews>
    <sheetView tabSelected="1" topLeftCell="B40" workbookViewId="0">
      <selection activeCell="F64" sqref="F64"/>
    </sheetView>
  </sheetViews>
  <sheetFormatPr defaultRowHeight="15" x14ac:dyDescent="0.25"/>
  <cols>
    <col min="1" max="1" width="0" hidden="1" customWidth="1"/>
    <col min="2" max="2" width="99.28515625" customWidth="1"/>
    <col min="3" max="3" width="14.5703125" customWidth="1"/>
    <col min="5" max="5" width="10.140625" bestFit="1" customWidth="1"/>
    <col min="6" max="6" width="13.140625" customWidth="1"/>
    <col min="7" max="7" width="19.5703125" customWidth="1"/>
  </cols>
  <sheetData>
    <row r="2" spans="2:2" ht="15.75" x14ac:dyDescent="0.25">
      <c r="B2" s="178"/>
    </row>
    <row r="3" spans="2:2" ht="15.75" x14ac:dyDescent="0.25">
      <c r="B3" s="178"/>
    </row>
    <row r="4" spans="2:2" ht="15.75" x14ac:dyDescent="0.25">
      <c r="B4" s="178"/>
    </row>
    <row r="5" spans="2:2" x14ac:dyDescent="0.25">
      <c r="B5" s="180" t="s">
        <v>275</v>
      </c>
    </row>
    <row r="6" spans="2:2" x14ac:dyDescent="0.25">
      <c r="B6" s="180" t="s">
        <v>276</v>
      </c>
    </row>
    <row r="7" spans="2:2" x14ac:dyDescent="0.25">
      <c r="B7" s="180" t="s">
        <v>277</v>
      </c>
    </row>
    <row r="8" spans="2:2" x14ac:dyDescent="0.25">
      <c r="B8" s="180" t="s">
        <v>278</v>
      </c>
    </row>
    <row r="9" spans="2:2" x14ac:dyDescent="0.25">
      <c r="B9" s="180" t="s">
        <v>279</v>
      </c>
    </row>
    <row r="10" spans="2:2" x14ac:dyDescent="0.25">
      <c r="B10" s="180" t="s">
        <v>280</v>
      </c>
    </row>
    <row r="11" spans="2:2" x14ac:dyDescent="0.25">
      <c r="B11" s="181"/>
    </row>
    <row r="12" spans="2:2" x14ac:dyDescent="0.25">
      <c r="B12" s="180" t="s">
        <v>347</v>
      </c>
    </row>
    <row r="13" spans="2:2" x14ac:dyDescent="0.25">
      <c r="B13" s="180" t="s">
        <v>281</v>
      </c>
    </row>
    <row r="14" spans="2:2" x14ac:dyDescent="0.25">
      <c r="B14" s="180" t="s">
        <v>282</v>
      </c>
    </row>
    <row r="15" spans="2:2" x14ac:dyDescent="0.25">
      <c r="B15" s="180" t="s">
        <v>283</v>
      </c>
    </row>
    <row r="16" spans="2:2" x14ac:dyDescent="0.25">
      <c r="B16" s="181"/>
    </row>
    <row r="17" spans="2:6" ht="15.75" x14ac:dyDescent="0.25">
      <c r="B17" s="178"/>
    </row>
    <row r="18" spans="2:6" ht="15.75" x14ac:dyDescent="0.25">
      <c r="B18" s="182" t="s">
        <v>284</v>
      </c>
    </row>
    <row r="19" spans="2:6" x14ac:dyDescent="0.25">
      <c r="B19" s="180" t="s">
        <v>285</v>
      </c>
    </row>
    <row r="20" spans="2:6" x14ac:dyDescent="0.25">
      <c r="B20" s="181"/>
    </row>
    <row r="21" spans="2:6" x14ac:dyDescent="0.25">
      <c r="B21" s="181"/>
    </row>
    <row r="22" spans="2:6" x14ac:dyDescent="0.25">
      <c r="B22" s="203" t="s">
        <v>286</v>
      </c>
      <c r="C22" s="272" t="s">
        <v>287</v>
      </c>
      <c r="D22" s="272"/>
      <c r="E22" s="272"/>
      <c r="F22" s="272"/>
    </row>
    <row r="23" spans="2:6" ht="45.75" customHeight="1" x14ac:dyDescent="0.25">
      <c r="B23" s="204" t="s">
        <v>288</v>
      </c>
      <c r="C23" s="271" t="s">
        <v>289</v>
      </c>
      <c r="D23" s="271"/>
      <c r="E23" s="271"/>
      <c r="F23" s="271"/>
    </row>
    <row r="24" spans="2:6" x14ac:dyDescent="0.25">
      <c r="B24" s="203" t="s">
        <v>290</v>
      </c>
      <c r="C24" s="272" t="s">
        <v>291</v>
      </c>
      <c r="D24" s="272"/>
      <c r="E24" s="272" t="s">
        <v>292</v>
      </c>
      <c r="F24" s="272"/>
    </row>
    <row r="25" spans="2:6" x14ac:dyDescent="0.25">
      <c r="B25" s="205" t="s">
        <v>293</v>
      </c>
      <c r="C25" s="271" t="s">
        <v>294</v>
      </c>
      <c r="D25" s="271"/>
      <c r="E25" s="271" t="s">
        <v>295</v>
      </c>
      <c r="F25" s="271"/>
    </row>
    <row r="26" spans="2:6" ht="30.75" thickBot="1" x14ac:dyDescent="0.3">
      <c r="B26" s="206" t="s">
        <v>296</v>
      </c>
      <c r="C26" s="207" t="s">
        <v>297</v>
      </c>
      <c r="D26" s="260" t="s">
        <v>298</v>
      </c>
      <c r="E26" s="261"/>
      <c r="F26" s="207" t="s">
        <v>299</v>
      </c>
    </row>
    <row r="27" spans="2:6" ht="29.25" thickBot="1" x14ac:dyDescent="0.3">
      <c r="B27" s="208" t="s">
        <v>300</v>
      </c>
      <c r="C27" s="209" t="s">
        <v>301</v>
      </c>
      <c r="D27" s="262" t="s">
        <v>302</v>
      </c>
      <c r="E27" s="263"/>
      <c r="F27" s="209" t="s">
        <v>303</v>
      </c>
    </row>
    <row r="28" spans="2:6" x14ac:dyDescent="0.25">
      <c r="B28" s="179"/>
      <c r="C28" s="179"/>
      <c r="D28" s="179"/>
      <c r="E28" s="179"/>
      <c r="F28" s="179"/>
    </row>
    <row r="29" spans="2:6" x14ac:dyDescent="0.25">
      <c r="B29" s="181"/>
    </row>
    <row r="30" spans="2:6" x14ac:dyDescent="0.25">
      <c r="B30" s="181"/>
    </row>
    <row r="31" spans="2:6" ht="15.75" x14ac:dyDescent="0.25">
      <c r="B31" s="178"/>
    </row>
    <row r="32" spans="2:6" x14ac:dyDescent="0.25">
      <c r="B32" s="183" t="s">
        <v>304</v>
      </c>
    </row>
    <row r="33" spans="2:7" x14ac:dyDescent="0.25">
      <c r="B33" s="181"/>
    </row>
    <row r="34" spans="2:7" ht="15.75" x14ac:dyDescent="0.25">
      <c r="B34" s="210" t="s">
        <v>305</v>
      </c>
      <c r="C34" s="210"/>
      <c r="D34" s="258" t="s">
        <v>306</v>
      </c>
      <c r="E34" s="258"/>
      <c r="F34" s="258"/>
    </row>
    <row r="35" spans="2:7" x14ac:dyDescent="0.25">
      <c r="B35" s="202" t="s">
        <v>307</v>
      </c>
      <c r="C35" s="202"/>
      <c r="D35" s="259" t="s">
        <v>308</v>
      </c>
      <c r="E35" s="259"/>
      <c r="F35" s="259"/>
    </row>
    <row r="36" spans="2:7" ht="15.75" x14ac:dyDescent="0.25">
      <c r="B36" s="200" t="s">
        <v>290</v>
      </c>
      <c r="C36" s="258" t="s">
        <v>291</v>
      </c>
      <c r="D36" s="258"/>
      <c r="E36" s="258" t="s">
        <v>292</v>
      </c>
      <c r="F36" s="258"/>
    </row>
    <row r="37" spans="2:7" x14ac:dyDescent="0.25">
      <c r="B37" s="201" t="s">
        <v>309</v>
      </c>
      <c r="C37" s="259" t="s">
        <v>310</v>
      </c>
      <c r="D37" s="259"/>
      <c r="E37" s="259" t="s">
        <v>311</v>
      </c>
      <c r="F37" s="259"/>
    </row>
    <row r="38" spans="2:7" ht="31.5" x14ac:dyDescent="0.25">
      <c r="B38" s="200" t="s">
        <v>296</v>
      </c>
      <c r="C38" s="200" t="s">
        <v>297</v>
      </c>
      <c r="D38" s="258" t="s">
        <v>298</v>
      </c>
      <c r="E38" s="258"/>
      <c r="F38" s="200" t="s">
        <v>299</v>
      </c>
    </row>
    <row r="39" spans="2:7" ht="30" x14ac:dyDescent="0.25">
      <c r="B39" s="201" t="s">
        <v>312</v>
      </c>
      <c r="C39" s="201" t="s">
        <v>313</v>
      </c>
      <c r="D39" s="266" t="s">
        <v>314</v>
      </c>
      <c r="E39" s="266"/>
      <c r="F39" s="201" t="s">
        <v>315</v>
      </c>
    </row>
    <row r="40" spans="2:7" x14ac:dyDescent="0.25">
      <c r="B40" s="179"/>
      <c r="C40" s="179"/>
      <c r="D40" s="179"/>
      <c r="E40" s="179"/>
      <c r="F40" s="179"/>
    </row>
    <row r="41" spans="2:7" x14ac:dyDescent="0.25">
      <c r="B41" s="181"/>
    </row>
    <row r="42" spans="2:7" x14ac:dyDescent="0.25">
      <c r="B42" s="181"/>
    </row>
    <row r="43" spans="2:7" ht="15.75" x14ac:dyDescent="0.25">
      <c r="B43" s="178"/>
    </row>
    <row r="44" spans="2:7" x14ac:dyDescent="0.25">
      <c r="B44" s="183" t="s">
        <v>316</v>
      </c>
    </row>
    <row r="45" spans="2:7" x14ac:dyDescent="0.25">
      <c r="B45" s="181"/>
    </row>
    <row r="46" spans="2:7" ht="15.75" thickBot="1" x14ac:dyDescent="0.3">
      <c r="B46" s="181"/>
    </row>
    <row r="47" spans="2:7" x14ac:dyDescent="0.25">
      <c r="B47" s="273" t="s">
        <v>317</v>
      </c>
      <c r="C47" s="275">
        <v>44105</v>
      </c>
      <c r="D47" s="264" t="s">
        <v>318</v>
      </c>
      <c r="E47" s="277">
        <v>44377</v>
      </c>
      <c r="F47" s="264" t="s">
        <v>319</v>
      </c>
      <c r="G47" s="264" t="s">
        <v>320</v>
      </c>
    </row>
    <row r="48" spans="2:7" ht="33.75" customHeight="1" thickBot="1" x14ac:dyDescent="0.3">
      <c r="B48" s="274"/>
      <c r="C48" s="276"/>
      <c r="D48" s="265"/>
      <c r="E48" s="278"/>
      <c r="F48" s="265"/>
      <c r="G48" s="265"/>
    </row>
    <row r="49" spans="2:7" ht="16.5" thickBot="1" x14ac:dyDescent="0.3">
      <c r="B49" s="279"/>
      <c r="C49" s="280"/>
      <c r="D49" s="280"/>
      <c r="E49" s="280"/>
      <c r="F49" s="280"/>
      <c r="G49" s="281"/>
    </row>
    <row r="50" spans="2:7" ht="16.5" thickBot="1" x14ac:dyDescent="0.3">
      <c r="B50" s="282" t="s">
        <v>321</v>
      </c>
      <c r="C50" s="283"/>
      <c r="D50" s="283"/>
      <c r="E50" s="283"/>
      <c r="F50" s="283"/>
      <c r="G50" s="284"/>
    </row>
    <row r="51" spans="2:7" ht="90.75" customHeight="1" thickBot="1" x14ac:dyDescent="0.3">
      <c r="B51" s="268" t="s">
        <v>322</v>
      </c>
      <c r="C51" s="269"/>
      <c r="D51" s="269"/>
      <c r="E51" s="269"/>
      <c r="F51" s="269"/>
      <c r="G51" s="270"/>
    </row>
    <row r="52" spans="2:7" x14ac:dyDescent="0.25">
      <c r="B52" s="185" t="s">
        <v>323</v>
      </c>
    </row>
    <row r="53" spans="2:7" x14ac:dyDescent="0.25">
      <c r="B53" s="185"/>
    </row>
    <row r="54" spans="2:7" x14ac:dyDescent="0.25">
      <c r="B54" s="186" t="s">
        <v>324</v>
      </c>
    </row>
    <row r="55" spans="2:7" x14ac:dyDescent="0.25">
      <c r="B55" s="187"/>
    </row>
    <row r="56" spans="2:7" x14ac:dyDescent="0.25">
      <c r="B56" s="188" t="s">
        <v>325</v>
      </c>
    </row>
    <row r="57" spans="2:7" x14ac:dyDescent="0.25">
      <c r="B57" s="185"/>
    </row>
    <row r="58" spans="2:7" ht="82.5" customHeight="1" x14ac:dyDescent="0.25">
      <c r="B58" s="212" t="s">
        <v>326</v>
      </c>
      <c r="C58" s="267" t="s">
        <v>327</v>
      </c>
      <c r="D58" s="267"/>
      <c r="E58" s="267"/>
    </row>
    <row r="59" spans="2:7" ht="123" customHeight="1" x14ac:dyDescent="0.25">
      <c r="B59" s="213" t="s">
        <v>328</v>
      </c>
      <c r="C59" s="267" t="s">
        <v>329</v>
      </c>
      <c r="D59" s="267"/>
      <c r="E59" s="267"/>
    </row>
    <row r="60" spans="2:7" ht="15.75" x14ac:dyDescent="0.25">
      <c r="B60" s="210" t="s">
        <v>330</v>
      </c>
      <c r="C60" s="285" t="s">
        <v>243</v>
      </c>
      <c r="D60" s="285"/>
      <c r="E60" s="285"/>
    </row>
    <row r="61" spans="2:7" x14ac:dyDescent="0.25">
      <c r="B61" s="213" t="s">
        <v>331</v>
      </c>
      <c r="C61" s="286">
        <v>43831</v>
      </c>
      <c r="D61" s="286"/>
      <c r="E61" s="286"/>
    </row>
    <row r="62" spans="2:7" x14ac:dyDescent="0.25">
      <c r="B62" s="213" t="s">
        <v>332</v>
      </c>
      <c r="C62" s="286">
        <v>44196</v>
      </c>
      <c r="D62" s="286"/>
      <c r="E62" s="286"/>
    </row>
    <row r="63" spans="2:7" ht="96" customHeight="1" x14ac:dyDescent="0.25">
      <c r="B63" s="214" t="s">
        <v>326</v>
      </c>
      <c r="C63" s="267" t="s">
        <v>327</v>
      </c>
      <c r="D63" s="267"/>
      <c r="E63" s="267"/>
    </row>
    <row r="64" spans="2:7" ht="129" customHeight="1" x14ac:dyDescent="0.25">
      <c r="B64" s="214" t="s">
        <v>328</v>
      </c>
      <c r="C64" s="267" t="s">
        <v>329</v>
      </c>
      <c r="D64" s="267"/>
      <c r="E64" s="267"/>
    </row>
    <row r="65" spans="2:5" ht="27.75" customHeight="1" x14ac:dyDescent="0.25">
      <c r="B65" s="215" t="s">
        <v>333</v>
      </c>
      <c r="C65" s="290" t="s">
        <v>334</v>
      </c>
      <c r="D65" s="290"/>
      <c r="E65" s="290"/>
    </row>
    <row r="66" spans="2:5" x14ac:dyDescent="0.25">
      <c r="B66" s="214" t="s">
        <v>331</v>
      </c>
      <c r="C66" s="289">
        <v>44018</v>
      </c>
      <c r="D66" s="289"/>
      <c r="E66" s="289"/>
    </row>
    <row r="67" spans="2:5" x14ac:dyDescent="0.25">
      <c r="B67" s="214" t="s">
        <v>332</v>
      </c>
      <c r="C67" s="286">
        <v>44196</v>
      </c>
      <c r="D67" s="286"/>
      <c r="E67" s="286"/>
    </row>
    <row r="68" spans="2:5" x14ac:dyDescent="0.25">
      <c r="B68" s="181"/>
    </row>
    <row r="69" spans="2:5" x14ac:dyDescent="0.25">
      <c r="B69" s="291" t="s">
        <v>335</v>
      </c>
      <c r="C69" s="291"/>
      <c r="D69" s="291"/>
      <c r="E69" s="291"/>
    </row>
    <row r="70" spans="2:5" x14ac:dyDescent="0.25">
      <c r="B70" s="181"/>
    </row>
    <row r="71" spans="2:5" ht="104.25" customHeight="1" x14ac:dyDescent="0.25">
      <c r="B71" s="212" t="s">
        <v>326</v>
      </c>
      <c r="C71" s="267" t="s">
        <v>327</v>
      </c>
      <c r="D71" s="267"/>
      <c r="E71" s="267"/>
    </row>
    <row r="72" spans="2:5" ht="45" customHeight="1" x14ac:dyDescent="0.25">
      <c r="B72" s="213" t="s">
        <v>328</v>
      </c>
      <c r="C72" s="267" t="s">
        <v>336</v>
      </c>
      <c r="D72" s="267"/>
      <c r="E72" s="267"/>
    </row>
    <row r="73" spans="2:5" ht="30.75" customHeight="1" x14ac:dyDescent="0.25">
      <c r="B73" s="210" t="s">
        <v>330</v>
      </c>
      <c r="C73" s="267" t="s">
        <v>246</v>
      </c>
      <c r="D73" s="267"/>
      <c r="E73" s="267"/>
    </row>
    <row r="74" spans="2:5" x14ac:dyDescent="0.25">
      <c r="B74" s="213" t="s">
        <v>331</v>
      </c>
      <c r="C74" s="286">
        <v>43831</v>
      </c>
      <c r="D74" s="286"/>
      <c r="E74" s="286"/>
    </row>
    <row r="75" spans="2:5" x14ac:dyDescent="0.25">
      <c r="B75" s="213" t="s">
        <v>332</v>
      </c>
      <c r="C75" s="286">
        <v>44196</v>
      </c>
      <c r="D75" s="286"/>
      <c r="E75" s="286"/>
    </row>
    <row r="76" spans="2:5" x14ac:dyDescent="0.25">
      <c r="B76" s="181"/>
    </row>
    <row r="77" spans="2:5" x14ac:dyDescent="0.25">
      <c r="B77" s="181"/>
    </row>
    <row r="78" spans="2:5" ht="16.5" thickBot="1" x14ac:dyDescent="0.3">
      <c r="B78" s="190" t="s">
        <v>337</v>
      </c>
    </row>
    <row r="79" spans="2:5" ht="45.75" customHeight="1" thickBot="1" x14ac:dyDescent="0.3">
      <c r="B79" s="191" t="s">
        <v>338</v>
      </c>
      <c r="C79" s="292" t="s">
        <v>339</v>
      </c>
      <c r="D79" s="293"/>
      <c r="E79" s="293"/>
    </row>
    <row r="80" spans="2:5" ht="15.75" thickBot="1" x14ac:dyDescent="0.3">
      <c r="B80" s="192" t="s">
        <v>340</v>
      </c>
      <c r="C80" s="287" t="s">
        <v>341</v>
      </c>
      <c r="D80" s="288"/>
      <c r="E80" s="288"/>
    </row>
    <row r="81" spans="2:9" x14ac:dyDescent="0.25">
      <c r="B81" s="193" t="s">
        <v>342</v>
      </c>
    </row>
    <row r="82" spans="2:9" x14ac:dyDescent="0.25">
      <c r="B82" s="181"/>
    </row>
    <row r="83" spans="2:9" ht="15.75" thickBot="1" x14ac:dyDescent="0.3">
      <c r="B83" s="186" t="s">
        <v>343</v>
      </c>
    </row>
    <row r="84" spans="2:9" ht="16.5" thickBot="1" x14ac:dyDescent="0.3">
      <c r="B84" s="191" t="s">
        <v>344</v>
      </c>
      <c r="C84" s="194" t="s">
        <v>345</v>
      </c>
    </row>
    <row r="85" spans="2:9" ht="15.75" thickBot="1" x14ac:dyDescent="0.3">
      <c r="B85" s="192">
        <v>515</v>
      </c>
      <c r="C85" s="189">
        <v>1.0085</v>
      </c>
    </row>
    <row r="86" spans="2:9" x14ac:dyDescent="0.25">
      <c r="B86" s="184"/>
    </row>
    <row r="87" spans="2:9" ht="15.75" thickBot="1" x14ac:dyDescent="0.3">
      <c r="B87" s="186" t="s">
        <v>346</v>
      </c>
    </row>
    <row r="88" spans="2:9" ht="39" thickBot="1" x14ac:dyDescent="0.3">
      <c r="B88" s="195" t="s">
        <v>8</v>
      </c>
      <c r="C88" s="196" t="s">
        <v>20</v>
      </c>
      <c r="D88" s="196" t="s">
        <v>18</v>
      </c>
      <c r="E88" s="196" t="s">
        <v>10</v>
      </c>
      <c r="F88" s="196" t="s">
        <v>12</v>
      </c>
      <c r="G88" s="196" t="s">
        <v>14</v>
      </c>
      <c r="H88" s="196" t="s">
        <v>16</v>
      </c>
      <c r="I88" s="196" t="s">
        <v>6</v>
      </c>
    </row>
    <row r="89" spans="2:9" ht="15.75" thickBot="1" x14ac:dyDescent="0.3">
      <c r="B89" s="197">
        <v>0.2</v>
      </c>
      <c r="C89" s="221">
        <v>2.017E-2</v>
      </c>
      <c r="D89" s="198">
        <v>2.5000000000000001E-2</v>
      </c>
      <c r="E89" s="198">
        <v>2E-3</v>
      </c>
      <c r="F89" s="198">
        <v>0.01</v>
      </c>
      <c r="G89" s="198">
        <v>1.4999999999999999E-2</v>
      </c>
      <c r="H89" s="198">
        <v>6.0000000000000001E-3</v>
      </c>
      <c r="I89" s="198">
        <v>0.08</v>
      </c>
    </row>
    <row r="90" spans="2:9" x14ac:dyDescent="0.25">
      <c r="B90" s="184"/>
    </row>
    <row r="91" spans="2:9" x14ac:dyDescent="0.25">
      <c r="B91" s="184"/>
    </row>
    <row r="92" spans="2:9" x14ac:dyDescent="0.25">
      <c r="B92" s="199"/>
    </row>
    <row r="93" spans="2:9" x14ac:dyDescent="0.25">
      <c r="B93" s="184"/>
    </row>
    <row r="94" spans="2:9" x14ac:dyDescent="0.25">
      <c r="B94" s="199"/>
    </row>
    <row r="95" spans="2:9" x14ac:dyDescent="0.25">
      <c r="B95" s="199"/>
    </row>
    <row r="96" spans="2:9" x14ac:dyDescent="0.25">
      <c r="B96" s="199"/>
    </row>
  </sheetData>
  <mergeCells count="43">
    <mergeCell ref="C80:E80"/>
    <mergeCell ref="C64:E64"/>
    <mergeCell ref="C67:E67"/>
    <mergeCell ref="C66:E66"/>
    <mergeCell ref="C65:E65"/>
    <mergeCell ref="B69:E69"/>
    <mergeCell ref="C71:E71"/>
    <mergeCell ref="C72:E72"/>
    <mergeCell ref="C73:E73"/>
    <mergeCell ref="C74:E74"/>
    <mergeCell ref="C75:E75"/>
    <mergeCell ref="C79:E79"/>
    <mergeCell ref="C58:E58"/>
    <mergeCell ref="C59:E59"/>
    <mergeCell ref="C60:E60"/>
    <mergeCell ref="C61:E61"/>
    <mergeCell ref="C62:E62"/>
    <mergeCell ref="C63:E63"/>
    <mergeCell ref="B51:G51"/>
    <mergeCell ref="C23:F23"/>
    <mergeCell ref="C22:F22"/>
    <mergeCell ref="C24:D24"/>
    <mergeCell ref="C25:D25"/>
    <mergeCell ref="E25:F25"/>
    <mergeCell ref="E24:F24"/>
    <mergeCell ref="D34:F34"/>
    <mergeCell ref="D35:F35"/>
    <mergeCell ref="B47:B48"/>
    <mergeCell ref="C47:C48"/>
    <mergeCell ref="D47:D48"/>
    <mergeCell ref="E47:E48"/>
    <mergeCell ref="B49:G49"/>
    <mergeCell ref="B50:G50"/>
    <mergeCell ref="F47:F48"/>
    <mergeCell ref="G47:G48"/>
    <mergeCell ref="D38:E38"/>
    <mergeCell ref="D39:E39"/>
    <mergeCell ref="E37:F37"/>
    <mergeCell ref="E36:F36"/>
    <mergeCell ref="C37:D37"/>
    <mergeCell ref="C36:D36"/>
    <mergeCell ref="D26:E26"/>
    <mergeCell ref="D27:E27"/>
  </mergeCells>
  <hyperlinks>
    <hyperlink ref="D27" r:id="rId1" display="mailto:PATRICIA.REGINA@PLANSUL.NET.BR" xr:uid="{00000000-0004-0000-0000-000000000000}"/>
    <hyperlink ref="D39" r:id="rId2" display="mailto:PATRICIA.REGINA@PLANSUL.NET.BR" xr:uid="{00000000-0004-0000-0000-000001000000}"/>
  </hyperlinks>
  <pageMargins left="0.51181102362204722" right="0.51181102362204722" top="0.78740157480314965" bottom="0.78740157480314965" header="0.31496062992125984" footer="0.31496062992125984"/>
  <pageSetup paperSize="9" scale="50" orientation="landscape" r:id="rId3"/>
  <drawing r:id="rId4"/>
  <legacyDrawing r:id="rId5"/>
  <oleObjects>
    <mc:AlternateContent xmlns:mc="http://schemas.openxmlformats.org/markup-compatibility/2006">
      <mc:Choice Requires="x14">
        <oleObject progId="PBrush" shapeId="8193" r:id="rId6">
          <objectPr defaultSize="0" autoPict="0" r:id="rId7">
            <anchor moveWithCells="1" siz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2381250</xdr:colOff>
                <xdr:row>3</xdr:row>
                <xdr:rowOff>47625</xdr:rowOff>
              </to>
            </anchor>
          </objectPr>
        </oleObject>
      </mc:Choice>
      <mc:Fallback>
        <oleObject progId="PBrush" shapeId="8193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23"/>
  <sheetViews>
    <sheetView workbookViewId="0">
      <selection activeCell="F25" sqref="F25"/>
    </sheetView>
  </sheetViews>
  <sheetFormatPr defaultColWidth="12.42578125" defaultRowHeight="12.75" x14ac:dyDescent="0.2"/>
  <cols>
    <col min="1" max="1" width="6.85546875" style="20" customWidth="1"/>
    <col min="2" max="2" width="12.5703125" style="20" customWidth="1"/>
    <col min="3" max="3" width="9.5703125" style="20" customWidth="1"/>
    <col min="4" max="4" width="6.42578125" style="20" customWidth="1"/>
    <col min="5" max="5" width="8.140625" style="20" bestFit="1" customWidth="1"/>
    <col min="6" max="6" width="14.28515625" style="20" bestFit="1" customWidth="1"/>
    <col min="7" max="7" width="17.42578125" style="20" bestFit="1" customWidth="1"/>
    <col min="8" max="8" width="9" style="25" bestFit="1" customWidth="1"/>
    <col min="9" max="9" width="6.42578125" style="20" customWidth="1"/>
    <col min="10" max="10" width="8" style="20" bestFit="1" customWidth="1"/>
    <col min="11" max="11" width="10.7109375" style="20" bestFit="1" customWidth="1"/>
    <col min="12" max="12" width="17.42578125" style="20" bestFit="1" customWidth="1"/>
    <col min="13" max="13" width="9" style="25" bestFit="1" customWidth="1"/>
    <col min="14" max="14" width="6.42578125" style="20" customWidth="1"/>
    <col min="15" max="15" width="8" style="20" bestFit="1" customWidth="1"/>
    <col min="16" max="16" width="10.7109375" style="20" bestFit="1" customWidth="1"/>
    <col min="17" max="17" width="11.7109375" style="20" bestFit="1" customWidth="1"/>
    <col min="18" max="18" width="9" style="25" bestFit="1" customWidth="1"/>
    <col min="19" max="19" width="6.42578125" style="20" customWidth="1"/>
    <col min="20" max="20" width="8" style="20" bestFit="1" customWidth="1"/>
    <col min="21" max="21" width="9.140625" style="20" bestFit="1" customWidth="1"/>
    <col min="22" max="22" width="11.28515625" style="20" bestFit="1" customWidth="1"/>
    <col min="23" max="23" width="9" style="25" bestFit="1" customWidth="1"/>
    <col min="24" max="24" width="6.42578125" style="20" customWidth="1"/>
    <col min="25" max="25" width="9.42578125" style="20" bestFit="1" customWidth="1"/>
    <col min="26" max="26" width="10.7109375" style="20" bestFit="1" customWidth="1"/>
    <col min="27" max="27" width="12.7109375" style="20" bestFit="1" customWidth="1"/>
    <col min="28" max="28" width="9" style="25" bestFit="1" customWidth="1"/>
    <col min="29" max="29" width="6.42578125" style="20" customWidth="1"/>
    <col min="30" max="30" width="9.42578125" style="20" bestFit="1" customWidth="1"/>
    <col min="31" max="31" width="10.7109375" style="20" bestFit="1" customWidth="1"/>
    <col min="32" max="32" width="12.7109375" style="20" bestFit="1" customWidth="1"/>
    <col min="33" max="33" width="9" style="25" bestFit="1" customWidth="1"/>
    <col min="34" max="34" width="6.42578125" style="20" customWidth="1"/>
    <col min="35" max="35" width="8" style="20" bestFit="1" customWidth="1"/>
    <col min="36" max="36" width="10.7109375" style="20" bestFit="1" customWidth="1"/>
    <col min="37" max="37" width="21.140625" style="20" bestFit="1" customWidth="1"/>
    <col min="38" max="38" width="9" style="25" bestFit="1" customWidth="1"/>
    <col min="39" max="39" width="9.7109375" style="20" bestFit="1" customWidth="1"/>
    <col min="40" max="40" width="11.7109375" style="26" bestFit="1" customWidth="1"/>
    <col min="41" max="41" width="16.42578125" style="26" bestFit="1" customWidth="1"/>
    <col min="42" max="42" width="16.28515625" style="26" bestFit="1" customWidth="1"/>
    <col min="43" max="43" width="12.42578125" style="20"/>
    <col min="44" max="44" width="23.42578125" style="20" bestFit="1" customWidth="1"/>
    <col min="45" max="45" width="9.28515625" style="20" bestFit="1" customWidth="1"/>
    <col min="46" max="16384" width="12.42578125" style="20"/>
  </cols>
  <sheetData>
    <row r="1" spans="1:42" x14ac:dyDescent="0.2">
      <c r="B1" s="306" t="s">
        <v>348</v>
      </c>
      <c r="C1" s="306"/>
      <c r="D1" s="306"/>
      <c r="E1" s="306"/>
      <c r="F1" s="306"/>
    </row>
    <row r="3" spans="1:42" ht="13.5" thickBot="1" x14ac:dyDescent="0.25">
      <c r="A3" s="303" t="s">
        <v>179</v>
      </c>
      <c r="B3" s="309" t="s">
        <v>180</v>
      </c>
      <c r="C3" s="310" t="s">
        <v>181</v>
      </c>
      <c r="D3" s="313" t="s">
        <v>182</v>
      </c>
      <c r="E3" s="314"/>
      <c r="F3" s="314"/>
      <c r="G3" s="314"/>
      <c r="H3" s="314"/>
      <c r="I3" s="314"/>
      <c r="J3" s="314"/>
      <c r="K3" s="314"/>
      <c r="L3" s="314"/>
      <c r="M3" s="314"/>
      <c r="N3" s="315"/>
      <c r="O3" s="315"/>
      <c r="P3" s="315"/>
      <c r="Q3" s="315"/>
      <c r="R3" s="315"/>
      <c r="S3" s="314"/>
      <c r="T3" s="314"/>
      <c r="U3" s="314"/>
      <c r="V3" s="314"/>
      <c r="W3" s="314"/>
      <c r="X3" s="314"/>
      <c r="Y3" s="314"/>
      <c r="Z3" s="314"/>
      <c r="AA3" s="314"/>
      <c r="AB3" s="314"/>
      <c r="AC3" s="314"/>
      <c r="AD3" s="314"/>
      <c r="AE3" s="314"/>
      <c r="AF3" s="314"/>
      <c r="AG3" s="314"/>
      <c r="AH3" s="314"/>
      <c r="AI3" s="314"/>
      <c r="AJ3" s="314"/>
      <c r="AK3" s="314"/>
      <c r="AL3" s="316"/>
      <c r="AM3" s="294" t="s">
        <v>183</v>
      </c>
      <c r="AN3" s="295"/>
      <c r="AO3" s="295"/>
      <c r="AP3" s="296"/>
    </row>
    <row r="4" spans="1:42" x14ac:dyDescent="0.2">
      <c r="A4" s="308"/>
      <c r="B4" s="309"/>
      <c r="C4" s="311"/>
      <c r="D4" s="297" t="s">
        <v>107</v>
      </c>
      <c r="E4" s="298"/>
      <c r="F4" s="298"/>
      <c r="G4" s="298"/>
      <c r="H4" s="299"/>
      <c r="I4" s="297" t="s">
        <v>163</v>
      </c>
      <c r="J4" s="298"/>
      <c r="K4" s="298"/>
      <c r="L4" s="298"/>
      <c r="M4" s="298"/>
      <c r="N4" s="300" t="s">
        <v>164</v>
      </c>
      <c r="O4" s="301"/>
      <c r="P4" s="301"/>
      <c r="Q4" s="301"/>
      <c r="R4" s="302"/>
      <c r="S4" s="298" t="s">
        <v>165</v>
      </c>
      <c r="T4" s="298"/>
      <c r="U4" s="298"/>
      <c r="V4" s="298"/>
      <c r="W4" s="299"/>
      <c r="X4" s="297" t="s">
        <v>166</v>
      </c>
      <c r="Y4" s="298"/>
      <c r="Z4" s="298"/>
      <c r="AA4" s="298"/>
      <c r="AB4" s="299"/>
      <c r="AC4" s="297" t="s">
        <v>167</v>
      </c>
      <c r="AD4" s="298"/>
      <c r="AE4" s="298"/>
      <c r="AF4" s="298"/>
      <c r="AG4" s="299"/>
      <c r="AH4" s="297" t="s">
        <v>168</v>
      </c>
      <c r="AI4" s="298"/>
      <c r="AJ4" s="298"/>
      <c r="AK4" s="298"/>
      <c r="AL4" s="299"/>
      <c r="AM4" s="303" t="s">
        <v>184</v>
      </c>
      <c r="AN4" s="305" t="s">
        <v>185</v>
      </c>
      <c r="AO4" s="305"/>
      <c r="AP4" s="305"/>
    </row>
    <row r="5" spans="1:42" ht="100.5" customHeight="1" x14ac:dyDescent="0.2">
      <c r="A5" s="304"/>
      <c r="B5" s="309"/>
      <c r="C5" s="312"/>
      <c r="D5" s="21" t="s">
        <v>184</v>
      </c>
      <c r="E5" s="21" t="s">
        <v>186</v>
      </c>
      <c r="F5" s="21" t="s">
        <v>187</v>
      </c>
      <c r="G5" s="21" t="s">
        <v>188</v>
      </c>
      <c r="H5" s="22" t="s">
        <v>189</v>
      </c>
      <c r="I5" s="21" t="s">
        <v>184</v>
      </c>
      <c r="J5" s="21" t="s">
        <v>186</v>
      </c>
      <c r="K5" s="21" t="s">
        <v>187</v>
      </c>
      <c r="L5" s="21" t="s">
        <v>188</v>
      </c>
      <c r="M5" s="242" t="s">
        <v>189</v>
      </c>
      <c r="N5" s="247" t="s">
        <v>184</v>
      </c>
      <c r="O5" s="21" t="s">
        <v>186</v>
      </c>
      <c r="P5" s="21" t="s">
        <v>187</v>
      </c>
      <c r="Q5" s="21" t="s">
        <v>188</v>
      </c>
      <c r="R5" s="248" t="s">
        <v>189</v>
      </c>
      <c r="S5" s="220" t="s">
        <v>184</v>
      </c>
      <c r="T5" s="21" t="s">
        <v>186</v>
      </c>
      <c r="U5" s="21" t="s">
        <v>187</v>
      </c>
      <c r="V5" s="21" t="s">
        <v>188</v>
      </c>
      <c r="W5" s="22" t="s">
        <v>189</v>
      </c>
      <c r="X5" s="21" t="s">
        <v>184</v>
      </c>
      <c r="Y5" s="21" t="s">
        <v>186</v>
      </c>
      <c r="Z5" s="21" t="s">
        <v>187</v>
      </c>
      <c r="AA5" s="21" t="s">
        <v>188</v>
      </c>
      <c r="AB5" s="22" t="s">
        <v>189</v>
      </c>
      <c r="AC5" s="21" t="s">
        <v>184</v>
      </c>
      <c r="AD5" s="21" t="s">
        <v>186</v>
      </c>
      <c r="AE5" s="21" t="s">
        <v>187</v>
      </c>
      <c r="AF5" s="21" t="s">
        <v>188</v>
      </c>
      <c r="AG5" s="22" t="s">
        <v>189</v>
      </c>
      <c r="AH5" s="21" t="s">
        <v>184</v>
      </c>
      <c r="AI5" s="21" t="s">
        <v>186</v>
      </c>
      <c r="AJ5" s="21" t="s">
        <v>187</v>
      </c>
      <c r="AK5" s="21" t="s">
        <v>188</v>
      </c>
      <c r="AL5" s="22" t="s">
        <v>189</v>
      </c>
      <c r="AM5" s="304"/>
      <c r="AN5" s="23" t="s">
        <v>190</v>
      </c>
      <c r="AO5" s="24" t="s">
        <v>191</v>
      </c>
      <c r="AP5" s="24" t="s">
        <v>192</v>
      </c>
    </row>
    <row r="6" spans="1:42" x14ac:dyDescent="0.2">
      <c r="A6" s="317">
        <v>8</v>
      </c>
      <c r="B6" s="79" t="s">
        <v>193</v>
      </c>
      <c r="C6" s="79" t="s">
        <v>175</v>
      </c>
      <c r="D6" s="50">
        <v>194</v>
      </c>
      <c r="E6" s="81">
        <f>'Precificação total'!F82</f>
        <v>3413.0414964239644</v>
      </c>
      <c r="F6" s="81">
        <f>D6*E6</f>
        <v>662130.05030624906</v>
      </c>
      <c r="G6" s="81">
        <f t="shared" ref="G6:G7" si="0">F6*28</f>
        <v>18539641.408574972</v>
      </c>
      <c r="H6" s="82">
        <v>44319</v>
      </c>
      <c r="I6" s="50">
        <v>116</v>
      </c>
      <c r="J6" s="81">
        <f>'Precificação total'!J82</f>
        <v>4364.5186262724665</v>
      </c>
      <c r="K6" s="81">
        <f t="shared" ref="K6:K7" si="1">I6*J6</f>
        <v>506284.16064760613</v>
      </c>
      <c r="L6" s="81">
        <f t="shared" ref="L6:L7" si="2">K6*28</f>
        <v>14175956.498132972</v>
      </c>
      <c r="M6" s="243">
        <v>44319</v>
      </c>
      <c r="N6" s="249">
        <v>39</v>
      </c>
      <c r="O6" s="81">
        <f>'Precificação total'!N82</f>
        <v>4428.41</v>
      </c>
      <c r="P6" s="81">
        <f>ROUND(N6*O6,2)</f>
        <v>172707.99</v>
      </c>
      <c r="Q6" s="81">
        <f>P6*28</f>
        <v>4835823.72</v>
      </c>
      <c r="R6" s="250">
        <v>44319</v>
      </c>
      <c r="S6" s="245">
        <v>5</v>
      </c>
      <c r="T6" s="81">
        <f>'Precificação total'!R82</f>
        <v>4884.8358738338138</v>
      </c>
      <c r="U6" s="81">
        <f t="shared" ref="U6:U7" si="3">S6*T6</f>
        <v>24424.179369169069</v>
      </c>
      <c r="V6" s="81">
        <f t="shared" ref="V6:V7" si="4">U6*28</f>
        <v>683877.02233673399</v>
      </c>
      <c r="W6" s="82">
        <v>44319</v>
      </c>
      <c r="X6" s="50">
        <v>39</v>
      </c>
      <c r="Y6" s="81">
        <f>'Precificação total'!V82</f>
        <v>9412.8752219129292</v>
      </c>
      <c r="Z6" s="81">
        <f t="shared" ref="Z6:Z7" si="5">X6*Y6</f>
        <v>367102.13365460426</v>
      </c>
      <c r="AA6" s="81">
        <f t="shared" ref="AA6:AA7" si="6">Z6*28</f>
        <v>10278859.742328919</v>
      </c>
      <c r="AB6" s="82">
        <v>44319</v>
      </c>
      <c r="AC6" s="50">
        <v>39</v>
      </c>
      <c r="AD6" s="81">
        <f>'Precificação total'!Z82</f>
        <v>10551.186329161661</v>
      </c>
      <c r="AE6" s="81">
        <f t="shared" ref="AE6:AE7" si="7">AC6*AD6</f>
        <v>411496.26683730481</v>
      </c>
      <c r="AF6" s="81">
        <f t="shared" ref="AF6:AF7" si="8">AE6*28</f>
        <v>11521895.471444534</v>
      </c>
      <c r="AG6" s="82">
        <v>44319</v>
      </c>
      <c r="AH6" s="50">
        <v>12</v>
      </c>
      <c r="AI6" s="81">
        <f>'Precificação total'!AD82</f>
        <v>5181.3854192239523</v>
      </c>
      <c r="AJ6" s="81">
        <f t="shared" ref="AJ6:AJ7" si="9">AH6*AI6</f>
        <v>62176.625030687428</v>
      </c>
      <c r="AK6" s="81">
        <f t="shared" ref="AK6:AK7" si="10">AJ6*28</f>
        <v>1740945.500859248</v>
      </c>
      <c r="AL6" s="82">
        <v>44319</v>
      </c>
      <c r="AM6" s="50">
        <f t="shared" ref="AM6:AM8" si="11">D6+I6+N6+S6+X6+AC6+AH6</f>
        <v>444</v>
      </c>
      <c r="AN6" s="76">
        <f>P6+U6+Z6+AE6+AJ6+F6+K6</f>
        <v>2206321.4058456207</v>
      </c>
      <c r="AO6" s="76">
        <f>AN6*12</f>
        <v>26475856.870147448</v>
      </c>
      <c r="AP6" s="76">
        <f>AN6*28</f>
        <v>61776999.363677382</v>
      </c>
    </row>
    <row r="7" spans="1:42" x14ac:dyDescent="0.2">
      <c r="A7" s="318"/>
      <c r="B7" s="79" t="s">
        <v>194</v>
      </c>
      <c r="C7" s="79" t="s">
        <v>175</v>
      </c>
      <c r="D7" s="50">
        <v>0</v>
      </c>
      <c r="E7" s="81">
        <f>E6</f>
        <v>3413.0414964239644</v>
      </c>
      <c r="F7" s="81">
        <f>D7*E7</f>
        <v>0</v>
      </c>
      <c r="G7" s="81">
        <f t="shared" si="0"/>
        <v>0</v>
      </c>
      <c r="H7" s="83" t="s">
        <v>195</v>
      </c>
      <c r="I7" s="50">
        <v>9</v>
      </c>
      <c r="J7" s="81">
        <f>J6</f>
        <v>4364.5186262724665</v>
      </c>
      <c r="K7" s="81">
        <f t="shared" si="1"/>
        <v>39280.667636452199</v>
      </c>
      <c r="L7" s="81">
        <f t="shared" si="2"/>
        <v>1099858.6938206616</v>
      </c>
      <c r="M7" s="243">
        <v>44202</v>
      </c>
      <c r="N7" s="249">
        <v>1</v>
      </c>
      <c r="O7" s="81">
        <f>O6</f>
        <v>4428.41</v>
      </c>
      <c r="P7" s="81">
        <f t="shared" ref="P7" si="12">N7*O7</f>
        <v>4428.41</v>
      </c>
      <c r="Q7" s="81">
        <f t="shared" ref="Q7" si="13">P7*28</f>
        <v>123995.48</v>
      </c>
      <c r="R7" s="250">
        <v>44202</v>
      </c>
      <c r="S7" s="245">
        <v>0</v>
      </c>
      <c r="T7" s="81">
        <f>T6</f>
        <v>4884.8358738338138</v>
      </c>
      <c r="U7" s="81">
        <f t="shared" si="3"/>
        <v>0</v>
      </c>
      <c r="V7" s="81">
        <f t="shared" si="4"/>
        <v>0</v>
      </c>
      <c r="W7" s="83" t="s">
        <v>195</v>
      </c>
      <c r="X7" s="50">
        <v>1</v>
      </c>
      <c r="Y7" s="81">
        <f>Y6</f>
        <v>9412.8752219129292</v>
      </c>
      <c r="Z7" s="81">
        <f t="shared" si="5"/>
        <v>9412.8752219129292</v>
      </c>
      <c r="AA7" s="81">
        <f t="shared" si="6"/>
        <v>263560.50621356204</v>
      </c>
      <c r="AB7" s="82">
        <v>44202</v>
      </c>
      <c r="AC7" s="50">
        <v>0</v>
      </c>
      <c r="AD7" s="81">
        <f>AD6</f>
        <v>10551.186329161661</v>
      </c>
      <c r="AE7" s="81">
        <f t="shared" si="7"/>
        <v>0</v>
      </c>
      <c r="AF7" s="81">
        <f t="shared" si="8"/>
        <v>0</v>
      </c>
      <c r="AG7" s="83" t="s">
        <v>195</v>
      </c>
      <c r="AH7" s="50">
        <v>4</v>
      </c>
      <c r="AI7" s="81">
        <f>AI6</f>
        <v>5181.3854192239523</v>
      </c>
      <c r="AJ7" s="81">
        <f t="shared" si="9"/>
        <v>20725.541676895809</v>
      </c>
      <c r="AK7" s="81">
        <f t="shared" si="10"/>
        <v>580315.16695308266</v>
      </c>
      <c r="AL7" s="82">
        <v>44202</v>
      </c>
      <c r="AM7" s="50">
        <f t="shared" si="11"/>
        <v>15</v>
      </c>
      <c r="AN7" s="76">
        <f>P7+U7+Z7+AE7+AJ7+F7+K7</f>
        <v>73847.494535260936</v>
      </c>
      <c r="AO7" s="76">
        <f t="shared" ref="AO7:AO8" si="14">AN7*12</f>
        <v>886169.93442313117</v>
      </c>
      <c r="AP7" s="76">
        <f>AN7*28</f>
        <v>2067729.8469873061</v>
      </c>
    </row>
    <row r="8" spans="1:42" x14ac:dyDescent="0.2">
      <c r="A8" s="319"/>
      <c r="B8" s="79" t="s">
        <v>183</v>
      </c>
      <c r="C8" s="80"/>
      <c r="D8" s="51">
        <f>SUM(D6:D7)</f>
        <v>194</v>
      </c>
      <c r="E8" s="84"/>
      <c r="F8" s="84"/>
      <c r="G8" s="84"/>
      <c r="H8" s="85" t="s">
        <v>195</v>
      </c>
      <c r="I8" s="51">
        <f t="shared" ref="I8" si="15">SUM(I6:I7)</f>
        <v>125</v>
      </c>
      <c r="J8" s="51"/>
      <c r="K8" s="51"/>
      <c r="L8" s="51"/>
      <c r="M8" s="244" t="s">
        <v>195</v>
      </c>
      <c r="N8" s="251">
        <f t="shared" ref="N8" si="16">SUM(N6:N7)</f>
        <v>40</v>
      </c>
      <c r="O8" s="51"/>
      <c r="P8" s="51"/>
      <c r="Q8" s="51"/>
      <c r="R8" s="252" t="s">
        <v>195</v>
      </c>
      <c r="S8" s="246">
        <f t="shared" ref="S8" si="17">SUM(S6:S7)</f>
        <v>5</v>
      </c>
      <c r="T8" s="51"/>
      <c r="U8" s="51"/>
      <c r="V8" s="51"/>
      <c r="W8" s="85" t="s">
        <v>195</v>
      </c>
      <c r="X8" s="51">
        <f t="shared" ref="X8" si="18">SUM(X6:X7)</f>
        <v>40</v>
      </c>
      <c r="Y8" s="51"/>
      <c r="Z8" s="51"/>
      <c r="AA8" s="51"/>
      <c r="AB8" s="85" t="s">
        <v>195</v>
      </c>
      <c r="AC8" s="51">
        <f t="shared" ref="AC8" si="19">SUM(AC6:AC7)</f>
        <v>39</v>
      </c>
      <c r="AD8" s="51"/>
      <c r="AE8" s="51"/>
      <c r="AF8" s="51"/>
      <c r="AG8" s="85" t="s">
        <v>195</v>
      </c>
      <c r="AH8" s="51">
        <f t="shared" ref="AH8" si="20">SUM(AH6:AH7)</f>
        <v>16</v>
      </c>
      <c r="AI8" s="51"/>
      <c r="AJ8" s="51"/>
      <c r="AK8" s="51"/>
      <c r="AL8" s="85" t="s">
        <v>195</v>
      </c>
      <c r="AM8" s="51">
        <f t="shared" si="11"/>
        <v>459</v>
      </c>
      <c r="AN8" s="84">
        <f t="shared" ref="AN8" si="21">SUM(AN6:AN7)</f>
        <v>2280168.9003808815</v>
      </c>
      <c r="AO8" s="84">
        <f t="shared" si="14"/>
        <v>27362026.804570578</v>
      </c>
      <c r="AP8" s="84">
        <f>SUM(AP6:AP7)</f>
        <v>63844729.21066469</v>
      </c>
    </row>
    <row r="9" spans="1:42" ht="13.5" thickBot="1" x14ac:dyDescent="0.25">
      <c r="A9" s="307" t="s">
        <v>196</v>
      </c>
      <c r="B9" s="307"/>
      <c r="C9" s="79"/>
      <c r="D9" s="51">
        <f>D6+D7</f>
        <v>194</v>
      </c>
      <c r="E9" s="84"/>
      <c r="F9" s="86">
        <f>SUM(F6:F8)</f>
        <v>662130.05030624906</v>
      </c>
      <c r="G9" s="86">
        <f>SUM(G6:G8)</f>
        <v>18539641.408574972</v>
      </c>
      <c r="H9" s="85"/>
      <c r="I9" s="51">
        <f>I6+I7</f>
        <v>125</v>
      </c>
      <c r="J9" s="51"/>
      <c r="K9" s="84">
        <f>SUM(K6:K8)</f>
        <v>545564.82828405837</v>
      </c>
      <c r="L9" s="84">
        <f>SUM(L6:L8)</f>
        <v>15275815.191953633</v>
      </c>
      <c r="M9" s="244"/>
      <c r="N9" s="253">
        <f>N6+N7</f>
        <v>40</v>
      </c>
      <c r="O9" s="254"/>
      <c r="P9" s="84">
        <f>ROUND(SUM(P6:P8),6)</f>
        <v>177136.4</v>
      </c>
      <c r="Q9" s="255">
        <f>SUM(Q6:Q8)</f>
        <v>4959819.2</v>
      </c>
      <c r="R9" s="256"/>
      <c r="S9" s="246">
        <f>S6+S7</f>
        <v>5</v>
      </c>
      <c r="T9" s="51"/>
      <c r="U9" s="84">
        <f>SUM(U6:U8)</f>
        <v>24424.179369169069</v>
      </c>
      <c r="V9" s="84">
        <f>SUM(V6:V8)</f>
        <v>683877.02233673399</v>
      </c>
      <c r="W9" s="85"/>
      <c r="X9" s="51">
        <f>X6+X7</f>
        <v>40</v>
      </c>
      <c r="Y9" s="51"/>
      <c r="Z9" s="84">
        <f>SUM(Z6:Z8)</f>
        <v>376515.00887651718</v>
      </c>
      <c r="AA9" s="84">
        <f>SUM(AA6:AA8)</f>
        <v>10542420.248542482</v>
      </c>
      <c r="AB9" s="85"/>
      <c r="AC9" s="51">
        <f>AC6+AC7</f>
        <v>39</v>
      </c>
      <c r="AD9" s="51"/>
      <c r="AE9" s="84">
        <f>SUM(AE6:AE8)</f>
        <v>411496.26683730481</v>
      </c>
      <c r="AF9" s="84">
        <f>SUM(AF6:AF8)</f>
        <v>11521895.471444534</v>
      </c>
      <c r="AG9" s="85"/>
      <c r="AH9" s="51">
        <f>AH6+AH7</f>
        <v>16</v>
      </c>
      <c r="AI9" s="51"/>
      <c r="AJ9" s="84">
        <f>SUM(AJ6:AJ8)</f>
        <v>82902.166707583237</v>
      </c>
      <c r="AK9" s="84">
        <f>SUM(AK6:AK8)</f>
        <v>2321260.6678123306</v>
      </c>
      <c r="AL9" s="85"/>
      <c r="AM9" s="51">
        <f>AM8</f>
        <v>459</v>
      </c>
      <c r="AN9" s="84">
        <f>AN8</f>
        <v>2280168.9003808815</v>
      </c>
      <c r="AO9" s="84">
        <f>AO8</f>
        <v>27362026.804570578</v>
      </c>
      <c r="AP9" s="84">
        <f>AP8</f>
        <v>63844729.21066469</v>
      </c>
    </row>
    <row r="12" spans="1:42" x14ac:dyDescent="0.2">
      <c r="B12" s="216" t="s">
        <v>349</v>
      </c>
    </row>
    <row r="13" spans="1:42" x14ac:dyDescent="0.2">
      <c r="B13" s="216" t="s">
        <v>350</v>
      </c>
    </row>
    <row r="14" spans="1:42" x14ac:dyDescent="0.2">
      <c r="B14" s="216" t="s">
        <v>351</v>
      </c>
    </row>
    <row r="15" spans="1:42" x14ac:dyDescent="0.2">
      <c r="B15" s="216" t="s">
        <v>352</v>
      </c>
    </row>
    <row r="16" spans="1:42" x14ac:dyDescent="0.2">
      <c r="B16" s="217" t="s">
        <v>353</v>
      </c>
    </row>
    <row r="19" spans="2:37" x14ac:dyDescent="0.2">
      <c r="B19" s="20" t="s">
        <v>360</v>
      </c>
      <c r="AK19" s="27"/>
    </row>
    <row r="20" spans="2:37" x14ac:dyDescent="0.2">
      <c r="AK20" s="27"/>
    </row>
    <row r="22" spans="2:37" x14ac:dyDescent="0.2">
      <c r="B22" s="20" t="s">
        <v>270</v>
      </c>
    </row>
    <row r="23" spans="2:37" x14ac:dyDescent="0.2">
      <c r="B23" s="20" t="s">
        <v>271</v>
      </c>
    </row>
  </sheetData>
  <mergeCells count="17">
    <mergeCell ref="B1:F1"/>
    <mergeCell ref="A9:B9"/>
    <mergeCell ref="A3:A5"/>
    <mergeCell ref="B3:B5"/>
    <mergeCell ref="C3:C5"/>
    <mergeCell ref="D3:AL3"/>
    <mergeCell ref="AC4:AG4"/>
    <mergeCell ref="AH4:AL4"/>
    <mergeCell ref="A6:A8"/>
    <mergeCell ref="AM3:AP3"/>
    <mergeCell ref="D4:H4"/>
    <mergeCell ref="I4:M4"/>
    <mergeCell ref="N4:R4"/>
    <mergeCell ref="S4:W4"/>
    <mergeCell ref="X4:AB4"/>
    <mergeCell ref="AM4:AM5"/>
    <mergeCell ref="AN4:AP4"/>
  </mergeCells>
  <pageMargins left="0.51181102362204722" right="0.51181102362204722" top="0.78740157480314965" bottom="0.78740157480314965" header="0.31496062992125984" footer="0.31496062992125984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J92"/>
  <sheetViews>
    <sheetView topLeftCell="A67" workbookViewId="0">
      <selection activeCell="C86" sqref="C86"/>
    </sheetView>
  </sheetViews>
  <sheetFormatPr defaultColWidth="8.7109375" defaultRowHeight="15" x14ac:dyDescent="0.25"/>
  <cols>
    <col min="1" max="1" width="13.42578125" style="4" customWidth="1"/>
    <col min="2" max="2" width="5.28515625" style="5" bestFit="1" customWidth="1"/>
    <col min="3" max="3" width="33.28515625" style="4" bestFit="1" customWidth="1"/>
    <col min="4" max="5" width="23.7109375" style="4" customWidth="1"/>
    <col min="6" max="6" width="13.42578125" style="32" customWidth="1"/>
    <col min="7" max="7" width="11" style="31" bestFit="1" customWidth="1"/>
    <col min="8" max="8" width="14.42578125" style="32" customWidth="1"/>
    <col min="9" max="9" width="15.42578125" style="32" customWidth="1"/>
    <col min="10" max="10" width="12.7109375" style="4" customWidth="1"/>
    <col min="11" max="11" width="11.28515625" style="8" bestFit="1" customWidth="1"/>
    <col min="12" max="12" width="13.7109375" style="4" customWidth="1"/>
    <col min="13" max="13" width="16.42578125" style="4" customWidth="1"/>
    <col min="14" max="14" width="14.28515625" style="4" bestFit="1" customWidth="1"/>
    <col min="15" max="15" width="9.28515625" style="8" customWidth="1"/>
    <col min="16" max="16" width="14.42578125" style="4" customWidth="1"/>
    <col min="17" max="17" width="15.42578125" style="4" customWidth="1"/>
    <col min="18" max="18" width="13.42578125" style="4" customWidth="1"/>
    <col min="19" max="19" width="9.28515625" style="8" customWidth="1"/>
    <col min="20" max="20" width="14.42578125" style="4" customWidth="1"/>
    <col min="21" max="21" width="15.42578125" style="4" customWidth="1"/>
    <col min="22" max="22" width="13.42578125" style="4" customWidth="1"/>
    <col min="23" max="23" width="9.28515625" style="8" customWidth="1"/>
    <col min="24" max="24" width="14.42578125" style="4" customWidth="1"/>
    <col min="25" max="25" width="15.42578125" style="4" customWidth="1"/>
    <col min="26" max="26" width="13.42578125" style="4" customWidth="1"/>
    <col min="27" max="27" width="9.28515625" style="8" customWidth="1"/>
    <col min="28" max="28" width="14.42578125" style="4" customWidth="1"/>
    <col min="29" max="29" width="15.42578125" style="4" customWidth="1"/>
    <col min="30" max="30" width="13.42578125" style="4" customWidth="1"/>
    <col min="31" max="31" width="9.28515625" style="8" customWidth="1"/>
    <col min="32" max="32" width="14.42578125" style="4" customWidth="1"/>
    <col min="33" max="33" width="15.42578125" style="4" customWidth="1"/>
    <col min="34" max="34" width="11.7109375" bestFit="1" customWidth="1"/>
    <col min="35" max="35" width="12.7109375" bestFit="1" customWidth="1"/>
  </cols>
  <sheetData>
    <row r="1" spans="1:36" ht="15" customHeight="1" x14ac:dyDescent="0.25">
      <c r="C1" s="374" t="s">
        <v>354</v>
      </c>
      <c r="D1" s="374"/>
    </row>
    <row r="2" spans="1:36" x14ac:dyDescent="0.25">
      <c r="C2" s="374"/>
      <c r="D2" s="374"/>
    </row>
    <row r="3" spans="1:36" ht="15.75" thickBot="1" x14ac:dyDescent="0.3">
      <c r="A3"/>
      <c r="B3"/>
      <c r="C3"/>
      <c r="D3"/>
      <c r="E3"/>
      <c r="F3" s="29"/>
      <c r="G3" s="29"/>
      <c r="H3" s="29"/>
      <c r="I3" s="29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</row>
    <row r="4" spans="1:36" ht="15" customHeight="1" thickTop="1" x14ac:dyDescent="0.25">
      <c r="A4" s="379" t="s">
        <v>0</v>
      </c>
      <c r="B4" s="379" t="s">
        <v>1</v>
      </c>
      <c r="C4" s="379" t="s">
        <v>2</v>
      </c>
      <c r="D4" s="368" t="s">
        <v>106</v>
      </c>
      <c r="E4" s="369"/>
      <c r="F4" s="329" t="s">
        <v>107</v>
      </c>
      <c r="G4" s="330"/>
      <c r="H4" s="330"/>
      <c r="I4" s="331"/>
      <c r="J4" s="329" t="s">
        <v>163</v>
      </c>
      <c r="K4" s="330"/>
      <c r="L4" s="330"/>
      <c r="M4" s="331"/>
      <c r="N4" s="329" t="s">
        <v>164</v>
      </c>
      <c r="O4" s="330"/>
      <c r="P4" s="330"/>
      <c r="Q4" s="331"/>
      <c r="R4" s="329" t="s">
        <v>165</v>
      </c>
      <c r="S4" s="330"/>
      <c r="T4" s="330"/>
      <c r="U4" s="331"/>
      <c r="V4" s="329" t="s">
        <v>166</v>
      </c>
      <c r="W4" s="330"/>
      <c r="X4" s="330"/>
      <c r="Y4" s="331"/>
      <c r="Z4" s="329" t="s">
        <v>167</v>
      </c>
      <c r="AA4" s="330"/>
      <c r="AB4" s="330"/>
      <c r="AC4" s="331"/>
      <c r="AD4" s="329" t="s">
        <v>168</v>
      </c>
      <c r="AE4" s="330"/>
      <c r="AF4" s="330"/>
      <c r="AG4" s="331"/>
      <c r="AH4" s="320" t="s">
        <v>183</v>
      </c>
      <c r="AI4" s="321"/>
      <c r="AJ4" s="322"/>
    </row>
    <row r="5" spans="1:36" x14ac:dyDescent="0.25">
      <c r="A5" s="379"/>
      <c r="B5" s="379"/>
      <c r="C5" s="379"/>
      <c r="D5" s="370"/>
      <c r="E5" s="371"/>
      <c r="F5" s="332" t="s">
        <v>108</v>
      </c>
      <c r="G5" s="333"/>
      <c r="H5" s="334" t="s">
        <v>3</v>
      </c>
      <c r="I5" s="335"/>
      <c r="J5" s="332" t="s">
        <v>108</v>
      </c>
      <c r="K5" s="333"/>
      <c r="L5" s="334" t="s">
        <v>3</v>
      </c>
      <c r="M5" s="335"/>
      <c r="N5" s="332" t="s">
        <v>108</v>
      </c>
      <c r="O5" s="333"/>
      <c r="P5" s="334" t="s">
        <v>3</v>
      </c>
      <c r="Q5" s="335"/>
      <c r="R5" s="332" t="s">
        <v>108</v>
      </c>
      <c r="S5" s="333"/>
      <c r="T5" s="334" t="s">
        <v>3</v>
      </c>
      <c r="U5" s="335"/>
      <c r="V5" s="332" t="s">
        <v>108</v>
      </c>
      <c r="W5" s="333"/>
      <c r="X5" s="334" t="s">
        <v>3</v>
      </c>
      <c r="Y5" s="335"/>
      <c r="Z5" s="332" t="s">
        <v>108</v>
      </c>
      <c r="AA5" s="333"/>
      <c r="AB5" s="334" t="s">
        <v>3</v>
      </c>
      <c r="AC5" s="335"/>
      <c r="AD5" s="332" t="s">
        <v>108</v>
      </c>
      <c r="AE5" s="333"/>
      <c r="AF5" s="334" t="s">
        <v>3</v>
      </c>
      <c r="AG5" s="335"/>
      <c r="AH5" s="323" t="s">
        <v>108</v>
      </c>
      <c r="AI5" s="324"/>
      <c r="AJ5" s="325" t="s">
        <v>110</v>
      </c>
    </row>
    <row r="6" spans="1:36" x14ac:dyDescent="0.25">
      <c r="A6" s="379"/>
      <c r="B6" s="379"/>
      <c r="C6" s="379"/>
      <c r="D6" s="370"/>
      <c r="E6" s="371"/>
      <c r="F6" s="336">
        <f>resumo!F5</f>
        <v>194</v>
      </c>
      <c r="G6" s="337"/>
      <c r="H6" s="338">
        <v>1278.71</v>
      </c>
      <c r="I6" s="339"/>
      <c r="J6" s="336">
        <f>resumo!F6</f>
        <v>125</v>
      </c>
      <c r="K6" s="337"/>
      <c r="L6" s="338">
        <v>1790</v>
      </c>
      <c r="M6" s="339"/>
      <c r="N6" s="336">
        <f>resumo!F7</f>
        <v>40</v>
      </c>
      <c r="O6" s="337"/>
      <c r="P6" s="338">
        <v>1826.64</v>
      </c>
      <c r="Q6" s="339"/>
      <c r="R6" s="336">
        <f>resumo!F8</f>
        <v>5</v>
      </c>
      <c r="S6" s="337"/>
      <c r="T6" s="338">
        <v>2069.6</v>
      </c>
      <c r="U6" s="339"/>
      <c r="V6" s="336">
        <f>resumo!F9</f>
        <v>40</v>
      </c>
      <c r="W6" s="337"/>
      <c r="X6" s="338">
        <v>4440</v>
      </c>
      <c r="Y6" s="339"/>
      <c r="Z6" s="336">
        <f>resumo!F10</f>
        <v>39</v>
      </c>
      <c r="AA6" s="337"/>
      <c r="AB6" s="338">
        <v>5030</v>
      </c>
      <c r="AC6" s="339"/>
      <c r="AD6" s="336">
        <f>resumo!F11</f>
        <v>16</v>
      </c>
      <c r="AE6" s="337"/>
      <c r="AF6" s="338">
        <v>2220</v>
      </c>
      <c r="AG6" s="339"/>
      <c r="AH6" s="328">
        <f>F6+J6+N6+R6+V6+Z6+AD6</f>
        <v>459</v>
      </c>
      <c r="AI6" s="328"/>
      <c r="AJ6" s="326"/>
    </row>
    <row r="7" spans="1:36" ht="38.25" x14ac:dyDescent="0.25">
      <c r="A7" s="379"/>
      <c r="B7" s="379"/>
      <c r="C7" s="379"/>
      <c r="D7" s="372"/>
      <c r="E7" s="373"/>
      <c r="F7" s="34" t="s">
        <v>109</v>
      </c>
      <c r="G7" s="6" t="s">
        <v>110</v>
      </c>
      <c r="H7" s="28" t="s">
        <v>111</v>
      </c>
      <c r="I7" s="35" t="s">
        <v>112</v>
      </c>
      <c r="J7" s="34" t="s">
        <v>109</v>
      </c>
      <c r="K7" s="6" t="s">
        <v>110</v>
      </c>
      <c r="L7" s="28" t="s">
        <v>111</v>
      </c>
      <c r="M7" s="35" t="s">
        <v>112</v>
      </c>
      <c r="N7" s="34" t="s">
        <v>109</v>
      </c>
      <c r="O7" s="6" t="s">
        <v>110</v>
      </c>
      <c r="P7" s="28" t="s">
        <v>111</v>
      </c>
      <c r="Q7" s="35" t="s">
        <v>112</v>
      </c>
      <c r="R7" s="34" t="s">
        <v>109</v>
      </c>
      <c r="S7" s="6" t="s">
        <v>110</v>
      </c>
      <c r="T7" s="28" t="s">
        <v>111</v>
      </c>
      <c r="U7" s="35" t="s">
        <v>112</v>
      </c>
      <c r="V7" s="34" t="s">
        <v>109</v>
      </c>
      <c r="W7" s="6" t="s">
        <v>110</v>
      </c>
      <c r="X7" s="28" t="s">
        <v>111</v>
      </c>
      <c r="Y7" s="35" t="s">
        <v>112</v>
      </c>
      <c r="Z7" s="34" t="s">
        <v>109</v>
      </c>
      <c r="AA7" s="6" t="s">
        <v>110</v>
      </c>
      <c r="AB7" s="28" t="s">
        <v>111</v>
      </c>
      <c r="AC7" s="35" t="s">
        <v>112</v>
      </c>
      <c r="AD7" s="34" t="s">
        <v>109</v>
      </c>
      <c r="AE7" s="6" t="s">
        <v>110</v>
      </c>
      <c r="AF7" s="28" t="s">
        <v>111</v>
      </c>
      <c r="AG7" s="35" t="s">
        <v>112</v>
      </c>
      <c r="AH7" s="227" t="s">
        <v>111</v>
      </c>
      <c r="AI7" s="228" t="s">
        <v>356</v>
      </c>
      <c r="AJ7" s="327"/>
    </row>
    <row r="8" spans="1:36" x14ac:dyDescent="0.25">
      <c r="A8" s="375" t="s">
        <v>3</v>
      </c>
      <c r="B8" s="40" t="s">
        <v>4</v>
      </c>
      <c r="C8" s="41" t="s">
        <v>3</v>
      </c>
      <c r="D8" s="360" t="s">
        <v>113</v>
      </c>
      <c r="E8" s="347"/>
      <c r="F8" s="52">
        <f>H6/28*26</f>
        <v>1187.3735714285715</v>
      </c>
      <c r="G8" s="61">
        <f>F8/$F$82</f>
        <v>0.34789309554913106</v>
      </c>
      <c r="H8" s="67">
        <f>F8*$F$6</f>
        <v>230350.47285714286</v>
      </c>
      <c r="I8" s="68">
        <f>H8*28</f>
        <v>6449813.2400000002</v>
      </c>
      <c r="J8" s="52">
        <f>L6/28*26</f>
        <v>1662.1428571428571</v>
      </c>
      <c r="K8" s="61">
        <f>J8/$J$82</f>
        <v>0.38083073976073656</v>
      </c>
      <c r="L8" s="67">
        <f>J8*$J$6</f>
        <v>207767.85714285713</v>
      </c>
      <c r="M8" s="68">
        <f>L8*28</f>
        <v>5817500</v>
      </c>
      <c r="N8" s="52">
        <f>ROUND(P6/28*26,2)</f>
        <v>1696.17</v>
      </c>
      <c r="O8" s="61">
        <f>N8/$N$82</f>
        <v>0.38302009073233961</v>
      </c>
      <c r="P8" s="67">
        <f>N8*$N$6</f>
        <v>67846.8</v>
      </c>
      <c r="Q8" s="68">
        <f t="shared" ref="Q8:Q17" si="0">ROUND(P8*28,2)</f>
        <v>1899710.4</v>
      </c>
      <c r="R8" s="52">
        <f>T6/28*26</f>
        <v>1921.7714285714285</v>
      </c>
      <c r="S8" s="61">
        <f>R8/$R$82</f>
        <v>0.39341576220925223</v>
      </c>
      <c r="T8" s="67">
        <f>R8*$R$6</f>
        <v>9608.8571428571431</v>
      </c>
      <c r="U8" s="68">
        <f>T8*28</f>
        <v>269048</v>
      </c>
      <c r="V8" s="52">
        <f>X6/28*26</f>
        <v>4122.8571428571431</v>
      </c>
      <c r="W8" s="61">
        <f>V8/$V$82</f>
        <v>0.43800189056572625</v>
      </c>
      <c r="X8" s="67">
        <f>V8*$V$6</f>
        <v>164914.28571428574</v>
      </c>
      <c r="Y8" s="68">
        <f>X8*28</f>
        <v>4617600.0000000009</v>
      </c>
      <c r="Z8" s="52">
        <f>AB6/28*26</f>
        <v>4670.7142857142853</v>
      </c>
      <c r="AA8" s="61">
        <f>Z8/$Z$82</f>
        <v>0.44267195555112471</v>
      </c>
      <c r="AB8" s="67">
        <f>Z8*$Z$6</f>
        <v>182157.85714285713</v>
      </c>
      <c r="AC8" s="68">
        <f>AB8*28</f>
        <v>5100420</v>
      </c>
      <c r="AD8" s="52">
        <f>AF6/28*26</f>
        <v>2061.4285714285716</v>
      </c>
      <c r="AE8" s="61">
        <f>AD8/$AD$82</f>
        <v>0.3978527757808305</v>
      </c>
      <c r="AF8" s="67">
        <f>AD8*$AD$6</f>
        <v>32982.857142857145</v>
      </c>
      <c r="AG8" s="229">
        <f>AF8*28</f>
        <v>923520</v>
      </c>
      <c r="AH8" s="237">
        <f>AF8+AB8+X8+T8+P8+L8+H8</f>
        <v>895628.98714285716</v>
      </c>
      <c r="AI8" s="237">
        <f>AG8+AC8+Y8+U8+Q8+M8+I8</f>
        <v>25077611.640000001</v>
      </c>
      <c r="AJ8" s="238">
        <f>AI8/$AI$82</f>
        <v>0.3927906336207157</v>
      </c>
    </row>
    <row r="9" spans="1:36" x14ac:dyDescent="0.25">
      <c r="A9" s="378"/>
      <c r="B9" s="40" t="s">
        <v>5</v>
      </c>
      <c r="C9" s="41" t="s">
        <v>6</v>
      </c>
      <c r="D9" s="360" t="s">
        <v>114</v>
      </c>
      <c r="E9" s="347"/>
      <c r="F9" s="52">
        <f>F8*8%</f>
        <v>94.98988571428572</v>
      </c>
      <c r="G9" s="61">
        <f t="shared" ref="G9:G68" si="1">F9/$F$82</f>
        <v>2.7831447643930484E-2</v>
      </c>
      <c r="H9" s="67">
        <f t="shared" ref="H9:H16" si="2">F9*$F$6</f>
        <v>18428.037828571429</v>
      </c>
      <c r="I9" s="68">
        <f t="shared" ref="I9:I71" si="3">H9*28</f>
        <v>515985.05920000002</v>
      </c>
      <c r="J9" s="52">
        <f>J8*8%</f>
        <v>132.97142857142856</v>
      </c>
      <c r="K9" s="61">
        <f t="shared" ref="K9:K72" si="4">J9/$J$82</f>
        <v>3.0466459180858923E-2</v>
      </c>
      <c r="L9" s="67">
        <f t="shared" ref="L9:L16" si="5">J9*$J$6</f>
        <v>16621.428571428569</v>
      </c>
      <c r="M9" s="68">
        <f t="shared" ref="M9:M71" si="6">L9*28</f>
        <v>465399.99999999994</v>
      </c>
      <c r="N9" s="52">
        <f>ROUND(N8*8%,2)</f>
        <v>135.69</v>
      </c>
      <c r="O9" s="61">
        <f t="shared" ref="O9:O72" si="7">N9/$N$82</f>
        <v>3.0640794325728648E-2</v>
      </c>
      <c r="P9" s="67">
        <f t="shared" ref="P9:P16" si="8">N9*$N$6</f>
        <v>5427.6</v>
      </c>
      <c r="Q9" s="68">
        <f t="shared" si="0"/>
        <v>151972.79999999999</v>
      </c>
      <c r="R9" s="52">
        <f>R8*8%</f>
        <v>153.74171428571429</v>
      </c>
      <c r="S9" s="61">
        <f t="shared" ref="S9:S72" si="9">R9/$R$82</f>
        <v>3.1473260976740178E-2</v>
      </c>
      <c r="T9" s="67">
        <f t="shared" ref="T9:T16" si="10">R9*$R$6</f>
        <v>768.70857142857153</v>
      </c>
      <c r="U9" s="68">
        <f t="shared" ref="U9:U71" si="11">T9*28</f>
        <v>21523.840000000004</v>
      </c>
      <c r="V9" s="52">
        <f>V8*8%</f>
        <v>329.82857142857148</v>
      </c>
      <c r="W9" s="61">
        <f t="shared" ref="W9:W72" si="12">V9/$V$82</f>
        <v>3.5040151245258104E-2</v>
      </c>
      <c r="X9" s="67">
        <f t="shared" ref="X9:X16" si="13">V9*$V$6</f>
        <v>13193.142857142859</v>
      </c>
      <c r="Y9" s="68">
        <f t="shared" ref="Y9:Y71" si="14">X9*28</f>
        <v>369408.00000000006</v>
      </c>
      <c r="Z9" s="52">
        <f>Z8*8%</f>
        <v>373.65714285714284</v>
      </c>
      <c r="AA9" s="61">
        <f t="shared" ref="AA9:AA72" si="15">Z9/$Z$82</f>
        <v>3.5413756444089978E-2</v>
      </c>
      <c r="AB9" s="67">
        <f t="shared" ref="AB9:AB16" si="16">Z9*$Z$6</f>
        <v>14572.628571428571</v>
      </c>
      <c r="AC9" s="68">
        <f t="shared" ref="AC9:AC71" si="17">AB9*28</f>
        <v>408033.6</v>
      </c>
      <c r="AD9" s="52">
        <f>AD8*8%</f>
        <v>164.91428571428574</v>
      </c>
      <c r="AE9" s="61">
        <f t="shared" ref="AE9:AE72" si="18">AD9/$AD$82</f>
        <v>3.1828222062466445E-2</v>
      </c>
      <c r="AF9" s="67">
        <f t="shared" ref="AF9:AF16" si="19">AD9*$AD$6</f>
        <v>2638.6285714285718</v>
      </c>
      <c r="AG9" s="229">
        <f t="shared" ref="AG9:AG71" si="20">AF9*28</f>
        <v>73881.600000000006</v>
      </c>
      <c r="AH9" s="237">
        <f t="shared" ref="AH9:AH72" si="21">AF9+AB9+X9+T9+P9+L9+H9</f>
        <v>71650.174971428569</v>
      </c>
      <c r="AI9" s="237">
        <f t="shared" ref="AI9:AI72" si="22">AG9+AC9+Y9+U9+Q9+M9+I9</f>
        <v>2006204.8991999999</v>
      </c>
      <c r="AJ9" s="238">
        <f t="shared" ref="AJ9:AJ72" si="23">AI9/$AI$82</f>
        <v>3.1423187536440855E-2</v>
      </c>
    </row>
    <row r="10" spans="1:36" x14ac:dyDescent="0.25">
      <c r="A10" s="378"/>
      <c r="B10" s="40" t="s">
        <v>7</v>
      </c>
      <c r="C10" s="41" t="s">
        <v>8</v>
      </c>
      <c r="D10" s="360" t="s">
        <v>115</v>
      </c>
      <c r="E10" s="347"/>
      <c r="F10" s="52">
        <f>F8*20%</f>
        <v>237.4747142857143</v>
      </c>
      <c r="G10" s="61">
        <f t="shared" si="1"/>
        <v>6.9578619109826212E-2</v>
      </c>
      <c r="H10" s="67">
        <f t="shared" si="2"/>
        <v>46070.094571428577</v>
      </c>
      <c r="I10" s="68">
        <f t="shared" si="3"/>
        <v>1289962.648</v>
      </c>
      <c r="J10" s="52">
        <f>J8*20%</f>
        <v>332.42857142857144</v>
      </c>
      <c r="K10" s="61">
        <f t="shared" si="4"/>
        <v>7.6166147952147323E-2</v>
      </c>
      <c r="L10" s="67">
        <f t="shared" si="5"/>
        <v>41553.571428571428</v>
      </c>
      <c r="M10" s="68">
        <f t="shared" si="6"/>
        <v>1163500</v>
      </c>
      <c r="N10" s="52">
        <f>ROUND(N8*20%,2)</f>
        <v>339.23</v>
      </c>
      <c r="O10" s="61">
        <f t="shared" si="7"/>
        <v>7.6603114887736232E-2</v>
      </c>
      <c r="P10" s="67">
        <f t="shared" si="8"/>
        <v>13569.2</v>
      </c>
      <c r="Q10" s="68">
        <f t="shared" si="0"/>
        <v>379937.6</v>
      </c>
      <c r="R10" s="52">
        <f>R8*20%</f>
        <v>384.35428571428571</v>
      </c>
      <c r="S10" s="61">
        <f t="shared" si="9"/>
        <v>7.8683152441850451E-2</v>
      </c>
      <c r="T10" s="67">
        <f t="shared" si="10"/>
        <v>1921.7714285714285</v>
      </c>
      <c r="U10" s="68">
        <f t="shared" si="11"/>
        <v>53809.599999999999</v>
      </c>
      <c r="V10" s="52">
        <f>V8*20%</f>
        <v>824.57142857142867</v>
      </c>
      <c r="W10" s="61">
        <f t="shared" si="12"/>
        <v>8.7600378113145264E-2</v>
      </c>
      <c r="X10" s="67">
        <f t="shared" si="13"/>
        <v>32982.857142857145</v>
      </c>
      <c r="Y10" s="68">
        <f t="shared" si="14"/>
        <v>923520</v>
      </c>
      <c r="Z10" s="52">
        <f>Z8*20%</f>
        <v>934.14285714285711</v>
      </c>
      <c r="AA10" s="61">
        <f t="shared" si="15"/>
        <v>8.8534391110224944E-2</v>
      </c>
      <c r="AB10" s="67">
        <f t="shared" si="16"/>
        <v>36431.571428571428</v>
      </c>
      <c r="AC10" s="68">
        <f t="shared" si="17"/>
        <v>1020084</v>
      </c>
      <c r="AD10" s="52">
        <f>AD8*20%</f>
        <v>412.28571428571433</v>
      </c>
      <c r="AE10" s="61">
        <f t="shared" si="18"/>
        <v>7.9570555156166109E-2</v>
      </c>
      <c r="AF10" s="67">
        <f t="shared" si="19"/>
        <v>6596.5714285714294</v>
      </c>
      <c r="AG10" s="229">
        <f t="shared" si="20"/>
        <v>184704.00000000003</v>
      </c>
      <c r="AH10" s="237">
        <f t="shared" si="21"/>
        <v>179125.63742857144</v>
      </c>
      <c r="AI10" s="237">
        <f t="shared" si="22"/>
        <v>5015517.8480000002</v>
      </c>
      <c r="AJ10" s="238">
        <f t="shared" si="23"/>
        <v>7.8558056553902703E-2</v>
      </c>
    </row>
    <row r="11" spans="1:36" x14ac:dyDescent="0.25">
      <c r="A11" s="378"/>
      <c r="B11" s="40" t="s">
        <v>9</v>
      </c>
      <c r="C11" s="41" t="s">
        <v>10</v>
      </c>
      <c r="D11" s="360" t="s">
        <v>116</v>
      </c>
      <c r="E11" s="347"/>
      <c r="F11" s="52">
        <f>F8*0.2%</f>
        <v>2.3747471428571432</v>
      </c>
      <c r="G11" s="61">
        <f t="shared" si="1"/>
        <v>6.9578619109826221E-4</v>
      </c>
      <c r="H11" s="67">
        <f t="shared" si="2"/>
        <v>460.70094571428575</v>
      </c>
      <c r="I11" s="68">
        <f>H11*28</f>
        <v>12899.626480000001</v>
      </c>
      <c r="J11" s="52">
        <f>J8*0.2%</f>
        <v>3.3242857142857143</v>
      </c>
      <c r="K11" s="61">
        <f t="shared" si="4"/>
        <v>7.6166147952147316E-4</v>
      </c>
      <c r="L11" s="67">
        <f t="shared" si="5"/>
        <v>415.53571428571428</v>
      </c>
      <c r="M11" s="68">
        <f>L11*28</f>
        <v>11635</v>
      </c>
      <c r="N11" s="52">
        <f>ROUND(N8*0.2%,2)</f>
        <v>3.39</v>
      </c>
      <c r="O11" s="61">
        <f t="shared" si="7"/>
        <v>7.6551177510664106E-4</v>
      </c>
      <c r="P11" s="67">
        <f t="shared" si="8"/>
        <v>135.6</v>
      </c>
      <c r="Q11" s="68">
        <f t="shared" si="0"/>
        <v>3796.8</v>
      </c>
      <c r="R11" s="52">
        <f>R8*0.2%</f>
        <v>3.8435428571428569</v>
      </c>
      <c r="S11" s="61">
        <f t="shared" si="9"/>
        <v>7.8683152441850449E-4</v>
      </c>
      <c r="T11" s="67">
        <f t="shared" si="10"/>
        <v>19.217714285714283</v>
      </c>
      <c r="U11" s="68">
        <f>T11*28</f>
        <v>538.09599999999989</v>
      </c>
      <c r="V11" s="52">
        <f>V8*0.2%</f>
        <v>8.2457142857142856</v>
      </c>
      <c r="W11" s="61">
        <f t="shared" si="12"/>
        <v>8.7600378113145247E-4</v>
      </c>
      <c r="X11" s="67">
        <f t="shared" si="13"/>
        <v>329.82857142857142</v>
      </c>
      <c r="Y11" s="68">
        <f>X11*28</f>
        <v>9235.2000000000007</v>
      </c>
      <c r="Z11" s="52">
        <f>Z8*0.2%</f>
        <v>9.3414285714285707</v>
      </c>
      <c r="AA11" s="61">
        <f t="shared" si="15"/>
        <v>8.8534391110224944E-4</v>
      </c>
      <c r="AB11" s="67">
        <f t="shared" si="16"/>
        <v>364.31571428571425</v>
      </c>
      <c r="AC11" s="68">
        <f>AB11*28</f>
        <v>10200.839999999998</v>
      </c>
      <c r="AD11" s="52">
        <f>AD8*0.2%</f>
        <v>4.1228571428571428</v>
      </c>
      <c r="AE11" s="61">
        <f t="shared" si="18"/>
        <v>7.9570555156166089E-4</v>
      </c>
      <c r="AF11" s="67">
        <f t="shared" si="19"/>
        <v>65.965714285714284</v>
      </c>
      <c r="AG11" s="229">
        <f>AF11*28</f>
        <v>1847.04</v>
      </c>
      <c r="AH11" s="237">
        <f t="shared" si="21"/>
        <v>1791.1643742857143</v>
      </c>
      <c r="AI11" s="237">
        <f t="shared" si="22"/>
        <v>50152.602479999994</v>
      </c>
      <c r="AJ11" s="238">
        <f t="shared" si="23"/>
        <v>7.8554021765076974E-4</v>
      </c>
    </row>
    <row r="12" spans="1:36" x14ac:dyDescent="0.25">
      <c r="A12" s="378"/>
      <c r="B12" s="40" t="s">
        <v>11</v>
      </c>
      <c r="C12" s="41" t="s">
        <v>12</v>
      </c>
      <c r="D12" s="360" t="s">
        <v>117</v>
      </c>
      <c r="E12" s="347"/>
      <c r="F12" s="52">
        <f>F8*1%</f>
        <v>11.873735714285715</v>
      </c>
      <c r="G12" s="61">
        <f t="shared" si="1"/>
        <v>3.4789309554913105E-3</v>
      </c>
      <c r="H12" s="67">
        <f t="shared" si="2"/>
        <v>2303.5047285714286</v>
      </c>
      <c r="I12" s="68">
        <f t="shared" ref="I12:I14" si="24">H12*28</f>
        <v>64498.132400000002</v>
      </c>
      <c r="J12" s="52">
        <f>J8*1%</f>
        <v>16.62142857142857</v>
      </c>
      <c r="K12" s="61">
        <f t="shared" si="4"/>
        <v>3.8083073976073654E-3</v>
      </c>
      <c r="L12" s="67">
        <f t="shared" si="5"/>
        <v>2077.6785714285711</v>
      </c>
      <c r="M12" s="68">
        <f t="shared" ref="M12:M14" si="25">L12*28</f>
        <v>58174.999999999993</v>
      </c>
      <c r="N12" s="52">
        <f>ROUND(N8*1%,2)</f>
        <v>16.96</v>
      </c>
      <c r="O12" s="61">
        <f t="shared" si="7"/>
        <v>3.8298170223624284E-3</v>
      </c>
      <c r="P12" s="67">
        <f t="shared" si="8"/>
        <v>678.40000000000009</v>
      </c>
      <c r="Q12" s="68">
        <f t="shared" si="0"/>
        <v>18995.2</v>
      </c>
      <c r="R12" s="52">
        <f>R8*1%</f>
        <v>19.217714285714287</v>
      </c>
      <c r="S12" s="61">
        <f t="shared" si="9"/>
        <v>3.9341576220925222E-3</v>
      </c>
      <c r="T12" s="67">
        <f t="shared" si="10"/>
        <v>96.088571428571441</v>
      </c>
      <c r="U12" s="68">
        <f t="shared" ref="U12:U14" si="26">T12*28</f>
        <v>2690.4800000000005</v>
      </c>
      <c r="V12" s="52">
        <f>V8*1%</f>
        <v>41.228571428571435</v>
      </c>
      <c r="W12" s="61">
        <f t="shared" si="12"/>
        <v>4.380018905657263E-3</v>
      </c>
      <c r="X12" s="67">
        <f t="shared" si="13"/>
        <v>1649.1428571428573</v>
      </c>
      <c r="Y12" s="68">
        <f t="shared" ref="Y12:Y14" si="27">X12*28</f>
        <v>46176.000000000007</v>
      </c>
      <c r="Z12" s="52">
        <f>Z8*1%</f>
        <v>46.707142857142856</v>
      </c>
      <c r="AA12" s="61">
        <f t="shared" si="15"/>
        <v>4.4267195555112472E-3</v>
      </c>
      <c r="AB12" s="67">
        <f t="shared" si="16"/>
        <v>1821.5785714285714</v>
      </c>
      <c r="AC12" s="68">
        <f t="shared" ref="AC12:AC14" si="28">AB12*28</f>
        <v>51004.2</v>
      </c>
      <c r="AD12" s="52">
        <f>AD8*1%</f>
        <v>20.614285714285717</v>
      </c>
      <c r="AE12" s="61">
        <f t="shared" si="18"/>
        <v>3.9785277578083056E-3</v>
      </c>
      <c r="AF12" s="67">
        <f t="shared" si="19"/>
        <v>329.82857142857148</v>
      </c>
      <c r="AG12" s="229">
        <f t="shared" ref="AG12:AG14" si="29">AF12*28</f>
        <v>9235.2000000000007</v>
      </c>
      <c r="AH12" s="237">
        <f t="shared" si="21"/>
        <v>8956.22187142857</v>
      </c>
      <c r="AI12" s="237">
        <f t="shared" si="22"/>
        <v>250774.21239999999</v>
      </c>
      <c r="AJ12" s="238">
        <f t="shared" si="23"/>
        <v>3.9278765138549667E-3</v>
      </c>
    </row>
    <row r="13" spans="1:36" x14ac:dyDescent="0.25">
      <c r="A13" s="378"/>
      <c r="B13" s="40" t="s">
        <v>13</v>
      </c>
      <c r="C13" s="41" t="s">
        <v>14</v>
      </c>
      <c r="D13" s="360" t="s">
        <v>118</v>
      </c>
      <c r="E13" s="347"/>
      <c r="F13" s="52">
        <f>F8*1.5%</f>
        <v>17.810603571428572</v>
      </c>
      <c r="G13" s="61">
        <f t="shared" si="1"/>
        <v>5.2183964332369655E-3</v>
      </c>
      <c r="H13" s="67">
        <f t="shared" si="2"/>
        <v>3455.2570928571431</v>
      </c>
      <c r="I13" s="68">
        <f t="shared" si="24"/>
        <v>96747.198600000003</v>
      </c>
      <c r="J13" s="52">
        <f>J8*1.5%</f>
        <v>24.932142857142857</v>
      </c>
      <c r="K13" s="61">
        <f t="shared" si="4"/>
        <v>5.7124610964110487E-3</v>
      </c>
      <c r="L13" s="67">
        <f t="shared" si="5"/>
        <v>3116.5178571428573</v>
      </c>
      <c r="M13" s="68">
        <f t="shared" si="25"/>
        <v>87262.5</v>
      </c>
      <c r="N13" s="52">
        <f>ROUND(N8*1.5%,2)</f>
        <v>25.44</v>
      </c>
      <c r="O13" s="61">
        <f t="shared" si="7"/>
        <v>5.7447255335436424E-3</v>
      </c>
      <c r="P13" s="67">
        <f t="shared" si="8"/>
        <v>1017.6</v>
      </c>
      <c r="Q13" s="68">
        <f t="shared" si="0"/>
        <v>28492.799999999999</v>
      </c>
      <c r="R13" s="52">
        <f>R8*1.5%</f>
        <v>28.826571428571427</v>
      </c>
      <c r="S13" s="61">
        <f t="shared" si="9"/>
        <v>5.9012364331387833E-3</v>
      </c>
      <c r="T13" s="67">
        <f t="shared" si="10"/>
        <v>144.13285714285712</v>
      </c>
      <c r="U13" s="68">
        <f t="shared" si="26"/>
        <v>4035.7199999999993</v>
      </c>
      <c r="V13" s="52">
        <f>V8*1.5%</f>
        <v>61.842857142857142</v>
      </c>
      <c r="W13" s="61">
        <f t="shared" si="12"/>
        <v>6.5700283584858932E-3</v>
      </c>
      <c r="X13" s="67">
        <f t="shared" si="13"/>
        <v>2473.7142857142858</v>
      </c>
      <c r="Y13" s="68">
        <f t="shared" si="27"/>
        <v>69264</v>
      </c>
      <c r="Z13" s="52">
        <f>Z8*1.5%</f>
        <v>70.060714285714283</v>
      </c>
      <c r="AA13" s="61">
        <f t="shared" si="15"/>
        <v>6.6400793332668708E-3</v>
      </c>
      <c r="AB13" s="67">
        <f t="shared" si="16"/>
        <v>2732.3678571428572</v>
      </c>
      <c r="AC13" s="68">
        <f t="shared" si="28"/>
        <v>76506.3</v>
      </c>
      <c r="AD13" s="52">
        <f>AD8*1.5%</f>
        <v>30.921428571428571</v>
      </c>
      <c r="AE13" s="61">
        <f t="shared" si="18"/>
        <v>5.9677916367124571E-3</v>
      </c>
      <c r="AF13" s="67">
        <f t="shared" si="19"/>
        <v>494.74285714285713</v>
      </c>
      <c r="AG13" s="229">
        <f t="shared" si="29"/>
        <v>13852.8</v>
      </c>
      <c r="AH13" s="237">
        <f t="shared" si="21"/>
        <v>13434.332807142859</v>
      </c>
      <c r="AI13" s="237">
        <f t="shared" si="22"/>
        <v>376161.3186</v>
      </c>
      <c r="AJ13" s="238">
        <f t="shared" si="23"/>
        <v>5.8918147707824504E-3</v>
      </c>
    </row>
    <row r="14" spans="1:36" x14ac:dyDescent="0.25">
      <c r="A14" s="378"/>
      <c r="B14" s="40" t="s">
        <v>15</v>
      </c>
      <c r="C14" s="41" t="s">
        <v>16</v>
      </c>
      <c r="D14" s="360" t="s">
        <v>119</v>
      </c>
      <c r="E14" s="347"/>
      <c r="F14" s="52">
        <f>F8*0.6%</f>
        <v>7.1242414285714295</v>
      </c>
      <c r="G14" s="61">
        <f t="shared" si="1"/>
        <v>2.0873585732947863E-3</v>
      </c>
      <c r="H14" s="67">
        <f t="shared" si="2"/>
        <v>1382.1028371428574</v>
      </c>
      <c r="I14" s="68">
        <f t="shared" si="24"/>
        <v>38698.879440000004</v>
      </c>
      <c r="J14" s="52">
        <f>J8*0.6%</f>
        <v>9.9728571428571424</v>
      </c>
      <c r="K14" s="61">
        <f t="shared" si="4"/>
        <v>2.2849844385644195E-3</v>
      </c>
      <c r="L14" s="67">
        <f t="shared" si="5"/>
        <v>1246.6071428571429</v>
      </c>
      <c r="M14" s="68">
        <f t="shared" si="25"/>
        <v>34905</v>
      </c>
      <c r="N14" s="52">
        <f>ROUND(N8*0.6%,2)</f>
        <v>10.18</v>
      </c>
      <c r="O14" s="61">
        <f t="shared" si="7"/>
        <v>2.2987934721491461E-3</v>
      </c>
      <c r="P14" s="67">
        <f t="shared" si="8"/>
        <v>407.2</v>
      </c>
      <c r="Q14" s="68">
        <f t="shared" si="0"/>
        <v>11401.6</v>
      </c>
      <c r="R14" s="52">
        <f>R8*0.6%</f>
        <v>11.53062857142857</v>
      </c>
      <c r="S14" s="61">
        <f t="shared" si="9"/>
        <v>2.3604945732555132E-3</v>
      </c>
      <c r="T14" s="67">
        <f t="shared" si="10"/>
        <v>57.653142857142853</v>
      </c>
      <c r="U14" s="68">
        <f t="shared" si="26"/>
        <v>1614.288</v>
      </c>
      <c r="V14" s="52">
        <f>V8*0.6%</f>
        <v>24.73714285714286</v>
      </c>
      <c r="W14" s="61">
        <f t="shared" si="12"/>
        <v>2.6280113433943576E-3</v>
      </c>
      <c r="X14" s="67">
        <f t="shared" si="13"/>
        <v>989.48571428571438</v>
      </c>
      <c r="Y14" s="68">
        <f t="shared" si="27"/>
        <v>27705.600000000002</v>
      </c>
      <c r="Z14" s="52">
        <f>Z8*0.6%</f>
        <v>28.024285714285714</v>
      </c>
      <c r="AA14" s="61">
        <f t="shared" si="15"/>
        <v>2.6560317333067483E-3</v>
      </c>
      <c r="AB14" s="67">
        <f t="shared" si="16"/>
        <v>1092.9471428571428</v>
      </c>
      <c r="AC14" s="68">
        <f t="shared" si="28"/>
        <v>30602.519999999997</v>
      </c>
      <c r="AD14" s="52">
        <f>AD8*0.6%</f>
        <v>12.36857142857143</v>
      </c>
      <c r="AE14" s="61">
        <f t="shared" si="18"/>
        <v>2.3871166546849832E-3</v>
      </c>
      <c r="AF14" s="67">
        <f t="shared" si="19"/>
        <v>197.89714285714288</v>
      </c>
      <c r="AG14" s="229">
        <f t="shared" si="29"/>
        <v>5541.1200000000008</v>
      </c>
      <c r="AH14" s="237">
        <f t="shared" si="21"/>
        <v>5373.8931228571428</v>
      </c>
      <c r="AI14" s="237">
        <f t="shared" si="22"/>
        <v>150469.00744000002</v>
      </c>
      <c r="AJ14" s="238">
        <f t="shared" si="23"/>
        <v>2.3567960785534276E-3</v>
      </c>
    </row>
    <row r="15" spans="1:36" x14ac:dyDescent="0.25">
      <c r="A15" s="378"/>
      <c r="B15" s="40" t="s">
        <v>17</v>
      </c>
      <c r="C15" s="41" t="s">
        <v>18</v>
      </c>
      <c r="D15" s="360" t="s">
        <v>120</v>
      </c>
      <c r="E15" s="347"/>
      <c r="F15" s="52">
        <f>F8*2.5%</f>
        <v>29.684339285714287</v>
      </c>
      <c r="G15" s="61">
        <f t="shared" si="1"/>
        <v>8.6973273887282765E-3</v>
      </c>
      <c r="H15" s="67">
        <f t="shared" si="2"/>
        <v>5758.7618214285721</v>
      </c>
      <c r="I15" s="68">
        <f t="shared" si="3"/>
        <v>161245.33100000001</v>
      </c>
      <c r="J15" s="52">
        <f>J8*2.5%</f>
        <v>41.553571428571431</v>
      </c>
      <c r="K15" s="61">
        <f t="shared" si="4"/>
        <v>9.5207684940184154E-3</v>
      </c>
      <c r="L15" s="67">
        <f t="shared" si="5"/>
        <v>5194.1964285714284</v>
      </c>
      <c r="M15" s="68">
        <f t="shared" si="6"/>
        <v>145437.5</v>
      </c>
      <c r="N15" s="52">
        <f>ROUND(N8*2.5%,2)</f>
        <v>42.4</v>
      </c>
      <c r="O15" s="61">
        <f t="shared" si="7"/>
        <v>9.5745425559060696E-3</v>
      </c>
      <c r="P15" s="67">
        <f t="shared" si="8"/>
        <v>1696</v>
      </c>
      <c r="Q15" s="68">
        <f t="shared" si="0"/>
        <v>47488</v>
      </c>
      <c r="R15" s="52">
        <f>R8*2.5%</f>
        <v>48.044285714285714</v>
      </c>
      <c r="S15" s="61">
        <f t="shared" si="9"/>
        <v>9.8353940552313064E-3</v>
      </c>
      <c r="T15" s="67">
        <f t="shared" si="10"/>
        <v>240.22142857142856</v>
      </c>
      <c r="U15" s="68">
        <f t="shared" si="11"/>
        <v>6726.2</v>
      </c>
      <c r="V15" s="52">
        <f>V8*2.5%</f>
        <v>103.07142857142858</v>
      </c>
      <c r="W15" s="61">
        <f t="shared" si="12"/>
        <v>1.0950047264143158E-2</v>
      </c>
      <c r="X15" s="67">
        <f t="shared" si="13"/>
        <v>4122.8571428571431</v>
      </c>
      <c r="Y15" s="68">
        <f t="shared" si="14"/>
        <v>115440</v>
      </c>
      <c r="Z15" s="52">
        <f>Z8*2.5%</f>
        <v>116.76785714285714</v>
      </c>
      <c r="AA15" s="61">
        <f t="shared" si="15"/>
        <v>1.1066798888778118E-2</v>
      </c>
      <c r="AB15" s="67">
        <f t="shared" si="16"/>
        <v>4553.9464285714284</v>
      </c>
      <c r="AC15" s="68">
        <f t="shared" si="17"/>
        <v>127510.5</v>
      </c>
      <c r="AD15" s="52">
        <f>AD8*2.5%</f>
        <v>51.535714285714292</v>
      </c>
      <c r="AE15" s="61">
        <f t="shared" si="18"/>
        <v>9.9463193945207636E-3</v>
      </c>
      <c r="AF15" s="67">
        <f t="shared" si="19"/>
        <v>824.57142857142867</v>
      </c>
      <c r="AG15" s="229">
        <f t="shared" si="20"/>
        <v>23088.000000000004</v>
      </c>
      <c r="AH15" s="237">
        <f t="shared" si="21"/>
        <v>22390.554678571429</v>
      </c>
      <c r="AI15" s="237">
        <f t="shared" si="22"/>
        <v>626935.53099999996</v>
      </c>
      <c r="AJ15" s="238">
        <f t="shared" si="23"/>
        <v>9.8196912846374163E-3</v>
      </c>
    </row>
    <row r="16" spans="1:36" x14ac:dyDescent="0.25">
      <c r="A16" s="378"/>
      <c r="B16" s="40" t="s">
        <v>19</v>
      </c>
      <c r="C16" s="41" t="s">
        <v>20</v>
      </c>
      <c r="D16" s="360" t="s">
        <v>198</v>
      </c>
      <c r="E16" s="347"/>
      <c r="F16" s="52">
        <f>F8*2.017%</f>
        <v>23.949324935714287</v>
      </c>
      <c r="G16" s="61">
        <f t="shared" si="1"/>
        <v>7.0170037372259738E-3</v>
      </c>
      <c r="H16" s="67">
        <f t="shared" si="2"/>
        <v>4646.1690375285716</v>
      </c>
      <c r="I16" s="68">
        <f t="shared" si="3"/>
        <v>130092.7330508</v>
      </c>
      <c r="J16" s="52">
        <f>J8*2.017%</f>
        <v>33.525421428571427</v>
      </c>
      <c r="K16" s="61">
        <f t="shared" si="4"/>
        <v>7.6813560209740561E-3</v>
      </c>
      <c r="L16" s="67">
        <f t="shared" si="5"/>
        <v>4190.6776785714283</v>
      </c>
      <c r="M16" s="68">
        <f t="shared" si="6"/>
        <v>117338.97499999999</v>
      </c>
      <c r="N16" s="52">
        <f>ROUND(N8*2.017%,2)</f>
        <v>34.21</v>
      </c>
      <c r="O16" s="61">
        <f t="shared" si="7"/>
        <v>7.7251203027723274E-3</v>
      </c>
      <c r="P16" s="67">
        <f t="shared" si="8"/>
        <v>1368.4</v>
      </c>
      <c r="Q16" s="68">
        <f t="shared" si="0"/>
        <v>38315.199999999997</v>
      </c>
      <c r="R16" s="52">
        <f>R8*2.017%</f>
        <v>38.762129714285713</v>
      </c>
      <c r="S16" s="61">
        <f t="shared" si="9"/>
        <v>7.9351959237606174E-3</v>
      </c>
      <c r="T16" s="67">
        <f t="shared" si="10"/>
        <v>193.81064857142857</v>
      </c>
      <c r="U16" s="68">
        <f t="shared" si="11"/>
        <v>5426.6981599999999</v>
      </c>
      <c r="V16" s="52">
        <f>V8*2.017%</f>
        <v>83.158028571428574</v>
      </c>
      <c r="W16" s="61">
        <f t="shared" si="12"/>
        <v>8.834498132710698E-3</v>
      </c>
      <c r="X16" s="67">
        <f t="shared" si="13"/>
        <v>3326.3211428571431</v>
      </c>
      <c r="Y16" s="68">
        <f t="shared" si="14"/>
        <v>93136.991999999998</v>
      </c>
      <c r="Z16" s="52">
        <f>Z8*2.017%</f>
        <v>94.208307142857137</v>
      </c>
      <c r="AA16" s="61">
        <f t="shared" si="15"/>
        <v>8.9286933434661857E-3</v>
      </c>
      <c r="AB16" s="67">
        <f t="shared" si="16"/>
        <v>3674.1239785714283</v>
      </c>
      <c r="AC16" s="68">
        <f t="shared" si="17"/>
        <v>102875.47139999999</v>
      </c>
      <c r="AD16" s="52">
        <f>AD8*2.017%</f>
        <v>41.579014285714287</v>
      </c>
      <c r="AE16" s="61">
        <f t="shared" si="18"/>
        <v>8.0246904874993509E-3</v>
      </c>
      <c r="AF16" s="67">
        <f t="shared" si="19"/>
        <v>665.26422857142859</v>
      </c>
      <c r="AG16" s="229">
        <f t="shared" si="20"/>
        <v>18627.398400000002</v>
      </c>
      <c r="AH16" s="237">
        <f t="shared" si="21"/>
        <v>18064.76671467143</v>
      </c>
      <c r="AI16" s="237">
        <f t="shared" si="22"/>
        <v>505813.46801079996</v>
      </c>
      <c r="AJ16" s="238">
        <f t="shared" si="23"/>
        <v>7.9225563999464552E-3</v>
      </c>
    </row>
    <row r="17" spans="1:36" s="88" customFormat="1" x14ac:dyDescent="0.25">
      <c r="A17" s="376"/>
      <c r="B17" s="42" t="s">
        <v>21</v>
      </c>
      <c r="C17" s="43" t="s">
        <v>22</v>
      </c>
      <c r="D17" s="344" t="s">
        <v>121</v>
      </c>
      <c r="E17" s="345"/>
      <c r="F17" s="53">
        <f>SUM(F8:F16)</f>
        <v>1612.6551635071428</v>
      </c>
      <c r="G17" s="62">
        <f>F17/$F$82</f>
        <v>0.47249796558196328</v>
      </c>
      <c r="H17" s="66">
        <f>SUM(H8:H16)</f>
        <v>312855.10172038578</v>
      </c>
      <c r="I17" s="69">
        <f t="shared" si="3"/>
        <v>8759942.848170802</v>
      </c>
      <c r="J17" s="53">
        <f>SUM(J8:J16)</f>
        <v>2257.4725642857147</v>
      </c>
      <c r="K17" s="62">
        <f t="shared" si="4"/>
        <v>0.51723288582083971</v>
      </c>
      <c r="L17" s="66">
        <f>SUM(L8:L16)</f>
        <v>282184.07053571433</v>
      </c>
      <c r="M17" s="69">
        <f t="shared" si="6"/>
        <v>7901153.9750000015</v>
      </c>
      <c r="N17" s="53">
        <f>SUM(N8:N16)</f>
        <v>2303.67</v>
      </c>
      <c r="O17" s="62">
        <f t="shared" si="7"/>
        <v>0.52020251060764477</v>
      </c>
      <c r="P17" s="66">
        <f>ROUND(SUM(P8:P16),2)</f>
        <v>92146.8</v>
      </c>
      <c r="Q17" s="69">
        <f t="shared" si="0"/>
        <v>2580110.4</v>
      </c>
      <c r="R17" s="53">
        <f>SUM(R8:R16)</f>
        <v>2610.0923011428567</v>
      </c>
      <c r="S17" s="62">
        <f t="shared" si="9"/>
        <v>0.53432548575974004</v>
      </c>
      <c r="T17" s="66">
        <f>SUM(T8:T16)</f>
        <v>13050.461505714287</v>
      </c>
      <c r="U17" s="69">
        <f t="shared" si="11"/>
        <v>365412.92216000007</v>
      </c>
      <c r="V17" s="53">
        <f>SUM(V8:V16)</f>
        <v>5599.5408857142866</v>
      </c>
      <c r="W17" s="62">
        <f t="shared" si="12"/>
        <v>0.59488102770965245</v>
      </c>
      <c r="X17" s="66">
        <f>SUM(X8:X16)</f>
        <v>223981.63542857146</v>
      </c>
      <c r="Y17" s="69">
        <f t="shared" si="14"/>
        <v>6271485.7920000013</v>
      </c>
      <c r="Z17" s="53">
        <f>SUM(Z8:Z16)</f>
        <v>6343.6240214285708</v>
      </c>
      <c r="AA17" s="62">
        <f t="shared" si="15"/>
        <v>0.60122376987087101</v>
      </c>
      <c r="AB17" s="66">
        <f>SUM(AB8:AB16)</f>
        <v>247401.33683571426</v>
      </c>
      <c r="AC17" s="69">
        <f t="shared" si="17"/>
        <v>6927237.4313999992</v>
      </c>
      <c r="AD17" s="53">
        <f>SUM(AD8:AD16)</f>
        <v>2799.7704428571433</v>
      </c>
      <c r="AE17" s="62">
        <f t="shared" si="18"/>
        <v>0.54035170448225056</v>
      </c>
      <c r="AF17" s="66">
        <f>SUM(AF8:AF16)</f>
        <v>44796.327085714292</v>
      </c>
      <c r="AG17" s="230">
        <f t="shared" si="20"/>
        <v>1254297.1584000001</v>
      </c>
      <c r="AH17" s="237">
        <f t="shared" si="21"/>
        <v>1216415.7331118144</v>
      </c>
      <c r="AI17" s="237">
        <f t="shared" si="22"/>
        <v>34059640.527130798</v>
      </c>
      <c r="AJ17" s="238">
        <f t="shared" si="23"/>
        <v>0.53347615297648465</v>
      </c>
    </row>
    <row r="18" spans="1:36" x14ac:dyDescent="0.25">
      <c r="A18" s="379" t="s">
        <v>23</v>
      </c>
      <c r="B18" s="40" t="s">
        <v>24</v>
      </c>
      <c r="C18" s="41" t="s">
        <v>25</v>
      </c>
      <c r="D18" s="346">
        <v>0</v>
      </c>
      <c r="E18" s="367"/>
      <c r="F18" s="52">
        <f>$D$18</f>
        <v>0</v>
      </c>
      <c r="G18" s="61">
        <f t="shared" si="1"/>
        <v>0</v>
      </c>
      <c r="H18" s="67">
        <f>F18*$F$6</f>
        <v>0</v>
      </c>
      <c r="I18" s="68">
        <f t="shared" si="3"/>
        <v>0</v>
      </c>
      <c r="J18" s="52">
        <f>$D$18</f>
        <v>0</v>
      </c>
      <c r="K18" s="61">
        <f t="shared" si="4"/>
        <v>0</v>
      </c>
      <c r="L18" s="76">
        <f>J18*$F$6</f>
        <v>0</v>
      </c>
      <c r="M18" s="68">
        <f t="shared" si="6"/>
        <v>0</v>
      </c>
      <c r="N18" s="52">
        <f>$D$18</f>
        <v>0</v>
      </c>
      <c r="O18" s="61">
        <f t="shared" si="7"/>
        <v>0</v>
      </c>
      <c r="P18" s="76">
        <f>N18*$F$6</f>
        <v>0</v>
      </c>
      <c r="Q18" s="68">
        <f t="shared" ref="Q18:Q21" si="30">P18*28</f>
        <v>0</v>
      </c>
      <c r="R18" s="52">
        <f>$D$18</f>
        <v>0</v>
      </c>
      <c r="S18" s="61">
        <f t="shared" si="9"/>
        <v>0</v>
      </c>
      <c r="T18" s="76">
        <f>R18*$F$6</f>
        <v>0</v>
      </c>
      <c r="U18" s="68">
        <f t="shared" si="11"/>
        <v>0</v>
      </c>
      <c r="V18" s="52">
        <f>$D$18</f>
        <v>0</v>
      </c>
      <c r="W18" s="61">
        <f t="shared" si="12"/>
        <v>0</v>
      </c>
      <c r="X18" s="76">
        <f>V18*$F$6</f>
        <v>0</v>
      </c>
      <c r="Y18" s="68">
        <f t="shared" si="14"/>
        <v>0</v>
      </c>
      <c r="Z18" s="52">
        <f>$D$18</f>
        <v>0</v>
      </c>
      <c r="AA18" s="61">
        <f t="shared" si="15"/>
        <v>0</v>
      </c>
      <c r="AB18" s="76">
        <f>Z18*$F$6</f>
        <v>0</v>
      </c>
      <c r="AC18" s="68">
        <f t="shared" si="17"/>
        <v>0</v>
      </c>
      <c r="AD18" s="52">
        <f>$D$18</f>
        <v>0</v>
      </c>
      <c r="AE18" s="61">
        <f t="shared" si="18"/>
        <v>0</v>
      </c>
      <c r="AF18" s="76">
        <f>AD18*$F$6</f>
        <v>0</v>
      </c>
      <c r="AG18" s="229">
        <f t="shared" si="20"/>
        <v>0</v>
      </c>
      <c r="AH18" s="237">
        <f t="shared" si="21"/>
        <v>0</v>
      </c>
      <c r="AI18" s="237">
        <f t="shared" si="22"/>
        <v>0</v>
      </c>
      <c r="AJ18" s="238">
        <f t="shared" si="23"/>
        <v>0</v>
      </c>
    </row>
    <row r="19" spans="1:36" x14ac:dyDescent="0.25">
      <c r="A19" s="379"/>
      <c r="B19" s="40" t="s">
        <v>26</v>
      </c>
      <c r="C19" s="41" t="s">
        <v>27</v>
      </c>
      <c r="D19" s="346">
        <v>33.619999999999997</v>
      </c>
      <c r="E19" s="367"/>
      <c r="F19" s="52">
        <f>(D19*21)/28*26</f>
        <v>655.59</v>
      </c>
      <c r="G19" s="61">
        <f t="shared" si="1"/>
        <v>0.19208380580397236</v>
      </c>
      <c r="H19" s="67">
        <f t="shared" ref="H19:H22" si="31">F19*$F$6</f>
        <v>127184.46</v>
      </c>
      <c r="I19" s="68">
        <f t="shared" si="3"/>
        <v>3561164.8800000004</v>
      </c>
      <c r="J19" s="52">
        <f>(D19*21)/28*26</f>
        <v>655.59</v>
      </c>
      <c r="K19" s="61">
        <f t="shared" si="4"/>
        <v>0.15020900496417611</v>
      </c>
      <c r="L19" s="67">
        <f>J19*$J$6</f>
        <v>81948.75</v>
      </c>
      <c r="M19" s="68">
        <f>L19*28</f>
        <v>2294565</v>
      </c>
      <c r="N19" s="52">
        <f>ROUND((D19*21)/28*26,2)</f>
        <v>655.59</v>
      </c>
      <c r="O19" s="61">
        <f t="shared" si="7"/>
        <v>0.14804184797703918</v>
      </c>
      <c r="P19" s="67">
        <f>N19*$N$6</f>
        <v>26223.600000000002</v>
      </c>
      <c r="Q19" s="68">
        <f>ROUND(P19*28,2)</f>
        <v>734260.8</v>
      </c>
      <c r="R19" s="52">
        <f>(D19*21)/28*26</f>
        <v>655.59</v>
      </c>
      <c r="S19" s="61">
        <f t="shared" si="9"/>
        <v>0.13420921745022046</v>
      </c>
      <c r="T19" s="67">
        <f>R19*$R$6</f>
        <v>3277.9500000000003</v>
      </c>
      <c r="U19" s="68">
        <f t="shared" si="11"/>
        <v>91782.6</v>
      </c>
      <c r="V19" s="52">
        <f>(D19*21)/28*26</f>
        <v>655.59</v>
      </c>
      <c r="W19" s="61">
        <f t="shared" si="12"/>
        <v>6.9648219544417578E-2</v>
      </c>
      <c r="X19" s="67">
        <f>V19*$V$6</f>
        <v>26223.600000000002</v>
      </c>
      <c r="Y19" s="68">
        <f t="shared" si="14"/>
        <v>734260.8</v>
      </c>
      <c r="Z19" s="52">
        <f>(D19*21)/28*26</f>
        <v>655.59</v>
      </c>
      <c r="AA19" s="61">
        <f t="shared" si="15"/>
        <v>6.2134245339603399E-2</v>
      </c>
      <c r="AB19" s="67">
        <f>Z19*$Z$6</f>
        <v>25568.010000000002</v>
      </c>
      <c r="AC19" s="68">
        <f t="shared" si="17"/>
        <v>715904.28</v>
      </c>
      <c r="AD19" s="52">
        <f>(D19*21)/28*26</f>
        <v>655.59</v>
      </c>
      <c r="AE19" s="61">
        <f t="shared" si="18"/>
        <v>0.12652793547602789</v>
      </c>
      <c r="AF19" s="67">
        <f>AD19*$AD$6</f>
        <v>10489.44</v>
      </c>
      <c r="AG19" s="229">
        <f t="shared" si="20"/>
        <v>293704.32000000001</v>
      </c>
      <c r="AH19" s="237">
        <f t="shared" si="21"/>
        <v>300915.81</v>
      </c>
      <c r="AI19" s="237">
        <f t="shared" si="22"/>
        <v>8425642.6800000016</v>
      </c>
      <c r="AJ19" s="238">
        <f t="shared" si="23"/>
        <v>0.13197084213793758</v>
      </c>
    </row>
    <row r="20" spans="1:36" x14ac:dyDescent="0.25">
      <c r="A20" s="379"/>
      <c r="B20" s="40" t="s">
        <v>28</v>
      </c>
      <c r="C20" s="41" t="s">
        <v>29</v>
      </c>
      <c r="D20" s="346">
        <v>0</v>
      </c>
      <c r="E20" s="367"/>
      <c r="F20" s="52">
        <f>$D$20</f>
        <v>0</v>
      </c>
      <c r="G20" s="61">
        <f t="shared" si="1"/>
        <v>0</v>
      </c>
      <c r="H20" s="67">
        <f t="shared" si="31"/>
        <v>0</v>
      </c>
      <c r="I20" s="68">
        <f t="shared" si="3"/>
        <v>0</v>
      </c>
      <c r="J20" s="52">
        <f>$D$20</f>
        <v>0</v>
      </c>
      <c r="K20" s="61">
        <f>J20/$J$82</f>
        <v>0</v>
      </c>
      <c r="L20" s="76">
        <f t="shared" ref="L20:L21" si="32">J20*$F$6</f>
        <v>0</v>
      </c>
      <c r="M20" s="68">
        <f t="shared" si="6"/>
        <v>0</v>
      </c>
      <c r="N20" s="52">
        <f>$D$20</f>
        <v>0</v>
      </c>
      <c r="O20" s="61">
        <f t="shared" si="7"/>
        <v>0</v>
      </c>
      <c r="P20" s="76">
        <f t="shared" ref="P20:P21" si="33">N20*$F$6</f>
        <v>0</v>
      </c>
      <c r="Q20" s="68">
        <f t="shared" si="30"/>
        <v>0</v>
      </c>
      <c r="R20" s="52">
        <f>$D$20</f>
        <v>0</v>
      </c>
      <c r="S20" s="61">
        <f t="shared" si="9"/>
        <v>0</v>
      </c>
      <c r="T20" s="76">
        <f t="shared" ref="T20:T21" si="34">R20*$F$6</f>
        <v>0</v>
      </c>
      <c r="U20" s="68">
        <f t="shared" si="11"/>
        <v>0</v>
      </c>
      <c r="V20" s="52">
        <f>$D$20</f>
        <v>0</v>
      </c>
      <c r="W20" s="61">
        <f t="shared" si="12"/>
        <v>0</v>
      </c>
      <c r="X20" s="76">
        <f t="shared" ref="X20:X21" si="35">V20*$F$6</f>
        <v>0</v>
      </c>
      <c r="Y20" s="68">
        <f t="shared" si="14"/>
        <v>0</v>
      </c>
      <c r="Z20" s="52">
        <f>$D$20</f>
        <v>0</v>
      </c>
      <c r="AA20" s="61">
        <f t="shared" si="15"/>
        <v>0</v>
      </c>
      <c r="AB20" s="76">
        <f t="shared" ref="AB20:AB21" si="36">Z20*$F$6</f>
        <v>0</v>
      </c>
      <c r="AC20" s="68">
        <f t="shared" si="17"/>
        <v>0</v>
      </c>
      <c r="AD20" s="52">
        <f>$D$20</f>
        <v>0</v>
      </c>
      <c r="AE20" s="61">
        <f t="shared" si="18"/>
        <v>0</v>
      </c>
      <c r="AF20" s="76">
        <f t="shared" ref="AF20:AF21" si="37">AD20*$F$6</f>
        <v>0</v>
      </c>
      <c r="AG20" s="229">
        <f t="shared" si="20"/>
        <v>0</v>
      </c>
      <c r="AH20" s="237">
        <f t="shared" si="21"/>
        <v>0</v>
      </c>
      <c r="AI20" s="237">
        <f t="shared" si="22"/>
        <v>0</v>
      </c>
      <c r="AJ20" s="238">
        <f t="shared" si="23"/>
        <v>0</v>
      </c>
    </row>
    <row r="21" spans="1:36" x14ac:dyDescent="0.25">
      <c r="A21" s="379"/>
      <c r="B21" s="40" t="s">
        <v>30</v>
      </c>
      <c r="C21" s="41" t="s">
        <v>31</v>
      </c>
      <c r="D21" s="44">
        <v>0</v>
      </c>
      <c r="E21" s="45">
        <v>0</v>
      </c>
      <c r="F21" s="52">
        <f>$D$21</f>
        <v>0</v>
      </c>
      <c r="G21" s="61">
        <f t="shared" si="1"/>
        <v>0</v>
      </c>
      <c r="H21" s="67">
        <f t="shared" si="31"/>
        <v>0</v>
      </c>
      <c r="I21" s="68">
        <f t="shared" si="3"/>
        <v>0</v>
      </c>
      <c r="J21" s="52">
        <f>$D$21</f>
        <v>0</v>
      </c>
      <c r="K21" s="61">
        <f t="shared" si="4"/>
        <v>0</v>
      </c>
      <c r="L21" s="76">
        <f t="shared" si="32"/>
        <v>0</v>
      </c>
      <c r="M21" s="68">
        <f t="shared" si="6"/>
        <v>0</v>
      </c>
      <c r="N21" s="52">
        <f>$D$21</f>
        <v>0</v>
      </c>
      <c r="O21" s="61">
        <f t="shared" si="7"/>
        <v>0</v>
      </c>
      <c r="P21" s="76">
        <f t="shared" si="33"/>
        <v>0</v>
      </c>
      <c r="Q21" s="68">
        <f t="shared" si="30"/>
        <v>0</v>
      </c>
      <c r="R21" s="52">
        <f>$D$21</f>
        <v>0</v>
      </c>
      <c r="S21" s="61">
        <f t="shared" si="9"/>
        <v>0</v>
      </c>
      <c r="T21" s="76">
        <f t="shared" si="34"/>
        <v>0</v>
      </c>
      <c r="U21" s="68">
        <f t="shared" si="11"/>
        <v>0</v>
      </c>
      <c r="V21" s="52">
        <f>$D$21</f>
        <v>0</v>
      </c>
      <c r="W21" s="61">
        <f t="shared" si="12"/>
        <v>0</v>
      </c>
      <c r="X21" s="76">
        <f t="shared" si="35"/>
        <v>0</v>
      </c>
      <c r="Y21" s="68">
        <f t="shared" si="14"/>
        <v>0</v>
      </c>
      <c r="Z21" s="52">
        <f>$D$21</f>
        <v>0</v>
      </c>
      <c r="AA21" s="61">
        <f t="shared" si="15"/>
        <v>0</v>
      </c>
      <c r="AB21" s="76">
        <f t="shared" si="36"/>
        <v>0</v>
      </c>
      <c r="AC21" s="68">
        <f t="shared" si="17"/>
        <v>0</v>
      </c>
      <c r="AD21" s="52">
        <f>$D$21</f>
        <v>0</v>
      </c>
      <c r="AE21" s="61">
        <f t="shared" si="18"/>
        <v>0</v>
      </c>
      <c r="AF21" s="76">
        <f t="shared" si="37"/>
        <v>0</v>
      </c>
      <c r="AG21" s="229">
        <f t="shared" si="20"/>
        <v>0</v>
      </c>
      <c r="AH21" s="237">
        <f t="shared" si="21"/>
        <v>0</v>
      </c>
      <c r="AI21" s="237">
        <f t="shared" si="22"/>
        <v>0</v>
      </c>
      <c r="AJ21" s="238">
        <f t="shared" si="23"/>
        <v>0</v>
      </c>
    </row>
    <row r="22" spans="1:36" x14ac:dyDescent="0.25">
      <c r="A22" s="379"/>
      <c r="B22" s="40" t="s">
        <v>32</v>
      </c>
      <c r="C22" s="41" t="s">
        <v>33</v>
      </c>
      <c r="D22" s="346">
        <v>4.25</v>
      </c>
      <c r="E22" s="367"/>
      <c r="F22" s="52">
        <f>IF((D22*42)-(H6*6%)&gt;0,((D22*42)-(H6*6%))/28*26,0)</f>
        <v>94.50758571428571</v>
      </c>
      <c r="G22" s="61">
        <f t="shared" si="1"/>
        <v>2.769013673385062E-2</v>
      </c>
      <c r="H22" s="67">
        <f t="shared" si="31"/>
        <v>18334.471628571428</v>
      </c>
      <c r="I22" s="68">
        <f t="shared" si="3"/>
        <v>513365.20559999999</v>
      </c>
      <c r="J22" s="52">
        <f>IF(($D$22*42)-(L6*6%)&gt;0,(($D$22*42)-(L6*6%))/28*26,0)</f>
        <v>66.021428571428572</v>
      </c>
      <c r="K22" s="61">
        <f t="shared" si="4"/>
        <v>1.5126852288820318E-2</v>
      </c>
      <c r="L22" s="67">
        <f>J22*$J$6</f>
        <v>8252.6785714285706</v>
      </c>
      <c r="M22" s="68">
        <f>L22*28</f>
        <v>231074.99999999997</v>
      </c>
      <c r="N22" s="52">
        <f>ROUND(IF((D22*42)-(P6*6%)&gt;0,((D22*42)-(P6*6%))/28*26,0),2)</f>
        <v>63.98</v>
      </c>
      <c r="O22" s="61">
        <f t="shared" si="7"/>
        <v>1.4447623413369583E-2</v>
      </c>
      <c r="P22" s="67">
        <f>ROUND(N22*$N$6,2)</f>
        <v>2559.1999999999998</v>
      </c>
      <c r="Q22" s="68">
        <f t="shared" ref="Q22:Q53" si="38">ROUND(P22*28,2)</f>
        <v>71657.600000000006</v>
      </c>
      <c r="R22" s="52">
        <f>IF((D22*42)-(T6*6%)&gt;0,((D22*42)-(T6*6%))/28*26,0)</f>
        <v>50.4437142857143</v>
      </c>
      <c r="S22" s="61">
        <f t="shared" si="9"/>
        <v>1.0326593480022916E-2</v>
      </c>
      <c r="T22" s="67">
        <f>R22*$R$6</f>
        <v>252.21857142857149</v>
      </c>
      <c r="U22" s="68">
        <f t="shared" si="11"/>
        <v>7062.1200000000017</v>
      </c>
      <c r="V22" s="52">
        <f>IF((D22*42)-(X6*6%)&gt;0,((D22*42)-(X6*6%))/28*26,0)</f>
        <v>0</v>
      </c>
      <c r="W22" s="61">
        <f t="shared" si="12"/>
        <v>0</v>
      </c>
      <c r="X22" s="67">
        <f>V22*$V$6</f>
        <v>0</v>
      </c>
      <c r="Y22" s="68">
        <f t="shared" si="14"/>
        <v>0</v>
      </c>
      <c r="Z22" s="52">
        <f>IF((D22*42)-(AB6*6%)&gt;0,((D22*42)-(AB6*6%))/28*26,0)</f>
        <v>0</v>
      </c>
      <c r="AA22" s="61">
        <f t="shared" si="15"/>
        <v>0</v>
      </c>
      <c r="AB22" s="67">
        <f>Z22*$Z$6</f>
        <v>0</v>
      </c>
      <c r="AC22" s="68">
        <f t="shared" si="17"/>
        <v>0</v>
      </c>
      <c r="AD22" s="52">
        <f>IF((D22*42)-(AF6*6%)&gt;0,((D22*42)-(AF6*6%))/28*26,0)</f>
        <v>42.064285714285724</v>
      </c>
      <c r="AE22" s="61">
        <f t="shared" si="18"/>
        <v>8.1183471814737056E-3</v>
      </c>
      <c r="AF22" s="67">
        <f>AD22*$AD$6</f>
        <v>673.02857142857158</v>
      </c>
      <c r="AG22" s="229">
        <f t="shared" si="20"/>
        <v>18844.800000000003</v>
      </c>
      <c r="AH22" s="237">
        <f t="shared" si="21"/>
        <v>30071.597342857141</v>
      </c>
      <c r="AI22" s="237">
        <f t="shared" si="22"/>
        <v>842004.72560000001</v>
      </c>
      <c r="AJ22" s="238">
        <f t="shared" si="23"/>
        <v>1.3188320101126699E-2</v>
      </c>
    </row>
    <row r="23" spans="1:36" s="88" customFormat="1" x14ac:dyDescent="0.25">
      <c r="A23" s="379"/>
      <c r="B23" s="42" t="s">
        <v>34</v>
      </c>
      <c r="C23" s="43" t="s">
        <v>22</v>
      </c>
      <c r="D23" s="344" t="s">
        <v>122</v>
      </c>
      <c r="E23" s="345"/>
      <c r="F23" s="53">
        <f>SUM(F18:F22)</f>
        <v>750.09758571428574</v>
      </c>
      <c r="G23" s="62">
        <f>F23/$F$82</f>
        <v>0.21977394253782298</v>
      </c>
      <c r="H23" s="66">
        <f>SUM(H18:H22)</f>
        <v>145518.93162857144</v>
      </c>
      <c r="I23" s="69">
        <f t="shared" si="3"/>
        <v>4074530.0856000003</v>
      </c>
      <c r="J23" s="53">
        <f>SUM(J18:J22)</f>
        <v>721.61142857142863</v>
      </c>
      <c r="K23" s="62">
        <f t="shared" si="4"/>
        <v>0.16533585725299643</v>
      </c>
      <c r="L23" s="66">
        <f>SUM(L18:L22)</f>
        <v>90201.428571428565</v>
      </c>
      <c r="M23" s="69">
        <f t="shared" si="6"/>
        <v>2525640</v>
      </c>
      <c r="N23" s="53">
        <f>SUM(N18:N22)</f>
        <v>719.57</v>
      </c>
      <c r="O23" s="62">
        <f t="shared" si="7"/>
        <v>0.16248947139040876</v>
      </c>
      <c r="P23" s="66">
        <f>SUM(P18:P22)</f>
        <v>28782.800000000003</v>
      </c>
      <c r="Q23" s="69">
        <f t="shared" si="38"/>
        <v>805918.4</v>
      </c>
      <c r="R23" s="53">
        <f>SUM(R18:R22)</f>
        <v>706.03371428571438</v>
      </c>
      <c r="S23" s="62">
        <f t="shared" si="9"/>
        <v>0.1445358109302434</v>
      </c>
      <c r="T23" s="66">
        <f>SUM(T18:T22)</f>
        <v>3530.1685714285718</v>
      </c>
      <c r="U23" s="69">
        <f t="shared" si="11"/>
        <v>98844.720000000016</v>
      </c>
      <c r="V23" s="53">
        <f>SUM(V18:V22)</f>
        <v>655.59</v>
      </c>
      <c r="W23" s="62">
        <f t="shared" si="12"/>
        <v>6.9648219544417578E-2</v>
      </c>
      <c r="X23" s="66">
        <f>SUM(X18:X22)</f>
        <v>26223.600000000002</v>
      </c>
      <c r="Y23" s="69">
        <f t="shared" si="14"/>
        <v>734260.8</v>
      </c>
      <c r="Z23" s="53">
        <f>SUM(Z18:Z22)</f>
        <v>655.59</v>
      </c>
      <c r="AA23" s="62">
        <f t="shared" si="15"/>
        <v>6.2134245339603399E-2</v>
      </c>
      <c r="AB23" s="66">
        <f>SUM(AB18:AB22)</f>
        <v>25568.010000000002</v>
      </c>
      <c r="AC23" s="69">
        <f t="shared" si="17"/>
        <v>715904.28</v>
      </c>
      <c r="AD23" s="53">
        <f>SUM(AD18:AD22)</f>
        <v>697.65428571428572</v>
      </c>
      <c r="AE23" s="62">
        <f t="shared" si="18"/>
        <v>0.13464628265750161</v>
      </c>
      <c r="AF23" s="66">
        <f>SUM(AF18:AF22)</f>
        <v>11162.468571428572</v>
      </c>
      <c r="AG23" s="230">
        <f>AF23*28</f>
        <v>312549.12</v>
      </c>
      <c r="AH23" s="237">
        <f t="shared" si="21"/>
        <v>330987.40734285716</v>
      </c>
      <c r="AI23" s="237">
        <f t="shared" si="22"/>
        <v>9267647.4056000002</v>
      </c>
      <c r="AJ23" s="238">
        <f t="shared" si="23"/>
        <v>0.14515916223906425</v>
      </c>
    </row>
    <row r="24" spans="1:36" x14ac:dyDescent="0.25">
      <c r="A24" s="375" t="s">
        <v>35</v>
      </c>
      <c r="B24" s="40" t="s">
        <v>36</v>
      </c>
      <c r="C24" s="41" t="s">
        <v>35</v>
      </c>
      <c r="D24" s="360" t="s">
        <v>123</v>
      </c>
      <c r="E24" s="347"/>
      <c r="F24" s="52">
        <f>(H6+H6/3)/30*70/28</f>
        <v>142.07888888888891</v>
      </c>
      <c r="G24" s="61">
        <f t="shared" si="1"/>
        <v>4.1628233655451582E-2</v>
      </c>
      <c r="H24" s="67">
        <f>F24*$F$6</f>
        <v>27563.304444444449</v>
      </c>
      <c r="I24" s="68">
        <f t="shared" si="3"/>
        <v>771772.52444444457</v>
      </c>
      <c r="J24" s="52">
        <f>(L6+L6/3)/30*70/28</f>
        <v>198.88888888888889</v>
      </c>
      <c r="K24" s="61">
        <f t="shared" si="4"/>
        <v>4.5569490227780445E-2</v>
      </c>
      <c r="L24" s="67">
        <f>J24*$J$6</f>
        <v>24861.111111111109</v>
      </c>
      <c r="M24" s="68">
        <f t="shared" si="6"/>
        <v>696111.11111111101</v>
      </c>
      <c r="N24" s="52">
        <f>ROUND((P6+P6/3)/30*70/28,2)</f>
        <v>202.96</v>
      </c>
      <c r="O24" s="61">
        <f t="shared" si="7"/>
        <v>4.5831348045912643E-2</v>
      </c>
      <c r="P24" s="67">
        <f>N24*$N$6</f>
        <v>8118.4000000000005</v>
      </c>
      <c r="Q24" s="68">
        <f t="shared" si="38"/>
        <v>227315.20000000001</v>
      </c>
      <c r="R24" s="52">
        <f>(T6+T6/3)/30*70/28</f>
        <v>229.95555555555555</v>
      </c>
      <c r="S24" s="61">
        <f t="shared" si="9"/>
        <v>4.7075390349825053E-2</v>
      </c>
      <c r="T24" s="67">
        <f>R24*$R$6</f>
        <v>1149.7777777777778</v>
      </c>
      <c r="U24" s="68">
        <f t="shared" si="11"/>
        <v>32193.777777777781</v>
      </c>
      <c r="V24" s="52">
        <f>(X6+X6/3)/30*70/28</f>
        <v>493.33333333333337</v>
      </c>
      <c r="W24" s="61">
        <f t="shared" si="12"/>
        <v>5.2410482631796304E-2</v>
      </c>
      <c r="X24" s="67">
        <f>V24*$V$6</f>
        <v>19733.333333333336</v>
      </c>
      <c r="Y24" s="68">
        <f t="shared" si="14"/>
        <v>552533.33333333337</v>
      </c>
      <c r="Z24" s="52">
        <f>(AB6+AB6/3)/30*70/28</f>
        <v>558.88888888888891</v>
      </c>
      <c r="AA24" s="61">
        <f t="shared" si="15"/>
        <v>5.2969293826630313E-2</v>
      </c>
      <c r="AB24" s="67">
        <f>Z24*$Z$6</f>
        <v>21796.666666666668</v>
      </c>
      <c r="AC24" s="68">
        <f t="shared" si="17"/>
        <v>610306.66666666674</v>
      </c>
      <c r="AD24" s="52">
        <f>(AF6+AF6/3)/30*70/28</f>
        <v>246.66666666666669</v>
      </c>
      <c r="AE24" s="61">
        <f t="shared" si="18"/>
        <v>4.7606315050697665E-2</v>
      </c>
      <c r="AF24" s="67">
        <f>AD24*$AD$6</f>
        <v>3946.666666666667</v>
      </c>
      <c r="AG24" s="229">
        <f t="shared" si="20"/>
        <v>110506.66666666667</v>
      </c>
      <c r="AH24" s="237">
        <f t="shared" si="21"/>
        <v>107169.26000000001</v>
      </c>
      <c r="AI24" s="237">
        <f t="shared" si="22"/>
        <v>3000739.28</v>
      </c>
      <c r="AJ24" s="238">
        <f t="shared" si="23"/>
        <v>4.7000579642191564E-2</v>
      </c>
    </row>
    <row r="25" spans="1:36" x14ac:dyDescent="0.25">
      <c r="A25" s="378"/>
      <c r="B25" s="40" t="s">
        <v>37</v>
      </c>
      <c r="C25" s="41" t="s">
        <v>6</v>
      </c>
      <c r="D25" s="360" t="s">
        <v>124</v>
      </c>
      <c r="E25" s="347"/>
      <c r="F25" s="52">
        <f>F24*8%</f>
        <v>11.366311111111113</v>
      </c>
      <c r="G25" s="61">
        <f t="shared" si="1"/>
        <v>3.3302586924361267E-3</v>
      </c>
      <c r="H25" s="67">
        <f t="shared" ref="H25:H32" si="39">F25*$F$6</f>
        <v>2205.0643555555557</v>
      </c>
      <c r="I25" s="68">
        <f t="shared" si="3"/>
        <v>61741.801955555558</v>
      </c>
      <c r="J25" s="52">
        <f>J24*8%</f>
        <v>15.911111111111111</v>
      </c>
      <c r="K25" s="61">
        <f t="shared" si="4"/>
        <v>3.6455592182224354E-3</v>
      </c>
      <c r="L25" s="67">
        <f t="shared" ref="L25:L32" si="40">J25*$J$6</f>
        <v>1988.8888888888889</v>
      </c>
      <c r="M25" s="68">
        <f t="shared" si="6"/>
        <v>55688.888888888891</v>
      </c>
      <c r="N25" s="52">
        <f>ROUND(N24*8%,2)</f>
        <v>16.239999999999998</v>
      </c>
      <c r="O25" s="61">
        <f t="shared" si="7"/>
        <v>3.6672304506583627E-3</v>
      </c>
      <c r="P25" s="67">
        <f t="shared" ref="P25:P32" si="41">N25*$N$6</f>
        <v>649.59999999999991</v>
      </c>
      <c r="Q25" s="68">
        <f t="shared" si="38"/>
        <v>18188.8</v>
      </c>
      <c r="R25" s="52">
        <f>R24*8%</f>
        <v>18.396444444444445</v>
      </c>
      <c r="S25" s="61">
        <f t="shared" si="9"/>
        <v>3.7660312279860042E-3</v>
      </c>
      <c r="T25" s="67">
        <f t="shared" ref="T25:T32" si="42">R25*$R$6</f>
        <v>91.982222222222219</v>
      </c>
      <c r="U25" s="68">
        <f t="shared" si="11"/>
        <v>2575.5022222222224</v>
      </c>
      <c r="V25" s="52">
        <f>V24*8%</f>
        <v>39.466666666666669</v>
      </c>
      <c r="W25" s="61">
        <f t="shared" si="12"/>
        <v>4.1928386105437041E-3</v>
      </c>
      <c r="X25" s="67">
        <f t="shared" ref="X25:X32" si="43">V25*$V$6</f>
        <v>1578.6666666666667</v>
      </c>
      <c r="Y25" s="68">
        <f t="shared" si="14"/>
        <v>44202.666666666672</v>
      </c>
      <c r="Z25" s="52">
        <f>Z24*8%</f>
        <v>44.711111111111116</v>
      </c>
      <c r="AA25" s="61">
        <f t="shared" si="15"/>
        <v>4.2375435061304256E-3</v>
      </c>
      <c r="AB25" s="67">
        <f t="shared" ref="AB25:AB32" si="44">Z25*$Z$6</f>
        <v>1743.7333333333336</v>
      </c>
      <c r="AC25" s="68">
        <f t="shared" si="17"/>
        <v>48824.53333333334</v>
      </c>
      <c r="AD25" s="52">
        <f>AD24*8%</f>
        <v>19.733333333333334</v>
      </c>
      <c r="AE25" s="61">
        <f t="shared" si="18"/>
        <v>3.8085052040558133E-3</v>
      </c>
      <c r="AF25" s="67">
        <f t="shared" ref="AF25:AF32" si="45">AD25*$AD$6</f>
        <v>315.73333333333335</v>
      </c>
      <c r="AG25" s="229">
        <f t="shared" si="20"/>
        <v>8840.5333333333328</v>
      </c>
      <c r="AH25" s="237">
        <f t="shared" si="21"/>
        <v>8573.6688000000013</v>
      </c>
      <c r="AI25" s="237">
        <f t="shared" si="22"/>
        <v>240062.72640000001</v>
      </c>
      <c r="AJ25" s="238">
        <f t="shared" si="23"/>
        <v>3.7601025075676832E-3</v>
      </c>
    </row>
    <row r="26" spans="1:36" x14ac:dyDescent="0.25">
      <c r="A26" s="378"/>
      <c r="B26" s="40" t="s">
        <v>38</v>
      </c>
      <c r="C26" s="41" t="s">
        <v>8</v>
      </c>
      <c r="D26" s="360" t="s">
        <v>125</v>
      </c>
      <c r="E26" s="347"/>
      <c r="F26" s="52">
        <f>F24*20%</f>
        <v>28.415777777777784</v>
      </c>
      <c r="G26" s="61">
        <f t="shared" si="1"/>
        <v>8.3256467310903175E-3</v>
      </c>
      <c r="H26" s="67">
        <f t="shared" si="39"/>
        <v>5512.6608888888904</v>
      </c>
      <c r="I26" s="68">
        <f t="shared" si="3"/>
        <v>154354.50488888894</v>
      </c>
      <c r="J26" s="52">
        <f>J24*20%</f>
        <v>39.777777777777779</v>
      </c>
      <c r="K26" s="61">
        <f t="shared" si="4"/>
        <v>9.1138980455560889E-3</v>
      </c>
      <c r="L26" s="67">
        <f t="shared" si="40"/>
        <v>4972.2222222222226</v>
      </c>
      <c r="M26" s="68">
        <f t="shared" si="6"/>
        <v>139222.22222222225</v>
      </c>
      <c r="N26" s="52">
        <f>ROUND(N24*20%,2)</f>
        <v>40.590000000000003</v>
      </c>
      <c r="O26" s="61">
        <f t="shared" si="7"/>
        <v>9.1658179798166841E-3</v>
      </c>
      <c r="P26" s="67">
        <f t="shared" si="41"/>
        <v>1623.6000000000001</v>
      </c>
      <c r="Q26" s="68">
        <f t="shared" si="38"/>
        <v>45460.800000000003</v>
      </c>
      <c r="R26" s="52">
        <f>R24*20%</f>
        <v>45.99111111111111</v>
      </c>
      <c r="S26" s="61">
        <f t="shared" si="9"/>
        <v>9.4150780699650098E-3</v>
      </c>
      <c r="T26" s="67">
        <f t="shared" si="42"/>
        <v>229.95555555555555</v>
      </c>
      <c r="U26" s="68">
        <f t="shared" si="11"/>
        <v>6438.7555555555555</v>
      </c>
      <c r="V26" s="52">
        <f>V24*20%</f>
        <v>98.666666666666686</v>
      </c>
      <c r="W26" s="61">
        <f t="shared" si="12"/>
        <v>1.0482096526359262E-2</v>
      </c>
      <c r="X26" s="67">
        <f t="shared" si="43"/>
        <v>3946.6666666666674</v>
      </c>
      <c r="Y26" s="68">
        <f t="shared" si="14"/>
        <v>110506.66666666669</v>
      </c>
      <c r="Z26" s="52">
        <f>Z24*20%</f>
        <v>111.77777777777779</v>
      </c>
      <c r="AA26" s="61">
        <f t="shared" si="15"/>
        <v>1.0593858765326062E-2</v>
      </c>
      <c r="AB26" s="67">
        <f t="shared" si="44"/>
        <v>4359.3333333333339</v>
      </c>
      <c r="AC26" s="68">
        <f t="shared" si="17"/>
        <v>122061.33333333334</v>
      </c>
      <c r="AD26" s="52">
        <f>AD24*20%</f>
        <v>49.333333333333343</v>
      </c>
      <c r="AE26" s="61">
        <f t="shared" si="18"/>
        <v>9.5212630101395353E-3</v>
      </c>
      <c r="AF26" s="67">
        <f t="shared" si="45"/>
        <v>789.33333333333348</v>
      </c>
      <c r="AG26" s="229">
        <f t="shared" si="20"/>
        <v>22101.333333333336</v>
      </c>
      <c r="AH26" s="237">
        <f t="shared" si="21"/>
        <v>21433.772000000004</v>
      </c>
      <c r="AI26" s="237">
        <f t="shared" si="22"/>
        <v>600145.61600000015</v>
      </c>
      <c r="AJ26" s="238">
        <f t="shared" si="23"/>
        <v>9.4000808433180923E-3</v>
      </c>
    </row>
    <row r="27" spans="1:36" x14ac:dyDescent="0.25">
      <c r="A27" s="378"/>
      <c r="B27" s="40" t="s">
        <v>39</v>
      </c>
      <c r="C27" s="41" t="s">
        <v>10</v>
      </c>
      <c r="D27" s="360" t="s">
        <v>126</v>
      </c>
      <c r="E27" s="347"/>
      <c r="F27" s="52">
        <f>F24*0.2%</f>
        <v>0.28415777777777784</v>
      </c>
      <c r="G27" s="61">
        <f t="shared" si="1"/>
        <v>8.3256467310903167E-5</v>
      </c>
      <c r="H27" s="67">
        <f t="shared" si="39"/>
        <v>55.126608888888903</v>
      </c>
      <c r="I27" s="68">
        <f t="shared" si="3"/>
        <v>1543.5450488888894</v>
      </c>
      <c r="J27" s="52">
        <f>J24*0.2%</f>
        <v>0.39777777777777779</v>
      </c>
      <c r="K27" s="61">
        <f t="shared" si="4"/>
        <v>9.113898045556089E-5</v>
      </c>
      <c r="L27" s="67">
        <f t="shared" si="40"/>
        <v>49.722222222222221</v>
      </c>
      <c r="M27" s="68">
        <f t="shared" si="6"/>
        <v>1392.2222222222222</v>
      </c>
      <c r="N27" s="52">
        <f>ROUND(N24*0.2%,2)</f>
        <v>0.41</v>
      </c>
      <c r="O27" s="61">
        <f t="shared" si="7"/>
        <v>9.2584019998148313E-5</v>
      </c>
      <c r="P27" s="67">
        <f t="shared" si="41"/>
        <v>16.399999999999999</v>
      </c>
      <c r="Q27" s="68">
        <f t="shared" si="38"/>
        <v>459.2</v>
      </c>
      <c r="R27" s="52">
        <f>R24*0.2%</f>
        <v>0.4599111111111111</v>
      </c>
      <c r="S27" s="61">
        <f t="shared" si="9"/>
        <v>9.4150780699650107E-5</v>
      </c>
      <c r="T27" s="67">
        <f t="shared" si="42"/>
        <v>2.2995555555555556</v>
      </c>
      <c r="U27" s="68">
        <f t="shared" si="11"/>
        <v>64.387555555555551</v>
      </c>
      <c r="V27" s="52">
        <f>V24*0.2%</f>
        <v>0.9866666666666668</v>
      </c>
      <c r="W27" s="61">
        <f t="shared" si="12"/>
        <v>1.0482096526359262E-4</v>
      </c>
      <c r="X27" s="67">
        <f t="shared" si="43"/>
        <v>39.466666666666669</v>
      </c>
      <c r="Y27" s="68">
        <f t="shared" si="14"/>
        <v>1105.0666666666666</v>
      </c>
      <c r="Z27" s="52">
        <f>Z24*0.2%</f>
        <v>1.1177777777777778</v>
      </c>
      <c r="AA27" s="61">
        <f t="shared" si="15"/>
        <v>1.0593858765326062E-4</v>
      </c>
      <c r="AB27" s="67">
        <f t="shared" si="44"/>
        <v>43.593333333333334</v>
      </c>
      <c r="AC27" s="68">
        <f t="shared" si="17"/>
        <v>1220.6133333333332</v>
      </c>
      <c r="AD27" s="52">
        <f>AD24*0.2%</f>
        <v>0.4933333333333334</v>
      </c>
      <c r="AE27" s="61">
        <f t="shared" si="18"/>
        <v>9.5212630101395345E-5</v>
      </c>
      <c r="AF27" s="67">
        <f t="shared" si="45"/>
        <v>7.8933333333333344</v>
      </c>
      <c r="AG27" s="229">
        <f t="shared" si="20"/>
        <v>221.01333333333338</v>
      </c>
      <c r="AH27" s="237">
        <f t="shared" si="21"/>
        <v>214.50172000000003</v>
      </c>
      <c r="AI27" s="237">
        <f t="shared" si="22"/>
        <v>6006.0481600000003</v>
      </c>
      <c r="AJ27" s="238">
        <f t="shared" si="23"/>
        <v>9.4072732929639306E-5</v>
      </c>
    </row>
    <row r="28" spans="1:36" x14ac:dyDescent="0.25">
      <c r="A28" s="378"/>
      <c r="B28" s="40" t="s">
        <v>40</v>
      </c>
      <c r="C28" s="41" t="s">
        <v>12</v>
      </c>
      <c r="D28" s="360" t="s">
        <v>127</v>
      </c>
      <c r="E28" s="347"/>
      <c r="F28" s="52">
        <f>F24*1%</f>
        <v>1.4207888888888891</v>
      </c>
      <c r="G28" s="61">
        <f t="shared" si="1"/>
        <v>4.1628233655451583E-4</v>
      </c>
      <c r="H28" s="67">
        <f t="shared" si="39"/>
        <v>275.63304444444447</v>
      </c>
      <c r="I28" s="68">
        <f t="shared" si="3"/>
        <v>7717.7252444444448</v>
      </c>
      <c r="J28" s="52">
        <f>J24*1%</f>
        <v>1.9888888888888889</v>
      </c>
      <c r="K28" s="61">
        <f t="shared" si="4"/>
        <v>4.5569490227780442E-4</v>
      </c>
      <c r="L28" s="67">
        <f t="shared" si="40"/>
        <v>248.61111111111111</v>
      </c>
      <c r="M28" s="68">
        <f t="shared" si="6"/>
        <v>6961.1111111111113</v>
      </c>
      <c r="N28" s="52">
        <f>ROUND(N24*1%,2)</f>
        <v>2.0299999999999998</v>
      </c>
      <c r="O28" s="61">
        <f t="shared" si="7"/>
        <v>4.5840380633229533E-4</v>
      </c>
      <c r="P28" s="67">
        <f t="shared" si="41"/>
        <v>81.199999999999989</v>
      </c>
      <c r="Q28" s="68">
        <f t="shared" si="38"/>
        <v>2273.6</v>
      </c>
      <c r="R28" s="52">
        <f>R24*1%</f>
        <v>2.2995555555555556</v>
      </c>
      <c r="S28" s="61">
        <f t="shared" si="9"/>
        <v>4.7075390349825052E-4</v>
      </c>
      <c r="T28" s="67">
        <f t="shared" si="42"/>
        <v>11.497777777777777</v>
      </c>
      <c r="U28" s="68">
        <f t="shared" si="11"/>
        <v>321.9377777777778</v>
      </c>
      <c r="V28" s="52">
        <f>V24*1%</f>
        <v>4.9333333333333336</v>
      </c>
      <c r="W28" s="61">
        <f t="shared" si="12"/>
        <v>5.2410482631796301E-4</v>
      </c>
      <c r="X28" s="67">
        <f t="shared" si="43"/>
        <v>197.33333333333334</v>
      </c>
      <c r="Y28" s="68">
        <f t="shared" si="14"/>
        <v>5525.3333333333339</v>
      </c>
      <c r="Z28" s="52">
        <f>Z24*1%</f>
        <v>5.5888888888888895</v>
      </c>
      <c r="AA28" s="61">
        <f t="shared" si="15"/>
        <v>5.296929382663032E-4</v>
      </c>
      <c r="AB28" s="67">
        <f t="shared" si="44"/>
        <v>217.9666666666667</v>
      </c>
      <c r="AC28" s="68">
        <f t="shared" si="17"/>
        <v>6103.0666666666675</v>
      </c>
      <c r="AD28" s="52">
        <f>AD24*1%</f>
        <v>2.4666666666666668</v>
      </c>
      <c r="AE28" s="61">
        <f t="shared" si="18"/>
        <v>4.7606315050697666E-4</v>
      </c>
      <c r="AF28" s="67">
        <f t="shared" si="45"/>
        <v>39.466666666666669</v>
      </c>
      <c r="AG28" s="229">
        <f t="shared" si="20"/>
        <v>1105.0666666666666</v>
      </c>
      <c r="AH28" s="237">
        <f t="shared" si="21"/>
        <v>1071.7086000000002</v>
      </c>
      <c r="AI28" s="237">
        <f t="shared" si="22"/>
        <v>30007.840800000002</v>
      </c>
      <c r="AJ28" s="238">
        <f t="shared" si="23"/>
        <v>4.700128134459604E-4</v>
      </c>
    </row>
    <row r="29" spans="1:36" x14ac:dyDescent="0.25">
      <c r="A29" s="378"/>
      <c r="B29" s="40" t="s">
        <v>41</v>
      </c>
      <c r="C29" s="41" t="s">
        <v>14</v>
      </c>
      <c r="D29" s="360" t="s">
        <v>128</v>
      </c>
      <c r="E29" s="347"/>
      <c r="F29" s="52">
        <f>F24*1.5%</f>
        <v>2.1311833333333334</v>
      </c>
      <c r="G29" s="61">
        <f t="shared" si="1"/>
        <v>6.2442350483177364E-4</v>
      </c>
      <c r="H29" s="67">
        <f t="shared" si="39"/>
        <v>413.44956666666667</v>
      </c>
      <c r="I29" s="68">
        <f t="shared" si="3"/>
        <v>11576.587866666667</v>
      </c>
      <c r="J29" s="52">
        <f>J24*1.5%</f>
        <v>2.9833333333333334</v>
      </c>
      <c r="K29" s="61">
        <f t="shared" si="4"/>
        <v>6.8354235341670669E-4</v>
      </c>
      <c r="L29" s="67">
        <f t="shared" si="40"/>
        <v>372.91666666666669</v>
      </c>
      <c r="M29" s="68">
        <f t="shared" si="6"/>
        <v>10441.666666666668</v>
      </c>
      <c r="N29" s="52">
        <f>ROUND(N24*1.5%,2)</f>
        <v>3.04</v>
      </c>
      <c r="O29" s="61">
        <f t="shared" si="7"/>
        <v>6.8647663608383143E-4</v>
      </c>
      <c r="P29" s="67">
        <f t="shared" si="41"/>
        <v>121.6</v>
      </c>
      <c r="Q29" s="68">
        <f t="shared" si="38"/>
        <v>3404.8</v>
      </c>
      <c r="R29" s="52">
        <f>R24*1.5%</f>
        <v>3.4493333333333331</v>
      </c>
      <c r="S29" s="61">
        <f t="shared" si="9"/>
        <v>7.0613085524737576E-4</v>
      </c>
      <c r="T29" s="67">
        <f t="shared" si="42"/>
        <v>17.246666666666666</v>
      </c>
      <c r="U29" s="68">
        <f t="shared" si="11"/>
        <v>482.90666666666664</v>
      </c>
      <c r="V29" s="52">
        <f>V24*1.5%</f>
        <v>7.4</v>
      </c>
      <c r="W29" s="61">
        <f t="shared" si="12"/>
        <v>7.8615723947694457E-4</v>
      </c>
      <c r="X29" s="67">
        <f t="shared" si="43"/>
        <v>296</v>
      </c>
      <c r="Y29" s="68">
        <f t="shared" si="14"/>
        <v>8288</v>
      </c>
      <c r="Z29" s="52">
        <f>Z24*1.5%</f>
        <v>8.3833333333333329</v>
      </c>
      <c r="AA29" s="61">
        <f t="shared" si="15"/>
        <v>7.9453940739945459E-4</v>
      </c>
      <c r="AB29" s="67">
        <f t="shared" si="44"/>
        <v>326.95</v>
      </c>
      <c r="AC29" s="68">
        <f t="shared" si="17"/>
        <v>9154.6</v>
      </c>
      <c r="AD29" s="52">
        <f>AD24*1.5%</f>
        <v>3.7</v>
      </c>
      <c r="AE29" s="61">
        <f t="shared" si="18"/>
        <v>7.1409472576046504E-4</v>
      </c>
      <c r="AF29" s="67">
        <f t="shared" si="45"/>
        <v>59.2</v>
      </c>
      <c r="AG29" s="229">
        <f t="shared" si="20"/>
        <v>1657.6000000000001</v>
      </c>
      <c r="AH29" s="237">
        <f t="shared" si="21"/>
        <v>1607.3629000000001</v>
      </c>
      <c r="AI29" s="237">
        <f t="shared" si="22"/>
        <v>45006.161200000002</v>
      </c>
      <c r="AJ29" s="238">
        <f t="shared" si="23"/>
        <v>7.0493150736838158E-4</v>
      </c>
    </row>
    <row r="30" spans="1:36" x14ac:dyDescent="0.25">
      <c r="A30" s="378"/>
      <c r="B30" s="40" t="s">
        <v>42</v>
      </c>
      <c r="C30" s="41" t="s">
        <v>16</v>
      </c>
      <c r="D30" s="360" t="s">
        <v>129</v>
      </c>
      <c r="E30" s="347"/>
      <c r="F30" s="52">
        <f>F24*0.6%</f>
        <v>0.85247333333333353</v>
      </c>
      <c r="G30" s="61">
        <f t="shared" si="1"/>
        <v>2.497694019327095E-4</v>
      </c>
      <c r="H30" s="67">
        <f t="shared" si="39"/>
        <v>165.3798266666667</v>
      </c>
      <c r="I30" s="68">
        <f t="shared" si="3"/>
        <v>4630.6351466666674</v>
      </c>
      <c r="J30" s="52">
        <f>J24*0.6%</f>
        <v>1.1933333333333334</v>
      </c>
      <c r="K30" s="61">
        <f t="shared" si="4"/>
        <v>2.7341694136668264E-4</v>
      </c>
      <c r="L30" s="67">
        <f t="shared" si="40"/>
        <v>149.16666666666666</v>
      </c>
      <c r="M30" s="68">
        <f t="shared" si="6"/>
        <v>4176.6666666666661</v>
      </c>
      <c r="N30" s="52">
        <f>ROUND(N24*0.6%,2)</f>
        <v>1.22</v>
      </c>
      <c r="O30" s="61">
        <f t="shared" si="7"/>
        <v>2.7549391316522185E-4</v>
      </c>
      <c r="P30" s="67">
        <f t="shared" si="41"/>
        <v>48.8</v>
      </c>
      <c r="Q30" s="68">
        <f t="shared" si="38"/>
        <v>1366.4</v>
      </c>
      <c r="R30" s="52">
        <f>R24*0.6%</f>
        <v>1.3797333333333333</v>
      </c>
      <c r="S30" s="61">
        <f t="shared" si="9"/>
        <v>2.8245234209895034E-4</v>
      </c>
      <c r="T30" s="67">
        <f t="shared" si="42"/>
        <v>6.8986666666666663</v>
      </c>
      <c r="U30" s="68">
        <f t="shared" si="11"/>
        <v>193.16266666666667</v>
      </c>
      <c r="V30" s="52">
        <f>V24*0.6%</f>
        <v>2.9600000000000004</v>
      </c>
      <c r="W30" s="61">
        <f t="shared" si="12"/>
        <v>3.1446289579077787E-4</v>
      </c>
      <c r="X30" s="67">
        <f t="shared" si="43"/>
        <v>118.40000000000002</v>
      </c>
      <c r="Y30" s="68">
        <f t="shared" si="14"/>
        <v>3315.2000000000007</v>
      </c>
      <c r="Z30" s="52">
        <f>Z24*0.6%</f>
        <v>3.3533333333333335</v>
      </c>
      <c r="AA30" s="61">
        <f t="shared" si="15"/>
        <v>3.1781576295978188E-4</v>
      </c>
      <c r="AB30" s="67">
        <f t="shared" si="44"/>
        <v>130.78</v>
      </c>
      <c r="AC30" s="68">
        <f t="shared" si="17"/>
        <v>3661.84</v>
      </c>
      <c r="AD30" s="52">
        <f>AD24*0.6%</f>
        <v>1.4800000000000002</v>
      </c>
      <c r="AE30" s="61">
        <f t="shared" si="18"/>
        <v>2.85637890304186E-4</v>
      </c>
      <c r="AF30" s="67">
        <f t="shared" si="45"/>
        <v>23.680000000000003</v>
      </c>
      <c r="AG30" s="229">
        <f t="shared" si="20"/>
        <v>663.04000000000008</v>
      </c>
      <c r="AH30" s="237">
        <f t="shared" si="21"/>
        <v>643.10516000000007</v>
      </c>
      <c r="AI30" s="237">
        <f t="shared" si="22"/>
        <v>18006.944480000002</v>
      </c>
      <c r="AJ30" s="238">
        <f t="shared" si="23"/>
        <v>2.8204277318779984E-4</v>
      </c>
    </row>
    <row r="31" spans="1:36" x14ac:dyDescent="0.25">
      <c r="A31" s="378"/>
      <c r="B31" s="40" t="s">
        <v>43</v>
      </c>
      <c r="C31" s="41" t="s">
        <v>18</v>
      </c>
      <c r="D31" s="360" t="s">
        <v>130</v>
      </c>
      <c r="E31" s="347"/>
      <c r="F31" s="52">
        <f>F24*2.5%</f>
        <v>3.551972222222223</v>
      </c>
      <c r="G31" s="61">
        <f t="shared" si="1"/>
        <v>1.0407058413862897E-3</v>
      </c>
      <c r="H31" s="67">
        <f t="shared" si="39"/>
        <v>689.08261111111131</v>
      </c>
      <c r="I31" s="68">
        <f t="shared" si="3"/>
        <v>19294.313111111118</v>
      </c>
      <c r="J31" s="52">
        <f>J24*2.5%</f>
        <v>4.9722222222222223</v>
      </c>
      <c r="K31" s="61">
        <f t="shared" si="4"/>
        <v>1.1392372556945111E-3</v>
      </c>
      <c r="L31" s="67">
        <f t="shared" si="40"/>
        <v>621.52777777777783</v>
      </c>
      <c r="M31" s="68">
        <f t="shared" si="6"/>
        <v>17402.777777777781</v>
      </c>
      <c r="N31" s="52">
        <f>ROUND(N24*2.5%,2)</f>
        <v>5.07</v>
      </c>
      <c r="O31" s="61">
        <f t="shared" si="7"/>
        <v>1.144880442416127E-3</v>
      </c>
      <c r="P31" s="67">
        <f t="shared" si="41"/>
        <v>202.8</v>
      </c>
      <c r="Q31" s="68">
        <f t="shared" si="38"/>
        <v>5678.4</v>
      </c>
      <c r="R31" s="52">
        <f>R24*2.5%</f>
        <v>5.7488888888888887</v>
      </c>
      <c r="S31" s="61">
        <f t="shared" si="9"/>
        <v>1.1768847587456262E-3</v>
      </c>
      <c r="T31" s="67">
        <f t="shared" si="42"/>
        <v>28.744444444444444</v>
      </c>
      <c r="U31" s="68">
        <f t="shared" si="11"/>
        <v>804.84444444444443</v>
      </c>
      <c r="V31" s="52">
        <f>V24*2.5%</f>
        <v>12.333333333333336</v>
      </c>
      <c r="W31" s="61">
        <f t="shared" si="12"/>
        <v>1.3102620657949077E-3</v>
      </c>
      <c r="X31" s="67">
        <f t="shared" si="43"/>
        <v>493.33333333333343</v>
      </c>
      <c r="Y31" s="68">
        <f t="shared" si="14"/>
        <v>13813.333333333336</v>
      </c>
      <c r="Z31" s="52">
        <f>Z24*2.5%</f>
        <v>13.972222222222223</v>
      </c>
      <c r="AA31" s="61">
        <f t="shared" si="15"/>
        <v>1.3242323456657578E-3</v>
      </c>
      <c r="AB31" s="67">
        <f t="shared" si="44"/>
        <v>544.91666666666674</v>
      </c>
      <c r="AC31" s="68">
        <f t="shared" si="17"/>
        <v>15257.666666666668</v>
      </c>
      <c r="AD31" s="52">
        <f>AD24*2.5%</f>
        <v>6.1666666666666679</v>
      </c>
      <c r="AE31" s="61">
        <f t="shared" si="18"/>
        <v>1.1901578762674419E-3</v>
      </c>
      <c r="AF31" s="67">
        <f t="shared" si="45"/>
        <v>98.666666666666686</v>
      </c>
      <c r="AG31" s="229">
        <f t="shared" si="20"/>
        <v>2762.666666666667</v>
      </c>
      <c r="AH31" s="237">
        <f t="shared" si="21"/>
        <v>2679.0715000000005</v>
      </c>
      <c r="AI31" s="237">
        <f t="shared" si="22"/>
        <v>75014.002000000008</v>
      </c>
      <c r="AJ31" s="238">
        <f t="shared" si="23"/>
        <v>1.1749443208143421E-3</v>
      </c>
    </row>
    <row r="32" spans="1:36" x14ac:dyDescent="0.25">
      <c r="A32" s="378"/>
      <c r="B32" s="40" t="s">
        <v>44</v>
      </c>
      <c r="C32" s="41" t="s">
        <v>20</v>
      </c>
      <c r="D32" s="360" t="s">
        <v>199</v>
      </c>
      <c r="E32" s="347"/>
      <c r="F32" s="52">
        <f>F24*2.017%</f>
        <v>2.8657311888888892</v>
      </c>
      <c r="G32" s="61">
        <f t="shared" si="1"/>
        <v>8.396414728304584E-4</v>
      </c>
      <c r="H32" s="67">
        <f t="shared" si="39"/>
        <v>555.95185064444456</v>
      </c>
      <c r="I32" s="68">
        <f t="shared" si="3"/>
        <v>15566.651818044447</v>
      </c>
      <c r="J32" s="52">
        <f>J24*2.017%</f>
        <v>4.0115888888888893</v>
      </c>
      <c r="K32" s="61">
        <f t="shared" si="4"/>
        <v>9.1913661789433171E-4</v>
      </c>
      <c r="L32" s="67">
        <f t="shared" si="40"/>
        <v>501.44861111111118</v>
      </c>
      <c r="M32" s="68">
        <f t="shared" si="6"/>
        <v>14040.561111111114</v>
      </c>
      <c r="N32" s="52">
        <f>ROUND(N24*2.017%,2)</f>
        <v>4.09</v>
      </c>
      <c r="O32" s="61">
        <f t="shared" si="7"/>
        <v>9.2358205315226009E-4</v>
      </c>
      <c r="P32" s="67">
        <f t="shared" si="41"/>
        <v>163.6</v>
      </c>
      <c r="Q32" s="68">
        <f t="shared" si="38"/>
        <v>4580.8</v>
      </c>
      <c r="R32" s="52">
        <f>R24*2.017%</f>
        <v>4.6382035555555552</v>
      </c>
      <c r="S32" s="61">
        <f t="shared" si="9"/>
        <v>9.4951062335597131E-4</v>
      </c>
      <c r="T32" s="67">
        <f t="shared" si="42"/>
        <v>23.191017777777777</v>
      </c>
      <c r="U32" s="68">
        <f t="shared" si="11"/>
        <v>649.34849777777777</v>
      </c>
      <c r="V32" s="52">
        <f>V24*2.017%</f>
        <v>9.9505333333333343</v>
      </c>
      <c r="W32" s="61">
        <f t="shared" si="12"/>
        <v>1.0571194346833315E-3</v>
      </c>
      <c r="X32" s="67">
        <f t="shared" si="43"/>
        <v>398.02133333333336</v>
      </c>
      <c r="Y32" s="68">
        <f t="shared" si="14"/>
        <v>11144.597333333335</v>
      </c>
      <c r="Z32" s="52">
        <f>Z24*2.017%</f>
        <v>11.27278888888889</v>
      </c>
      <c r="AA32" s="61">
        <f t="shared" si="15"/>
        <v>1.0683906564831335E-3</v>
      </c>
      <c r="AB32" s="67">
        <f t="shared" si="44"/>
        <v>439.6387666666667</v>
      </c>
      <c r="AC32" s="68">
        <f t="shared" si="17"/>
        <v>12309.885466666667</v>
      </c>
      <c r="AD32" s="52">
        <f>AD24*2.017%</f>
        <v>4.9752666666666672</v>
      </c>
      <c r="AE32" s="61">
        <f t="shared" si="18"/>
        <v>9.6021937457257196E-4</v>
      </c>
      <c r="AF32" s="67">
        <f t="shared" si="45"/>
        <v>79.604266666666675</v>
      </c>
      <c r="AG32" s="229">
        <f t="shared" si="20"/>
        <v>2228.9194666666667</v>
      </c>
      <c r="AH32" s="237">
        <f t="shared" si="21"/>
        <v>2161.4558462000005</v>
      </c>
      <c r="AI32" s="237">
        <f t="shared" si="22"/>
        <v>60520.763693600005</v>
      </c>
      <c r="AJ32" s="238">
        <f t="shared" si="23"/>
        <v>9.4793672777439796E-4</v>
      </c>
    </row>
    <row r="33" spans="1:36" s="88" customFormat="1" x14ac:dyDescent="0.25">
      <c r="A33" s="376"/>
      <c r="B33" s="42" t="s">
        <v>45</v>
      </c>
      <c r="C33" s="43" t="s">
        <v>22</v>
      </c>
      <c r="D33" s="344" t="s">
        <v>131</v>
      </c>
      <c r="E33" s="345"/>
      <c r="F33" s="53">
        <f>SUM(F24:F32)</f>
        <v>192.96728452222226</v>
      </c>
      <c r="G33" s="62">
        <f>F33/$F$82</f>
        <v>5.6538218103824679E-2</v>
      </c>
      <c r="H33" s="66">
        <f>SUM(H24:H32)</f>
        <v>37435.653197311112</v>
      </c>
      <c r="I33" s="69">
        <f t="shared" si="3"/>
        <v>1048198.2895247112</v>
      </c>
      <c r="J33" s="53">
        <f>SUM(J24:J32)</f>
        <v>270.12492222222221</v>
      </c>
      <c r="K33" s="62">
        <f t="shared" si="4"/>
        <v>6.1891114542664563E-2</v>
      </c>
      <c r="L33" s="66">
        <f>SUM(L24:L32)</f>
        <v>33765.615277777782</v>
      </c>
      <c r="M33" s="69">
        <f t="shared" si="6"/>
        <v>945437.22777777794</v>
      </c>
      <c r="N33" s="53">
        <f>SUM(N24:N32)</f>
        <v>275.65000000000003</v>
      </c>
      <c r="O33" s="62">
        <f t="shared" si="7"/>
        <v>6.2245817347535579E-2</v>
      </c>
      <c r="P33" s="66">
        <f>ROUND(SUM(P24:P32),2)</f>
        <v>11026</v>
      </c>
      <c r="Q33" s="69">
        <f t="shared" si="38"/>
        <v>308728</v>
      </c>
      <c r="R33" s="53">
        <f>SUM(R24:R32)</f>
        <v>312.31873688888891</v>
      </c>
      <c r="S33" s="62">
        <f t="shared" si="9"/>
        <v>6.3936382911421896E-2</v>
      </c>
      <c r="T33" s="66">
        <f>SUM(T24:T32)</f>
        <v>1561.5936844444445</v>
      </c>
      <c r="U33" s="69">
        <f t="shared" si="11"/>
        <v>43724.623164444449</v>
      </c>
      <c r="V33" s="53">
        <f>SUM(V24:V32)</f>
        <v>670.03053333333332</v>
      </c>
      <c r="W33" s="62">
        <f t="shared" si="12"/>
        <v>7.1182345196026786E-2</v>
      </c>
      <c r="X33" s="66">
        <f>SUM(X24:X32)</f>
        <v>26801.221333333338</v>
      </c>
      <c r="Y33" s="69">
        <f t="shared" si="14"/>
        <v>750434.19733333343</v>
      </c>
      <c r="Z33" s="53">
        <f>SUM(Z24:Z32)</f>
        <v>759.06612222222213</v>
      </c>
      <c r="AA33" s="62">
        <f t="shared" si="15"/>
        <v>7.1941305796514476E-2</v>
      </c>
      <c r="AB33" s="66">
        <f>SUM(AB24:AB32)</f>
        <v>29603.578766666673</v>
      </c>
      <c r="AC33" s="69">
        <f t="shared" si="17"/>
        <v>828900.20546666684</v>
      </c>
      <c r="AD33" s="53">
        <f>SUM(AD24:AD32)</f>
        <v>335.01526666666666</v>
      </c>
      <c r="AE33" s="62">
        <f t="shared" si="18"/>
        <v>6.4657468912406049E-2</v>
      </c>
      <c r="AF33" s="66">
        <f>SUM(AF24:AF32)</f>
        <v>5360.2442666666666</v>
      </c>
      <c r="AG33" s="230">
        <f t="shared" si="20"/>
        <v>150086.83946666666</v>
      </c>
      <c r="AH33" s="237">
        <f t="shared" si="21"/>
        <v>145553.90652620001</v>
      </c>
      <c r="AI33" s="237">
        <f t="shared" si="22"/>
        <v>4075509.3827336007</v>
      </c>
      <c r="AJ33" s="238">
        <f t="shared" si="23"/>
        <v>6.3834703868597867E-2</v>
      </c>
    </row>
    <row r="34" spans="1:36" x14ac:dyDescent="0.25">
      <c r="A34" s="375" t="s">
        <v>46</v>
      </c>
      <c r="B34" s="40" t="s">
        <v>47</v>
      </c>
      <c r="C34" s="41" t="s">
        <v>46</v>
      </c>
      <c r="D34" s="360" t="s">
        <v>132</v>
      </c>
      <c r="E34" s="347"/>
      <c r="F34" s="52">
        <f>H6/30*70/28</f>
        <v>106.55916666666667</v>
      </c>
      <c r="G34" s="61">
        <f t="shared" si="1"/>
        <v>3.1221175241588683E-2</v>
      </c>
      <c r="H34" s="67">
        <f>F34*$F$6</f>
        <v>20672.478333333333</v>
      </c>
      <c r="I34" s="68">
        <f t="shared" si="3"/>
        <v>578829.39333333331</v>
      </c>
      <c r="J34" s="52">
        <f>L6/30*70/28</f>
        <v>149.16666666666666</v>
      </c>
      <c r="K34" s="61">
        <f t="shared" si="4"/>
        <v>3.4177117670835332E-2</v>
      </c>
      <c r="L34" s="67">
        <f>J34*$J$6</f>
        <v>18645.833333333332</v>
      </c>
      <c r="M34" s="68">
        <f t="shared" si="6"/>
        <v>522083.33333333331</v>
      </c>
      <c r="N34" s="52">
        <f>ROUND(P6/30*70/28,2)</f>
        <v>152.22</v>
      </c>
      <c r="O34" s="61">
        <f t="shared" si="7"/>
        <v>3.4373511034434479E-2</v>
      </c>
      <c r="P34" s="67">
        <f>N34*$N$6</f>
        <v>6088.8</v>
      </c>
      <c r="Q34" s="68">
        <f t="shared" si="38"/>
        <v>170486.39999999999</v>
      </c>
      <c r="R34" s="52">
        <f>T6/30*70/28</f>
        <v>172.46666666666667</v>
      </c>
      <c r="S34" s="61">
        <f t="shared" si="9"/>
        <v>3.5306542762368789E-2</v>
      </c>
      <c r="T34" s="67">
        <f>R34*$R$6</f>
        <v>862.33333333333337</v>
      </c>
      <c r="U34" s="68">
        <f t="shared" si="11"/>
        <v>24145.333333333336</v>
      </c>
      <c r="V34" s="52">
        <f>X6/30*70/28</f>
        <v>370</v>
      </c>
      <c r="W34" s="61">
        <f t="shared" si="12"/>
        <v>3.9307861973847225E-2</v>
      </c>
      <c r="X34" s="67">
        <f>V34*$V$6</f>
        <v>14800</v>
      </c>
      <c r="Y34" s="68">
        <f t="shared" si="14"/>
        <v>414400</v>
      </c>
      <c r="Z34" s="52">
        <f>AB6/30*70/28</f>
        <v>419.16666666666663</v>
      </c>
      <c r="AA34" s="61">
        <f t="shared" si="15"/>
        <v>3.9726970369972726E-2</v>
      </c>
      <c r="AB34" s="67">
        <f>Z34*$Z$6</f>
        <v>16347.499999999998</v>
      </c>
      <c r="AC34" s="68">
        <f t="shared" si="17"/>
        <v>457729.99999999994</v>
      </c>
      <c r="AD34" s="52">
        <f>AF6/30*70/28</f>
        <v>185</v>
      </c>
      <c r="AE34" s="61">
        <f t="shared" si="18"/>
        <v>3.5704736288023245E-2</v>
      </c>
      <c r="AF34" s="67">
        <f>AD34*$AD$6</f>
        <v>2960</v>
      </c>
      <c r="AG34" s="229">
        <f t="shared" si="20"/>
        <v>82880</v>
      </c>
      <c r="AH34" s="237">
        <f t="shared" si="21"/>
        <v>80376.945000000007</v>
      </c>
      <c r="AI34" s="237">
        <f t="shared" si="22"/>
        <v>2250554.46</v>
      </c>
      <c r="AJ34" s="238">
        <f t="shared" si="23"/>
        <v>3.5250434731643673E-2</v>
      </c>
    </row>
    <row r="35" spans="1:36" x14ac:dyDescent="0.25">
      <c r="A35" s="378"/>
      <c r="B35" s="40" t="s">
        <v>48</v>
      </c>
      <c r="C35" s="41" t="s">
        <v>6</v>
      </c>
      <c r="D35" s="360" t="s">
        <v>133</v>
      </c>
      <c r="E35" s="347"/>
      <c r="F35" s="52">
        <f>F34*8%</f>
        <v>8.5247333333333337</v>
      </c>
      <c r="G35" s="61">
        <f t="shared" si="1"/>
        <v>2.4976940193270946E-3</v>
      </c>
      <c r="H35" s="67">
        <f t="shared" ref="H35:H42" si="46">F35*$F$6</f>
        <v>1653.7982666666667</v>
      </c>
      <c r="I35" s="68">
        <f t="shared" si="3"/>
        <v>46306.351466666667</v>
      </c>
      <c r="J35" s="52">
        <f>J34*8%</f>
        <v>11.933333333333334</v>
      </c>
      <c r="K35" s="61">
        <f t="shared" si="4"/>
        <v>2.7341694136668268E-3</v>
      </c>
      <c r="L35" s="67">
        <f t="shared" ref="L35:L42" si="47">J35*$J$6</f>
        <v>1491.6666666666667</v>
      </c>
      <c r="M35" s="68">
        <f t="shared" si="6"/>
        <v>41766.666666666672</v>
      </c>
      <c r="N35" s="52">
        <f>ROUND(N34*8%,2)</f>
        <v>12.18</v>
      </c>
      <c r="O35" s="61">
        <f t="shared" si="7"/>
        <v>2.7504228379937722E-3</v>
      </c>
      <c r="P35" s="67">
        <f t="shared" ref="P35:P42" si="48">N35*$N$6</f>
        <v>487.2</v>
      </c>
      <c r="Q35" s="68">
        <f t="shared" si="38"/>
        <v>13641.6</v>
      </c>
      <c r="R35" s="52">
        <f>R34*8%</f>
        <v>13.797333333333334</v>
      </c>
      <c r="S35" s="61">
        <f t="shared" si="9"/>
        <v>2.8245234209895035E-3</v>
      </c>
      <c r="T35" s="67">
        <f t="shared" ref="T35:T42" si="49">R35*$R$6</f>
        <v>68.986666666666679</v>
      </c>
      <c r="U35" s="68">
        <f t="shared" si="11"/>
        <v>1931.626666666667</v>
      </c>
      <c r="V35" s="52">
        <f>V34*8%</f>
        <v>29.6</v>
      </c>
      <c r="W35" s="61">
        <f t="shared" si="12"/>
        <v>3.1446289579077783E-3</v>
      </c>
      <c r="X35" s="67">
        <f t="shared" ref="X35:X42" si="50">V35*$V$6</f>
        <v>1184</v>
      </c>
      <c r="Y35" s="68">
        <f t="shared" si="14"/>
        <v>33152</v>
      </c>
      <c r="Z35" s="52">
        <f>Z34*8%</f>
        <v>33.533333333333331</v>
      </c>
      <c r="AA35" s="61">
        <f t="shared" si="15"/>
        <v>3.1781576295978184E-3</v>
      </c>
      <c r="AB35" s="67">
        <f t="shared" ref="AB35:AB42" si="51">Z35*$Z$6</f>
        <v>1307.8</v>
      </c>
      <c r="AC35" s="68">
        <f t="shared" si="17"/>
        <v>36618.400000000001</v>
      </c>
      <c r="AD35" s="52">
        <f>AD34*8%</f>
        <v>14.8</v>
      </c>
      <c r="AE35" s="61">
        <f t="shared" si="18"/>
        <v>2.8563789030418602E-3</v>
      </c>
      <c r="AF35" s="67">
        <f t="shared" ref="AF35:AF42" si="52">AD35*$AD$6</f>
        <v>236.8</v>
      </c>
      <c r="AG35" s="229">
        <f t="shared" si="20"/>
        <v>6630.4000000000005</v>
      </c>
      <c r="AH35" s="237">
        <f t="shared" si="21"/>
        <v>6430.2515999999996</v>
      </c>
      <c r="AI35" s="237">
        <f t="shared" si="22"/>
        <v>180047.04480000003</v>
      </c>
      <c r="AJ35" s="238">
        <f t="shared" si="23"/>
        <v>2.8200768806757627E-3</v>
      </c>
    </row>
    <row r="36" spans="1:36" x14ac:dyDescent="0.25">
      <c r="A36" s="378"/>
      <c r="B36" s="40" t="s">
        <v>49</v>
      </c>
      <c r="C36" s="41" t="s">
        <v>8</v>
      </c>
      <c r="D36" s="360" t="s">
        <v>134</v>
      </c>
      <c r="E36" s="347"/>
      <c r="F36" s="52">
        <f>F34*20%</f>
        <v>21.311833333333336</v>
      </c>
      <c r="G36" s="61">
        <f t="shared" si="1"/>
        <v>6.2442350483177377E-3</v>
      </c>
      <c r="H36" s="67">
        <f t="shared" si="46"/>
        <v>4134.4956666666676</v>
      </c>
      <c r="I36" s="68">
        <f t="shared" si="3"/>
        <v>115765.87866666669</v>
      </c>
      <c r="J36" s="52">
        <f>J34*20%</f>
        <v>29.833333333333332</v>
      </c>
      <c r="K36" s="61">
        <f t="shared" si="4"/>
        <v>6.8354235341670667E-3</v>
      </c>
      <c r="L36" s="67">
        <f t="shared" si="47"/>
        <v>3729.1666666666665</v>
      </c>
      <c r="M36" s="68">
        <f t="shared" si="6"/>
        <v>104416.66666666666</v>
      </c>
      <c r="N36" s="52">
        <f>ROUND(N34*20%,2)</f>
        <v>30.44</v>
      </c>
      <c r="O36" s="61">
        <f t="shared" si="7"/>
        <v>6.8737989481552075E-3</v>
      </c>
      <c r="P36" s="67">
        <f t="shared" si="48"/>
        <v>1217.6000000000001</v>
      </c>
      <c r="Q36" s="68">
        <f t="shared" si="38"/>
        <v>34092.800000000003</v>
      </c>
      <c r="R36" s="52">
        <f>R34*20%</f>
        <v>34.493333333333332</v>
      </c>
      <c r="S36" s="61">
        <f t="shared" si="9"/>
        <v>7.0613085524737582E-3</v>
      </c>
      <c r="T36" s="67">
        <f t="shared" si="49"/>
        <v>172.46666666666667</v>
      </c>
      <c r="U36" s="68">
        <f t="shared" si="11"/>
        <v>4829.0666666666666</v>
      </c>
      <c r="V36" s="52">
        <f>V34*20%</f>
        <v>74</v>
      </c>
      <c r="W36" s="61">
        <f t="shared" si="12"/>
        <v>7.8615723947694453E-3</v>
      </c>
      <c r="X36" s="67">
        <f t="shared" si="50"/>
        <v>2960</v>
      </c>
      <c r="Y36" s="68">
        <f t="shared" si="14"/>
        <v>82880</v>
      </c>
      <c r="Z36" s="52">
        <f>Z34*20%</f>
        <v>83.833333333333329</v>
      </c>
      <c r="AA36" s="61">
        <f t="shared" si="15"/>
        <v>7.9453940739945463E-3</v>
      </c>
      <c r="AB36" s="67">
        <f t="shared" si="51"/>
        <v>3269.5</v>
      </c>
      <c r="AC36" s="68">
        <f t="shared" si="17"/>
        <v>91546</v>
      </c>
      <c r="AD36" s="52">
        <f>AD34*20%</f>
        <v>37</v>
      </c>
      <c r="AE36" s="61">
        <f t="shared" si="18"/>
        <v>7.1409472576046493E-3</v>
      </c>
      <c r="AF36" s="67">
        <f t="shared" si="52"/>
        <v>592</v>
      </c>
      <c r="AG36" s="229">
        <f t="shared" si="20"/>
        <v>16576</v>
      </c>
      <c r="AH36" s="237">
        <f t="shared" si="21"/>
        <v>16075.228999999999</v>
      </c>
      <c r="AI36" s="237">
        <f t="shared" si="22"/>
        <v>450106.41200000001</v>
      </c>
      <c r="AJ36" s="238">
        <f t="shared" si="23"/>
        <v>7.0500167760882875E-3</v>
      </c>
    </row>
    <row r="37" spans="1:36" x14ac:dyDescent="0.25">
      <c r="A37" s="378"/>
      <c r="B37" s="40" t="s">
        <v>50</v>
      </c>
      <c r="C37" s="41" t="s">
        <v>10</v>
      </c>
      <c r="D37" s="360" t="s">
        <v>135</v>
      </c>
      <c r="E37" s="347"/>
      <c r="F37" s="52">
        <f>F34*0.2%</f>
        <v>0.21311833333333335</v>
      </c>
      <c r="G37" s="61">
        <f t="shared" si="1"/>
        <v>6.2442350483177375E-5</v>
      </c>
      <c r="H37" s="67">
        <f t="shared" si="46"/>
        <v>41.344956666666668</v>
      </c>
      <c r="I37" s="68">
        <f t="shared" si="3"/>
        <v>1157.6587866666666</v>
      </c>
      <c r="J37" s="52">
        <f>J34*0.2%</f>
        <v>0.29833333333333334</v>
      </c>
      <c r="K37" s="61">
        <f t="shared" si="4"/>
        <v>6.8354235341670661E-5</v>
      </c>
      <c r="L37" s="67">
        <f t="shared" si="47"/>
        <v>37.291666666666664</v>
      </c>
      <c r="M37" s="68">
        <f t="shared" si="6"/>
        <v>1044.1666666666665</v>
      </c>
      <c r="N37" s="52">
        <f>ROUND(N34*0.2%,2)</f>
        <v>0.3</v>
      </c>
      <c r="O37" s="61">
        <f t="shared" si="7"/>
        <v>6.7744404876693892E-5</v>
      </c>
      <c r="P37" s="67">
        <f t="shared" si="48"/>
        <v>12</v>
      </c>
      <c r="Q37" s="68">
        <f t="shared" si="38"/>
        <v>336</v>
      </c>
      <c r="R37" s="52">
        <f>R34*0.2%</f>
        <v>0.34493333333333337</v>
      </c>
      <c r="S37" s="61">
        <f t="shared" si="9"/>
        <v>7.0613085524737584E-5</v>
      </c>
      <c r="T37" s="67">
        <f t="shared" si="49"/>
        <v>1.7246666666666668</v>
      </c>
      <c r="U37" s="68">
        <f t="shared" si="11"/>
        <v>48.290666666666667</v>
      </c>
      <c r="V37" s="52">
        <f>V34*0.2%</f>
        <v>0.74</v>
      </c>
      <c r="W37" s="61">
        <f t="shared" si="12"/>
        <v>7.8615723947694454E-5</v>
      </c>
      <c r="X37" s="67">
        <f t="shared" si="50"/>
        <v>29.6</v>
      </c>
      <c r="Y37" s="68">
        <f t="shared" si="14"/>
        <v>828.80000000000007</v>
      </c>
      <c r="Z37" s="52">
        <f>Z34*0.2%</f>
        <v>0.83833333333333326</v>
      </c>
      <c r="AA37" s="61">
        <f t="shared" si="15"/>
        <v>7.9453940739945456E-5</v>
      </c>
      <c r="AB37" s="67">
        <f t="shared" si="51"/>
        <v>32.695</v>
      </c>
      <c r="AC37" s="68">
        <f t="shared" si="17"/>
        <v>915.46</v>
      </c>
      <c r="AD37" s="52">
        <f>AD34*0.2%</f>
        <v>0.37</v>
      </c>
      <c r="AE37" s="61">
        <f t="shared" si="18"/>
        <v>7.1409472576046499E-5</v>
      </c>
      <c r="AF37" s="67">
        <f t="shared" si="52"/>
        <v>5.92</v>
      </c>
      <c r="AG37" s="229">
        <f t="shared" si="20"/>
        <v>165.76</v>
      </c>
      <c r="AH37" s="237">
        <f t="shared" si="21"/>
        <v>160.57629</v>
      </c>
      <c r="AI37" s="237">
        <f t="shared" si="22"/>
        <v>4496.1361200000001</v>
      </c>
      <c r="AJ37" s="238">
        <f t="shared" si="23"/>
        <v>7.0422980496390931E-5</v>
      </c>
    </row>
    <row r="38" spans="1:36" x14ac:dyDescent="0.25">
      <c r="A38" s="378"/>
      <c r="B38" s="40" t="s">
        <v>51</v>
      </c>
      <c r="C38" s="41" t="s">
        <v>12</v>
      </c>
      <c r="D38" s="360" t="s">
        <v>136</v>
      </c>
      <c r="E38" s="347"/>
      <c r="F38" s="52">
        <f>F34*1%</f>
        <v>1.0655916666666667</v>
      </c>
      <c r="G38" s="61">
        <f t="shared" si="1"/>
        <v>3.1221175241588682E-4</v>
      </c>
      <c r="H38" s="67">
        <f t="shared" si="46"/>
        <v>206.72478333333333</v>
      </c>
      <c r="I38" s="68">
        <f t="shared" si="3"/>
        <v>5788.2939333333334</v>
      </c>
      <c r="J38" s="52">
        <f>J34*1%</f>
        <v>1.4916666666666667</v>
      </c>
      <c r="K38" s="61">
        <f t="shared" si="4"/>
        <v>3.4177117670835334E-4</v>
      </c>
      <c r="L38" s="67">
        <f t="shared" si="47"/>
        <v>186.45833333333334</v>
      </c>
      <c r="M38" s="68">
        <f t="shared" si="6"/>
        <v>5220.8333333333339</v>
      </c>
      <c r="N38" s="52">
        <f>ROUND(N34*1%,2)</f>
        <v>1.52</v>
      </c>
      <c r="O38" s="61">
        <f t="shared" si="7"/>
        <v>3.4323831804191572E-4</v>
      </c>
      <c r="P38" s="67">
        <f t="shared" si="48"/>
        <v>60.8</v>
      </c>
      <c r="Q38" s="68">
        <f t="shared" si="38"/>
        <v>1702.4</v>
      </c>
      <c r="R38" s="52">
        <f>R34*1%</f>
        <v>1.7246666666666668</v>
      </c>
      <c r="S38" s="61">
        <f t="shared" si="9"/>
        <v>3.5306542762368793E-4</v>
      </c>
      <c r="T38" s="67">
        <f t="shared" si="49"/>
        <v>8.6233333333333348</v>
      </c>
      <c r="U38" s="68">
        <f t="shared" si="11"/>
        <v>241.45333333333338</v>
      </c>
      <c r="V38" s="52">
        <f>V34*1%</f>
        <v>3.7</v>
      </c>
      <c r="W38" s="61">
        <f t="shared" si="12"/>
        <v>3.9307861973847228E-4</v>
      </c>
      <c r="X38" s="67">
        <f t="shared" si="50"/>
        <v>148</v>
      </c>
      <c r="Y38" s="68">
        <f t="shared" si="14"/>
        <v>4144</v>
      </c>
      <c r="Z38" s="52">
        <f>Z34*1%</f>
        <v>4.1916666666666664</v>
      </c>
      <c r="AA38" s="61">
        <f t="shared" si="15"/>
        <v>3.9726970369972729E-4</v>
      </c>
      <c r="AB38" s="67">
        <f t="shared" si="51"/>
        <v>163.47499999999999</v>
      </c>
      <c r="AC38" s="68">
        <f t="shared" si="17"/>
        <v>4577.3</v>
      </c>
      <c r="AD38" s="52">
        <f>AD34*1%</f>
        <v>1.85</v>
      </c>
      <c r="AE38" s="61">
        <f t="shared" si="18"/>
        <v>3.5704736288023252E-4</v>
      </c>
      <c r="AF38" s="67">
        <f t="shared" si="52"/>
        <v>29.6</v>
      </c>
      <c r="AG38" s="229">
        <f t="shared" si="20"/>
        <v>828.80000000000007</v>
      </c>
      <c r="AH38" s="237">
        <f t="shared" si="21"/>
        <v>803.68145000000004</v>
      </c>
      <c r="AI38" s="237">
        <f t="shared" si="22"/>
        <v>22503.080600000001</v>
      </c>
      <c r="AJ38" s="238">
        <f t="shared" si="23"/>
        <v>3.5246575368419079E-4</v>
      </c>
    </row>
    <row r="39" spans="1:36" x14ac:dyDescent="0.25">
      <c r="A39" s="378"/>
      <c r="B39" s="40" t="s">
        <v>52</v>
      </c>
      <c r="C39" s="41" t="s">
        <v>14</v>
      </c>
      <c r="D39" s="360" t="s">
        <v>137</v>
      </c>
      <c r="E39" s="347"/>
      <c r="F39" s="52">
        <f>F34*1.5%</f>
        <v>1.5983875000000001</v>
      </c>
      <c r="G39" s="61">
        <f t="shared" si="1"/>
        <v>4.6831762862383029E-4</v>
      </c>
      <c r="H39" s="67">
        <f t="shared" si="46"/>
        <v>310.087175</v>
      </c>
      <c r="I39" s="68">
        <f t="shared" si="3"/>
        <v>8682.4408999999996</v>
      </c>
      <c r="J39" s="52">
        <f>J34*1.5%</f>
        <v>2.2374999999999998</v>
      </c>
      <c r="K39" s="61">
        <f t="shared" si="4"/>
        <v>5.1265676506252994E-4</v>
      </c>
      <c r="L39" s="67">
        <f t="shared" si="47"/>
        <v>279.6875</v>
      </c>
      <c r="M39" s="68">
        <f t="shared" si="6"/>
        <v>7831.25</v>
      </c>
      <c r="N39" s="52">
        <f>ROUND(N34*1.5%,2)</f>
        <v>2.2799999999999998</v>
      </c>
      <c r="O39" s="61">
        <f t="shared" si="7"/>
        <v>5.1485747706287355E-4</v>
      </c>
      <c r="P39" s="67">
        <f t="shared" si="48"/>
        <v>91.199999999999989</v>
      </c>
      <c r="Q39" s="68">
        <f t="shared" si="38"/>
        <v>2553.6</v>
      </c>
      <c r="R39" s="52">
        <f>R34*1.5%</f>
        <v>2.5869999999999997</v>
      </c>
      <c r="S39" s="61">
        <f t="shared" si="9"/>
        <v>5.2959814143553185E-4</v>
      </c>
      <c r="T39" s="67">
        <f t="shared" si="49"/>
        <v>12.934999999999999</v>
      </c>
      <c r="U39" s="68">
        <f t="shared" si="11"/>
        <v>362.17999999999995</v>
      </c>
      <c r="V39" s="52">
        <f>V34*1.5%</f>
        <v>5.55</v>
      </c>
      <c r="W39" s="61">
        <f t="shared" si="12"/>
        <v>5.8961792960770837E-4</v>
      </c>
      <c r="X39" s="67">
        <f t="shared" si="50"/>
        <v>222</v>
      </c>
      <c r="Y39" s="68">
        <f t="shared" si="14"/>
        <v>6216</v>
      </c>
      <c r="Z39" s="52">
        <f>Z34*1.5%</f>
        <v>6.2874999999999988</v>
      </c>
      <c r="AA39" s="61">
        <f t="shared" si="15"/>
        <v>5.9590455554959089E-4</v>
      </c>
      <c r="AB39" s="67">
        <f t="shared" si="51"/>
        <v>245.21249999999995</v>
      </c>
      <c r="AC39" s="68">
        <f t="shared" si="17"/>
        <v>6865.9499999999989</v>
      </c>
      <c r="AD39" s="52">
        <f>AD34*1.5%</f>
        <v>2.7749999999999999</v>
      </c>
      <c r="AE39" s="61">
        <f t="shared" si="18"/>
        <v>5.355710443203487E-4</v>
      </c>
      <c r="AF39" s="67">
        <f t="shared" si="52"/>
        <v>44.4</v>
      </c>
      <c r="AG39" s="229">
        <f t="shared" si="20"/>
        <v>1243.2</v>
      </c>
      <c r="AH39" s="237">
        <f t="shared" si="21"/>
        <v>1205.5221750000001</v>
      </c>
      <c r="AI39" s="237">
        <f t="shared" si="22"/>
        <v>33754.620899999994</v>
      </c>
      <c r="AJ39" s="238">
        <f t="shared" si="23"/>
        <v>5.286986305262861E-4</v>
      </c>
    </row>
    <row r="40" spans="1:36" x14ac:dyDescent="0.25">
      <c r="A40" s="378"/>
      <c r="B40" s="40" t="s">
        <v>53</v>
      </c>
      <c r="C40" s="41" t="s">
        <v>16</v>
      </c>
      <c r="D40" s="360" t="s">
        <v>138</v>
      </c>
      <c r="E40" s="347"/>
      <c r="F40" s="52">
        <f>F34*0.6%</f>
        <v>0.63935500000000001</v>
      </c>
      <c r="G40" s="61">
        <f t="shared" si="1"/>
        <v>1.873270514495321E-4</v>
      </c>
      <c r="H40" s="67">
        <f t="shared" si="46"/>
        <v>124.03487</v>
      </c>
      <c r="I40" s="68">
        <f t="shared" si="3"/>
        <v>3472.9763600000001</v>
      </c>
      <c r="J40" s="52">
        <f>J34*0.6%</f>
        <v>0.89499999999999991</v>
      </c>
      <c r="K40" s="61">
        <f t="shared" si="4"/>
        <v>2.0506270602501197E-4</v>
      </c>
      <c r="L40" s="67">
        <f t="shared" si="47"/>
        <v>111.87499999999999</v>
      </c>
      <c r="M40" s="68">
        <f t="shared" si="6"/>
        <v>3132.4999999999995</v>
      </c>
      <c r="N40" s="52">
        <f>ROUND(N34*0.6%,2)</f>
        <v>0.91</v>
      </c>
      <c r="O40" s="61">
        <f t="shared" si="7"/>
        <v>2.0549136145930482E-4</v>
      </c>
      <c r="P40" s="67">
        <f t="shared" si="48"/>
        <v>36.4</v>
      </c>
      <c r="Q40" s="68">
        <f t="shared" si="38"/>
        <v>1019.2</v>
      </c>
      <c r="R40" s="52">
        <f>R34*0.6%</f>
        <v>1.0347999999999999</v>
      </c>
      <c r="S40" s="61">
        <f t="shared" si="9"/>
        <v>2.1183925657421274E-4</v>
      </c>
      <c r="T40" s="67">
        <f t="shared" si="49"/>
        <v>5.1739999999999995</v>
      </c>
      <c r="U40" s="68">
        <f t="shared" si="11"/>
        <v>144.87199999999999</v>
      </c>
      <c r="V40" s="52">
        <f>V34*0.6%</f>
        <v>2.2200000000000002</v>
      </c>
      <c r="W40" s="61">
        <f t="shared" si="12"/>
        <v>2.3584717184308338E-4</v>
      </c>
      <c r="X40" s="67">
        <f t="shared" si="50"/>
        <v>88.800000000000011</v>
      </c>
      <c r="Y40" s="68">
        <f t="shared" si="14"/>
        <v>2486.4000000000005</v>
      </c>
      <c r="Z40" s="52">
        <f>Z34*0.6%</f>
        <v>2.5149999999999997</v>
      </c>
      <c r="AA40" s="61">
        <f t="shared" si="15"/>
        <v>2.3836182221983635E-4</v>
      </c>
      <c r="AB40" s="67">
        <f t="shared" si="51"/>
        <v>98.084999999999994</v>
      </c>
      <c r="AC40" s="68">
        <f t="shared" si="17"/>
        <v>2746.3799999999997</v>
      </c>
      <c r="AD40" s="52">
        <f>AD34*0.6%</f>
        <v>1.1100000000000001</v>
      </c>
      <c r="AE40" s="61">
        <f t="shared" si="18"/>
        <v>2.142284177281395E-4</v>
      </c>
      <c r="AF40" s="67">
        <f t="shared" si="52"/>
        <v>17.760000000000002</v>
      </c>
      <c r="AG40" s="229">
        <f t="shared" si="20"/>
        <v>497.28000000000003</v>
      </c>
      <c r="AH40" s="237">
        <f t="shared" si="21"/>
        <v>482.12887000000001</v>
      </c>
      <c r="AI40" s="237">
        <f t="shared" si="22"/>
        <v>13499.60836</v>
      </c>
      <c r="AJ40" s="238">
        <f t="shared" si="23"/>
        <v>2.1144436709029087E-4</v>
      </c>
    </row>
    <row r="41" spans="1:36" x14ac:dyDescent="0.25">
      <c r="A41" s="378"/>
      <c r="B41" s="40" t="s">
        <v>54</v>
      </c>
      <c r="C41" s="41" t="s">
        <v>18</v>
      </c>
      <c r="D41" s="360" t="s">
        <v>139</v>
      </c>
      <c r="E41" s="347"/>
      <c r="F41" s="52">
        <f>F34*2.5%</f>
        <v>2.663979166666667</v>
      </c>
      <c r="G41" s="61">
        <f t="shared" si="1"/>
        <v>7.8052938103971722E-4</v>
      </c>
      <c r="H41" s="67">
        <f t="shared" si="46"/>
        <v>516.81195833333345</v>
      </c>
      <c r="I41" s="68">
        <f t="shared" si="3"/>
        <v>14470.734833333336</v>
      </c>
      <c r="J41" s="52">
        <f>J34*2.5%</f>
        <v>3.7291666666666665</v>
      </c>
      <c r="K41" s="61">
        <f t="shared" si="4"/>
        <v>8.5442794177088333E-4</v>
      </c>
      <c r="L41" s="67">
        <f t="shared" si="47"/>
        <v>466.14583333333331</v>
      </c>
      <c r="M41" s="68">
        <f t="shared" si="6"/>
        <v>13052.083333333332</v>
      </c>
      <c r="N41" s="52">
        <f>ROUND(N34*2.5%,2)</f>
        <v>3.81</v>
      </c>
      <c r="O41" s="61">
        <f t="shared" si="7"/>
        <v>8.6035394193401246E-4</v>
      </c>
      <c r="P41" s="67">
        <f t="shared" si="48"/>
        <v>152.4</v>
      </c>
      <c r="Q41" s="68">
        <f t="shared" si="38"/>
        <v>4267.2</v>
      </c>
      <c r="R41" s="52">
        <f>R34*2.5%</f>
        <v>4.3116666666666665</v>
      </c>
      <c r="S41" s="61">
        <f t="shared" si="9"/>
        <v>8.8266356905921978E-4</v>
      </c>
      <c r="T41" s="67">
        <f t="shared" si="49"/>
        <v>21.558333333333334</v>
      </c>
      <c r="U41" s="68">
        <f t="shared" si="11"/>
        <v>603.63333333333333</v>
      </c>
      <c r="V41" s="52">
        <f>V34*2.5%</f>
        <v>9.25</v>
      </c>
      <c r="W41" s="61">
        <f t="shared" si="12"/>
        <v>9.8269654934618066E-4</v>
      </c>
      <c r="X41" s="67">
        <f t="shared" si="50"/>
        <v>370</v>
      </c>
      <c r="Y41" s="68">
        <f t="shared" si="14"/>
        <v>10360</v>
      </c>
      <c r="Z41" s="52">
        <f>Z34*2.5%</f>
        <v>10.479166666666666</v>
      </c>
      <c r="AA41" s="61">
        <f t="shared" si="15"/>
        <v>9.9317425924931829E-4</v>
      </c>
      <c r="AB41" s="67">
        <f t="shared" si="51"/>
        <v>408.6875</v>
      </c>
      <c r="AC41" s="68">
        <f t="shared" si="17"/>
        <v>11443.25</v>
      </c>
      <c r="AD41" s="52">
        <f>AD34*2.5%</f>
        <v>4.625</v>
      </c>
      <c r="AE41" s="61">
        <f t="shared" si="18"/>
        <v>8.9261840720058117E-4</v>
      </c>
      <c r="AF41" s="67">
        <f t="shared" si="52"/>
        <v>74</v>
      </c>
      <c r="AG41" s="229">
        <f t="shared" si="20"/>
        <v>2072</v>
      </c>
      <c r="AH41" s="237">
        <f t="shared" si="21"/>
        <v>2009.603625</v>
      </c>
      <c r="AI41" s="237">
        <f t="shared" si="22"/>
        <v>56268.901500000007</v>
      </c>
      <c r="AJ41" s="238">
        <f t="shared" si="23"/>
        <v>8.8133980981159514E-4</v>
      </c>
    </row>
    <row r="42" spans="1:36" x14ac:dyDescent="0.25">
      <c r="A42" s="378"/>
      <c r="B42" s="40" t="s">
        <v>55</v>
      </c>
      <c r="C42" s="41" t="s">
        <v>20</v>
      </c>
      <c r="D42" s="360" t="s">
        <v>200</v>
      </c>
      <c r="E42" s="347"/>
      <c r="F42" s="52">
        <f>F34*2.017%</f>
        <v>2.1492983916666666</v>
      </c>
      <c r="G42" s="61">
        <f t="shared" si="1"/>
        <v>6.2973110462284372E-4</v>
      </c>
      <c r="H42" s="67">
        <f t="shared" si="46"/>
        <v>416.96388798333334</v>
      </c>
      <c r="I42" s="68">
        <f t="shared" si="3"/>
        <v>11674.988863533334</v>
      </c>
      <c r="J42" s="52">
        <f>J34*2.017%</f>
        <v>3.0086916666666665</v>
      </c>
      <c r="K42" s="61">
        <f t="shared" si="4"/>
        <v>6.8935246342074867E-4</v>
      </c>
      <c r="L42" s="67">
        <f t="shared" si="47"/>
        <v>376.08645833333333</v>
      </c>
      <c r="M42" s="68">
        <f t="shared" si="6"/>
        <v>10530.420833333334</v>
      </c>
      <c r="N42" s="52">
        <f>ROUND(N34*2.017%,2)</f>
        <v>3.07</v>
      </c>
      <c r="O42" s="61">
        <f t="shared" si="7"/>
        <v>6.9325107657150086E-4</v>
      </c>
      <c r="P42" s="67">
        <f t="shared" si="48"/>
        <v>122.8</v>
      </c>
      <c r="Q42" s="68">
        <f t="shared" si="38"/>
        <v>3438.4</v>
      </c>
      <c r="R42" s="52">
        <f>R34*2.017%</f>
        <v>3.4786526666666666</v>
      </c>
      <c r="S42" s="61">
        <f t="shared" si="9"/>
        <v>7.1213296751697851E-4</v>
      </c>
      <c r="T42" s="67">
        <f t="shared" si="49"/>
        <v>17.393263333333334</v>
      </c>
      <c r="U42" s="68">
        <f t="shared" si="11"/>
        <v>487.01137333333332</v>
      </c>
      <c r="V42" s="52">
        <f>V34*2.017%</f>
        <v>7.4629000000000003</v>
      </c>
      <c r="W42" s="61">
        <f t="shared" si="12"/>
        <v>7.9283957601249859E-4</v>
      </c>
      <c r="X42" s="67">
        <f t="shared" si="50"/>
        <v>298.51600000000002</v>
      </c>
      <c r="Y42" s="68">
        <f t="shared" si="14"/>
        <v>8358.4480000000003</v>
      </c>
      <c r="Z42" s="52">
        <f>Z34*2.017%</f>
        <v>8.4545916666666656</v>
      </c>
      <c r="AA42" s="61">
        <f t="shared" si="15"/>
        <v>8.0129299236234995E-4</v>
      </c>
      <c r="AB42" s="67">
        <f t="shared" si="51"/>
        <v>329.72907499999997</v>
      </c>
      <c r="AC42" s="68">
        <f t="shared" si="17"/>
        <v>9232.4140999999981</v>
      </c>
      <c r="AD42" s="52">
        <f>AD34*2.017%</f>
        <v>3.7314500000000002</v>
      </c>
      <c r="AE42" s="61">
        <f t="shared" si="18"/>
        <v>7.2016453092942892E-4</v>
      </c>
      <c r="AF42" s="67">
        <f t="shared" si="52"/>
        <v>59.703200000000002</v>
      </c>
      <c r="AG42" s="229">
        <f t="shared" si="20"/>
        <v>1671.6896000000002</v>
      </c>
      <c r="AH42" s="237">
        <f t="shared" si="21"/>
        <v>1621.1918846499998</v>
      </c>
      <c r="AI42" s="237">
        <f t="shared" si="22"/>
        <v>45393.372770200003</v>
      </c>
      <c r="AJ42" s="238">
        <f t="shared" si="23"/>
        <v>7.1099640223107796E-4</v>
      </c>
    </row>
    <row r="43" spans="1:36" s="88" customFormat="1" x14ac:dyDescent="0.25">
      <c r="A43" s="376"/>
      <c r="B43" s="42" t="s">
        <v>56</v>
      </c>
      <c r="C43" s="43" t="s">
        <v>22</v>
      </c>
      <c r="D43" s="344" t="s">
        <v>140</v>
      </c>
      <c r="E43" s="345"/>
      <c r="F43" s="53">
        <f>SUM(F34:F42)</f>
        <v>144.72546339166669</v>
      </c>
      <c r="G43" s="62">
        <f>F43/$F$82</f>
        <v>4.2403663577868511E-2</v>
      </c>
      <c r="H43" s="66">
        <f>SUM(H34:H42)</f>
        <v>28076.739897983334</v>
      </c>
      <c r="I43" s="69">
        <f t="shared" si="3"/>
        <v>786148.7171435334</v>
      </c>
      <c r="J43" s="53">
        <f>SUM(J34:J42)</f>
        <v>202.5936916666667</v>
      </c>
      <c r="K43" s="62">
        <f t="shared" si="4"/>
        <v>4.6418335906998433E-2</v>
      </c>
      <c r="L43" s="66">
        <f>SUM(L34:L42)</f>
        <v>25324.211458333335</v>
      </c>
      <c r="M43" s="69">
        <f t="shared" si="6"/>
        <v>709077.9208333334</v>
      </c>
      <c r="N43" s="53">
        <f>SUM(N34:N42)</f>
        <v>206.73000000000002</v>
      </c>
      <c r="O43" s="62">
        <f t="shared" si="7"/>
        <v>4.6682669400529765E-2</v>
      </c>
      <c r="P43" s="66">
        <f>ROUND(SUM(P34:P42),2)</f>
        <v>8269.2000000000007</v>
      </c>
      <c r="Q43" s="69">
        <f t="shared" si="38"/>
        <v>231537.6</v>
      </c>
      <c r="R43" s="53">
        <f>SUM(R34:R42)</f>
        <v>234.23905266666668</v>
      </c>
      <c r="S43" s="62">
        <f t="shared" si="9"/>
        <v>4.7952287183566422E-2</v>
      </c>
      <c r="T43" s="66">
        <f>SUM(T34:T42)</f>
        <v>1171.1952633333335</v>
      </c>
      <c r="U43" s="69">
        <f t="shared" si="11"/>
        <v>32793.46737333334</v>
      </c>
      <c r="V43" s="53">
        <f>SUM(V34:V42)</f>
        <v>502.52290000000005</v>
      </c>
      <c r="W43" s="62">
        <f t="shared" si="12"/>
        <v>5.338675889702009E-2</v>
      </c>
      <c r="X43" s="66">
        <f>SUM(X34:X42)</f>
        <v>20100.915999999997</v>
      </c>
      <c r="Y43" s="69">
        <f t="shared" si="14"/>
        <v>562825.64799999993</v>
      </c>
      <c r="Z43" s="53">
        <f>SUM(Z34:Z42)</f>
        <v>569.29959166666674</v>
      </c>
      <c r="AA43" s="62">
        <f t="shared" si="15"/>
        <v>5.3955979347385871E-2</v>
      </c>
      <c r="AB43" s="66">
        <f>SUM(AB34:AB42)</f>
        <v>22202.684074999997</v>
      </c>
      <c r="AC43" s="69">
        <f t="shared" si="17"/>
        <v>621675.15409999993</v>
      </c>
      <c r="AD43" s="53">
        <f>SUM(AD34:AD42)</f>
        <v>251.26145000000002</v>
      </c>
      <c r="AE43" s="62">
        <f t="shared" si="18"/>
        <v>4.849310168430454E-2</v>
      </c>
      <c r="AF43" s="66">
        <f>SUM(AF34:AF42)</f>
        <v>4020.1832000000004</v>
      </c>
      <c r="AG43" s="230">
        <f t="shared" si="20"/>
        <v>112565.12960000001</v>
      </c>
      <c r="AH43" s="237">
        <f t="shared" si="21"/>
        <v>109165.12989465</v>
      </c>
      <c r="AI43" s="237">
        <f t="shared" si="22"/>
        <v>3056623.6370501998</v>
      </c>
      <c r="AJ43" s="238">
        <f t="shared" si="23"/>
        <v>4.787589633224755E-2</v>
      </c>
    </row>
    <row r="44" spans="1:36" x14ac:dyDescent="0.25">
      <c r="A44" s="375" t="s">
        <v>57</v>
      </c>
      <c r="B44" s="40" t="s">
        <v>58</v>
      </c>
      <c r="C44" s="41" t="s">
        <v>3</v>
      </c>
      <c r="D44" s="363" t="s">
        <v>203</v>
      </c>
      <c r="E44" s="364"/>
      <c r="F44" s="52">
        <f>H6/30*(26.6339*28/12)/28</f>
        <v>94.602872969444434</v>
      </c>
      <c r="G44" s="61">
        <f t="shared" si="1"/>
        <v>2.7718055308898291E-2</v>
      </c>
      <c r="H44" s="67">
        <f>F44*$F$6</f>
        <v>18352.95735607222</v>
      </c>
      <c r="I44" s="68">
        <f t="shared" si="3"/>
        <v>513882.80597002216</v>
      </c>
      <c r="J44" s="52">
        <f>L6/30*(26.6339*28/12)/28</f>
        <v>132.42966944444444</v>
      </c>
      <c r="K44" s="61">
        <f t="shared" si="4"/>
        <v>3.0342331144442038E-2</v>
      </c>
      <c r="L44" s="67">
        <f>J44*$J$6</f>
        <v>16553.708680555555</v>
      </c>
      <c r="M44" s="68">
        <f t="shared" si="6"/>
        <v>463503.84305555554</v>
      </c>
      <c r="N44" s="52">
        <f>ROUND(P6/30*(26.6339*28/12)/28,2)</f>
        <v>135.13999999999999</v>
      </c>
      <c r="O44" s="61">
        <f t="shared" si="7"/>
        <v>3.0516596250121375E-2</v>
      </c>
      <c r="P44" s="67">
        <f>N44*$N$6</f>
        <v>5405.5999999999995</v>
      </c>
      <c r="Q44" s="68">
        <f t="shared" si="38"/>
        <v>151356.79999999999</v>
      </c>
      <c r="R44" s="52">
        <f>T6/30*(26.6339*28/12)/28</f>
        <v>153.11533177777778</v>
      </c>
      <c r="S44" s="61">
        <f t="shared" si="9"/>
        <v>3.1345030975955139E-2</v>
      </c>
      <c r="T44" s="67">
        <f>R44*$R$6</f>
        <v>765.57665888888891</v>
      </c>
      <c r="U44" s="68">
        <f t="shared" si="11"/>
        <v>21436.146448888889</v>
      </c>
      <c r="V44" s="52">
        <f>X6/30*(26.6339*28/12)/28</f>
        <v>328.48476666666664</v>
      </c>
      <c r="W44" s="61">
        <f t="shared" si="12"/>
        <v>3.4897388834174987E-2</v>
      </c>
      <c r="X44" s="67">
        <f>V44*$V$6</f>
        <v>13139.390666666666</v>
      </c>
      <c r="Y44" s="68">
        <f t="shared" si="14"/>
        <v>367902.93866666663</v>
      </c>
      <c r="Z44" s="52">
        <f>AB6/30*(26.6339*28/12)/28</f>
        <v>372.13476944444443</v>
      </c>
      <c r="AA44" s="61">
        <f t="shared" si="15"/>
        <v>3.5269471871227226E-2</v>
      </c>
      <c r="AB44" s="67">
        <f>Z44*$Z$6</f>
        <v>14513.256008333332</v>
      </c>
      <c r="AC44" s="68">
        <f t="shared" si="17"/>
        <v>406371.16823333327</v>
      </c>
      <c r="AD44" s="52">
        <f>AF6/30*(26.6339*28/12)/28</f>
        <v>164.24238333333332</v>
      </c>
      <c r="AE44" s="61">
        <f t="shared" si="18"/>
        <v>3.1698545860719414E-2</v>
      </c>
      <c r="AF44" s="67">
        <f>AD44*$AD$6</f>
        <v>2627.8781333333332</v>
      </c>
      <c r="AG44" s="229">
        <f t="shared" si="20"/>
        <v>73580.587733333334</v>
      </c>
      <c r="AH44" s="237">
        <f t="shared" si="21"/>
        <v>71358.367503849993</v>
      </c>
      <c r="AI44" s="237">
        <f t="shared" si="22"/>
        <v>1998034.2901077999</v>
      </c>
      <c r="AJ44" s="238">
        <f t="shared" si="23"/>
        <v>3.1295211285414085E-2</v>
      </c>
    </row>
    <row r="45" spans="1:36" x14ac:dyDescent="0.25">
      <c r="A45" s="378"/>
      <c r="B45" s="40" t="s">
        <v>59</v>
      </c>
      <c r="C45" s="41" t="s">
        <v>23</v>
      </c>
      <c r="D45" s="365" t="s">
        <v>357</v>
      </c>
      <c r="E45" s="366"/>
      <c r="F45" s="52">
        <f>F23/30*(26.6339*28/12)/28</f>
        <v>55.494511355988095</v>
      </c>
      <c r="G45" s="61">
        <f t="shared" si="1"/>
        <v>1.6259547800439231E-2</v>
      </c>
      <c r="H45" s="67">
        <f t="shared" ref="H45:H55" si="53">F45*$F$6</f>
        <v>10765.93520306169</v>
      </c>
      <c r="I45" s="68">
        <f t="shared" si="3"/>
        <v>301446.18568572734</v>
      </c>
      <c r="J45" s="52">
        <f>J23/30*(26.6339*28/12)/28</f>
        <v>53.387018409523819</v>
      </c>
      <c r="K45" s="61">
        <f t="shared" si="4"/>
        <v>1.223205191247384E-2</v>
      </c>
      <c r="L45" s="67">
        <f t="shared" ref="L45:L55" si="54">J45*$J$6</f>
        <v>6673.3773011904777</v>
      </c>
      <c r="M45" s="68">
        <f t="shared" si="6"/>
        <v>186854.56443333338</v>
      </c>
      <c r="N45" s="52">
        <f>ROUND(N23/30*(26.6339*28/12)/28,2)</f>
        <v>53.24</v>
      </c>
      <c r="O45" s="61">
        <f t="shared" si="7"/>
        <v>1.2022373718783943E-2</v>
      </c>
      <c r="P45" s="67">
        <f t="shared" ref="P45:P55" si="55">N45*$N$6</f>
        <v>2129.6</v>
      </c>
      <c r="Q45" s="68">
        <f t="shared" si="38"/>
        <v>59628.800000000003</v>
      </c>
      <c r="R45" s="52">
        <f>R23/30*(26.6339*28/12)/28</f>
        <v>52.234531508095245</v>
      </c>
      <c r="S45" s="61">
        <f t="shared" si="9"/>
        <v>1.0693200929819471E-2</v>
      </c>
      <c r="T45" s="67">
        <f t="shared" ref="T45:T55" si="56">R45*$R$6</f>
        <v>261.17265754047622</v>
      </c>
      <c r="U45" s="68">
        <f t="shared" si="11"/>
        <v>7312.8344111333345</v>
      </c>
      <c r="V45" s="52">
        <f>V23/30*(26.6339*28/12)/28</f>
        <v>48.502551391666671</v>
      </c>
      <c r="W45" s="61">
        <f t="shared" si="12"/>
        <v>5.152788095900176E-3</v>
      </c>
      <c r="X45" s="67">
        <f t="shared" ref="X45:X55" si="57">V45*$V$6</f>
        <v>1940.1020556666667</v>
      </c>
      <c r="Y45" s="68">
        <f t="shared" si="14"/>
        <v>54322.85755866667</v>
      </c>
      <c r="Z45" s="52">
        <f>Z23/30*(26.6339*28/12)/28</f>
        <v>48.502551391666671</v>
      </c>
      <c r="AA45" s="61">
        <f t="shared" si="15"/>
        <v>4.5968813248623971E-3</v>
      </c>
      <c r="AB45" s="67">
        <f t="shared" ref="AB45:AB55" si="58">Z45*$Z$6</f>
        <v>1891.5995042750001</v>
      </c>
      <c r="AC45" s="68">
        <f t="shared" si="17"/>
        <v>52964.786119700002</v>
      </c>
      <c r="AD45" s="52">
        <f>AD23/30*(26.6339*28/12)/28</f>
        <v>51.614595778571427</v>
      </c>
      <c r="AE45" s="61">
        <f t="shared" si="18"/>
        <v>9.961543410198977E-3</v>
      </c>
      <c r="AF45" s="67">
        <f t="shared" ref="AF45:AF55" si="59">AD45*$AD$6</f>
        <v>825.83353245714284</v>
      </c>
      <c r="AG45" s="229">
        <f t="shared" si="20"/>
        <v>23123.3389088</v>
      </c>
      <c r="AH45" s="237">
        <f t="shared" si="21"/>
        <v>24487.620254191454</v>
      </c>
      <c r="AI45" s="237">
        <f t="shared" si="22"/>
        <v>685653.3671173607</v>
      </c>
      <c r="AJ45" s="238">
        <f t="shared" si="23"/>
        <v>1.07393887576052E-2</v>
      </c>
    </row>
    <row r="46" spans="1:36" x14ac:dyDescent="0.25">
      <c r="A46" s="378"/>
      <c r="B46" s="40" t="s">
        <v>60</v>
      </c>
      <c r="C46" s="41" t="s">
        <v>35</v>
      </c>
      <c r="D46" s="361" t="s">
        <v>141</v>
      </c>
      <c r="E46" s="362"/>
      <c r="F46" s="52">
        <f>(H6+H6/3)/12/28</f>
        <v>5.0742460317460312</v>
      </c>
      <c r="G46" s="61">
        <f t="shared" si="1"/>
        <v>1.4867226305518419E-3</v>
      </c>
      <c r="H46" s="67">
        <f t="shared" si="53"/>
        <v>984.40373015873001</v>
      </c>
      <c r="I46" s="68">
        <f t="shared" si="3"/>
        <v>27563.304444444439</v>
      </c>
      <c r="J46" s="52">
        <f>(L6+L6/3)/12/28</f>
        <v>7.1031746031746028</v>
      </c>
      <c r="K46" s="61">
        <f t="shared" si="4"/>
        <v>1.6274817938493015E-3</v>
      </c>
      <c r="L46" s="67">
        <f t="shared" si="54"/>
        <v>887.89682539682531</v>
      </c>
      <c r="M46" s="68">
        <f t="shared" si="6"/>
        <v>24861.111111111109</v>
      </c>
      <c r="N46" s="52">
        <f>ROUND((P6+P6/3)/12/28,2)</f>
        <v>7.25</v>
      </c>
      <c r="O46" s="61">
        <f t="shared" si="7"/>
        <v>1.6371564511867692E-3</v>
      </c>
      <c r="P46" s="67">
        <f t="shared" si="55"/>
        <v>290</v>
      </c>
      <c r="Q46" s="68">
        <f t="shared" si="38"/>
        <v>8120</v>
      </c>
      <c r="R46" s="52">
        <f>(T6+T6/3)/12/28</f>
        <v>8.2126984126984119</v>
      </c>
      <c r="S46" s="61">
        <f t="shared" si="9"/>
        <v>1.6812639410651803E-3</v>
      </c>
      <c r="T46" s="67">
        <f t="shared" si="56"/>
        <v>41.063492063492063</v>
      </c>
      <c r="U46" s="68">
        <f t="shared" si="11"/>
        <v>1149.7777777777778</v>
      </c>
      <c r="V46" s="52">
        <f>(X6+X6/3)/12/28</f>
        <v>17.619047619047617</v>
      </c>
      <c r="W46" s="61">
        <f t="shared" si="12"/>
        <v>1.8718029511355821E-3</v>
      </c>
      <c r="X46" s="67">
        <f t="shared" si="57"/>
        <v>704.7619047619047</v>
      </c>
      <c r="Y46" s="68">
        <f t="shared" si="14"/>
        <v>19733.333333333332</v>
      </c>
      <c r="Z46" s="52">
        <f>(AB6+AB6/3)/12/28</f>
        <v>19.960317460317462</v>
      </c>
      <c r="AA46" s="61">
        <f t="shared" si="15"/>
        <v>1.8917604938082256E-3</v>
      </c>
      <c r="AB46" s="67">
        <f t="shared" si="58"/>
        <v>778.45238095238108</v>
      </c>
      <c r="AC46" s="68">
        <f t="shared" si="17"/>
        <v>21796.666666666672</v>
      </c>
      <c r="AD46" s="52">
        <f>(AF6+AF6/3)/12/28</f>
        <v>8.8095238095238084</v>
      </c>
      <c r="AE46" s="61">
        <f t="shared" si="18"/>
        <v>1.7002255375249164E-3</v>
      </c>
      <c r="AF46" s="67">
        <f t="shared" si="59"/>
        <v>140.95238095238093</v>
      </c>
      <c r="AG46" s="229">
        <f t="shared" si="20"/>
        <v>3946.6666666666661</v>
      </c>
      <c r="AH46" s="237">
        <f t="shared" si="21"/>
        <v>3827.5307142857141</v>
      </c>
      <c r="AI46" s="237">
        <f t="shared" si="22"/>
        <v>107170.86</v>
      </c>
      <c r="AJ46" s="238">
        <f t="shared" si="23"/>
        <v>1.6786171908784299E-3</v>
      </c>
    </row>
    <row r="47" spans="1:36" x14ac:dyDescent="0.25">
      <c r="A47" s="378"/>
      <c r="B47" s="40" t="s">
        <v>61</v>
      </c>
      <c r="C47" s="41" t="s">
        <v>46</v>
      </c>
      <c r="D47" s="361" t="s">
        <v>142</v>
      </c>
      <c r="E47" s="362"/>
      <c r="F47" s="52">
        <f>H6/12/28</f>
        <v>3.805684523809524</v>
      </c>
      <c r="G47" s="61">
        <f t="shared" si="1"/>
        <v>1.1150419729138816E-3</v>
      </c>
      <c r="H47" s="67">
        <f t="shared" si="53"/>
        <v>738.30279761904762</v>
      </c>
      <c r="I47" s="68">
        <f t="shared" si="3"/>
        <v>20672.478333333333</v>
      </c>
      <c r="J47" s="52">
        <f>L6/12/28</f>
        <v>5.3273809523809517</v>
      </c>
      <c r="K47" s="61">
        <f t="shared" si="4"/>
        <v>1.2206113453869761E-3</v>
      </c>
      <c r="L47" s="67">
        <f t="shared" si="54"/>
        <v>665.92261904761892</v>
      </c>
      <c r="M47" s="68">
        <f t="shared" si="6"/>
        <v>18645.833333333328</v>
      </c>
      <c r="N47" s="52">
        <f>ROUND(P6/12/28,2)</f>
        <v>5.44</v>
      </c>
      <c r="O47" s="61">
        <f t="shared" si="7"/>
        <v>1.2284318750973827E-3</v>
      </c>
      <c r="P47" s="67">
        <f t="shared" si="55"/>
        <v>217.60000000000002</v>
      </c>
      <c r="Q47" s="68">
        <f t="shared" si="38"/>
        <v>6092.8</v>
      </c>
      <c r="R47" s="52">
        <f>T6/12/28</f>
        <v>6.1595238095238098</v>
      </c>
      <c r="S47" s="61">
        <f t="shared" si="9"/>
        <v>1.2609479557988855E-3</v>
      </c>
      <c r="T47" s="67">
        <f t="shared" si="56"/>
        <v>30.797619047619051</v>
      </c>
      <c r="U47" s="68">
        <f t="shared" si="11"/>
        <v>862.33333333333348</v>
      </c>
      <c r="V47" s="52">
        <f>X6/12/28</f>
        <v>13.214285714285714</v>
      </c>
      <c r="W47" s="61">
        <f t="shared" si="12"/>
        <v>1.4038522133516865E-3</v>
      </c>
      <c r="X47" s="67">
        <f t="shared" si="57"/>
        <v>528.57142857142856</v>
      </c>
      <c r="Y47" s="68">
        <f t="shared" si="14"/>
        <v>14800</v>
      </c>
      <c r="Z47" s="52">
        <f>AB6/12/28</f>
        <v>14.970238095238097</v>
      </c>
      <c r="AA47" s="61">
        <f t="shared" si="15"/>
        <v>1.4188203703561692E-3</v>
      </c>
      <c r="AB47" s="67">
        <f t="shared" si="58"/>
        <v>583.83928571428578</v>
      </c>
      <c r="AC47" s="68">
        <f t="shared" si="17"/>
        <v>16347.500000000002</v>
      </c>
      <c r="AD47" s="52">
        <f>AF6/12/28</f>
        <v>6.6071428571428568</v>
      </c>
      <c r="AE47" s="61">
        <f t="shared" si="18"/>
        <v>1.2751691531436874E-3</v>
      </c>
      <c r="AF47" s="67">
        <f t="shared" si="59"/>
        <v>105.71428571428571</v>
      </c>
      <c r="AG47" s="229">
        <f t="shared" si="20"/>
        <v>2960</v>
      </c>
      <c r="AH47" s="237">
        <f t="shared" si="21"/>
        <v>2870.7480357142858</v>
      </c>
      <c r="AI47" s="237">
        <f t="shared" si="22"/>
        <v>80380.945000000007</v>
      </c>
      <c r="AJ47" s="238">
        <f t="shared" si="23"/>
        <v>1.2590067495591021E-3</v>
      </c>
    </row>
    <row r="48" spans="1:36" x14ac:dyDescent="0.25">
      <c r="A48" s="378"/>
      <c r="B48" s="40" t="s">
        <v>62</v>
      </c>
      <c r="C48" s="41" t="s">
        <v>6</v>
      </c>
      <c r="D48" s="360" t="s">
        <v>143</v>
      </c>
      <c r="E48" s="347"/>
      <c r="F48" s="52">
        <f>(F44+F46+F47)*8%</f>
        <v>8.2786242819999991</v>
      </c>
      <c r="G48" s="61">
        <f t="shared" si="1"/>
        <v>2.425585592989121E-3</v>
      </c>
      <c r="H48" s="67">
        <f t="shared" si="53"/>
        <v>1606.0531107079998</v>
      </c>
      <c r="I48" s="68">
        <f t="shared" si="3"/>
        <v>44969.487099823993</v>
      </c>
      <c r="J48" s="52">
        <f>(J44+J46+J47)*8%</f>
        <v>11.588818000000002</v>
      </c>
      <c r="K48" s="61">
        <f t="shared" si="4"/>
        <v>2.6552339426942659E-3</v>
      </c>
      <c r="L48" s="67">
        <f t="shared" si="54"/>
        <v>1448.6022500000001</v>
      </c>
      <c r="M48" s="68">
        <f t="shared" si="6"/>
        <v>40560.863000000005</v>
      </c>
      <c r="N48" s="52">
        <f>ROUND((N44+N46+N47)*8%,2)</f>
        <v>11.83</v>
      </c>
      <c r="O48" s="61">
        <f t="shared" si="7"/>
        <v>2.6713876989709626E-3</v>
      </c>
      <c r="P48" s="67">
        <f t="shared" si="55"/>
        <v>473.2</v>
      </c>
      <c r="Q48" s="68">
        <f t="shared" si="38"/>
        <v>13249.6</v>
      </c>
      <c r="R48" s="52">
        <f>(R44+R46+R47)*8%</f>
        <v>13.399004320000001</v>
      </c>
      <c r="S48" s="61">
        <f t="shared" si="9"/>
        <v>2.7429794298255367E-3</v>
      </c>
      <c r="T48" s="67">
        <f t="shared" si="56"/>
        <v>66.995021600000001</v>
      </c>
      <c r="U48" s="68">
        <f t="shared" si="11"/>
        <v>1875.8606048000001</v>
      </c>
      <c r="V48" s="52">
        <f>(V44+V46+V47)*8%</f>
        <v>28.745447999999996</v>
      </c>
      <c r="W48" s="61">
        <f t="shared" si="12"/>
        <v>3.0538435198929803E-3</v>
      </c>
      <c r="X48" s="67">
        <f t="shared" si="57"/>
        <v>1149.81792</v>
      </c>
      <c r="Y48" s="68">
        <f t="shared" si="14"/>
        <v>32194.901760000001</v>
      </c>
      <c r="Z48" s="52">
        <f>(Z44+Z46+Z47)*8%</f>
        <v>32.565225999999996</v>
      </c>
      <c r="AA48" s="61">
        <f t="shared" si="15"/>
        <v>3.086404218831329E-3</v>
      </c>
      <c r="AB48" s="67">
        <f t="shared" si="58"/>
        <v>1270.0438139999999</v>
      </c>
      <c r="AC48" s="68">
        <f t="shared" si="17"/>
        <v>35561.226791999994</v>
      </c>
      <c r="AD48" s="52">
        <f>(AD44+AD46+AD47)*8%</f>
        <v>14.372723999999998</v>
      </c>
      <c r="AE48" s="61">
        <f t="shared" si="18"/>
        <v>2.7739152441110409E-3</v>
      </c>
      <c r="AF48" s="67">
        <f t="shared" si="59"/>
        <v>229.96358399999997</v>
      </c>
      <c r="AG48" s="229">
        <f t="shared" si="20"/>
        <v>6438.9803519999987</v>
      </c>
      <c r="AH48" s="237">
        <f t="shared" si="21"/>
        <v>6244.6757003079993</v>
      </c>
      <c r="AI48" s="237">
        <f t="shared" si="22"/>
        <v>174850.91960862401</v>
      </c>
      <c r="AJ48" s="238">
        <f t="shared" si="23"/>
        <v>2.7386899712845323E-3</v>
      </c>
    </row>
    <row r="49" spans="1:36" x14ac:dyDescent="0.25">
      <c r="A49" s="378"/>
      <c r="B49" s="40" t="s">
        <v>63</v>
      </c>
      <c r="C49" s="41" t="s">
        <v>8</v>
      </c>
      <c r="D49" s="360" t="s">
        <v>144</v>
      </c>
      <c r="E49" s="347"/>
      <c r="F49" s="52">
        <f>(F44+F46+F47)*20%</f>
        <v>20.696560704999996</v>
      </c>
      <c r="G49" s="61">
        <f t="shared" si="1"/>
        <v>6.0639639824728022E-3</v>
      </c>
      <c r="H49" s="67">
        <f t="shared" si="53"/>
        <v>4015.1327767699991</v>
      </c>
      <c r="I49" s="68">
        <f t="shared" si="3"/>
        <v>112423.71774955998</v>
      </c>
      <c r="J49" s="52">
        <f>(J44+J46+J47)*20%</f>
        <v>28.972045000000005</v>
      </c>
      <c r="K49" s="61">
        <f t="shared" si="4"/>
        <v>6.6380848567356649E-3</v>
      </c>
      <c r="L49" s="67">
        <f t="shared" si="54"/>
        <v>3621.5056250000007</v>
      </c>
      <c r="M49" s="68">
        <f t="shared" si="6"/>
        <v>101402.15750000002</v>
      </c>
      <c r="N49" s="52">
        <f>ROUND((N44+N46+N47)*20%,2)</f>
        <v>29.57</v>
      </c>
      <c r="O49" s="61">
        <f t="shared" si="7"/>
        <v>6.677340174012795E-3</v>
      </c>
      <c r="P49" s="67">
        <f t="shared" si="55"/>
        <v>1182.8</v>
      </c>
      <c r="Q49" s="68">
        <f t="shared" si="38"/>
        <v>33118.400000000001</v>
      </c>
      <c r="R49" s="52">
        <f>(R44+R46+R47)*20%</f>
        <v>33.497510800000008</v>
      </c>
      <c r="S49" s="61">
        <f t="shared" si="9"/>
        <v>6.8574485745638422E-3</v>
      </c>
      <c r="T49" s="67">
        <f t="shared" si="56"/>
        <v>167.48755400000005</v>
      </c>
      <c r="U49" s="68">
        <f t="shared" si="11"/>
        <v>4689.6515120000013</v>
      </c>
      <c r="V49" s="52">
        <f>(V44+V46+V47)*20%</f>
        <v>71.863619999999997</v>
      </c>
      <c r="W49" s="61">
        <f t="shared" si="12"/>
        <v>7.6346087997324515E-3</v>
      </c>
      <c r="X49" s="67">
        <f t="shared" si="57"/>
        <v>2874.5447999999997</v>
      </c>
      <c r="Y49" s="68">
        <f t="shared" si="14"/>
        <v>80487.254399999991</v>
      </c>
      <c r="Z49" s="52">
        <f>(Z44+Z46+Z47)*20%</f>
        <v>81.413065000000003</v>
      </c>
      <c r="AA49" s="61">
        <f t="shared" si="15"/>
        <v>7.7160105470783242E-3</v>
      </c>
      <c r="AB49" s="67">
        <f t="shared" si="58"/>
        <v>3175.1095350000001</v>
      </c>
      <c r="AC49" s="68">
        <f t="shared" si="17"/>
        <v>88903.066980000003</v>
      </c>
      <c r="AD49" s="52">
        <f>(AD44+AD46+AD47)*20%</f>
        <v>35.931809999999999</v>
      </c>
      <c r="AE49" s="61">
        <f t="shared" si="18"/>
        <v>6.9347881102776029E-3</v>
      </c>
      <c r="AF49" s="67">
        <f t="shared" si="59"/>
        <v>574.90895999999998</v>
      </c>
      <c r="AG49" s="229">
        <f t="shared" si="20"/>
        <v>16097.45088</v>
      </c>
      <c r="AH49" s="237">
        <f t="shared" si="21"/>
        <v>15611.489250769999</v>
      </c>
      <c r="AI49" s="237">
        <f t="shared" si="22"/>
        <v>437121.69902155997</v>
      </c>
      <c r="AJ49" s="238">
        <f t="shared" si="23"/>
        <v>6.8466372154107709E-3</v>
      </c>
    </row>
    <row r="50" spans="1:36" x14ac:dyDescent="0.25">
      <c r="A50" s="378"/>
      <c r="B50" s="40" t="s">
        <v>64</v>
      </c>
      <c r="C50" s="41" t="s">
        <v>10</v>
      </c>
      <c r="D50" s="360" t="s">
        <v>145</v>
      </c>
      <c r="E50" s="347"/>
      <c r="F50" s="52">
        <f>(F44+F46+F47)*0.2%</f>
        <v>0.20696560704999997</v>
      </c>
      <c r="G50" s="61">
        <f t="shared" si="1"/>
        <v>6.063963982472803E-5</v>
      </c>
      <c r="H50" s="67">
        <f t="shared" si="53"/>
        <v>40.151327767699996</v>
      </c>
      <c r="I50" s="68">
        <f t="shared" si="3"/>
        <v>1124.2371774956</v>
      </c>
      <c r="J50" s="52">
        <f>(J44+J46+J47)*0.2%</f>
        <v>0.28972045000000002</v>
      </c>
      <c r="K50" s="61">
        <f t="shared" si="4"/>
        <v>6.6380848567356638E-5</v>
      </c>
      <c r="L50" s="67">
        <f t="shared" si="54"/>
        <v>36.215056250000004</v>
      </c>
      <c r="M50" s="68">
        <f t="shared" si="6"/>
        <v>1014.0215750000001</v>
      </c>
      <c r="N50" s="52">
        <f>ROUND((N44+N46+N47)*0.2%,2)</f>
        <v>0.3</v>
      </c>
      <c r="O50" s="61">
        <f t="shared" si="7"/>
        <v>6.7744404876693892E-5</v>
      </c>
      <c r="P50" s="67">
        <f t="shared" si="55"/>
        <v>12</v>
      </c>
      <c r="Q50" s="68">
        <f t="shared" si="38"/>
        <v>336</v>
      </c>
      <c r="R50" s="52">
        <f>(R44+R46+R47)*0.2%</f>
        <v>0.33497510800000002</v>
      </c>
      <c r="S50" s="61">
        <f t="shared" si="9"/>
        <v>6.8574485745638412E-5</v>
      </c>
      <c r="T50" s="67">
        <f t="shared" si="56"/>
        <v>1.6748755400000002</v>
      </c>
      <c r="U50" s="68">
        <f t="shared" si="11"/>
        <v>46.896515120000004</v>
      </c>
      <c r="V50" s="52">
        <f>(V44+V46+V47)*0.2%</f>
        <v>0.71863619999999995</v>
      </c>
      <c r="W50" s="61">
        <f t="shared" si="12"/>
        <v>7.6346087997324505E-5</v>
      </c>
      <c r="X50" s="67">
        <f t="shared" si="57"/>
        <v>28.745447999999996</v>
      </c>
      <c r="Y50" s="68">
        <f t="shared" si="14"/>
        <v>804.87254399999983</v>
      </c>
      <c r="Z50" s="52">
        <f>(Z44+Z46+Z47)*0.2%</f>
        <v>0.81413064999999996</v>
      </c>
      <c r="AA50" s="61">
        <f t="shared" si="15"/>
        <v>7.716010547078323E-5</v>
      </c>
      <c r="AB50" s="67">
        <f t="shared" si="58"/>
        <v>31.75109535</v>
      </c>
      <c r="AC50" s="68">
        <f t="shared" si="17"/>
        <v>889.03066979999994</v>
      </c>
      <c r="AD50" s="52">
        <f>(AD44+AD46+AD47)*0.2%</f>
        <v>0.35931809999999997</v>
      </c>
      <c r="AE50" s="61">
        <f t="shared" si="18"/>
        <v>6.9347881102776025E-5</v>
      </c>
      <c r="AF50" s="67">
        <f t="shared" si="59"/>
        <v>5.7490895999999996</v>
      </c>
      <c r="AG50" s="229">
        <f t="shared" si="20"/>
        <v>160.9745088</v>
      </c>
      <c r="AH50" s="237">
        <f t="shared" si="21"/>
        <v>156.28689250769997</v>
      </c>
      <c r="AI50" s="237">
        <f t="shared" si="22"/>
        <v>4376.0329902156</v>
      </c>
      <c r="AJ50" s="238">
        <f t="shared" si="23"/>
        <v>6.8541805162588464E-5</v>
      </c>
    </row>
    <row r="51" spans="1:36" x14ac:dyDescent="0.25">
      <c r="A51" s="378"/>
      <c r="B51" s="40" t="s">
        <v>65</v>
      </c>
      <c r="C51" s="41" t="s">
        <v>12</v>
      </c>
      <c r="D51" s="360" t="s">
        <v>146</v>
      </c>
      <c r="E51" s="347"/>
      <c r="F51" s="52">
        <f>(F44+F46+F47)*1%</f>
        <v>1.0348280352499999</v>
      </c>
      <c r="G51" s="61">
        <f t="shared" si="1"/>
        <v>3.0319819912364012E-4</v>
      </c>
      <c r="H51" s="67">
        <f t="shared" si="53"/>
        <v>200.75663883849998</v>
      </c>
      <c r="I51" s="68">
        <f t="shared" si="3"/>
        <v>5621.1858874779991</v>
      </c>
      <c r="J51" s="52">
        <f>(J44+J46+J47)*1%</f>
        <v>1.4486022500000002</v>
      </c>
      <c r="K51" s="61">
        <f t="shared" si="4"/>
        <v>3.3190424283678323E-4</v>
      </c>
      <c r="L51" s="67">
        <f t="shared" si="54"/>
        <v>181.07528125000002</v>
      </c>
      <c r="M51" s="68">
        <f t="shared" si="6"/>
        <v>5070.1078750000006</v>
      </c>
      <c r="N51" s="52">
        <f>ROUND((N44+N46+N47)*1%,2)</f>
        <v>1.48</v>
      </c>
      <c r="O51" s="61">
        <f t="shared" si="7"/>
        <v>3.342057307250232E-4</v>
      </c>
      <c r="P51" s="67">
        <f t="shared" si="55"/>
        <v>59.2</v>
      </c>
      <c r="Q51" s="68">
        <f t="shared" si="38"/>
        <v>1657.6</v>
      </c>
      <c r="R51" s="52">
        <f>(R44+R46+R47)*1%</f>
        <v>1.6748755400000002</v>
      </c>
      <c r="S51" s="61">
        <f t="shared" si="9"/>
        <v>3.4287242872819209E-4</v>
      </c>
      <c r="T51" s="67">
        <f t="shared" si="56"/>
        <v>8.3743777000000001</v>
      </c>
      <c r="U51" s="68">
        <f t="shared" si="11"/>
        <v>234.48257560000002</v>
      </c>
      <c r="V51" s="52">
        <f>(V44+V46+V47)*1%</f>
        <v>3.5931809999999995</v>
      </c>
      <c r="W51" s="61">
        <f t="shared" si="12"/>
        <v>3.8173043998662254E-4</v>
      </c>
      <c r="X51" s="67">
        <f t="shared" si="57"/>
        <v>143.72723999999999</v>
      </c>
      <c r="Y51" s="68">
        <f t="shared" si="14"/>
        <v>4024.3627200000001</v>
      </c>
      <c r="Z51" s="52">
        <f>(Z44+Z46+Z47)*1%</f>
        <v>4.0706532499999994</v>
      </c>
      <c r="AA51" s="61">
        <f t="shared" si="15"/>
        <v>3.8580052735391612E-4</v>
      </c>
      <c r="AB51" s="67">
        <f t="shared" si="58"/>
        <v>158.75547674999999</v>
      </c>
      <c r="AC51" s="68">
        <f t="shared" si="17"/>
        <v>4445.1533489999993</v>
      </c>
      <c r="AD51" s="52">
        <f>(AD44+AD46+AD47)*1%</f>
        <v>1.7965904999999998</v>
      </c>
      <c r="AE51" s="61">
        <f t="shared" si="18"/>
        <v>3.4673940551388011E-4</v>
      </c>
      <c r="AF51" s="67">
        <f t="shared" si="59"/>
        <v>28.745447999999996</v>
      </c>
      <c r="AG51" s="229">
        <f t="shared" si="20"/>
        <v>804.87254399999983</v>
      </c>
      <c r="AH51" s="237">
        <f t="shared" si="21"/>
        <v>780.63446253849997</v>
      </c>
      <c r="AI51" s="237">
        <f t="shared" si="22"/>
        <v>21857.764951077996</v>
      </c>
      <c r="AJ51" s="238">
        <f t="shared" si="23"/>
        <v>3.4235817461070617E-4</v>
      </c>
    </row>
    <row r="52" spans="1:36" x14ac:dyDescent="0.25">
      <c r="A52" s="378"/>
      <c r="B52" s="40" t="s">
        <v>66</v>
      </c>
      <c r="C52" s="41" t="s">
        <v>14</v>
      </c>
      <c r="D52" s="360" t="s">
        <v>147</v>
      </c>
      <c r="E52" s="347"/>
      <c r="F52" s="52">
        <f>(F44+F46+F47)*1.5%</f>
        <v>1.5522420528749996</v>
      </c>
      <c r="G52" s="61">
        <f t="shared" si="1"/>
        <v>4.5479729868546016E-4</v>
      </c>
      <c r="H52" s="67">
        <f t="shared" si="53"/>
        <v>301.13495825774993</v>
      </c>
      <c r="I52" s="68">
        <f t="shared" si="3"/>
        <v>8431.7788312169978</v>
      </c>
      <c r="J52" s="52">
        <f>(J44+J46+J47)*1.5%</f>
        <v>2.1729033750000002</v>
      </c>
      <c r="K52" s="61">
        <f t="shared" si="4"/>
        <v>4.9785636425517482E-4</v>
      </c>
      <c r="L52" s="67">
        <f t="shared" si="54"/>
        <v>271.61292187500004</v>
      </c>
      <c r="M52" s="68">
        <f t="shared" si="6"/>
        <v>7605.1618125000014</v>
      </c>
      <c r="N52" s="52">
        <f>ROUND((N44+N46+N47)*1.5%,2)</f>
        <v>2.2200000000000002</v>
      </c>
      <c r="O52" s="61">
        <f t="shared" si="7"/>
        <v>5.0130859608753491E-4</v>
      </c>
      <c r="P52" s="67">
        <f t="shared" si="55"/>
        <v>88.800000000000011</v>
      </c>
      <c r="Q52" s="68">
        <f t="shared" si="38"/>
        <v>2486.4</v>
      </c>
      <c r="R52" s="52">
        <f>(R44+R46+R47)*1.5%</f>
        <v>2.5123133100000001</v>
      </c>
      <c r="S52" s="61">
        <f t="shared" si="9"/>
        <v>5.1430864309228808E-4</v>
      </c>
      <c r="T52" s="67">
        <f t="shared" si="56"/>
        <v>12.56156655</v>
      </c>
      <c r="U52" s="68">
        <f t="shared" si="11"/>
        <v>351.72386340000003</v>
      </c>
      <c r="V52" s="52">
        <f>(V44+V46+V47)*1.5%</f>
        <v>5.3897714999999993</v>
      </c>
      <c r="W52" s="61">
        <f t="shared" si="12"/>
        <v>5.7259565997993373E-4</v>
      </c>
      <c r="X52" s="67">
        <f t="shared" si="57"/>
        <v>215.59085999999996</v>
      </c>
      <c r="Y52" s="68">
        <f t="shared" si="14"/>
        <v>6036.5440799999988</v>
      </c>
      <c r="Z52" s="52">
        <f>(Z44+Z46+Z47)*1.5%</f>
        <v>6.1059798749999992</v>
      </c>
      <c r="AA52" s="61">
        <f t="shared" si="15"/>
        <v>5.7870079103087418E-4</v>
      </c>
      <c r="AB52" s="67">
        <f t="shared" si="58"/>
        <v>238.13321512499996</v>
      </c>
      <c r="AC52" s="68">
        <f t="shared" si="17"/>
        <v>6667.7300234999993</v>
      </c>
      <c r="AD52" s="52">
        <f>(AD44+AD46+AD47)*1.5%</f>
        <v>2.6948857499999996</v>
      </c>
      <c r="AE52" s="61">
        <f t="shared" si="18"/>
        <v>5.201091082708202E-4</v>
      </c>
      <c r="AF52" s="67">
        <f t="shared" si="59"/>
        <v>43.118171999999994</v>
      </c>
      <c r="AG52" s="229">
        <f t="shared" si="20"/>
        <v>1207.3088159999998</v>
      </c>
      <c r="AH52" s="237">
        <f t="shared" si="21"/>
        <v>1170.95169380775</v>
      </c>
      <c r="AI52" s="237">
        <f t="shared" si="22"/>
        <v>32786.647426616997</v>
      </c>
      <c r="AJ52" s="238">
        <f t="shared" si="23"/>
        <v>5.1353726191605937E-4</v>
      </c>
    </row>
    <row r="53" spans="1:36" x14ac:dyDescent="0.25">
      <c r="A53" s="378"/>
      <c r="B53" s="40" t="s">
        <v>67</v>
      </c>
      <c r="C53" s="41" t="s">
        <v>16</v>
      </c>
      <c r="D53" s="360" t="s">
        <v>148</v>
      </c>
      <c r="E53" s="347"/>
      <c r="F53" s="52">
        <f>(F44+F46+F47)*0.6%</f>
        <v>0.62089682114999989</v>
      </c>
      <c r="G53" s="61">
        <f t="shared" si="1"/>
        <v>1.8191891947418406E-4</v>
      </c>
      <c r="H53" s="67">
        <f t="shared" si="53"/>
        <v>120.45398330309997</v>
      </c>
      <c r="I53" s="68">
        <f t="shared" si="3"/>
        <v>3372.7115324867991</v>
      </c>
      <c r="J53" s="52">
        <f>(J44+J46+J47)*0.6%</f>
        <v>0.86916135000000005</v>
      </c>
      <c r="K53" s="61">
        <f t="shared" si="4"/>
        <v>1.991425457020699E-4</v>
      </c>
      <c r="L53" s="67">
        <f t="shared" si="54"/>
        <v>108.64516875000001</v>
      </c>
      <c r="M53" s="68">
        <f t="shared" si="6"/>
        <v>3042.0647250000002</v>
      </c>
      <c r="N53" s="52">
        <f>ROUND((N44+N46+N47)*0.6%,2)</f>
        <v>0.89</v>
      </c>
      <c r="O53" s="61">
        <f t="shared" si="7"/>
        <v>2.0097506780085856E-4</v>
      </c>
      <c r="P53" s="67">
        <f t="shared" si="55"/>
        <v>35.6</v>
      </c>
      <c r="Q53" s="68">
        <f t="shared" si="38"/>
        <v>996.8</v>
      </c>
      <c r="R53" s="52">
        <f>(R44+R46+R47)*0.6%</f>
        <v>1.0049253240000002</v>
      </c>
      <c r="S53" s="61">
        <f t="shared" si="9"/>
        <v>2.0572345723691526E-4</v>
      </c>
      <c r="T53" s="67">
        <f t="shared" si="56"/>
        <v>5.0246266200000012</v>
      </c>
      <c r="U53" s="68">
        <f t="shared" si="11"/>
        <v>140.68954536000004</v>
      </c>
      <c r="V53" s="52">
        <f>(V44+V46+V47)*0.6%</f>
        <v>2.1559085999999996</v>
      </c>
      <c r="W53" s="61">
        <f t="shared" si="12"/>
        <v>2.290382639919735E-4</v>
      </c>
      <c r="X53" s="67">
        <f t="shared" si="57"/>
        <v>86.236343999999988</v>
      </c>
      <c r="Y53" s="68">
        <f t="shared" si="14"/>
        <v>2414.6176319999995</v>
      </c>
      <c r="Z53" s="52">
        <f>(Z44+Z46+Z47)*0.6%</f>
        <v>2.4423919499999998</v>
      </c>
      <c r="AA53" s="61">
        <f t="shared" si="15"/>
        <v>2.3148031641234969E-4</v>
      </c>
      <c r="AB53" s="67">
        <f t="shared" si="58"/>
        <v>95.253286049999986</v>
      </c>
      <c r="AC53" s="68">
        <f t="shared" si="17"/>
        <v>2667.0920093999994</v>
      </c>
      <c r="AD53" s="52">
        <f>(AD44+AD46+AD47)*0.6%</f>
        <v>1.0779542999999998</v>
      </c>
      <c r="AE53" s="61">
        <f t="shared" si="18"/>
        <v>2.0804364330832806E-4</v>
      </c>
      <c r="AF53" s="67">
        <f t="shared" si="59"/>
        <v>17.247268799999997</v>
      </c>
      <c r="AG53" s="229">
        <f t="shared" si="20"/>
        <v>482.9235263999999</v>
      </c>
      <c r="AH53" s="237">
        <f t="shared" si="21"/>
        <v>468.46067752309995</v>
      </c>
      <c r="AI53" s="237">
        <f t="shared" si="22"/>
        <v>13116.898970646798</v>
      </c>
      <c r="AJ53" s="238">
        <f t="shared" si="23"/>
        <v>2.0544998988664733E-4</v>
      </c>
    </row>
    <row r="54" spans="1:36" x14ac:dyDescent="0.25">
      <c r="A54" s="378"/>
      <c r="B54" s="40" t="s">
        <v>68</v>
      </c>
      <c r="C54" s="41" t="s">
        <v>18</v>
      </c>
      <c r="D54" s="360" t="s">
        <v>149</v>
      </c>
      <c r="E54" s="347"/>
      <c r="F54" s="52">
        <f>(F44+F46+F47)*2.5%</f>
        <v>2.5870700881249995</v>
      </c>
      <c r="G54" s="61">
        <f t="shared" si="1"/>
        <v>7.5799549780910028E-4</v>
      </c>
      <c r="H54" s="67">
        <f t="shared" si="53"/>
        <v>501.89159709624988</v>
      </c>
      <c r="I54" s="68">
        <f t="shared" si="3"/>
        <v>14052.964718694997</v>
      </c>
      <c r="J54" s="52">
        <f>(J44+J46+J47)*2.5%</f>
        <v>3.6215056250000006</v>
      </c>
      <c r="K54" s="61">
        <f t="shared" si="4"/>
        <v>8.2976060709195811E-4</v>
      </c>
      <c r="L54" s="67">
        <f t="shared" si="54"/>
        <v>452.68820312500009</v>
      </c>
      <c r="M54" s="68">
        <f t="shared" si="6"/>
        <v>12675.269687500002</v>
      </c>
      <c r="N54" s="52">
        <f>ROUND((N44+N46+N47)*2.5%,2)</f>
        <v>3.7</v>
      </c>
      <c r="O54" s="61">
        <f t="shared" si="7"/>
        <v>8.3551432681255812E-4</v>
      </c>
      <c r="P54" s="67">
        <f t="shared" si="55"/>
        <v>148</v>
      </c>
      <c r="Q54" s="68">
        <f t="shared" ref="Q54:Q71" si="60">ROUND(P54*28,2)</f>
        <v>4144</v>
      </c>
      <c r="R54" s="52">
        <f>(R44+R46+R47)*2.5%</f>
        <v>4.187188850000001</v>
      </c>
      <c r="S54" s="61">
        <f t="shared" si="9"/>
        <v>8.5718107182048027E-4</v>
      </c>
      <c r="T54" s="67">
        <f t="shared" si="56"/>
        <v>20.935944250000006</v>
      </c>
      <c r="U54" s="68">
        <f t="shared" si="11"/>
        <v>586.20643900000016</v>
      </c>
      <c r="V54" s="52">
        <f>(V44+V46+V47)*2.5%</f>
        <v>8.9829524999999997</v>
      </c>
      <c r="W54" s="61">
        <f t="shared" si="12"/>
        <v>9.5432609996655643E-4</v>
      </c>
      <c r="X54" s="67">
        <f t="shared" si="57"/>
        <v>359.31809999999996</v>
      </c>
      <c r="Y54" s="68">
        <f t="shared" si="14"/>
        <v>10060.906799999999</v>
      </c>
      <c r="Z54" s="52">
        <f>(Z44+Z46+Z47)*2.5%</f>
        <v>10.176633125</v>
      </c>
      <c r="AA54" s="61">
        <f t="shared" si="15"/>
        <v>9.6450131838479052E-4</v>
      </c>
      <c r="AB54" s="67">
        <f t="shared" si="58"/>
        <v>396.88869187500001</v>
      </c>
      <c r="AC54" s="68">
        <f t="shared" si="17"/>
        <v>11112.8833725</v>
      </c>
      <c r="AD54" s="52">
        <f>(AD44+AD46+AD47)*2.5%</f>
        <v>4.4914762499999998</v>
      </c>
      <c r="AE54" s="61">
        <f t="shared" si="18"/>
        <v>8.6684851378470036E-4</v>
      </c>
      <c r="AF54" s="67">
        <f t="shared" si="59"/>
        <v>71.863619999999997</v>
      </c>
      <c r="AG54" s="229">
        <f t="shared" si="20"/>
        <v>2012.18136</v>
      </c>
      <c r="AH54" s="237">
        <f t="shared" si="21"/>
        <v>1951.5861563462499</v>
      </c>
      <c r="AI54" s="237">
        <f t="shared" si="22"/>
        <v>54644.412377695</v>
      </c>
      <c r="AJ54" s="238">
        <f t="shared" si="23"/>
        <v>8.5589543652676565E-4</v>
      </c>
    </row>
    <row r="55" spans="1:36" x14ac:dyDescent="0.25">
      <c r="A55" s="378"/>
      <c r="B55" s="40" t="s">
        <v>69</v>
      </c>
      <c r="C55" s="41" t="s">
        <v>20</v>
      </c>
      <c r="D55" s="360" t="s">
        <v>201</v>
      </c>
      <c r="E55" s="347"/>
      <c r="F55" s="52">
        <f>(F44+F46+F47)*2.017%</f>
        <v>2.0872481470992494</v>
      </c>
      <c r="G55" s="61">
        <f t="shared" si="1"/>
        <v>6.1155076763238212E-4</v>
      </c>
      <c r="H55" s="67">
        <f t="shared" si="53"/>
        <v>404.92614053725441</v>
      </c>
      <c r="I55" s="68">
        <f t="shared" si="3"/>
        <v>11337.931935043123</v>
      </c>
      <c r="J55" s="52">
        <f>(J44+J46+J47)*2.017%</f>
        <v>2.9218307382500002</v>
      </c>
      <c r="K55" s="61">
        <f t="shared" si="4"/>
        <v>6.6945085780179166E-4</v>
      </c>
      <c r="L55" s="67">
        <f t="shared" si="54"/>
        <v>365.22884228125002</v>
      </c>
      <c r="M55" s="68">
        <f t="shared" si="6"/>
        <v>10226.407583875001</v>
      </c>
      <c r="N55" s="52">
        <f>ROUND((N44+N46+N47)*2.017%,2)</f>
        <v>2.98</v>
      </c>
      <c r="O55" s="61">
        <f t="shared" si="7"/>
        <v>6.7292775510849269E-4</v>
      </c>
      <c r="P55" s="67">
        <f t="shared" si="55"/>
        <v>119.2</v>
      </c>
      <c r="Q55" s="68">
        <f t="shared" si="60"/>
        <v>3337.6</v>
      </c>
      <c r="R55" s="52">
        <f>(R44+R46+R47)*2.017%</f>
        <v>3.3782239641800005</v>
      </c>
      <c r="S55" s="61">
        <f t="shared" si="9"/>
        <v>6.9157368874476338E-4</v>
      </c>
      <c r="T55" s="67">
        <f t="shared" si="56"/>
        <v>16.891119820900002</v>
      </c>
      <c r="U55" s="68">
        <f t="shared" si="11"/>
        <v>472.95135498520006</v>
      </c>
      <c r="V55" s="52">
        <f>(V44+V46+V47)*2.017%</f>
        <v>7.2474460769999993</v>
      </c>
      <c r="W55" s="61">
        <f t="shared" si="12"/>
        <v>7.6995029745301766E-4</v>
      </c>
      <c r="X55" s="67">
        <f t="shared" si="57"/>
        <v>289.89784307999997</v>
      </c>
      <c r="Y55" s="68">
        <f t="shared" si="14"/>
        <v>8117.139606239999</v>
      </c>
      <c r="Z55" s="52">
        <f>(Z44+Z46+Z47)*2.017%</f>
        <v>8.2105076052499992</v>
      </c>
      <c r="AA55" s="61">
        <f t="shared" si="15"/>
        <v>7.7815966367284894E-4</v>
      </c>
      <c r="AB55" s="67">
        <f t="shared" si="58"/>
        <v>320.20979660474995</v>
      </c>
      <c r="AC55" s="68">
        <f t="shared" si="17"/>
        <v>8965.8743049329987</v>
      </c>
      <c r="AD55" s="52">
        <f>(AD44+AD46+AD47)*2.017%</f>
        <v>3.6237230384999997</v>
      </c>
      <c r="AE55" s="61">
        <f t="shared" si="18"/>
        <v>6.9937338092149626E-4</v>
      </c>
      <c r="AF55" s="67">
        <f t="shared" si="59"/>
        <v>57.979568615999995</v>
      </c>
      <c r="AG55" s="229">
        <f t="shared" si="20"/>
        <v>1623.4279212479998</v>
      </c>
      <c r="AH55" s="237">
        <f t="shared" si="21"/>
        <v>1574.3333109401544</v>
      </c>
      <c r="AI55" s="237">
        <f t="shared" si="22"/>
        <v>44081.332706324327</v>
      </c>
      <c r="AJ55" s="238">
        <f t="shared" si="23"/>
        <v>6.9044591857961757E-4</v>
      </c>
    </row>
    <row r="56" spans="1:36" s="88" customFormat="1" x14ac:dyDescent="0.25">
      <c r="A56" s="376"/>
      <c r="B56" s="42" t="s">
        <v>70</v>
      </c>
      <c r="C56" s="43" t="s">
        <v>22</v>
      </c>
      <c r="D56" s="344" t="s">
        <v>150</v>
      </c>
      <c r="E56" s="345"/>
      <c r="F56" s="53">
        <f>SUM(F44:F55)</f>
        <v>196.04175061953734</v>
      </c>
      <c r="G56" s="62">
        <f>F56/$F$82</f>
        <v>5.7439017610814665E-2</v>
      </c>
      <c r="H56" s="66">
        <f>SUM(H44:H55)</f>
        <v>38032.099620190245</v>
      </c>
      <c r="I56" s="69">
        <f t="shared" si="3"/>
        <v>1064898.789365327</v>
      </c>
      <c r="J56" s="53">
        <f>SUM(J44:J55)</f>
        <v>250.13183019777387</v>
      </c>
      <c r="K56" s="62">
        <f t="shared" si="4"/>
        <v>5.7310290461837228E-2</v>
      </c>
      <c r="L56" s="66">
        <f>SUM(L44:L55)</f>
        <v>31266.478774721727</v>
      </c>
      <c r="M56" s="69">
        <f t="shared" si="6"/>
        <v>875461.40569220833</v>
      </c>
      <c r="N56" s="53">
        <f>SUM(N44:N55)</f>
        <v>254.03999999999996</v>
      </c>
      <c r="O56" s="62">
        <f t="shared" si="7"/>
        <v>5.7365962049584385E-2</v>
      </c>
      <c r="P56" s="66">
        <f>ROUND(SUM(P44:P55),2)</f>
        <v>10161.6</v>
      </c>
      <c r="Q56" s="69">
        <f t="shared" si="60"/>
        <v>284524.79999999999</v>
      </c>
      <c r="R56" s="53">
        <f>SUM(R44:R55)</f>
        <v>279.71110272427524</v>
      </c>
      <c r="S56" s="62">
        <f t="shared" si="9"/>
        <v>5.7261105582396325E-2</v>
      </c>
      <c r="T56" s="66">
        <f>SUM(T44:T55)</f>
        <v>1398.5555136213759</v>
      </c>
      <c r="U56" s="69">
        <f t="shared" si="11"/>
        <v>39159.554381398528</v>
      </c>
      <c r="V56" s="53">
        <f>SUM(V44:V55)</f>
        <v>536.51761526866653</v>
      </c>
      <c r="W56" s="62">
        <f t="shared" si="12"/>
        <v>5.6998271263563278E-2</v>
      </c>
      <c r="X56" s="66">
        <f>SUM(X44:X55)</f>
        <v>21460.70461074667</v>
      </c>
      <c r="Y56" s="69">
        <f t="shared" si="14"/>
        <v>600899.72910090676</v>
      </c>
      <c r="Z56" s="53">
        <f>SUM(Z44:Z55)</f>
        <v>601.36646384691653</v>
      </c>
      <c r="AA56" s="62">
        <f t="shared" si="15"/>
        <v>5.699515154848922E-2</v>
      </c>
      <c r="AB56" s="66">
        <f>SUM(AB44:AB55)</f>
        <v>23453.292090029747</v>
      </c>
      <c r="AC56" s="69">
        <f t="shared" si="17"/>
        <v>656692.17852083291</v>
      </c>
      <c r="AD56" s="53">
        <f>SUM(AD44:AD55)</f>
        <v>295.62212771707141</v>
      </c>
      <c r="AE56" s="62">
        <f t="shared" si="18"/>
        <v>5.7054649248877633E-2</v>
      </c>
      <c r="AF56" s="66">
        <f>SUM(AF44:AF55)</f>
        <v>4729.9540434731425</v>
      </c>
      <c r="AG56" s="230">
        <f t="shared" si="20"/>
        <v>132438.71321724798</v>
      </c>
      <c r="AH56" s="237">
        <f t="shared" si="21"/>
        <v>130502.6846527829</v>
      </c>
      <c r="AI56" s="237">
        <f t="shared" si="22"/>
        <v>3654075.1702779215</v>
      </c>
      <c r="AJ56" s="238">
        <f t="shared" si="23"/>
        <v>5.723377975683451E-2</v>
      </c>
    </row>
    <row r="57" spans="1:36" x14ac:dyDescent="0.25">
      <c r="A57" s="375" t="s">
        <v>71</v>
      </c>
      <c r="B57" s="40" t="s">
        <v>72</v>
      </c>
      <c r="C57" s="41" t="s">
        <v>73</v>
      </c>
      <c r="D57" s="361" t="s">
        <v>151</v>
      </c>
      <c r="E57" s="362"/>
      <c r="F57" s="52">
        <f>((H6/30*33)*21.36%)/28</f>
        <v>10.730203628571427</v>
      </c>
      <c r="G57" s="61">
        <f t="shared" si="1"/>
        <v>3.1438831434701469E-3</v>
      </c>
      <c r="H57" s="67">
        <f>F57*$F$6</f>
        <v>2081.6595039428571</v>
      </c>
      <c r="I57" s="68">
        <f t="shared" si="3"/>
        <v>58286.466110399997</v>
      </c>
      <c r="J57" s="52">
        <f>((L6/30*33)*21.36%)/28</f>
        <v>15.020657142857143</v>
      </c>
      <c r="K57" s="61">
        <f t="shared" si="4"/>
        <v>3.4415381005454869E-3</v>
      </c>
      <c r="L57" s="67">
        <f>J57*$J$6</f>
        <v>1877.5821428571428</v>
      </c>
      <c r="M57" s="68">
        <f t="shared" si="6"/>
        <v>52572.299999999996</v>
      </c>
      <c r="N57" s="52">
        <f>ROUND(((P6/30*33)*21.36%)/28,2)</f>
        <v>15.33</v>
      </c>
      <c r="O57" s="61">
        <f t="shared" si="7"/>
        <v>3.461739089199058E-3</v>
      </c>
      <c r="P57" s="67">
        <f>N57*$N$6</f>
        <v>613.20000000000005</v>
      </c>
      <c r="Q57" s="68">
        <f t="shared" si="60"/>
        <v>17169.599999999999</v>
      </c>
      <c r="R57" s="52">
        <f>((T6/30*33)*21.36%)/28</f>
        <v>17.36690057142857</v>
      </c>
      <c r="S57" s="61">
        <f t="shared" si="9"/>
        <v>3.555267980334073E-3</v>
      </c>
      <c r="T57" s="67">
        <f>R57*$R$6</f>
        <v>86.834502857142851</v>
      </c>
      <c r="U57" s="68">
        <f t="shared" si="11"/>
        <v>2431.3660799999998</v>
      </c>
      <c r="V57" s="52">
        <f>((X6/30*33)*21.36%)/28</f>
        <v>37.257942857142851</v>
      </c>
      <c r="W57" s="61">
        <f t="shared" si="12"/>
        <v>3.9581893925893473E-3</v>
      </c>
      <c r="X57" s="67">
        <f>V57*$V$6</f>
        <v>1490.3177142857139</v>
      </c>
      <c r="Y57" s="68">
        <f t="shared" si="14"/>
        <v>41728.895999999993</v>
      </c>
      <c r="Z57" s="52">
        <f>((AB6/30*33)*21.36%)/28</f>
        <v>42.208885714285714</v>
      </c>
      <c r="AA57" s="61">
        <f t="shared" si="15"/>
        <v>4.0003924106266258E-3</v>
      </c>
      <c r="AB57" s="67">
        <f>Z57*$Z$6</f>
        <v>1646.1465428571428</v>
      </c>
      <c r="AC57" s="68">
        <f t="shared" si="17"/>
        <v>46092.103199999998</v>
      </c>
      <c r="AD57" s="52">
        <f>((AF6/30*33)*21.36%)/28</f>
        <v>18.628971428571425</v>
      </c>
      <c r="AE57" s="61">
        <f t="shared" si="18"/>
        <v>3.5953649306716888E-3</v>
      </c>
      <c r="AF57" s="67">
        <f>AD57*$AD$6</f>
        <v>298.06354285714281</v>
      </c>
      <c r="AG57" s="229">
        <f t="shared" si="20"/>
        <v>8345.779199999999</v>
      </c>
      <c r="AH57" s="237">
        <f t="shared" si="21"/>
        <v>8093.8039496571419</v>
      </c>
      <c r="AI57" s="237">
        <f t="shared" si="22"/>
        <v>226626.51059039996</v>
      </c>
      <c r="AJ57" s="238">
        <f t="shared" si="23"/>
        <v>3.5496510580006351E-3</v>
      </c>
    </row>
    <row r="58" spans="1:36" x14ac:dyDescent="0.25">
      <c r="A58" s="378"/>
      <c r="B58" s="40" t="s">
        <v>74</v>
      </c>
      <c r="C58" s="41" t="s">
        <v>75</v>
      </c>
      <c r="D58" s="360" t="s">
        <v>152</v>
      </c>
      <c r="E58" s="347"/>
      <c r="F58" s="52">
        <f>(H6+H6/3)/12/28</f>
        <v>5.0742460317460312</v>
      </c>
      <c r="G58" s="61">
        <f t="shared" si="1"/>
        <v>1.4867226305518419E-3</v>
      </c>
      <c r="H58" s="67">
        <f t="shared" ref="H58:H68" si="61">F58*$F$6</f>
        <v>984.40373015873001</v>
      </c>
      <c r="I58" s="68">
        <f t="shared" si="3"/>
        <v>27563.304444444439</v>
      </c>
      <c r="J58" s="52">
        <f>(L6+L6/3)/12/28</f>
        <v>7.1031746031746028</v>
      </c>
      <c r="K58" s="61">
        <f t="shared" si="4"/>
        <v>1.6274817938493015E-3</v>
      </c>
      <c r="L58" s="67">
        <f t="shared" ref="L58:L68" si="62">J58*$J$6</f>
        <v>887.89682539682531</v>
      </c>
      <c r="M58" s="68">
        <f t="shared" si="6"/>
        <v>24861.111111111109</v>
      </c>
      <c r="N58" s="52">
        <f>ROUND((P6+P6/3)/12/28,2)</f>
        <v>7.25</v>
      </c>
      <c r="O58" s="61">
        <f t="shared" si="7"/>
        <v>1.6371564511867692E-3</v>
      </c>
      <c r="P58" s="67">
        <f t="shared" ref="P58:P68" si="63">N58*$N$6</f>
        <v>290</v>
      </c>
      <c r="Q58" s="68">
        <f t="shared" si="60"/>
        <v>8120</v>
      </c>
      <c r="R58" s="52">
        <f>(T6+T6/3)/12/28</f>
        <v>8.2126984126984119</v>
      </c>
      <c r="S58" s="61">
        <f t="shared" si="9"/>
        <v>1.6812639410651803E-3</v>
      </c>
      <c r="T58" s="67">
        <f t="shared" ref="T58:T68" si="64">R58*$R$6</f>
        <v>41.063492063492063</v>
      </c>
      <c r="U58" s="68">
        <f t="shared" si="11"/>
        <v>1149.7777777777778</v>
      </c>
      <c r="V58" s="52">
        <f>(X6+X6/3)/12/28</f>
        <v>17.619047619047617</v>
      </c>
      <c r="W58" s="61">
        <f t="shared" si="12"/>
        <v>1.8718029511355821E-3</v>
      </c>
      <c r="X58" s="67">
        <f t="shared" ref="X58:X68" si="65">V58*$V$6</f>
        <v>704.7619047619047</v>
      </c>
      <c r="Y58" s="68">
        <f t="shared" si="14"/>
        <v>19733.333333333332</v>
      </c>
      <c r="Z58" s="52">
        <f>(AB6+AB6/3)/12/28</f>
        <v>19.960317460317462</v>
      </c>
      <c r="AA58" s="61">
        <f t="shared" si="15"/>
        <v>1.8917604938082256E-3</v>
      </c>
      <c r="AB58" s="67">
        <f t="shared" ref="AB58:AB68" si="66">Z58*$Z$6</f>
        <v>778.45238095238108</v>
      </c>
      <c r="AC58" s="68">
        <f t="shared" si="17"/>
        <v>21796.666666666672</v>
      </c>
      <c r="AD58" s="52">
        <f>(AF6+AF6/3)/12/28</f>
        <v>8.8095238095238084</v>
      </c>
      <c r="AE58" s="61">
        <f t="shared" si="18"/>
        <v>1.7002255375249164E-3</v>
      </c>
      <c r="AF58" s="67">
        <f t="shared" ref="AF58:AF68" si="67">AD58*$AD$6</f>
        <v>140.95238095238093</v>
      </c>
      <c r="AG58" s="229">
        <f t="shared" si="20"/>
        <v>3946.6666666666661</v>
      </c>
      <c r="AH58" s="237">
        <f t="shared" si="21"/>
        <v>3827.5307142857141</v>
      </c>
      <c r="AI58" s="237">
        <f t="shared" si="22"/>
        <v>107170.86</v>
      </c>
      <c r="AJ58" s="238">
        <f t="shared" si="23"/>
        <v>1.6786171908784299E-3</v>
      </c>
    </row>
    <row r="59" spans="1:36" x14ac:dyDescent="0.25">
      <c r="A59" s="378"/>
      <c r="B59" s="40" t="s">
        <v>76</v>
      </c>
      <c r="C59" s="41" t="s">
        <v>77</v>
      </c>
      <c r="D59" s="360" t="s">
        <v>142</v>
      </c>
      <c r="E59" s="347"/>
      <c r="F59" s="52">
        <f>H6/12/28</f>
        <v>3.805684523809524</v>
      </c>
      <c r="G59" s="61">
        <f t="shared" si="1"/>
        <v>1.1150419729138816E-3</v>
      </c>
      <c r="H59" s="67">
        <f t="shared" si="61"/>
        <v>738.30279761904762</v>
      </c>
      <c r="I59" s="68">
        <f t="shared" si="3"/>
        <v>20672.478333333333</v>
      </c>
      <c r="J59" s="52">
        <f>L6/12/28</f>
        <v>5.3273809523809517</v>
      </c>
      <c r="K59" s="61">
        <f t="shared" si="4"/>
        <v>1.2206113453869761E-3</v>
      </c>
      <c r="L59" s="67">
        <f t="shared" si="62"/>
        <v>665.92261904761892</v>
      </c>
      <c r="M59" s="68">
        <f t="shared" si="6"/>
        <v>18645.833333333328</v>
      </c>
      <c r="N59" s="52">
        <f>ROUND(P6/12/28,2)</f>
        <v>5.44</v>
      </c>
      <c r="O59" s="61">
        <f t="shared" si="7"/>
        <v>1.2284318750973827E-3</v>
      </c>
      <c r="P59" s="67">
        <f t="shared" si="63"/>
        <v>217.60000000000002</v>
      </c>
      <c r="Q59" s="68">
        <f t="shared" si="60"/>
        <v>6092.8</v>
      </c>
      <c r="R59" s="52">
        <f>T6/12/28</f>
        <v>6.1595238095238098</v>
      </c>
      <c r="S59" s="61">
        <f t="shared" si="9"/>
        <v>1.2609479557988855E-3</v>
      </c>
      <c r="T59" s="67">
        <f t="shared" si="64"/>
        <v>30.797619047619051</v>
      </c>
      <c r="U59" s="68">
        <f t="shared" si="11"/>
        <v>862.33333333333348</v>
      </c>
      <c r="V59" s="52">
        <f>X6/12/28</f>
        <v>13.214285714285714</v>
      </c>
      <c r="W59" s="61">
        <f t="shared" si="12"/>
        <v>1.4038522133516865E-3</v>
      </c>
      <c r="X59" s="67">
        <f t="shared" si="65"/>
        <v>528.57142857142856</v>
      </c>
      <c r="Y59" s="68">
        <f t="shared" si="14"/>
        <v>14800</v>
      </c>
      <c r="Z59" s="52">
        <f>AB6/12/28</f>
        <v>14.970238095238097</v>
      </c>
      <c r="AA59" s="61">
        <f t="shared" si="15"/>
        <v>1.4188203703561692E-3</v>
      </c>
      <c r="AB59" s="67">
        <f t="shared" si="66"/>
        <v>583.83928571428578</v>
      </c>
      <c r="AC59" s="68">
        <f t="shared" si="17"/>
        <v>16347.500000000002</v>
      </c>
      <c r="AD59" s="52">
        <f>AF6/12/28</f>
        <v>6.6071428571428568</v>
      </c>
      <c r="AE59" s="61">
        <f t="shared" si="18"/>
        <v>1.2751691531436874E-3</v>
      </c>
      <c r="AF59" s="67">
        <f t="shared" si="67"/>
        <v>105.71428571428571</v>
      </c>
      <c r="AG59" s="229">
        <f t="shared" si="20"/>
        <v>2960</v>
      </c>
      <c r="AH59" s="237">
        <f t="shared" si="21"/>
        <v>2870.7480357142858</v>
      </c>
      <c r="AI59" s="237">
        <f t="shared" si="22"/>
        <v>80380.945000000007</v>
      </c>
      <c r="AJ59" s="238">
        <f t="shared" si="23"/>
        <v>1.2590067495591021E-3</v>
      </c>
    </row>
    <row r="60" spans="1:36" x14ac:dyDescent="0.25">
      <c r="A60" s="378"/>
      <c r="B60" s="40" t="s">
        <v>78</v>
      </c>
      <c r="C60" s="41" t="s">
        <v>6</v>
      </c>
      <c r="D60" s="360" t="s">
        <v>153</v>
      </c>
      <c r="E60" s="347"/>
      <c r="F60" s="52">
        <f>(F57+F59)*8%</f>
        <v>1.1628710521904762</v>
      </c>
      <c r="G60" s="61">
        <f t="shared" si="1"/>
        <v>3.4071400931072227E-4</v>
      </c>
      <c r="H60" s="67">
        <f t="shared" si="61"/>
        <v>225.59698412495237</v>
      </c>
      <c r="I60" s="68">
        <f t="shared" si="3"/>
        <v>6316.7155554986666</v>
      </c>
      <c r="J60" s="52">
        <f>(J57+J59)*8%</f>
        <v>1.6278430476190477</v>
      </c>
      <c r="K60" s="61">
        <f t="shared" si="4"/>
        <v>3.7297195567459707E-4</v>
      </c>
      <c r="L60" s="67">
        <f t="shared" si="62"/>
        <v>203.48038095238095</v>
      </c>
      <c r="M60" s="68">
        <f t="shared" si="6"/>
        <v>5697.4506666666666</v>
      </c>
      <c r="N60" s="52">
        <f>ROUND((N57+N59)*8%,2)</f>
        <v>1.66</v>
      </c>
      <c r="O60" s="61">
        <f t="shared" si="7"/>
        <v>3.7485237365103953E-4</v>
      </c>
      <c r="P60" s="67">
        <f t="shared" si="63"/>
        <v>66.399999999999991</v>
      </c>
      <c r="Q60" s="68">
        <f t="shared" si="60"/>
        <v>1859.2</v>
      </c>
      <c r="R60" s="52">
        <f>(R57+R59)*8%</f>
        <v>1.8821139504761903</v>
      </c>
      <c r="S60" s="61">
        <f t="shared" si="9"/>
        <v>3.8529727489063667E-4</v>
      </c>
      <c r="T60" s="67">
        <f t="shared" si="64"/>
        <v>9.4105697523809511</v>
      </c>
      <c r="U60" s="68">
        <f t="shared" si="11"/>
        <v>263.49595306666663</v>
      </c>
      <c r="V60" s="52">
        <f>(V57+V59)*8%</f>
        <v>4.0377782857142854</v>
      </c>
      <c r="W60" s="61">
        <f t="shared" si="12"/>
        <v>4.2896332847528271E-4</v>
      </c>
      <c r="X60" s="67">
        <f t="shared" si="65"/>
        <v>161.51113142857142</v>
      </c>
      <c r="Y60" s="68">
        <f t="shared" si="14"/>
        <v>4522.3116799999998</v>
      </c>
      <c r="Z60" s="52">
        <f>(Z57+Z59)*8%</f>
        <v>4.574329904761905</v>
      </c>
      <c r="AA60" s="61">
        <f t="shared" si="15"/>
        <v>4.3353702247862362E-4</v>
      </c>
      <c r="AB60" s="67">
        <f t="shared" si="66"/>
        <v>178.39886628571429</v>
      </c>
      <c r="AC60" s="68">
        <f t="shared" si="17"/>
        <v>4995.1682559999999</v>
      </c>
      <c r="AD60" s="52">
        <f>(AD57+AD59)*8%</f>
        <v>2.0188891428571427</v>
      </c>
      <c r="AE60" s="61">
        <f t="shared" si="18"/>
        <v>3.8964272670523011E-4</v>
      </c>
      <c r="AF60" s="67">
        <f t="shared" si="67"/>
        <v>32.302226285714283</v>
      </c>
      <c r="AG60" s="229">
        <f t="shared" si="20"/>
        <v>904.46233599999994</v>
      </c>
      <c r="AH60" s="237">
        <f t="shared" si="21"/>
        <v>877.10015882971425</v>
      </c>
      <c r="AI60" s="237">
        <f t="shared" si="22"/>
        <v>24558.804447232003</v>
      </c>
      <c r="AJ60" s="238">
        <f t="shared" si="23"/>
        <v>3.8466455650860016E-4</v>
      </c>
    </row>
    <row r="61" spans="1:36" x14ac:dyDescent="0.25">
      <c r="A61" s="378"/>
      <c r="B61" s="40" t="s">
        <v>79</v>
      </c>
      <c r="C61" s="41" t="s">
        <v>8</v>
      </c>
      <c r="D61" s="360" t="s">
        <v>154</v>
      </c>
      <c r="E61" s="347"/>
      <c r="F61" s="52">
        <f>(F57+F59)*20%</f>
        <v>2.9071776304761907</v>
      </c>
      <c r="G61" s="61">
        <f t="shared" si="1"/>
        <v>8.5178502327680581E-4</v>
      </c>
      <c r="H61" s="67">
        <f t="shared" si="61"/>
        <v>563.99246031238101</v>
      </c>
      <c r="I61" s="68">
        <f t="shared" si="3"/>
        <v>15791.788888746669</v>
      </c>
      <c r="J61" s="52">
        <f>(J57+J59)*20%</f>
        <v>4.0696076190476189</v>
      </c>
      <c r="K61" s="61">
        <f t="shared" si="4"/>
        <v>9.3242988918649258E-4</v>
      </c>
      <c r="L61" s="67">
        <f t="shared" si="62"/>
        <v>508.70095238095234</v>
      </c>
      <c r="M61" s="68">
        <f t="shared" si="6"/>
        <v>14243.626666666665</v>
      </c>
      <c r="N61" s="52">
        <f>ROUND((N57+N59)*20%,2)</f>
        <v>4.1500000000000004</v>
      </c>
      <c r="O61" s="61">
        <f t="shared" si="7"/>
        <v>9.3713093412759894E-4</v>
      </c>
      <c r="P61" s="67">
        <f t="shared" si="63"/>
        <v>166</v>
      </c>
      <c r="Q61" s="68">
        <f t="shared" si="60"/>
        <v>4648</v>
      </c>
      <c r="R61" s="52">
        <f>(R57+R59)*20%</f>
        <v>4.7052848761904755</v>
      </c>
      <c r="S61" s="61">
        <f t="shared" si="9"/>
        <v>9.6324318722659156E-4</v>
      </c>
      <c r="T61" s="67">
        <f t="shared" si="64"/>
        <v>23.526424380952378</v>
      </c>
      <c r="U61" s="68">
        <f t="shared" si="11"/>
        <v>658.73988266666652</v>
      </c>
      <c r="V61" s="52">
        <f>(V57+V59)*20%</f>
        <v>10.094445714285714</v>
      </c>
      <c r="W61" s="61">
        <f t="shared" si="12"/>
        <v>1.0724083211882068E-3</v>
      </c>
      <c r="X61" s="67">
        <f t="shared" si="65"/>
        <v>403.77782857142853</v>
      </c>
      <c r="Y61" s="68">
        <f t="shared" si="14"/>
        <v>11305.779199999999</v>
      </c>
      <c r="Z61" s="52">
        <f>(Z57+Z59)*20%</f>
        <v>11.435824761904762</v>
      </c>
      <c r="AA61" s="61">
        <f t="shared" si="15"/>
        <v>1.0838425561965589E-3</v>
      </c>
      <c r="AB61" s="67">
        <f t="shared" si="66"/>
        <v>445.9971657142857</v>
      </c>
      <c r="AC61" s="68">
        <f t="shared" si="17"/>
        <v>12487.92064</v>
      </c>
      <c r="AD61" s="52">
        <f>(AD57+AD59)*20%</f>
        <v>5.0472228571428568</v>
      </c>
      <c r="AE61" s="61">
        <f t="shared" si="18"/>
        <v>9.7410681676307533E-4</v>
      </c>
      <c r="AF61" s="67">
        <f t="shared" si="67"/>
        <v>80.755565714285709</v>
      </c>
      <c r="AG61" s="229">
        <f t="shared" si="20"/>
        <v>2261.1558399999999</v>
      </c>
      <c r="AH61" s="237">
        <f t="shared" si="21"/>
        <v>2192.7503970742855</v>
      </c>
      <c r="AI61" s="237">
        <f t="shared" si="22"/>
        <v>61397.011118080001</v>
      </c>
      <c r="AJ61" s="238">
        <f t="shared" si="23"/>
        <v>9.6166139127150027E-4</v>
      </c>
    </row>
    <row r="62" spans="1:36" x14ac:dyDescent="0.25">
      <c r="A62" s="378"/>
      <c r="B62" s="40" t="s">
        <v>80</v>
      </c>
      <c r="C62" s="41" t="s">
        <v>10</v>
      </c>
      <c r="D62" s="360" t="s">
        <v>155</v>
      </c>
      <c r="E62" s="347"/>
      <c r="F62" s="52">
        <f>(F57+F59)*0.2%</f>
        <v>2.9071776304761904E-2</v>
      </c>
      <c r="G62" s="61">
        <f t="shared" si="1"/>
        <v>8.5178502327680574E-6</v>
      </c>
      <c r="H62" s="67">
        <f t="shared" si="61"/>
        <v>5.6399246031238093</v>
      </c>
      <c r="I62" s="68">
        <f t="shared" si="3"/>
        <v>157.91788888746666</v>
      </c>
      <c r="J62" s="52">
        <f>(J57+J59)*0.2%</f>
        <v>4.0696076190476195E-2</v>
      </c>
      <c r="K62" s="61">
        <f t="shared" si="4"/>
        <v>9.3242988918649283E-6</v>
      </c>
      <c r="L62" s="67">
        <f t="shared" si="62"/>
        <v>5.0870095238095248</v>
      </c>
      <c r="M62" s="68">
        <f t="shared" si="6"/>
        <v>142.43626666666668</v>
      </c>
      <c r="N62" s="52">
        <f>ROUND((N57+N59)*0.2%,2)</f>
        <v>0.04</v>
      </c>
      <c r="O62" s="61">
        <f t="shared" si="7"/>
        <v>9.0325873168925202E-6</v>
      </c>
      <c r="P62" s="67">
        <f t="shared" si="63"/>
        <v>1.6</v>
      </c>
      <c r="Q62" s="68">
        <f t="shared" si="60"/>
        <v>44.8</v>
      </c>
      <c r="R62" s="52">
        <f>(R57+R59)*0.2%</f>
        <v>4.7052848761904756E-2</v>
      </c>
      <c r="S62" s="61">
        <f t="shared" si="9"/>
        <v>9.6324318722659157E-6</v>
      </c>
      <c r="T62" s="67">
        <f t="shared" si="64"/>
        <v>0.23526424380952377</v>
      </c>
      <c r="U62" s="68">
        <f t="shared" si="11"/>
        <v>6.5873988266666652</v>
      </c>
      <c r="V62" s="52">
        <f>(V57+V59)*0.2%</f>
        <v>0.10094445714285713</v>
      </c>
      <c r="W62" s="61">
        <f t="shared" si="12"/>
        <v>1.0724083211882068E-5</v>
      </c>
      <c r="X62" s="67">
        <f t="shared" si="65"/>
        <v>4.0377782857142854</v>
      </c>
      <c r="Y62" s="68">
        <f t="shared" si="14"/>
        <v>113.05779199999999</v>
      </c>
      <c r="Z62" s="52">
        <f>(Z57+Z59)*0.2%</f>
        <v>0.11435824761904761</v>
      </c>
      <c r="AA62" s="61">
        <f t="shared" si="15"/>
        <v>1.0838425561965589E-5</v>
      </c>
      <c r="AB62" s="67">
        <f t="shared" si="66"/>
        <v>4.4599716571428569</v>
      </c>
      <c r="AC62" s="68">
        <f t="shared" si="17"/>
        <v>124.87920639999999</v>
      </c>
      <c r="AD62" s="52">
        <f>(AD57+AD59)*0.2%</f>
        <v>5.0472228571428565E-2</v>
      </c>
      <c r="AE62" s="61">
        <f t="shared" si="18"/>
        <v>9.7410681676307524E-6</v>
      </c>
      <c r="AF62" s="67">
        <f t="shared" si="67"/>
        <v>0.80755565714285704</v>
      </c>
      <c r="AG62" s="229">
        <f t="shared" si="20"/>
        <v>22.611558399999996</v>
      </c>
      <c r="AH62" s="237">
        <f t="shared" si="21"/>
        <v>21.86750397074286</v>
      </c>
      <c r="AI62" s="237">
        <f t="shared" si="22"/>
        <v>612.29011118080007</v>
      </c>
      <c r="AJ62" s="238">
        <f t="shared" si="23"/>
        <v>9.5903000725472965E-6</v>
      </c>
    </row>
    <row r="63" spans="1:36" x14ac:dyDescent="0.25">
      <c r="A63" s="378"/>
      <c r="B63" s="40" t="s">
        <v>81</v>
      </c>
      <c r="C63" s="41" t="s">
        <v>12</v>
      </c>
      <c r="D63" s="360" t="s">
        <v>156</v>
      </c>
      <c r="E63" s="347"/>
      <c r="F63" s="52">
        <f>(F57+F59)*1%</f>
        <v>0.14535888152380952</v>
      </c>
      <c r="G63" s="61">
        <f t="shared" si="1"/>
        <v>4.2589251163840284E-5</v>
      </c>
      <c r="H63" s="67">
        <f t="shared" si="61"/>
        <v>28.199623015619046</v>
      </c>
      <c r="I63" s="68">
        <f t="shared" si="3"/>
        <v>789.58944443733333</v>
      </c>
      <c r="J63" s="52">
        <f>(J57+J59)*1%</f>
        <v>0.20348038095238097</v>
      </c>
      <c r="K63" s="61">
        <f t="shared" si="4"/>
        <v>4.6621494459324633E-5</v>
      </c>
      <c r="L63" s="67">
        <f t="shared" si="62"/>
        <v>25.435047619047619</v>
      </c>
      <c r="M63" s="68">
        <f t="shared" si="6"/>
        <v>712.18133333333333</v>
      </c>
      <c r="N63" s="52">
        <f>(N57+N59)*1%</f>
        <v>0.2077</v>
      </c>
      <c r="O63" s="61">
        <f t="shared" si="7"/>
        <v>4.6901709642964404E-5</v>
      </c>
      <c r="P63" s="67">
        <f t="shared" si="63"/>
        <v>8.3079999999999998</v>
      </c>
      <c r="Q63" s="68">
        <f t="shared" si="60"/>
        <v>232.62</v>
      </c>
      <c r="R63" s="52">
        <f>(R57+R59)*1%</f>
        <v>0.23526424380952379</v>
      </c>
      <c r="S63" s="61">
        <f t="shared" si="9"/>
        <v>4.8162159361329584E-5</v>
      </c>
      <c r="T63" s="67">
        <f t="shared" si="64"/>
        <v>1.1763212190476189</v>
      </c>
      <c r="U63" s="68">
        <f t="shared" si="11"/>
        <v>32.936994133333329</v>
      </c>
      <c r="V63" s="52">
        <f>(V57+V59)*1%</f>
        <v>0.50472228571428568</v>
      </c>
      <c r="W63" s="61">
        <f t="shared" si="12"/>
        <v>5.3620416059410338E-5</v>
      </c>
      <c r="X63" s="67">
        <f t="shared" si="65"/>
        <v>20.188891428571427</v>
      </c>
      <c r="Y63" s="68">
        <f t="shared" si="14"/>
        <v>565.28895999999997</v>
      </c>
      <c r="Z63" s="52">
        <f>(Z57+Z59)*1%</f>
        <v>0.57179123809523813</v>
      </c>
      <c r="AA63" s="61">
        <f t="shared" si="15"/>
        <v>5.4192127809827953E-5</v>
      </c>
      <c r="AB63" s="67">
        <f t="shared" si="66"/>
        <v>22.299858285714286</v>
      </c>
      <c r="AC63" s="68">
        <f t="shared" si="17"/>
        <v>624.39603199999999</v>
      </c>
      <c r="AD63" s="52">
        <f>(AD57+AD59)*1%</f>
        <v>0.25236114285714284</v>
      </c>
      <c r="AE63" s="61">
        <f t="shared" si="18"/>
        <v>4.8705340838153764E-5</v>
      </c>
      <c r="AF63" s="67">
        <f t="shared" si="67"/>
        <v>4.0377782857142854</v>
      </c>
      <c r="AG63" s="229">
        <f t="shared" si="20"/>
        <v>113.05779199999999</v>
      </c>
      <c r="AH63" s="237">
        <f t="shared" si="21"/>
        <v>109.64551985371429</v>
      </c>
      <c r="AI63" s="237">
        <f t="shared" si="22"/>
        <v>3070.0705559040002</v>
      </c>
      <c r="AJ63" s="238">
        <f t="shared" si="23"/>
        <v>4.8086515423596978E-5</v>
      </c>
    </row>
    <row r="64" spans="1:36" x14ac:dyDescent="0.25">
      <c r="A64" s="378"/>
      <c r="B64" s="40" t="s">
        <v>82</v>
      </c>
      <c r="C64" s="41" t="s">
        <v>14</v>
      </c>
      <c r="D64" s="360" t="s">
        <v>157</v>
      </c>
      <c r="E64" s="347"/>
      <c r="F64" s="52">
        <f>(F57+F59)*1.5%</f>
        <v>0.21803832228571426</v>
      </c>
      <c r="G64" s="61">
        <f t="shared" si="1"/>
        <v>6.3883876745760422E-5</v>
      </c>
      <c r="H64" s="67">
        <f t="shared" si="61"/>
        <v>42.299434523428566</v>
      </c>
      <c r="I64" s="68">
        <f t="shared" si="3"/>
        <v>1184.3841666559999</v>
      </c>
      <c r="J64" s="52">
        <f>(J57+J59)*1.5%</f>
        <v>0.3052205714285714</v>
      </c>
      <c r="K64" s="61">
        <f t="shared" si="4"/>
        <v>6.9932241688986947E-5</v>
      </c>
      <c r="L64" s="67">
        <f t="shared" si="62"/>
        <v>38.152571428571427</v>
      </c>
      <c r="M64" s="68">
        <f t="shared" si="6"/>
        <v>1068.2719999999999</v>
      </c>
      <c r="N64" s="52">
        <f>(N57+N59)*1.5%</f>
        <v>0.31154999999999999</v>
      </c>
      <c r="O64" s="61">
        <f t="shared" si="7"/>
        <v>7.0352564464446613E-5</v>
      </c>
      <c r="P64" s="67">
        <f t="shared" si="63"/>
        <v>12.462</v>
      </c>
      <c r="Q64" s="68">
        <f t="shared" si="60"/>
        <v>348.94</v>
      </c>
      <c r="R64" s="52">
        <f>(R57+R59)*1.5%</f>
        <v>0.35289636571428568</v>
      </c>
      <c r="S64" s="61">
        <f t="shared" si="9"/>
        <v>7.2243239041994375E-5</v>
      </c>
      <c r="T64" s="67">
        <f t="shared" si="64"/>
        <v>1.7644818285714283</v>
      </c>
      <c r="U64" s="68">
        <f t="shared" si="11"/>
        <v>49.405491199999993</v>
      </c>
      <c r="V64" s="52">
        <f>(V57+V59)*1.5%</f>
        <v>0.75708342857142852</v>
      </c>
      <c r="W64" s="61">
        <f t="shared" si="12"/>
        <v>8.0430624089115511E-5</v>
      </c>
      <c r="X64" s="67">
        <f t="shared" si="65"/>
        <v>30.283337142857143</v>
      </c>
      <c r="Y64" s="68">
        <f t="shared" si="14"/>
        <v>847.93344000000002</v>
      </c>
      <c r="Z64" s="52">
        <f>(Z57+Z59)*1.5%</f>
        <v>0.85768685714285708</v>
      </c>
      <c r="AA64" s="61">
        <f t="shared" si="15"/>
        <v>8.1288191714741913E-5</v>
      </c>
      <c r="AB64" s="67">
        <f t="shared" si="66"/>
        <v>33.449787428571426</v>
      </c>
      <c r="AC64" s="68">
        <f t="shared" si="17"/>
        <v>936.59404799999993</v>
      </c>
      <c r="AD64" s="52">
        <f>(AD57+AD59)*1.5%</f>
        <v>0.37854171428571426</v>
      </c>
      <c r="AE64" s="61">
        <f t="shared" si="18"/>
        <v>7.3058011257230653E-5</v>
      </c>
      <c r="AF64" s="67">
        <f t="shared" si="67"/>
        <v>6.0566674285714281</v>
      </c>
      <c r="AG64" s="229">
        <f t="shared" si="20"/>
        <v>169.58668799999998</v>
      </c>
      <c r="AH64" s="237">
        <f t="shared" si="21"/>
        <v>164.46827978057144</v>
      </c>
      <c r="AI64" s="237">
        <f t="shared" si="22"/>
        <v>4605.1158338559999</v>
      </c>
      <c r="AJ64" s="238">
        <f t="shared" si="23"/>
        <v>7.2129929765396455E-5</v>
      </c>
    </row>
    <row r="65" spans="1:36" x14ac:dyDescent="0.25">
      <c r="A65" s="378"/>
      <c r="B65" s="40" t="s">
        <v>83</v>
      </c>
      <c r="C65" s="41" t="s">
        <v>16</v>
      </c>
      <c r="D65" s="360" t="s">
        <v>158</v>
      </c>
      <c r="E65" s="347"/>
      <c r="F65" s="52">
        <f>(F57+F59)*0.6%</f>
        <v>8.7215328914285711E-2</v>
      </c>
      <c r="G65" s="61">
        <f t="shared" si="1"/>
        <v>2.5553550698304172E-5</v>
      </c>
      <c r="H65" s="67">
        <f t="shared" si="61"/>
        <v>16.919773809371428</v>
      </c>
      <c r="I65" s="68">
        <f t="shared" si="3"/>
        <v>473.75366666239995</v>
      </c>
      <c r="J65" s="52">
        <f>(J57+J59)*0.6%</f>
        <v>0.12208822857142858</v>
      </c>
      <c r="K65" s="61">
        <f t="shared" si="4"/>
        <v>2.797289667559478E-5</v>
      </c>
      <c r="L65" s="67">
        <f t="shared" si="62"/>
        <v>15.261028571428572</v>
      </c>
      <c r="M65" s="68">
        <f t="shared" si="6"/>
        <v>427.30880000000002</v>
      </c>
      <c r="N65" s="52">
        <f>(N57+N59)*0.6%</f>
        <v>0.12461999999999999</v>
      </c>
      <c r="O65" s="61">
        <f t="shared" si="7"/>
        <v>2.8141025785778644E-5</v>
      </c>
      <c r="P65" s="67">
        <f t="shared" si="63"/>
        <v>4.9847999999999999</v>
      </c>
      <c r="Q65" s="68">
        <f t="shared" si="60"/>
        <v>139.57</v>
      </c>
      <c r="R65" s="52">
        <f>(R57+R59)*0.6%</f>
        <v>0.14115854628571428</v>
      </c>
      <c r="S65" s="61">
        <f t="shared" si="9"/>
        <v>2.8897295616797752E-5</v>
      </c>
      <c r="T65" s="67">
        <f t="shared" si="64"/>
        <v>0.70579273142857146</v>
      </c>
      <c r="U65" s="68">
        <f t="shared" si="11"/>
        <v>19.76219648</v>
      </c>
      <c r="V65" s="52">
        <f>(V57+V59)*0.6%</f>
        <v>0.30283337142857142</v>
      </c>
      <c r="W65" s="61">
        <f t="shared" si="12"/>
        <v>3.2172249635646203E-5</v>
      </c>
      <c r="X65" s="67">
        <f t="shared" si="65"/>
        <v>12.113334857142856</v>
      </c>
      <c r="Y65" s="68">
        <f t="shared" si="14"/>
        <v>339.17337599999996</v>
      </c>
      <c r="Z65" s="52">
        <f>(Z57+Z59)*0.6%</f>
        <v>0.34307474285714284</v>
      </c>
      <c r="AA65" s="61">
        <f t="shared" si="15"/>
        <v>3.2515276685896765E-5</v>
      </c>
      <c r="AB65" s="67">
        <f t="shared" si="66"/>
        <v>13.379914971428571</v>
      </c>
      <c r="AC65" s="68">
        <f t="shared" si="17"/>
        <v>374.63761919999996</v>
      </c>
      <c r="AD65" s="52">
        <f>(AD57+AD59)*0.6%</f>
        <v>0.15141668571428571</v>
      </c>
      <c r="AE65" s="61">
        <f t="shared" si="18"/>
        <v>2.9223204502892262E-5</v>
      </c>
      <c r="AF65" s="67">
        <f t="shared" si="67"/>
        <v>2.4226669714285713</v>
      </c>
      <c r="AG65" s="229">
        <f t="shared" si="20"/>
        <v>67.834675199999992</v>
      </c>
      <c r="AH65" s="237">
        <f t="shared" si="21"/>
        <v>65.787311912228574</v>
      </c>
      <c r="AI65" s="237">
        <f t="shared" si="22"/>
        <v>1842.0403335423998</v>
      </c>
      <c r="AJ65" s="238">
        <f t="shared" si="23"/>
        <v>2.8851877928157983E-5</v>
      </c>
    </row>
    <row r="66" spans="1:36" x14ac:dyDescent="0.25">
      <c r="A66" s="378"/>
      <c r="B66" s="40" t="s">
        <v>84</v>
      </c>
      <c r="C66" s="41" t="s">
        <v>18</v>
      </c>
      <c r="D66" s="360" t="s">
        <v>159</v>
      </c>
      <c r="E66" s="347"/>
      <c r="F66" s="52">
        <f>(F57+F59)*2.5%</f>
        <v>0.36339720380952384</v>
      </c>
      <c r="G66" s="61">
        <f t="shared" si="1"/>
        <v>1.0647312790960073E-4</v>
      </c>
      <c r="H66" s="67">
        <f t="shared" si="61"/>
        <v>70.499057539047627</v>
      </c>
      <c r="I66" s="68">
        <f t="shared" si="3"/>
        <v>1973.9736110933336</v>
      </c>
      <c r="J66" s="52">
        <f>(J57+J59)*2.5%</f>
        <v>0.50870095238095236</v>
      </c>
      <c r="K66" s="61">
        <f t="shared" si="4"/>
        <v>1.1655373614831157E-4</v>
      </c>
      <c r="L66" s="67">
        <f t="shared" si="62"/>
        <v>63.587619047619043</v>
      </c>
      <c r="M66" s="68">
        <f t="shared" si="6"/>
        <v>1780.4533333333331</v>
      </c>
      <c r="N66" s="52">
        <f>(N57+N59)*2.5%</f>
        <v>0.51924999999999999</v>
      </c>
      <c r="O66" s="61">
        <f t="shared" si="7"/>
        <v>1.1725427410741102E-4</v>
      </c>
      <c r="P66" s="67">
        <f t="shared" si="63"/>
        <v>20.77</v>
      </c>
      <c r="Q66" s="68">
        <f t="shared" si="60"/>
        <v>581.55999999999995</v>
      </c>
      <c r="R66" s="52">
        <f>(R57+R59)*2.5%</f>
        <v>0.58816060952380944</v>
      </c>
      <c r="S66" s="61">
        <f t="shared" si="9"/>
        <v>1.2040539840332395E-4</v>
      </c>
      <c r="T66" s="67">
        <f t="shared" si="64"/>
        <v>2.9408030476190472</v>
      </c>
      <c r="U66" s="68">
        <f t="shared" si="11"/>
        <v>82.342485333333315</v>
      </c>
      <c r="V66" s="52">
        <f>(V57+V59)*2.5%</f>
        <v>1.2618057142857142</v>
      </c>
      <c r="W66" s="61">
        <f t="shared" si="12"/>
        <v>1.3405104014852586E-4</v>
      </c>
      <c r="X66" s="67">
        <f t="shared" si="65"/>
        <v>50.472228571428566</v>
      </c>
      <c r="Y66" s="68">
        <f t="shared" si="14"/>
        <v>1413.2223999999999</v>
      </c>
      <c r="Z66" s="52">
        <f>(Z57+Z59)*2.5%</f>
        <v>1.4294780952380952</v>
      </c>
      <c r="AA66" s="61">
        <f t="shared" si="15"/>
        <v>1.3548031952456986E-4</v>
      </c>
      <c r="AB66" s="67">
        <f t="shared" si="66"/>
        <v>55.749645714285712</v>
      </c>
      <c r="AC66" s="68">
        <f t="shared" si="17"/>
        <v>1560.99008</v>
      </c>
      <c r="AD66" s="52">
        <f>(AD57+AD59)*2.5%</f>
        <v>0.6309028571428571</v>
      </c>
      <c r="AE66" s="61">
        <f t="shared" si="18"/>
        <v>1.2176335209538442E-4</v>
      </c>
      <c r="AF66" s="67">
        <f t="shared" si="67"/>
        <v>10.094445714285714</v>
      </c>
      <c r="AG66" s="229">
        <f t="shared" si="20"/>
        <v>282.64447999999999</v>
      </c>
      <c r="AH66" s="237">
        <f t="shared" si="21"/>
        <v>274.11379963428567</v>
      </c>
      <c r="AI66" s="237">
        <f t="shared" si="22"/>
        <v>7675.1863897599997</v>
      </c>
      <c r="AJ66" s="238">
        <f t="shared" si="23"/>
        <v>1.2021644518899343E-4</v>
      </c>
    </row>
    <row r="67" spans="1:36" x14ac:dyDescent="0.25">
      <c r="A67" s="378"/>
      <c r="B67" s="40" t="s">
        <v>85</v>
      </c>
      <c r="C67" s="41" t="s">
        <v>20</v>
      </c>
      <c r="D67" s="360" t="s">
        <v>202</v>
      </c>
      <c r="E67" s="347"/>
      <c r="F67" s="52">
        <f>(F57+F59)*2.017%</f>
        <v>0.29318886403352379</v>
      </c>
      <c r="G67" s="61">
        <f t="shared" si="1"/>
        <v>8.5902519597465848E-5</v>
      </c>
      <c r="H67" s="67">
        <f t="shared" si="61"/>
        <v>56.878639622503613</v>
      </c>
      <c r="I67" s="68">
        <f t="shared" si="3"/>
        <v>1592.6019094301012</v>
      </c>
      <c r="J67" s="52">
        <f>(J57+J59)*2.017%</f>
        <v>0.41041992838095237</v>
      </c>
      <c r="K67" s="61">
        <f t="shared" si="4"/>
        <v>9.4035554324457785E-5</v>
      </c>
      <c r="L67" s="67">
        <f t="shared" si="62"/>
        <v>51.302491047619043</v>
      </c>
      <c r="M67" s="68">
        <f t="shared" si="6"/>
        <v>1436.4697493333333</v>
      </c>
      <c r="N67" s="52">
        <f>(N57+N59)*2.017%</f>
        <v>0.41893089999999999</v>
      </c>
      <c r="O67" s="61">
        <f t="shared" si="7"/>
        <v>9.4600748349859209E-5</v>
      </c>
      <c r="P67" s="67">
        <f t="shared" si="63"/>
        <v>16.757235999999999</v>
      </c>
      <c r="Q67" s="68">
        <f t="shared" si="60"/>
        <v>469.2</v>
      </c>
      <c r="R67" s="52">
        <f>(R57+R59)*2.017%</f>
        <v>0.47452797976380945</v>
      </c>
      <c r="S67" s="61">
        <f t="shared" si="9"/>
        <v>9.7143075431801757E-5</v>
      </c>
      <c r="T67" s="67">
        <f t="shared" si="64"/>
        <v>2.3726398988190471</v>
      </c>
      <c r="U67" s="68">
        <f t="shared" si="11"/>
        <v>66.433917166933327</v>
      </c>
      <c r="V67" s="52">
        <f>(V57+V59)*2.017%</f>
        <v>1.0180248502857141</v>
      </c>
      <c r="W67" s="61">
        <f t="shared" si="12"/>
        <v>1.0815237919183064E-4</v>
      </c>
      <c r="X67" s="67">
        <f t="shared" si="65"/>
        <v>40.720994011428566</v>
      </c>
      <c r="Y67" s="68">
        <f t="shared" si="14"/>
        <v>1140.1878323199999</v>
      </c>
      <c r="Z67" s="52">
        <f>(Z57+Z59)*2.017%</f>
        <v>1.1533029272380952</v>
      </c>
      <c r="AA67" s="61">
        <f t="shared" si="15"/>
        <v>1.0930552179242297E-4</v>
      </c>
      <c r="AB67" s="67">
        <f t="shared" si="66"/>
        <v>44.978814162285715</v>
      </c>
      <c r="AC67" s="68">
        <f t="shared" si="17"/>
        <v>1259.4067965439999</v>
      </c>
      <c r="AD67" s="52">
        <f>(AD57+AD59)*2.017%</f>
        <v>0.50901242514285705</v>
      </c>
      <c r="AE67" s="61">
        <f t="shared" si="18"/>
        <v>9.8238672470556132E-5</v>
      </c>
      <c r="AF67" s="67">
        <f t="shared" si="67"/>
        <v>8.1441988022857128</v>
      </c>
      <c r="AG67" s="229">
        <f t="shared" si="20"/>
        <v>228.03756646399995</v>
      </c>
      <c r="AH67" s="237">
        <f t="shared" si="21"/>
        <v>221.15501354494171</v>
      </c>
      <c r="AI67" s="237">
        <f t="shared" si="22"/>
        <v>6192.3377712583679</v>
      </c>
      <c r="AJ67" s="238">
        <f t="shared" si="23"/>
        <v>9.699058712937564E-5</v>
      </c>
    </row>
    <row r="68" spans="1:36" x14ac:dyDescent="0.25">
      <c r="A68" s="378"/>
      <c r="B68" s="40" t="s">
        <v>86</v>
      </c>
      <c r="C68" s="41" t="s">
        <v>87</v>
      </c>
      <c r="D68" s="342" t="s">
        <v>204</v>
      </c>
      <c r="E68" s="343"/>
      <c r="F68" s="52">
        <f>((F9+F25+F35+F48+F60)*40%)*85%</f>
        <v>42.269624667593021</v>
      </c>
      <c r="G68" s="61">
        <f t="shared" si="1"/>
        <v>1.2384737985717808E-2</v>
      </c>
      <c r="H68" s="67">
        <f t="shared" si="61"/>
        <v>8200.3071855130456</v>
      </c>
      <c r="I68" s="68">
        <f t="shared" si="3"/>
        <v>229608.60119436527</v>
      </c>
      <c r="J68" s="52">
        <f>((J9+J25+J35+J48+J60)*40%)*85%</f>
        <v>59.171061581587303</v>
      </c>
      <c r="K68" s="61">
        <f t="shared" si="4"/>
        <v>1.3557293861779797E-2</v>
      </c>
      <c r="L68" s="67">
        <f t="shared" si="62"/>
        <v>7396.3826976984128</v>
      </c>
      <c r="M68" s="68">
        <f t="shared" si="6"/>
        <v>207098.71553555556</v>
      </c>
      <c r="N68" s="77">
        <f>ROUND(((N9+N25+N35+N48+N60)*40%)*85%,2)</f>
        <v>60.38</v>
      </c>
      <c r="O68" s="61">
        <f t="shared" si="7"/>
        <v>1.3634690554849258E-2</v>
      </c>
      <c r="P68" s="67">
        <f t="shared" si="63"/>
        <v>2415.2000000000003</v>
      </c>
      <c r="Q68" s="68">
        <f t="shared" si="60"/>
        <v>67625.600000000006</v>
      </c>
      <c r="R68" s="52">
        <f>((R9+R25+R35+R48+R60)*40%)*85%</f>
        <v>68.413647513549222</v>
      </c>
      <c r="S68" s="61">
        <f t="shared" si="9"/>
        <v>1.4005311392346835E-2</v>
      </c>
      <c r="T68" s="67">
        <f t="shared" si="64"/>
        <v>342.06823756774611</v>
      </c>
      <c r="U68" s="68">
        <f t="shared" si="11"/>
        <v>9577.9106518968911</v>
      </c>
      <c r="V68" s="52">
        <f>((V9+V25+V35+V48+V60)*40%)*85%</f>
        <v>146.77067788952382</v>
      </c>
      <c r="W68" s="61">
        <f t="shared" si="12"/>
        <v>1.5592544725106468E-2</v>
      </c>
      <c r="X68" s="67">
        <f t="shared" si="65"/>
        <v>5870.8271155809525</v>
      </c>
      <c r="Y68" s="68">
        <f t="shared" si="14"/>
        <v>164383.15923626669</v>
      </c>
      <c r="Z68" s="52">
        <f>((Z9+Z25+Z35+Z48+Z60)*40%)*85%</f>
        <v>166.27398869015872</v>
      </c>
      <c r="AA68" s="61">
        <f t="shared" si="15"/>
        <v>1.5758795599183577E-2</v>
      </c>
      <c r="AB68" s="67">
        <f t="shared" si="66"/>
        <v>6484.6855589161896</v>
      </c>
      <c r="AC68" s="68">
        <f t="shared" si="17"/>
        <v>181571.19564965332</v>
      </c>
      <c r="AD68" s="52">
        <f>((AD9+AD25+AD35+AD48+AD60)*40%)*85%</f>
        <v>73.385338944761912</v>
      </c>
      <c r="AE68" s="61">
        <f t="shared" si="18"/>
        <v>1.4163265807729331E-2</v>
      </c>
      <c r="AF68" s="67">
        <f t="shared" si="67"/>
        <v>1174.1654231161906</v>
      </c>
      <c r="AG68" s="229">
        <f t="shared" si="20"/>
        <v>32876.631847253338</v>
      </c>
      <c r="AH68" s="237">
        <f t="shared" si="21"/>
        <v>31883.636218392538</v>
      </c>
      <c r="AI68" s="237">
        <f t="shared" si="22"/>
        <v>892741.81411499123</v>
      </c>
      <c r="AJ68" s="238">
        <f t="shared" si="23"/>
        <v>1.3983015123601882E-2</v>
      </c>
    </row>
    <row r="69" spans="1:36" s="88" customFormat="1" x14ac:dyDescent="0.25">
      <c r="A69" s="376"/>
      <c r="B69" s="42" t="s">
        <v>88</v>
      </c>
      <c r="C69" s="43" t="s">
        <v>22</v>
      </c>
      <c r="D69" s="344" t="s">
        <v>160</v>
      </c>
      <c r="E69" s="345"/>
      <c r="F69" s="53">
        <f>SUM(F57:F68)</f>
        <v>67.086077911258286</v>
      </c>
      <c r="G69" s="62">
        <f t="shared" ref="G69:G75" si="68">F69/$F$82</f>
        <v>1.9655804941588945E-2</v>
      </c>
      <c r="H69" s="66">
        <f>SUM(H57:H68)</f>
        <v>13014.699114784107</v>
      </c>
      <c r="I69" s="69">
        <f t="shared" si="3"/>
        <v>364411.57521395502</v>
      </c>
      <c r="J69" s="53">
        <f>SUM(J57:J68)</f>
        <v>93.910331084571425</v>
      </c>
      <c r="K69" s="62">
        <f t="shared" si="4"/>
        <v>2.151676716861119E-2</v>
      </c>
      <c r="L69" s="66">
        <f>SUM(L57:L68)</f>
        <v>11738.791385571429</v>
      </c>
      <c r="M69" s="69">
        <f t="shared" si="6"/>
        <v>328686.158796</v>
      </c>
      <c r="N69" s="53">
        <f>SUM(N57:N68)</f>
        <v>95.832050899999999</v>
      </c>
      <c r="O69" s="62">
        <f t="shared" si="7"/>
        <v>2.1640284187778459E-2</v>
      </c>
      <c r="P69" s="66">
        <f>ROUND(SUM(P57:P68),2)</f>
        <v>3833.28</v>
      </c>
      <c r="Q69" s="69">
        <f t="shared" si="60"/>
        <v>107331.84</v>
      </c>
      <c r="R69" s="53">
        <f>SUM(R57:R68)</f>
        <v>108.57922972772573</v>
      </c>
      <c r="S69" s="62">
        <f t="shared" si="9"/>
        <v>2.2227815331389716E-2</v>
      </c>
      <c r="T69" s="66">
        <f>SUM(T57:T68)</f>
        <v>542.89614863862857</v>
      </c>
      <c r="U69" s="69">
        <f t="shared" si="11"/>
        <v>15201.092161881599</v>
      </c>
      <c r="V69" s="53">
        <f>SUM(V57:V68)</f>
        <v>232.93959218742856</v>
      </c>
      <c r="W69" s="62">
        <f t="shared" si="12"/>
        <v>2.4746911724182981E-2</v>
      </c>
      <c r="X69" s="66">
        <f>SUM(X57:X68)</f>
        <v>9317.5836874971428</v>
      </c>
      <c r="Y69" s="69">
        <f t="shared" si="14"/>
        <v>260892.34324992</v>
      </c>
      <c r="Z69" s="53">
        <f>SUM(Z57:Z68)</f>
        <v>263.89327673485718</v>
      </c>
      <c r="AA69" s="62">
        <f t="shared" si="15"/>
        <v>2.5010768315739212E-2</v>
      </c>
      <c r="AB69" s="66">
        <f>SUM(AB57:AB68)</f>
        <v>10291.837792659428</v>
      </c>
      <c r="AC69" s="69">
        <f t="shared" si="17"/>
        <v>288171.45819446398</v>
      </c>
      <c r="AD69" s="53">
        <f>SUM(AD57:AD68)</f>
        <v>116.46979609371428</v>
      </c>
      <c r="AE69" s="62">
        <f t="shared" si="18"/>
        <v>2.2478504621869774E-2</v>
      </c>
      <c r="AF69" s="66">
        <f>SUM(AF57:AF68)</f>
        <v>1863.5167374994285</v>
      </c>
      <c r="AG69" s="230">
        <f t="shared" si="20"/>
        <v>52178.468649983995</v>
      </c>
      <c r="AH69" s="237">
        <f t="shared" si="21"/>
        <v>50602.604866650159</v>
      </c>
      <c r="AI69" s="237">
        <f t="shared" si="22"/>
        <v>1416872.9362662046</v>
      </c>
      <c r="AJ69" s="238">
        <f t="shared" si="23"/>
        <v>2.2192480942178211E-2</v>
      </c>
    </row>
    <row r="70" spans="1:36" x14ac:dyDescent="0.25">
      <c r="A70" s="375" t="s">
        <v>89</v>
      </c>
      <c r="B70" s="40" t="s">
        <v>90</v>
      </c>
      <c r="C70" s="41" t="s">
        <v>89</v>
      </c>
      <c r="D70" s="346">
        <v>102.04</v>
      </c>
      <c r="E70" s="347"/>
      <c r="F70" s="52">
        <f>D70*6/28</f>
        <v>21.865714285714287</v>
      </c>
      <c r="G70" s="61">
        <f t="shared" si="68"/>
        <v>6.4065187336937524E-3</v>
      </c>
      <c r="H70" s="67">
        <f>F70*$F$6</f>
        <v>4241.948571428572</v>
      </c>
      <c r="I70" s="68">
        <f t="shared" si="3"/>
        <v>118774.56000000001</v>
      </c>
      <c r="J70" s="52">
        <f>D70*6/28</f>
        <v>21.865714285714287</v>
      </c>
      <c r="K70" s="61">
        <f t="shared" si="4"/>
        <v>5.0098799336294238E-3</v>
      </c>
      <c r="L70" s="67">
        <f>J70*$J$6</f>
        <v>2733.2142857142858</v>
      </c>
      <c r="M70" s="68">
        <f t="shared" si="6"/>
        <v>76530</v>
      </c>
      <c r="N70" s="52">
        <f>ROUND(D70*6/28,2)</f>
        <v>21.87</v>
      </c>
      <c r="O70" s="61">
        <f t="shared" si="7"/>
        <v>4.9385671155109849E-3</v>
      </c>
      <c r="P70" s="67">
        <f>N70*$N$6</f>
        <v>874.80000000000007</v>
      </c>
      <c r="Q70" s="68">
        <f t="shared" si="60"/>
        <v>24494.400000000001</v>
      </c>
      <c r="R70" s="52">
        <f>D70*6/28</f>
        <v>21.865714285714287</v>
      </c>
      <c r="S70" s="61">
        <f t="shared" si="9"/>
        <v>4.4762433888189583E-3</v>
      </c>
      <c r="T70" s="67">
        <f>R70*$R$6</f>
        <v>109.32857142857144</v>
      </c>
      <c r="U70" s="68">
        <f t="shared" si="11"/>
        <v>3061.2000000000003</v>
      </c>
      <c r="V70" s="52">
        <f>D70*10/28</f>
        <v>36.442857142857143</v>
      </c>
      <c r="W70" s="61">
        <f t="shared" si="12"/>
        <v>3.8715967527136784E-3</v>
      </c>
      <c r="X70" s="67">
        <f>V70*$V$6</f>
        <v>1457.7142857142858</v>
      </c>
      <c r="Y70" s="68">
        <f t="shared" si="14"/>
        <v>40816</v>
      </c>
      <c r="Z70" s="52">
        <f>D70*10/28</f>
        <v>36.442857142857143</v>
      </c>
      <c r="AA70" s="61">
        <f t="shared" si="15"/>
        <v>3.453910868973602E-3</v>
      </c>
      <c r="AB70" s="67">
        <f>Z70*$Z$6</f>
        <v>1421.2714285714285</v>
      </c>
      <c r="AC70" s="68">
        <f t="shared" si="17"/>
        <v>39795.599999999999</v>
      </c>
      <c r="AD70" s="52">
        <f>D70*10/28</f>
        <v>36.442857142857143</v>
      </c>
      <c r="AE70" s="61">
        <f t="shared" si="18"/>
        <v>7.0334194803665876E-3</v>
      </c>
      <c r="AF70" s="67">
        <f>AD70*$AD$6</f>
        <v>583.08571428571429</v>
      </c>
      <c r="AG70" s="229">
        <f t="shared" si="20"/>
        <v>16326.4</v>
      </c>
      <c r="AH70" s="237">
        <f t="shared" si="21"/>
        <v>11421.362857142856</v>
      </c>
      <c r="AI70" s="237">
        <f t="shared" si="22"/>
        <v>319798.16000000003</v>
      </c>
      <c r="AJ70" s="238">
        <f t="shared" si="23"/>
        <v>5.0089986120041468E-3</v>
      </c>
    </row>
    <row r="71" spans="1:36" s="88" customFormat="1" x14ac:dyDescent="0.25">
      <c r="A71" s="376"/>
      <c r="B71" s="42" t="s">
        <v>91</v>
      </c>
      <c r="C71" s="43" t="s">
        <v>22</v>
      </c>
      <c r="D71" s="344" t="s">
        <v>90</v>
      </c>
      <c r="E71" s="345"/>
      <c r="F71" s="53">
        <f>SUM(F70)</f>
        <v>21.865714285714287</v>
      </c>
      <c r="G71" s="62">
        <f t="shared" si="68"/>
        <v>6.4065187336937524E-3</v>
      </c>
      <c r="H71" s="66">
        <f>SUM(H70)</f>
        <v>4241.948571428572</v>
      </c>
      <c r="I71" s="69">
        <f t="shared" si="3"/>
        <v>118774.56000000001</v>
      </c>
      <c r="J71" s="53">
        <f>SUM(J70)</f>
        <v>21.865714285714287</v>
      </c>
      <c r="K71" s="62">
        <f t="shared" si="4"/>
        <v>5.0098799336294238E-3</v>
      </c>
      <c r="L71" s="66">
        <f>SUM(L70)</f>
        <v>2733.2142857142858</v>
      </c>
      <c r="M71" s="69">
        <f t="shared" si="6"/>
        <v>76530</v>
      </c>
      <c r="N71" s="53">
        <f>SUM(N70)</f>
        <v>21.87</v>
      </c>
      <c r="O71" s="62">
        <f t="shared" si="7"/>
        <v>4.9385671155109849E-3</v>
      </c>
      <c r="P71" s="66">
        <f>ROUND(SUM(P70),2)</f>
        <v>874.8</v>
      </c>
      <c r="Q71" s="69">
        <f t="shared" si="60"/>
        <v>24494.400000000001</v>
      </c>
      <c r="R71" s="53">
        <f>SUM(R70)</f>
        <v>21.865714285714287</v>
      </c>
      <c r="S71" s="62">
        <f t="shared" si="9"/>
        <v>4.4762433888189583E-3</v>
      </c>
      <c r="T71" s="66">
        <f>SUM(T70)</f>
        <v>109.32857142857144</v>
      </c>
      <c r="U71" s="69">
        <f t="shared" si="11"/>
        <v>3061.2000000000003</v>
      </c>
      <c r="V71" s="53">
        <f>SUM(V70)</f>
        <v>36.442857142857143</v>
      </c>
      <c r="W71" s="62">
        <f t="shared" si="12"/>
        <v>3.8715967527136784E-3</v>
      </c>
      <c r="X71" s="66">
        <f>SUM(X70)</f>
        <v>1457.7142857142858</v>
      </c>
      <c r="Y71" s="69">
        <f t="shared" si="14"/>
        <v>40816</v>
      </c>
      <c r="Z71" s="53">
        <f>SUM(Z70)</f>
        <v>36.442857142857143</v>
      </c>
      <c r="AA71" s="62">
        <f t="shared" si="15"/>
        <v>3.453910868973602E-3</v>
      </c>
      <c r="AB71" s="66">
        <f>SUM(AB70)</f>
        <v>1421.2714285714285</v>
      </c>
      <c r="AC71" s="69">
        <f t="shared" si="17"/>
        <v>39795.599999999999</v>
      </c>
      <c r="AD71" s="53">
        <f>SUM(AD70)</f>
        <v>36.442857142857143</v>
      </c>
      <c r="AE71" s="62">
        <f t="shared" si="18"/>
        <v>7.0334194803665876E-3</v>
      </c>
      <c r="AF71" s="66">
        <f>SUM(AF70)</f>
        <v>583.08571428571429</v>
      </c>
      <c r="AG71" s="230">
        <f t="shared" si="20"/>
        <v>16326.4</v>
      </c>
      <c r="AH71" s="237">
        <f t="shared" si="21"/>
        <v>11421.362857142856</v>
      </c>
      <c r="AI71" s="237">
        <f t="shared" si="22"/>
        <v>319798.16000000003</v>
      </c>
      <c r="AJ71" s="238">
        <f t="shared" si="23"/>
        <v>5.0089986120041468E-3</v>
      </c>
    </row>
    <row r="72" spans="1:36" x14ac:dyDescent="0.25">
      <c r="A72" s="54"/>
      <c r="B72" s="358" t="s">
        <v>205</v>
      </c>
      <c r="C72" s="358"/>
      <c r="D72" s="358"/>
      <c r="E72" s="359"/>
      <c r="F72" s="53">
        <f>SUM(F71,F69,F56,F43,F33,F23,F17)</f>
        <v>2985.4390399518275</v>
      </c>
      <c r="G72" s="62">
        <f t="shared" si="68"/>
        <v>0.87471513108757681</v>
      </c>
      <c r="H72" s="66">
        <f t="shared" ref="H72:I72" si="69">SUM(H71,H69,H56,H43,H33,H23,H17)</f>
        <v>579175.17375065456</v>
      </c>
      <c r="I72" s="69">
        <f t="shared" si="69"/>
        <v>16216904.865018329</v>
      </c>
      <c r="J72" s="53">
        <f>SUM(J71,J69,J56,J43,J33,J23,J17)</f>
        <v>3817.7104823140917</v>
      </c>
      <c r="K72" s="61">
        <f t="shared" si="4"/>
        <v>0.87471513108757692</v>
      </c>
      <c r="L72" s="66">
        <f t="shared" ref="L72:M72" si="70">SUM(L71,L69,L56,L43,L33,L23,L17)</f>
        <v>477213.81028926146</v>
      </c>
      <c r="M72" s="69">
        <f t="shared" si="70"/>
        <v>13361986.688099321</v>
      </c>
      <c r="N72" s="53">
        <f>ROUND(SUM(N71,N69,N56,N43,N33,N23,N17),2)</f>
        <v>3877.36</v>
      </c>
      <c r="O72" s="61">
        <f t="shared" si="7"/>
        <v>0.87556481897565952</v>
      </c>
      <c r="P72" s="66">
        <f>N72*40</f>
        <v>155094.39999999999</v>
      </c>
      <c r="Q72" s="69">
        <f>P72*28</f>
        <v>4342643.2</v>
      </c>
      <c r="R72" s="53">
        <f>SUM(R71,R69,R56,R43,R33,R23,R17)</f>
        <v>4272.839851721842</v>
      </c>
      <c r="S72" s="61">
        <f t="shared" si="9"/>
        <v>0.87471513108757681</v>
      </c>
      <c r="T72" s="66">
        <f t="shared" ref="T72:U72" si="71">SUM(T71,T69,T56,T43,T33,T23,T17)</f>
        <v>21364.199258609213</v>
      </c>
      <c r="U72" s="69">
        <f t="shared" si="71"/>
        <v>598197.57924105809</v>
      </c>
      <c r="V72" s="53">
        <f>SUM(V71,V69,V56,V43,V33,V23,V17)</f>
        <v>8233.584383646572</v>
      </c>
      <c r="W72" s="61">
        <f t="shared" si="12"/>
        <v>0.87471513108757681</v>
      </c>
      <c r="X72" s="66">
        <f t="shared" ref="X72:Y72" si="72">SUM(X71,X69,X56,X43,X33,X23,X17)</f>
        <v>329343.37534586294</v>
      </c>
      <c r="Y72" s="69">
        <f t="shared" si="72"/>
        <v>9221614.5096841604</v>
      </c>
      <c r="Z72" s="53">
        <f>SUM(Z71,Z69,Z56,Z43,Z33,Z23,Z17)</f>
        <v>9229.2823330420906</v>
      </c>
      <c r="AA72" s="61">
        <f t="shared" si="15"/>
        <v>0.87471513108757681</v>
      </c>
      <c r="AB72" s="66">
        <f t="shared" ref="AB72:AC72" si="73">SUM(AB71,AB69,AB56,AB43,AB33,AB23,AB17)</f>
        <v>359942.01098864153</v>
      </c>
      <c r="AC72" s="69">
        <f t="shared" si="73"/>
        <v>10078376.307681963</v>
      </c>
      <c r="AD72" s="53">
        <f>SUM(AD71,AD69,AD56,AD43,AD33,AD23,AD17)</f>
        <v>4532.2362261917388</v>
      </c>
      <c r="AE72" s="61">
        <f t="shared" si="18"/>
        <v>0.87471513108757681</v>
      </c>
      <c r="AF72" s="66">
        <f t="shared" ref="AF72:AG72" si="74">SUM(AF71,AF69,AF56,AF43,AF33,AF23,AF17)</f>
        <v>72515.77961906782</v>
      </c>
      <c r="AG72" s="230">
        <f t="shared" si="74"/>
        <v>2030441.8293338986</v>
      </c>
      <c r="AH72" s="237">
        <f t="shared" si="21"/>
        <v>1994648.7492520974</v>
      </c>
      <c r="AI72" s="237">
        <f t="shared" si="22"/>
        <v>55850164.979058735</v>
      </c>
      <c r="AJ72" s="238">
        <f t="shared" si="23"/>
        <v>0.87478113964229121</v>
      </c>
    </row>
    <row r="73" spans="1:36" x14ac:dyDescent="0.25">
      <c r="A73" s="377" t="s">
        <v>92</v>
      </c>
      <c r="B73" s="46" t="s">
        <v>93</v>
      </c>
      <c r="C73" s="47" t="s">
        <v>94</v>
      </c>
      <c r="D73" s="348" t="s">
        <v>358</v>
      </c>
      <c r="E73" s="349"/>
      <c r="F73" s="55">
        <f>F72*'Encargos e CITL'!$E$14</f>
        <v>101.50492735836214</v>
      </c>
      <c r="G73" s="60">
        <f t="shared" si="68"/>
        <v>2.9740314456977612E-2</v>
      </c>
      <c r="H73" s="224">
        <f>H72*'Encargos e CITL'!$E$14</f>
        <v>19691.955907522257</v>
      </c>
      <c r="I73" s="225">
        <f>I72*'Encargos e CITL'!$E$14</f>
        <v>551374.76541062316</v>
      </c>
      <c r="J73" s="55">
        <f>J72*'Encargos e CITL'!$E$14</f>
        <v>129.80215639867913</v>
      </c>
      <c r="K73" s="61">
        <f t="shared" ref="K73:K82" si="75">J73/$J$82</f>
        <v>2.9740314456977619E-2</v>
      </c>
      <c r="L73" s="224">
        <f>L72*'Encargos e CITL'!$E$14</f>
        <v>16225.269549834891</v>
      </c>
      <c r="M73" s="225">
        <f>M72*'Encargos e CITL'!$E$14</f>
        <v>454307.54739537695</v>
      </c>
      <c r="N73" s="55">
        <f>ROUND(N72*'Encargos e CITL'!E23,2)</f>
        <v>127.95</v>
      </c>
      <c r="O73" s="61">
        <f t="shared" ref="O73:O82" si="76">N73/$N$82</f>
        <v>2.8892988679909946E-2</v>
      </c>
      <c r="P73" s="224">
        <f>ROUND(P72*'Encargos e CITL'!E23,2)</f>
        <v>5118.12</v>
      </c>
      <c r="Q73" s="225">
        <f>P73*28</f>
        <v>143307.35999999999</v>
      </c>
      <c r="R73" s="55">
        <f>R72*'Encargos e CITL'!$E$14</f>
        <v>145.27655495854265</v>
      </c>
      <c r="S73" s="61">
        <f t="shared" ref="S73:S82" si="77">R73/$R$82</f>
        <v>2.9740314456977612E-2</v>
      </c>
      <c r="T73" s="224">
        <f>T72*'Encargos e CITL'!$E$14</f>
        <v>726.38277479271324</v>
      </c>
      <c r="U73" s="225">
        <f>U72*'Encargos e CITL'!$E$14</f>
        <v>20338.717694195977</v>
      </c>
      <c r="V73" s="55">
        <f>V72*'Encargos e CITL'!$E$14</f>
        <v>279.94186904398344</v>
      </c>
      <c r="W73" s="61">
        <f t="shared" ref="W73:W82" si="78">V73/$V$82</f>
        <v>2.9740314456977612E-2</v>
      </c>
      <c r="X73" s="224">
        <f>X72*'Encargos e CITL'!$E$14</f>
        <v>11197.674761759341</v>
      </c>
      <c r="Y73" s="225">
        <f>Y72*'Encargos e CITL'!$E$14</f>
        <v>313534.89332926145</v>
      </c>
      <c r="Z73" s="55">
        <f>Z72*'Encargos e CITL'!$E$14</f>
        <v>313.79559932343108</v>
      </c>
      <c r="AA73" s="61">
        <f t="shared" ref="AA73:AA82" si="79">Z73/$Z$82</f>
        <v>2.9740314456977612E-2</v>
      </c>
      <c r="AB73" s="224">
        <f>AB72*'Encargos e CITL'!$E$14</f>
        <v>12238.028373613814</v>
      </c>
      <c r="AC73" s="225">
        <f>AC72*'Encargos e CITL'!$E$14</f>
        <v>342664.79446118674</v>
      </c>
      <c r="AD73" s="55">
        <f>AD72*'Encargos e CITL'!$E$14</f>
        <v>154.09603169051914</v>
      </c>
      <c r="AE73" s="61">
        <f t="shared" ref="AE73:AE82" si="80">AD73/$AD$82</f>
        <v>2.9740314456977616E-2</v>
      </c>
      <c r="AF73" s="224">
        <f>AF72*'Encargos e CITL'!$E$14</f>
        <v>2465.5365070483062</v>
      </c>
      <c r="AG73" s="231">
        <f>AG72*'Encargos e CITL'!$E$14</f>
        <v>69035.022197352562</v>
      </c>
      <c r="AH73" s="237">
        <f t="shared" ref="AH73:AH82" si="81">AF73+AB73+X73+T73+P73+L73+H73</f>
        <v>67662.967874571332</v>
      </c>
      <c r="AI73" s="237">
        <f t="shared" ref="AI73:AI82" si="82">AG73+AC73+Y73+U73+Q73+M73+I73</f>
        <v>1894563.1004879968</v>
      </c>
      <c r="AJ73" s="238">
        <f t="shared" ref="AJ73:AJ82" si="83">AI73/$AI$82</f>
        <v>2.9674542032070001E-2</v>
      </c>
    </row>
    <row r="74" spans="1:36" s="88" customFormat="1" x14ac:dyDescent="0.25">
      <c r="A74" s="377"/>
      <c r="B74" s="48" t="s">
        <v>95</v>
      </c>
      <c r="C74" s="49" t="s">
        <v>22</v>
      </c>
      <c r="D74" s="340" t="s">
        <v>93</v>
      </c>
      <c r="E74" s="341"/>
      <c r="F74" s="56">
        <f>SUM(F73)</f>
        <v>101.50492735836214</v>
      </c>
      <c r="G74" s="59">
        <f t="shared" si="68"/>
        <v>2.9740314456977612E-2</v>
      </c>
      <c r="H74" s="70">
        <f t="shared" ref="H74:AG74" si="84">SUM(H73)</f>
        <v>19691.955907522257</v>
      </c>
      <c r="I74" s="71">
        <f t="shared" si="84"/>
        <v>551374.76541062316</v>
      </c>
      <c r="J74" s="56">
        <f>SUM(J73)</f>
        <v>129.80215639867913</v>
      </c>
      <c r="K74" s="62">
        <f t="shared" si="75"/>
        <v>2.9740314456977619E-2</v>
      </c>
      <c r="L74" s="70">
        <f t="shared" si="84"/>
        <v>16225.269549834891</v>
      </c>
      <c r="M74" s="71">
        <f t="shared" si="84"/>
        <v>454307.54739537695</v>
      </c>
      <c r="N74" s="56">
        <f t="shared" si="84"/>
        <v>127.95</v>
      </c>
      <c r="O74" s="62">
        <f t="shared" si="76"/>
        <v>2.8892988679909946E-2</v>
      </c>
      <c r="P74" s="70">
        <f>ROUND(SUM(P73),2)</f>
        <v>5118.12</v>
      </c>
      <c r="Q74" s="71">
        <f>ROUND(SUM(Q73),2)</f>
        <v>143307.35999999999</v>
      </c>
      <c r="R74" s="56">
        <f t="shared" si="84"/>
        <v>145.27655495854265</v>
      </c>
      <c r="S74" s="62">
        <f t="shared" si="77"/>
        <v>2.9740314456977612E-2</v>
      </c>
      <c r="T74" s="70">
        <f t="shared" si="84"/>
        <v>726.38277479271324</v>
      </c>
      <c r="U74" s="71">
        <f t="shared" si="84"/>
        <v>20338.717694195977</v>
      </c>
      <c r="V74" s="56">
        <f t="shared" si="84"/>
        <v>279.94186904398344</v>
      </c>
      <c r="W74" s="62">
        <f t="shared" si="78"/>
        <v>2.9740314456977612E-2</v>
      </c>
      <c r="X74" s="70">
        <f t="shared" si="84"/>
        <v>11197.674761759341</v>
      </c>
      <c r="Y74" s="71">
        <f t="shared" si="84"/>
        <v>313534.89332926145</v>
      </c>
      <c r="Z74" s="56">
        <f t="shared" si="84"/>
        <v>313.79559932343108</v>
      </c>
      <c r="AA74" s="62">
        <f t="shared" si="79"/>
        <v>2.9740314456977612E-2</v>
      </c>
      <c r="AB74" s="70">
        <f t="shared" si="84"/>
        <v>12238.028373613814</v>
      </c>
      <c r="AC74" s="71">
        <f t="shared" si="84"/>
        <v>342664.79446118674</v>
      </c>
      <c r="AD74" s="56">
        <f t="shared" si="84"/>
        <v>154.09603169051914</v>
      </c>
      <c r="AE74" s="62">
        <f t="shared" si="80"/>
        <v>2.9740314456977616E-2</v>
      </c>
      <c r="AF74" s="70">
        <f t="shared" si="84"/>
        <v>2465.5365070483062</v>
      </c>
      <c r="AG74" s="232">
        <f t="shared" si="84"/>
        <v>69035.022197352562</v>
      </c>
      <c r="AH74" s="237">
        <f t="shared" si="81"/>
        <v>67662.967874571332</v>
      </c>
      <c r="AI74" s="237">
        <f t="shared" si="82"/>
        <v>1894563.1004879968</v>
      </c>
      <c r="AJ74" s="238">
        <f t="shared" si="83"/>
        <v>2.9674542032070001E-2</v>
      </c>
    </row>
    <row r="75" spans="1:36" x14ac:dyDescent="0.25">
      <c r="A75" s="377"/>
      <c r="B75" s="1" t="s">
        <v>96</v>
      </c>
      <c r="C75" s="2" t="s">
        <v>97</v>
      </c>
      <c r="D75" s="350" t="s">
        <v>176</v>
      </c>
      <c r="E75" s="351"/>
      <c r="F75" s="38">
        <f>((F72+F74+F80)/(1-0.0865))*3%</f>
        <v>102.39124489271894</v>
      </c>
      <c r="G75" s="64">
        <f t="shared" si="68"/>
        <v>3.0000000000000002E-2</v>
      </c>
      <c r="H75" s="222">
        <f>((H72+H74+H80)/(1-0.0865))*3%</f>
        <v>19863.901509187472</v>
      </c>
      <c r="I75" s="223">
        <f>((I72+I74+I80)/(1-0.0865))*3%</f>
        <v>556189.24225724931</v>
      </c>
      <c r="J75" s="38">
        <f>((J72+J74+J80)/(1-0.0865))*3%</f>
        <v>130.93555878817398</v>
      </c>
      <c r="K75" s="61">
        <f t="shared" si="75"/>
        <v>2.9999999999999995E-2</v>
      </c>
      <c r="L75" s="222">
        <f>((L72+L74+L80)/(1-0.0865))*3%</f>
        <v>16366.944848521751</v>
      </c>
      <c r="M75" s="223">
        <f>((M72+M74+M80)/(1-0.0865))*3%</f>
        <v>458274.45575860905</v>
      </c>
      <c r="N75" s="38">
        <f>ROUND(((N72+N74+N80)/(1-0.0865))*3%,2)</f>
        <v>132.85</v>
      </c>
      <c r="O75" s="61">
        <f t="shared" si="76"/>
        <v>2.9999480626229279E-2</v>
      </c>
      <c r="P75" s="222">
        <f>ROUND(((P72+P74+P80)/(1-0.0865))*3%,2)</f>
        <v>5314.11</v>
      </c>
      <c r="Q75" s="223">
        <f>ROUND(((Q72+Q74+Q80)/(1-0.0865))*3%,2)</f>
        <v>148795.07999999999</v>
      </c>
      <c r="R75" s="38">
        <f>((R72+R74+R80)/(1-0.0865))*3%</f>
        <v>146.5450762150144</v>
      </c>
      <c r="S75" s="61">
        <f t="shared" si="77"/>
        <v>0.03</v>
      </c>
      <c r="T75" s="222">
        <f>((T72+T74+T80)/(1-0.0865))*3%</f>
        <v>732.72538107507216</v>
      </c>
      <c r="U75" s="223">
        <f>((U72+U74+U80)/(1-0.0865))*3%</f>
        <v>20516.310670102019</v>
      </c>
      <c r="V75" s="38">
        <f>((V72+V74+V80)/(1-0.0865))*3%</f>
        <v>282.38625665738795</v>
      </c>
      <c r="W75" s="61">
        <f t="shared" si="78"/>
        <v>3.0000000000000006E-2</v>
      </c>
      <c r="X75" s="222">
        <f>((X72+X74+X80)/(1-0.0865))*3%</f>
        <v>11295.450266295516</v>
      </c>
      <c r="Y75" s="223">
        <f>((Y72+Y74+Y80)/(1-0.0865))*3%</f>
        <v>316272.60745627439</v>
      </c>
      <c r="Z75" s="38">
        <f>((Z72+Z74+Z80)/(1-0.0865))*3%</f>
        <v>316.53558987484979</v>
      </c>
      <c r="AA75" s="61">
        <f t="shared" si="79"/>
        <v>2.9999999999999995E-2</v>
      </c>
      <c r="AB75" s="222">
        <f>((AB72+AB74+AB80)/(1-0.0865))*3%</f>
        <v>12344.888005119145</v>
      </c>
      <c r="AC75" s="223">
        <f>((AC72+AC74+AC80)/(1-0.0865))*3%</f>
        <v>345656.86414333602</v>
      </c>
      <c r="AD75" s="38">
        <f>((AD72+AD74+AD80)/(1-0.0865))*3%</f>
        <v>155.44156257671855</v>
      </c>
      <c r="AE75" s="61">
        <f t="shared" si="80"/>
        <v>2.9999999999999995E-2</v>
      </c>
      <c r="AF75" s="222">
        <f>((AF72+AF74+AF80)/(1-0.0865))*3%</f>
        <v>2487.0650012274969</v>
      </c>
      <c r="AG75" s="233">
        <f>((AG72+AG74+AG80)/(1-0.0865))*3%</f>
        <v>69637.820034369914</v>
      </c>
      <c r="AH75" s="237">
        <f t="shared" si="81"/>
        <v>68405.085011426461</v>
      </c>
      <c r="AI75" s="237">
        <f t="shared" si="82"/>
        <v>1915342.3803199406</v>
      </c>
      <c r="AJ75" s="238">
        <f t="shared" si="83"/>
        <v>3.000000789415205E-2</v>
      </c>
    </row>
    <row r="76" spans="1:36" x14ac:dyDescent="0.25">
      <c r="A76" s="377"/>
      <c r="B76" s="1" t="s">
        <v>98</v>
      </c>
      <c r="C76" s="2" t="s">
        <v>99</v>
      </c>
      <c r="D76" s="350" t="s">
        <v>161</v>
      </c>
      <c r="E76" s="351"/>
      <c r="F76" s="38">
        <f>((F72+F74+F80)/(1-0.0865))*5%</f>
        <v>170.65207482119825</v>
      </c>
      <c r="G76" s="64">
        <f t="shared" ref="G76:G77" si="85">F76/$F$82</f>
        <v>5.000000000000001E-2</v>
      </c>
      <c r="H76" s="222">
        <f>((H72+H74+H80)/(1-0.0865))*5%</f>
        <v>33106.502515312452</v>
      </c>
      <c r="I76" s="223">
        <f>((I72+I74+I80)/(1-0.0865))*5%</f>
        <v>926982.07042874885</v>
      </c>
      <c r="J76" s="38">
        <f>((J72+J74+J80)/(1-0.0865))*5%</f>
        <v>218.22593131362333</v>
      </c>
      <c r="K76" s="61">
        <f t="shared" si="75"/>
        <v>0.05</v>
      </c>
      <c r="L76" s="222">
        <f>((L72+L74+L80)/(1-0.0865))*5%</f>
        <v>27278.241414202919</v>
      </c>
      <c r="M76" s="223">
        <f>((M72+M74+M80)/(1-0.0865))*5%</f>
        <v>763790.75959768181</v>
      </c>
      <c r="N76" s="38">
        <f>ROUND(((N72+N74+N80)/(1-0.0865))*5%,2)</f>
        <v>221.42</v>
      </c>
      <c r="O76" s="61">
        <f t="shared" si="76"/>
        <v>4.999988709265854E-2</v>
      </c>
      <c r="P76" s="222">
        <f>ROUND(((P72+P74+P80)/(1-0.0865))*5%,2)</f>
        <v>8856.85</v>
      </c>
      <c r="Q76" s="223">
        <f>ROUND(P76*28,2)</f>
        <v>247991.8</v>
      </c>
      <c r="R76" s="38">
        <f>((R72+R74+R80)/(1-0.0865))*5%</f>
        <v>244.2417936916907</v>
      </c>
      <c r="S76" s="61">
        <f t="shared" si="77"/>
        <v>0.05</v>
      </c>
      <c r="T76" s="222">
        <f>((T72+T74+T80)/(1-0.0865))*5%</f>
        <v>1221.2089684584537</v>
      </c>
      <c r="U76" s="223">
        <f>((U72+U74+U80)/(1-0.0865))*5%</f>
        <v>34193.851116836704</v>
      </c>
      <c r="V76" s="38">
        <f>((V72+V74+V80)/(1-0.0865))*5%</f>
        <v>470.6437610956466</v>
      </c>
      <c r="W76" s="61">
        <f t="shared" si="78"/>
        <v>5.0000000000000017E-2</v>
      </c>
      <c r="X76" s="222">
        <f>((X72+X74+X80)/(1-0.0865))*5%</f>
        <v>18825.750443825862</v>
      </c>
      <c r="Y76" s="223">
        <f>((Y72+Y74+Y80)/(1-0.0865))*5%</f>
        <v>527121.01242712408</v>
      </c>
      <c r="Z76" s="38">
        <f>((Z72+Z74+Z80)/(1-0.0865))*5%</f>
        <v>527.55931645808312</v>
      </c>
      <c r="AA76" s="61">
        <f t="shared" si="79"/>
        <v>5.000000000000001E-2</v>
      </c>
      <c r="AB76" s="222">
        <f>((AB72+AB74+AB80)/(1-0.0865))*5%</f>
        <v>20574.813341865243</v>
      </c>
      <c r="AC76" s="223">
        <f>((AC72+AC74+AC80)/(1-0.0865))*5%</f>
        <v>576094.77357222675</v>
      </c>
      <c r="AD76" s="38">
        <f>((AD72+AD74+AD80)/(1-0.0865))*5%</f>
        <v>259.06927096119762</v>
      </c>
      <c r="AE76" s="61">
        <f t="shared" si="80"/>
        <v>0.05</v>
      </c>
      <c r="AF76" s="222">
        <f>((AF72+AF74+AF80)/(1-0.0865))*5%</f>
        <v>4145.1083353791619</v>
      </c>
      <c r="AG76" s="233">
        <f>((AG72+AG74+AG80)/(1-0.0865))*5%</f>
        <v>116063.03339061653</v>
      </c>
      <c r="AH76" s="237">
        <f t="shared" si="81"/>
        <v>114008.4750190441</v>
      </c>
      <c r="AI76" s="237">
        <f t="shared" si="82"/>
        <v>3192237.3005332351</v>
      </c>
      <c r="AJ76" s="238">
        <f t="shared" si="83"/>
        <v>5.0000013156920091E-2</v>
      </c>
    </row>
    <row r="77" spans="1:36" x14ac:dyDescent="0.25">
      <c r="A77" s="377"/>
      <c r="B77" s="1" t="s">
        <v>100</v>
      </c>
      <c r="C77" s="2" t="s">
        <v>101</v>
      </c>
      <c r="D77" s="352" t="s">
        <v>177</v>
      </c>
      <c r="E77" s="353"/>
      <c r="F77" s="38">
        <f>((F72+F74+F80)/(1-0.0865))*0.65%</f>
        <v>22.184769726755775</v>
      </c>
      <c r="G77" s="64">
        <f t="shared" si="85"/>
        <v>6.5000000000000014E-3</v>
      </c>
      <c r="H77" s="222">
        <f>((H72+H74+H80)/(1-0.0865))*0.65%</f>
        <v>4303.8453269906195</v>
      </c>
      <c r="I77" s="223">
        <f>((I72+I74+I80)/(1-0.0865))*0.65%</f>
        <v>120507.66915573736</v>
      </c>
      <c r="J77" s="38">
        <f>((J72+J74+J80)/(1-0.0865))*0.65%</f>
        <v>28.369371070771034</v>
      </c>
      <c r="K77" s="61">
        <f t="shared" si="75"/>
        <v>6.5000000000000006E-3</v>
      </c>
      <c r="L77" s="222">
        <f>((L72+L74+L80)/(1-0.0865))*0.65%</f>
        <v>3546.1713838463797</v>
      </c>
      <c r="M77" s="223">
        <f>((M72+M74+M80)/(1-0.0865))*0.65%</f>
        <v>99292.798747698631</v>
      </c>
      <c r="N77" s="38">
        <f>ROUND(((N72+N74+N80)/(1-0.0865))*0.65%,2)</f>
        <v>28.78</v>
      </c>
      <c r="O77" s="61">
        <f t="shared" si="76"/>
        <v>6.4989465745041676E-3</v>
      </c>
      <c r="P77" s="222">
        <f>ROUND(((P72+P74+P80)/(1-0.0865))*0.65%,2)</f>
        <v>1151.3900000000001</v>
      </c>
      <c r="Q77" s="223">
        <f>ROUND(P77*28,2)</f>
        <v>32238.92</v>
      </c>
      <c r="R77" s="38">
        <f>((R72+R74+R80)/(1-0.0865))*0.65%</f>
        <v>31.751433179919793</v>
      </c>
      <c r="S77" s="61">
        <f t="shared" si="77"/>
        <v>6.5000000000000006E-3</v>
      </c>
      <c r="T77" s="222">
        <f>((T72+T74+T80)/(1-0.0865))*0.65%</f>
        <v>158.75716589959899</v>
      </c>
      <c r="U77" s="223">
        <f>((U72+U74+U80)/(1-0.0865))*0.65%</f>
        <v>4445.200645188771</v>
      </c>
      <c r="V77" s="38">
        <f>((V72+V74+V80)/(1-0.0865))*0.65%</f>
        <v>61.18368894243406</v>
      </c>
      <c r="W77" s="61">
        <f t="shared" si="78"/>
        <v>6.5000000000000023E-3</v>
      </c>
      <c r="X77" s="222">
        <f>((X72+X74+X80)/(1-0.0865))*0.65%</f>
        <v>2447.3475576973624</v>
      </c>
      <c r="Y77" s="223">
        <f>((Y72+Y74+Y80)/(1-0.0865))*0.65%</f>
        <v>68525.731615526121</v>
      </c>
      <c r="Z77" s="38">
        <f>((Z72+Z74+Z80)/(1-0.0865))*0.65%</f>
        <v>68.582711139550796</v>
      </c>
      <c r="AA77" s="61">
        <f t="shared" si="79"/>
        <v>6.4999999999999997E-3</v>
      </c>
      <c r="AB77" s="222">
        <f>((AB72+AB74+AB80)/(1-0.0865))*0.65%</f>
        <v>2674.7257344424816</v>
      </c>
      <c r="AC77" s="223">
        <f>((AC72+AC74+AC80)/(1-0.0865))*0.65%</f>
        <v>74892.320564389476</v>
      </c>
      <c r="AD77" s="38">
        <f>((AD72+AD74+AD80)/(1-0.0865))*0.65%</f>
        <v>33.679005224955695</v>
      </c>
      <c r="AE77" s="61">
        <f t="shared" si="80"/>
        <v>6.5000000000000006E-3</v>
      </c>
      <c r="AF77" s="222">
        <f>((AF72+AF74+AF80)/(1-0.0865))*0.65%</f>
        <v>538.86408359929112</v>
      </c>
      <c r="AG77" s="233">
        <f>((AG72+AG74+AG80)/(1-0.0865))*0.65%</f>
        <v>15088.19434078015</v>
      </c>
      <c r="AH77" s="237">
        <f t="shared" si="81"/>
        <v>14821.101252475735</v>
      </c>
      <c r="AI77" s="237">
        <f t="shared" si="82"/>
        <v>414990.83506932051</v>
      </c>
      <c r="AJ77" s="238">
        <f t="shared" si="83"/>
        <v>6.5000014911176102E-3</v>
      </c>
    </row>
    <row r="78" spans="1:36" s="88" customFormat="1" x14ac:dyDescent="0.25">
      <c r="A78" s="377"/>
      <c r="B78" s="87" t="s">
        <v>102</v>
      </c>
      <c r="C78" s="3" t="s">
        <v>22</v>
      </c>
      <c r="D78" s="354" t="s">
        <v>162</v>
      </c>
      <c r="E78" s="355"/>
      <c r="F78" s="36">
        <f t="shared" ref="F78:AG78" si="86">SUM(F75:F77)</f>
        <v>295.22808944067299</v>
      </c>
      <c r="G78" s="63">
        <f>F78/$F$82</f>
        <v>8.6500000000000021E-2</v>
      </c>
      <c r="H78" s="7">
        <f t="shared" si="86"/>
        <v>57274.249351490536</v>
      </c>
      <c r="I78" s="37">
        <f t="shared" si="86"/>
        <v>1603678.9818417355</v>
      </c>
      <c r="J78" s="36">
        <f t="shared" si="86"/>
        <v>377.53086117256834</v>
      </c>
      <c r="K78" s="62">
        <f t="shared" si="75"/>
        <v>8.6499999999999994E-2</v>
      </c>
      <c r="L78" s="7">
        <f t="shared" si="86"/>
        <v>47191.35764657105</v>
      </c>
      <c r="M78" s="37">
        <f t="shared" si="86"/>
        <v>1321358.0141039893</v>
      </c>
      <c r="N78" s="36">
        <f t="shared" si="86"/>
        <v>383.04999999999995</v>
      </c>
      <c r="O78" s="62">
        <f t="shared" si="76"/>
        <v>8.6498314293391984E-2</v>
      </c>
      <c r="P78" s="7">
        <f>ROUND(SUM(P75:P77),2)</f>
        <v>15322.35</v>
      </c>
      <c r="Q78" s="37">
        <f>ROUND(SUM(Q75:Q77),2)</f>
        <v>429025.8</v>
      </c>
      <c r="R78" s="36">
        <f t="shared" si="86"/>
        <v>422.53830308662486</v>
      </c>
      <c r="S78" s="62">
        <f t="shared" si="77"/>
        <v>8.6499999999999994E-2</v>
      </c>
      <c r="T78" s="7">
        <f t="shared" si="86"/>
        <v>2112.691515433125</v>
      </c>
      <c r="U78" s="37">
        <f t="shared" si="86"/>
        <v>59155.362432127498</v>
      </c>
      <c r="V78" s="36">
        <f t="shared" si="86"/>
        <v>814.21370669546866</v>
      </c>
      <c r="W78" s="62">
        <f t="shared" si="78"/>
        <v>8.6500000000000035E-2</v>
      </c>
      <c r="X78" s="7">
        <f t="shared" si="86"/>
        <v>32568.54826781874</v>
      </c>
      <c r="Y78" s="37">
        <f t="shared" si="86"/>
        <v>911919.35149892466</v>
      </c>
      <c r="Z78" s="36">
        <f t="shared" si="86"/>
        <v>912.67761747248369</v>
      </c>
      <c r="AA78" s="62">
        <f t="shared" si="79"/>
        <v>8.6500000000000007E-2</v>
      </c>
      <c r="AB78" s="7">
        <f t="shared" si="86"/>
        <v>35594.427081426868</v>
      </c>
      <c r="AC78" s="37">
        <f t="shared" si="86"/>
        <v>996643.95827995217</v>
      </c>
      <c r="AD78" s="36">
        <f t="shared" si="86"/>
        <v>448.18983876287183</v>
      </c>
      <c r="AE78" s="62">
        <f t="shared" si="80"/>
        <v>8.6499999999999994E-2</v>
      </c>
      <c r="AF78" s="7">
        <f t="shared" si="86"/>
        <v>7171.0374202059493</v>
      </c>
      <c r="AG78" s="234">
        <f t="shared" si="86"/>
        <v>200789.04776576659</v>
      </c>
      <c r="AH78" s="237">
        <f t="shared" si="81"/>
        <v>197234.66128294624</v>
      </c>
      <c r="AI78" s="237">
        <f t="shared" si="82"/>
        <v>5522570.5159224952</v>
      </c>
      <c r="AJ78" s="238">
        <f t="shared" si="83"/>
        <v>8.6500022542189733E-2</v>
      </c>
    </row>
    <row r="79" spans="1:36" x14ac:dyDescent="0.25">
      <c r="A79" s="377"/>
      <c r="B79" s="46" t="s">
        <v>103</v>
      </c>
      <c r="C79" s="47" t="s">
        <v>104</v>
      </c>
      <c r="D79" s="356" t="s">
        <v>178</v>
      </c>
      <c r="E79" s="357"/>
      <c r="F79" s="57">
        <f>(F72+F74)*'Encargos e CITL'!$E$18</f>
        <v>30.869439673101898</v>
      </c>
      <c r="G79" s="64">
        <f>F79/$F$82</f>
        <v>9.0445544554455456E-3</v>
      </c>
      <c r="H79" s="72">
        <f>(H72+H74)*1%</f>
        <v>5988.6712965817678</v>
      </c>
      <c r="I79" s="73">
        <f>(I72+I74)*1%</f>
        <v>167682.79630428951</v>
      </c>
      <c r="J79" s="57">
        <f>(J72+J74)*'Encargos e CITL'!$E$18</f>
        <v>39.475126387127709</v>
      </c>
      <c r="K79" s="61">
        <f t="shared" si="75"/>
        <v>9.0445544554455456E-3</v>
      </c>
      <c r="L79" s="72">
        <f>(L72+L74)*1%</f>
        <v>4934.3907983909639</v>
      </c>
      <c r="M79" s="73">
        <f>(M72+M74)*1%</f>
        <v>138162.94235494698</v>
      </c>
      <c r="N79" s="57">
        <f>ROUND((N72+N74)*'Encargos e CITL'!$E$18,2)</f>
        <v>40.049999999999997</v>
      </c>
      <c r="O79" s="61">
        <f t="shared" si="76"/>
        <v>9.0438780510386351E-3</v>
      </c>
      <c r="P79" s="72">
        <f>ROUND((P72+P74)*1%,2)</f>
        <v>1602.13</v>
      </c>
      <c r="Q79" s="73">
        <f>ROUND(P79*28,2)</f>
        <v>44859.64</v>
      </c>
      <c r="R79" s="57">
        <f>(R72+R74)*'Encargos e CITL'!$E$18</f>
        <v>44.181164066803852</v>
      </c>
      <c r="S79" s="61">
        <f t="shared" si="77"/>
        <v>9.0445544554455456E-3</v>
      </c>
      <c r="T79" s="72">
        <f>(T72+T74)*1%</f>
        <v>220.90582033401927</v>
      </c>
      <c r="U79" s="73">
        <f>(U72+U74)*1%</f>
        <v>6185.3629693525399</v>
      </c>
      <c r="V79" s="57">
        <f>(V72+V74)*'Encargos e CITL'!$E$18</f>
        <v>85.135262526905549</v>
      </c>
      <c r="W79" s="61">
        <f t="shared" si="78"/>
        <v>9.0445544554455439E-3</v>
      </c>
      <c r="X79" s="72">
        <f>(X72+X74)*1%</f>
        <v>3405.4105010762228</v>
      </c>
      <c r="Y79" s="73">
        <f>(Y72+Y74)*1%</f>
        <v>95351.494030134214</v>
      </c>
      <c r="Z79" s="57">
        <f>(Z72+Z74)*'Encargos e CITL'!$E$18</f>
        <v>95.43077932365523</v>
      </c>
      <c r="AA79" s="61">
        <f t="shared" si="79"/>
        <v>9.0445544554455456E-3</v>
      </c>
      <c r="AB79" s="72">
        <f>(AB72+AB74)*1%</f>
        <v>3721.8003936225537</v>
      </c>
      <c r="AC79" s="73">
        <f>(AC72+AC74)*1%</f>
        <v>104210.4110214315</v>
      </c>
      <c r="AD79" s="57">
        <f>(AD72+AD74)*'Encargos e CITL'!$E$18</f>
        <v>46.863322578822583</v>
      </c>
      <c r="AE79" s="61">
        <f t="shared" si="80"/>
        <v>9.0445544554455456E-3</v>
      </c>
      <c r="AF79" s="72">
        <f>(AF72+AF74)*1%</f>
        <v>749.81316126116133</v>
      </c>
      <c r="AG79" s="235">
        <f>(AG72+AG74)*1%</f>
        <v>20994.768515312513</v>
      </c>
      <c r="AH79" s="237">
        <f t="shared" si="81"/>
        <v>20623.121971266686</v>
      </c>
      <c r="AI79" s="237">
        <f t="shared" si="82"/>
        <v>577447.4151954673</v>
      </c>
      <c r="AJ79" s="238">
        <f t="shared" si="83"/>
        <v>9.0445589218508243E-3</v>
      </c>
    </row>
    <row r="80" spans="1:36" s="88" customFormat="1" x14ac:dyDescent="0.25">
      <c r="A80" s="377"/>
      <c r="B80" s="48" t="s">
        <v>105</v>
      </c>
      <c r="C80" s="49" t="s">
        <v>22</v>
      </c>
      <c r="D80" s="340" t="s">
        <v>103</v>
      </c>
      <c r="E80" s="341"/>
      <c r="F80" s="56">
        <f t="shared" ref="F80:AG80" si="87">SUM(F79)</f>
        <v>30.869439673101898</v>
      </c>
      <c r="G80" s="63">
        <f>F80/$F$82</f>
        <v>9.0445544554455456E-3</v>
      </c>
      <c r="H80" s="70">
        <f t="shared" si="87"/>
        <v>5988.6712965817678</v>
      </c>
      <c r="I80" s="71">
        <f t="shared" si="87"/>
        <v>167682.79630428951</v>
      </c>
      <c r="J80" s="56">
        <f t="shared" si="87"/>
        <v>39.475126387127709</v>
      </c>
      <c r="K80" s="62">
        <f t="shared" si="75"/>
        <v>9.0445544554455456E-3</v>
      </c>
      <c r="L80" s="70">
        <f t="shared" si="87"/>
        <v>4934.3907983909639</v>
      </c>
      <c r="M80" s="71">
        <f t="shared" si="87"/>
        <v>138162.94235494698</v>
      </c>
      <c r="N80" s="56">
        <f t="shared" si="87"/>
        <v>40.049999999999997</v>
      </c>
      <c r="O80" s="62">
        <f t="shared" si="76"/>
        <v>9.0438780510386351E-3</v>
      </c>
      <c r="P80" s="70">
        <f>ROUND(SUM(P79),2)</f>
        <v>1602.13</v>
      </c>
      <c r="Q80" s="71">
        <f>ROUND(SUM(Q79),2)</f>
        <v>44859.64</v>
      </c>
      <c r="R80" s="56">
        <f t="shared" si="87"/>
        <v>44.181164066803852</v>
      </c>
      <c r="S80" s="62">
        <f t="shared" si="77"/>
        <v>9.0445544554455456E-3</v>
      </c>
      <c r="T80" s="70">
        <f t="shared" si="87"/>
        <v>220.90582033401927</v>
      </c>
      <c r="U80" s="71">
        <f t="shared" si="87"/>
        <v>6185.3629693525399</v>
      </c>
      <c r="V80" s="56">
        <f t="shared" si="87"/>
        <v>85.135262526905549</v>
      </c>
      <c r="W80" s="62">
        <f t="shared" si="78"/>
        <v>9.0445544554455439E-3</v>
      </c>
      <c r="X80" s="70">
        <f t="shared" si="87"/>
        <v>3405.4105010762228</v>
      </c>
      <c r="Y80" s="71">
        <f t="shared" si="87"/>
        <v>95351.494030134214</v>
      </c>
      <c r="Z80" s="56">
        <f t="shared" si="87"/>
        <v>95.43077932365523</v>
      </c>
      <c r="AA80" s="62">
        <f t="shared" si="79"/>
        <v>9.0445544554455456E-3</v>
      </c>
      <c r="AB80" s="70">
        <f t="shared" si="87"/>
        <v>3721.8003936225537</v>
      </c>
      <c r="AC80" s="71">
        <f t="shared" si="87"/>
        <v>104210.4110214315</v>
      </c>
      <c r="AD80" s="56">
        <f t="shared" si="87"/>
        <v>46.863322578822583</v>
      </c>
      <c r="AE80" s="62">
        <f t="shared" si="80"/>
        <v>9.0445544554455456E-3</v>
      </c>
      <c r="AF80" s="70">
        <f t="shared" si="87"/>
        <v>749.81316126116133</v>
      </c>
      <c r="AG80" s="232">
        <f t="shared" si="87"/>
        <v>20994.768515312513</v>
      </c>
      <c r="AH80" s="237">
        <f t="shared" si="81"/>
        <v>20623.121971266686</v>
      </c>
      <c r="AI80" s="237">
        <f t="shared" si="82"/>
        <v>577447.4151954673</v>
      </c>
      <c r="AJ80" s="238">
        <f t="shared" si="83"/>
        <v>9.0445589218508243E-3</v>
      </c>
    </row>
    <row r="81" spans="1:36" x14ac:dyDescent="0.25">
      <c r="A81" s="54"/>
      <c r="B81" s="358" t="s">
        <v>206</v>
      </c>
      <c r="C81" s="358"/>
      <c r="D81" s="358"/>
      <c r="E81" s="359"/>
      <c r="F81" s="56">
        <f t="shared" ref="F81:AG81" si="88">F74+F78+F80</f>
        <v>427.60245647213702</v>
      </c>
      <c r="G81" s="63">
        <f>F81/$F$82</f>
        <v>0.12528486891242319</v>
      </c>
      <c r="H81" s="70">
        <f t="shared" si="88"/>
        <v>82954.876555594557</v>
      </c>
      <c r="I81" s="71">
        <f t="shared" si="88"/>
        <v>2322736.5435566483</v>
      </c>
      <c r="J81" s="56">
        <f t="shared" si="88"/>
        <v>546.80814395837513</v>
      </c>
      <c r="K81" s="61">
        <f t="shared" si="75"/>
        <v>0.12528486891242316</v>
      </c>
      <c r="L81" s="70">
        <f t="shared" si="88"/>
        <v>68351.017994796901</v>
      </c>
      <c r="M81" s="71">
        <f t="shared" si="88"/>
        <v>1913828.5038543134</v>
      </c>
      <c r="N81" s="56">
        <f t="shared" si="88"/>
        <v>551.04999999999995</v>
      </c>
      <c r="O81" s="61">
        <f t="shared" si="76"/>
        <v>0.12443518102434056</v>
      </c>
      <c r="P81" s="70">
        <f>N81*40</f>
        <v>22042</v>
      </c>
      <c r="Q81" s="71">
        <f>P81*28</f>
        <v>617176</v>
      </c>
      <c r="R81" s="56">
        <f t="shared" si="88"/>
        <v>611.99602211197134</v>
      </c>
      <c r="S81" s="61">
        <f t="shared" si="77"/>
        <v>0.12528486891242316</v>
      </c>
      <c r="T81" s="70">
        <f t="shared" si="88"/>
        <v>3059.9801105598572</v>
      </c>
      <c r="U81" s="71">
        <f t="shared" si="88"/>
        <v>85679.443095676019</v>
      </c>
      <c r="V81" s="56">
        <f t="shared" si="88"/>
        <v>1179.2908382663577</v>
      </c>
      <c r="W81" s="61">
        <f t="shared" si="78"/>
        <v>0.12528486891242319</v>
      </c>
      <c r="X81" s="70">
        <f t="shared" si="88"/>
        <v>47171.633530654304</v>
      </c>
      <c r="Y81" s="71">
        <f t="shared" si="88"/>
        <v>1320805.7388583203</v>
      </c>
      <c r="Z81" s="56">
        <f t="shared" si="88"/>
        <v>1321.9039961195701</v>
      </c>
      <c r="AA81" s="61">
        <f t="shared" si="79"/>
        <v>0.12528486891242316</v>
      </c>
      <c r="AB81" s="70">
        <f t="shared" si="88"/>
        <v>51554.255848663233</v>
      </c>
      <c r="AC81" s="71">
        <f t="shared" si="88"/>
        <v>1443519.1637625704</v>
      </c>
      <c r="AD81" s="56">
        <f t="shared" si="88"/>
        <v>649.14919303221359</v>
      </c>
      <c r="AE81" s="61">
        <f t="shared" si="80"/>
        <v>0.12528486891242316</v>
      </c>
      <c r="AF81" s="70">
        <f t="shared" si="88"/>
        <v>10386.387088515417</v>
      </c>
      <c r="AG81" s="232">
        <f t="shared" si="88"/>
        <v>290818.83847843169</v>
      </c>
      <c r="AH81" s="237">
        <f t="shared" si="81"/>
        <v>285520.15112878429</v>
      </c>
      <c r="AI81" s="237">
        <f t="shared" si="82"/>
        <v>7994564.2316059601</v>
      </c>
      <c r="AJ81" s="238">
        <f t="shared" si="83"/>
        <v>0.12521886035770891</v>
      </c>
    </row>
    <row r="82" spans="1:36" ht="15.75" thickBot="1" x14ac:dyDescent="0.3">
      <c r="A82" s="54"/>
      <c r="B82" s="358" t="s">
        <v>196</v>
      </c>
      <c r="C82" s="358"/>
      <c r="D82" s="358"/>
      <c r="E82" s="359"/>
      <c r="F82" s="58">
        <f>F72+F81</f>
        <v>3413.0414964239644</v>
      </c>
      <c r="G82" s="65">
        <f>F82/$F$82</f>
        <v>1</v>
      </c>
      <c r="H82" s="74">
        <f t="shared" ref="H82:AG82" si="89">H72+H81</f>
        <v>662130.05030624918</v>
      </c>
      <c r="I82" s="75">
        <f t="shared" si="89"/>
        <v>18539641.408574976</v>
      </c>
      <c r="J82" s="58">
        <f t="shared" si="89"/>
        <v>4364.5186262724665</v>
      </c>
      <c r="K82" s="61">
        <f t="shared" si="75"/>
        <v>1</v>
      </c>
      <c r="L82" s="74">
        <f t="shared" si="89"/>
        <v>545564.82828405837</v>
      </c>
      <c r="M82" s="75">
        <f>M72+M81</f>
        <v>15275815.191953635</v>
      </c>
      <c r="N82" s="58">
        <f>ROUND(N72+N81,2)</f>
        <v>4428.41</v>
      </c>
      <c r="O82" s="61">
        <f t="shared" si="76"/>
        <v>1</v>
      </c>
      <c r="P82" s="74">
        <f>ROUND(P72+P81,2)</f>
        <v>177136.4</v>
      </c>
      <c r="Q82" s="75">
        <f>TRUNC(Q72+Q81,2)</f>
        <v>4959819.2</v>
      </c>
      <c r="R82" s="58">
        <f t="shared" si="89"/>
        <v>4884.8358738338138</v>
      </c>
      <c r="S82" s="61">
        <f t="shared" si="77"/>
        <v>1</v>
      </c>
      <c r="T82" s="74">
        <f t="shared" si="89"/>
        <v>24424.179369169069</v>
      </c>
      <c r="U82" s="75">
        <f t="shared" si="89"/>
        <v>683877.02233673411</v>
      </c>
      <c r="V82" s="58">
        <f t="shared" si="89"/>
        <v>9412.8752219129292</v>
      </c>
      <c r="W82" s="61">
        <f t="shared" si="78"/>
        <v>1</v>
      </c>
      <c r="X82" s="74">
        <f t="shared" si="89"/>
        <v>376515.00887651724</v>
      </c>
      <c r="Y82" s="75">
        <f t="shared" si="89"/>
        <v>10542420.24854248</v>
      </c>
      <c r="Z82" s="58">
        <f t="shared" si="89"/>
        <v>10551.186329161661</v>
      </c>
      <c r="AA82" s="61">
        <f t="shared" si="79"/>
        <v>1</v>
      </c>
      <c r="AB82" s="74">
        <f t="shared" si="89"/>
        <v>411496.26683730475</v>
      </c>
      <c r="AC82" s="75">
        <f t="shared" si="89"/>
        <v>11521895.471444532</v>
      </c>
      <c r="AD82" s="58">
        <f t="shared" si="89"/>
        <v>5181.3854192239523</v>
      </c>
      <c r="AE82" s="61">
        <f t="shared" si="80"/>
        <v>1</v>
      </c>
      <c r="AF82" s="74">
        <f t="shared" si="89"/>
        <v>82902.166707583237</v>
      </c>
      <c r="AG82" s="236">
        <f t="shared" si="89"/>
        <v>2321260.6678123302</v>
      </c>
      <c r="AH82" s="237">
        <f t="shared" si="81"/>
        <v>2280168.9003808815</v>
      </c>
      <c r="AI82" s="237">
        <f t="shared" si="82"/>
        <v>63844729.21066469</v>
      </c>
      <c r="AJ82" s="238">
        <f t="shared" si="83"/>
        <v>1</v>
      </c>
    </row>
    <row r="83" spans="1:36" ht="15.75" thickTop="1" x14ac:dyDescent="0.25">
      <c r="F83" s="30"/>
      <c r="H83" s="226"/>
      <c r="J83" s="30"/>
      <c r="N83" s="30"/>
      <c r="R83" s="30"/>
      <c r="V83" s="30"/>
      <c r="Z83" s="30"/>
      <c r="AD83" s="30"/>
    </row>
    <row r="84" spans="1:36" x14ac:dyDescent="0.25">
      <c r="A84"/>
      <c r="B84"/>
      <c r="C84"/>
      <c r="D84"/>
      <c r="E84"/>
      <c r="F84" s="30"/>
      <c r="G84" s="29"/>
      <c r="H84" s="29"/>
      <c r="I84" s="29"/>
      <c r="J84" s="10"/>
      <c r="K84"/>
      <c r="L84"/>
      <c r="M84"/>
      <c r="N84" s="211">
        <f>N82*28</f>
        <v>123995.48</v>
      </c>
      <c r="O84"/>
      <c r="P84" s="16"/>
      <c r="Q84"/>
      <c r="R84" s="10"/>
      <c r="S84"/>
      <c r="T84"/>
      <c r="U84"/>
      <c r="V84" s="10"/>
      <c r="W84"/>
      <c r="X84"/>
      <c r="Y84"/>
      <c r="Z84" s="10"/>
      <c r="AA84"/>
      <c r="AB84"/>
      <c r="AC84"/>
      <c r="AD84" s="10"/>
      <c r="AE84"/>
      <c r="AF84"/>
      <c r="AG84"/>
    </row>
    <row r="85" spans="1:36" x14ac:dyDescent="0.25">
      <c r="F85" s="33"/>
      <c r="J85" s="9"/>
      <c r="N85" s="9"/>
      <c r="R85" s="9"/>
      <c r="V85" s="9"/>
      <c r="Z85" s="9"/>
      <c r="AD85" s="9"/>
    </row>
    <row r="86" spans="1:36" x14ac:dyDescent="0.25">
      <c r="A86"/>
      <c r="B86"/>
      <c r="C86" s="20" t="s">
        <v>360</v>
      </c>
      <c r="D86"/>
      <c r="E86"/>
      <c r="F86" s="30"/>
      <c r="G86" s="29"/>
      <c r="H86" s="29"/>
      <c r="I86" s="39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</row>
    <row r="87" spans="1:36" x14ac:dyDescent="0.25">
      <c r="A87"/>
      <c r="B87"/>
      <c r="C87" s="20"/>
      <c r="D87"/>
      <c r="E87"/>
      <c r="F87" s="29"/>
      <c r="G87" s="29"/>
      <c r="H87" s="29"/>
      <c r="I87" s="29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</row>
    <row r="88" spans="1:36" x14ac:dyDescent="0.25">
      <c r="A88"/>
      <c r="B88"/>
      <c r="C88" s="20"/>
      <c r="D88"/>
      <c r="E88"/>
      <c r="F88" s="29"/>
      <c r="G88" s="29"/>
      <c r="H88" s="29"/>
      <c r="I88" s="29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</row>
    <row r="89" spans="1:36" x14ac:dyDescent="0.25">
      <c r="A89"/>
      <c r="B89"/>
      <c r="C89" s="20" t="s">
        <v>270</v>
      </c>
      <c r="D89"/>
      <c r="E89"/>
      <c r="F89" s="29"/>
      <c r="G89" s="29"/>
      <c r="H89" s="29"/>
      <c r="I89" s="2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</row>
    <row r="90" spans="1:36" x14ac:dyDescent="0.25">
      <c r="A90"/>
      <c r="B90"/>
      <c r="C90" s="20" t="s">
        <v>271</v>
      </c>
      <c r="D90"/>
      <c r="E90"/>
      <c r="F90" s="29"/>
      <c r="G90" s="29"/>
      <c r="H90" s="29"/>
      <c r="I90" s="29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</row>
    <row r="91" spans="1:36" x14ac:dyDescent="0.25">
      <c r="A91"/>
      <c r="B91"/>
      <c r="C91"/>
      <c r="D91"/>
      <c r="E91"/>
      <c r="F91" s="29"/>
      <c r="G91" s="29"/>
      <c r="H91" s="29"/>
      <c r="I91" s="29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</row>
    <row r="92" spans="1:36" x14ac:dyDescent="0.25">
      <c r="A92"/>
      <c r="B92"/>
      <c r="C92"/>
      <c r="D92"/>
      <c r="E92"/>
      <c r="F92" s="29"/>
      <c r="G92" s="29"/>
      <c r="H92" s="29"/>
      <c r="I92" s="29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</row>
  </sheetData>
  <mergeCells count="126">
    <mergeCell ref="B81:E81"/>
    <mergeCell ref="B82:E82"/>
    <mergeCell ref="C1:D2"/>
    <mergeCell ref="A70:A71"/>
    <mergeCell ref="A73:A80"/>
    <mergeCell ref="A24:A33"/>
    <mergeCell ref="A4:A7"/>
    <mergeCell ref="B4:B7"/>
    <mergeCell ref="C4:C7"/>
    <mergeCell ref="A8:A17"/>
    <mergeCell ref="A18:A23"/>
    <mergeCell ref="D11:E11"/>
    <mergeCell ref="D12:E12"/>
    <mergeCell ref="D13:E13"/>
    <mergeCell ref="D14:E14"/>
    <mergeCell ref="D15:E15"/>
    <mergeCell ref="D16:E16"/>
    <mergeCell ref="A34:A43"/>
    <mergeCell ref="A44:A56"/>
    <mergeCell ref="A57:A69"/>
    <mergeCell ref="D17:E17"/>
    <mergeCell ref="D31:E31"/>
    <mergeCell ref="D19:E19"/>
    <mergeCell ref="D20:E20"/>
    <mergeCell ref="F4:I4"/>
    <mergeCell ref="F5:G5"/>
    <mergeCell ref="H5:I5"/>
    <mergeCell ref="F6:G6"/>
    <mergeCell ref="H6:I6"/>
    <mergeCell ref="D8:E8"/>
    <mergeCell ref="D4:E7"/>
    <mergeCell ref="D9:E9"/>
    <mergeCell ref="D10:E10"/>
    <mergeCell ref="D25:E25"/>
    <mergeCell ref="D26:E26"/>
    <mergeCell ref="D27:E27"/>
    <mergeCell ref="D28:E28"/>
    <mergeCell ref="D29:E29"/>
    <mergeCell ref="D30:E30"/>
    <mergeCell ref="D18:E18"/>
    <mergeCell ref="D43:E43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22:E22"/>
    <mergeCell ref="D23:E23"/>
    <mergeCell ref="D24:E24"/>
    <mergeCell ref="D61:E61"/>
    <mergeCell ref="D62:E62"/>
    <mergeCell ref="D63:E63"/>
    <mergeCell ref="D64:E64"/>
    <mergeCell ref="D65:E65"/>
    <mergeCell ref="D66:E66"/>
    <mergeCell ref="D55:E55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4:E54"/>
    <mergeCell ref="J4:M4"/>
    <mergeCell ref="J5:K5"/>
    <mergeCell ref="L5:M5"/>
    <mergeCell ref="J6:K6"/>
    <mergeCell ref="L6:M6"/>
    <mergeCell ref="D80:E80"/>
    <mergeCell ref="D68:E68"/>
    <mergeCell ref="D69:E69"/>
    <mergeCell ref="D70:E70"/>
    <mergeCell ref="D71:E71"/>
    <mergeCell ref="D73:E73"/>
    <mergeCell ref="D74:E74"/>
    <mergeCell ref="D75:E75"/>
    <mergeCell ref="D76:E76"/>
    <mergeCell ref="D77:E77"/>
    <mergeCell ref="D78:E78"/>
    <mergeCell ref="D79:E79"/>
    <mergeCell ref="B72:E72"/>
    <mergeCell ref="D67:E67"/>
    <mergeCell ref="D56:E56"/>
    <mergeCell ref="D57:E57"/>
    <mergeCell ref="D58:E58"/>
    <mergeCell ref="D59:E59"/>
    <mergeCell ref="D60:E60"/>
    <mergeCell ref="R4:U4"/>
    <mergeCell ref="R5:S5"/>
    <mergeCell ref="T5:U5"/>
    <mergeCell ref="R6:S6"/>
    <mergeCell ref="T6:U6"/>
    <mergeCell ref="N4:Q4"/>
    <mergeCell ref="N5:O5"/>
    <mergeCell ref="P5:Q5"/>
    <mergeCell ref="N6:O6"/>
    <mergeCell ref="P6:Q6"/>
    <mergeCell ref="Z4:AC4"/>
    <mergeCell ref="Z5:AA5"/>
    <mergeCell ref="AB5:AC5"/>
    <mergeCell ref="Z6:AA6"/>
    <mergeCell ref="AB6:AC6"/>
    <mergeCell ref="V4:Y4"/>
    <mergeCell ref="V5:W5"/>
    <mergeCell ref="X5:Y5"/>
    <mergeCell ref="V6:W6"/>
    <mergeCell ref="X6:Y6"/>
    <mergeCell ref="AH4:AJ4"/>
    <mergeCell ref="AH5:AI5"/>
    <mergeCell ref="AJ5:AJ7"/>
    <mergeCell ref="AH6:AI6"/>
    <mergeCell ref="AD4:AG4"/>
    <mergeCell ref="AD5:AE5"/>
    <mergeCell ref="AF5:AG5"/>
    <mergeCell ref="AD6:AE6"/>
    <mergeCell ref="AF6:AG6"/>
  </mergeCells>
  <pageMargins left="0.51181102362204722" right="0.51181102362204722" top="0.78740157480314965" bottom="0.78740157480314965" header="0.31496062992125984" footer="0.31496062992125984"/>
  <pageSetup paperSize="9" scale="5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M19"/>
  <sheetViews>
    <sheetView topLeftCell="B1" zoomScale="115" zoomScaleNormal="115" workbookViewId="0">
      <selection activeCell="F24" sqref="F24"/>
    </sheetView>
  </sheetViews>
  <sheetFormatPr defaultColWidth="21.42578125" defaultRowHeight="12.75" x14ac:dyDescent="0.2"/>
  <cols>
    <col min="1" max="1" width="21.42578125" style="11"/>
    <col min="2" max="2" width="5.5703125" style="14" customWidth="1"/>
    <col min="3" max="3" width="6.7109375" style="15" customWidth="1"/>
    <col min="4" max="4" width="21.42578125" style="11"/>
    <col min="5" max="5" width="12.42578125" style="11" bestFit="1" customWidth="1"/>
    <col min="6" max="6" width="11.140625" style="11" bestFit="1" customWidth="1"/>
    <col min="7" max="7" width="14.28515625" style="13" customWidth="1"/>
    <col min="8" max="8" width="18.28515625" style="13" customWidth="1"/>
    <col min="9" max="9" width="22.7109375" style="11" bestFit="1" customWidth="1"/>
    <col min="10" max="10" width="22.7109375" style="11" customWidth="1"/>
    <col min="11" max="11" width="21.42578125" style="11"/>
    <col min="12" max="12" width="21.42578125" style="13"/>
    <col min="13" max="16384" width="21.42578125" style="11"/>
  </cols>
  <sheetData>
    <row r="2" spans="2:13" x14ac:dyDescent="0.2">
      <c r="B2" s="381" t="s">
        <v>236</v>
      </c>
      <c r="C2" s="381"/>
      <c r="D2" s="381"/>
    </row>
    <row r="4" spans="2:13" ht="25.5" x14ac:dyDescent="0.2">
      <c r="B4" s="129" t="s">
        <v>173</v>
      </c>
      <c r="C4" s="129" t="s">
        <v>169</v>
      </c>
      <c r="D4" s="129" t="s">
        <v>170</v>
      </c>
      <c r="E4" s="129" t="s">
        <v>171</v>
      </c>
      <c r="F4" s="129" t="s">
        <v>172</v>
      </c>
      <c r="G4" s="130" t="s">
        <v>237</v>
      </c>
      <c r="H4" s="130" t="s">
        <v>174</v>
      </c>
      <c r="I4" s="130" t="s">
        <v>238</v>
      </c>
      <c r="J4" s="130" t="s">
        <v>239</v>
      </c>
    </row>
    <row r="5" spans="2:13" x14ac:dyDescent="0.2">
      <c r="B5" s="382">
        <v>8</v>
      </c>
      <c r="C5" s="17">
        <v>42</v>
      </c>
      <c r="D5" s="18" t="s">
        <v>107</v>
      </c>
      <c r="E5" s="17" t="s">
        <v>175</v>
      </c>
      <c r="F5" s="17">
        <v>194</v>
      </c>
      <c r="G5" s="78">
        <f>'Precificação total'!F82</f>
        <v>3413.0414964239644</v>
      </c>
      <c r="H5" s="78">
        <f t="shared" ref="H5:H11" si="0">G5*F5</f>
        <v>662130.05030624906</v>
      </c>
      <c r="I5" s="131">
        <f>J5/F5</f>
        <v>95565.161899870989</v>
      </c>
      <c r="J5" s="131">
        <f>H5*28</f>
        <v>18539641.408574972</v>
      </c>
      <c r="K5" s="19">
        <f t="shared" ref="K5:K11" si="1">G5*28</f>
        <v>95565.161899871004</v>
      </c>
      <c r="L5" s="13">
        <v>95730.42</v>
      </c>
      <c r="M5" s="12">
        <f>G5*28-L5</f>
        <v>-165.25810012899456</v>
      </c>
    </row>
    <row r="6" spans="2:13" x14ac:dyDescent="0.2">
      <c r="B6" s="383"/>
      <c r="C6" s="17">
        <f t="shared" ref="C6:C11" si="2">C5+1</f>
        <v>43</v>
      </c>
      <c r="D6" s="18" t="s">
        <v>163</v>
      </c>
      <c r="E6" s="17" t="s">
        <v>175</v>
      </c>
      <c r="F6" s="17">
        <v>125</v>
      </c>
      <c r="G6" s="78">
        <f>'Precificação total'!J82</f>
        <v>4364.5186262724665</v>
      </c>
      <c r="H6" s="78">
        <f t="shared" si="0"/>
        <v>545564.82828405825</v>
      </c>
      <c r="I6" s="131">
        <f t="shared" ref="I6:I11" si="3">J6/F6</f>
        <v>122206.52153562904</v>
      </c>
      <c r="J6" s="131">
        <f t="shared" ref="J6:J11" si="4">H6*28</f>
        <v>15275815.191953631</v>
      </c>
      <c r="K6" s="19">
        <f t="shared" si="1"/>
        <v>122206.52153562906</v>
      </c>
      <c r="L6" s="13">
        <v>122406.49</v>
      </c>
      <c r="M6" s="12">
        <f t="shared" ref="M6:M11" si="5">G6*28-L6</f>
        <v>-199.96846437094791</v>
      </c>
    </row>
    <row r="7" spans="2:13" x14ac:dyDescent="0.2">
      <c r="B7" s="383"/>
      <c r="C7" s="17">
        <f t="shared" si="2"/>
        <v>44</v>
      </c>
      <c r="D7" s="18" t="s">
        <v>164</v>
      </c>
      <c r="E7" s="17" t="s">
        <v>175</v>
      </c>
      <c r="F7" s="17">
        <v>40</v>
      </c>
      <c r="G7" s="78">
        <f>'Precificação total'!N82</f>
        <v>4428.41</v>
      </c>
      <c r="H7" s="78">
        <f t="shared" si="0"/>
        <v>177136.4</v>
      </c>
      <c r="I7" s="131">
        <f t="shared" si="3"/>
        <v>123995.48000000001</v>
      </c>
      <c r="J7" s="131">
        <f t="shared" si="4"/>
        <v>4959819.2</v>
      </c>
      <c r="K7" s="19">
        <f t="shared" si="1"/>
        <v>123995.48</v>
      </c>
      <c r="L7" s="13">
        <v>124000</v>
      </c>
      <c r="M7" s="12">
        <f t="shared" si="5"/>
        <v>-4.5200000000040745</v>
      </c>
    </row>
    <row r="8" spans="2:13" x14ac:dyDescent="0.2">
      <c r="B8" s="383"/>
      <c r="C8" s="17">
        <f t="shared" si="2"/>
        <v>45</v>
      </c>
      <c r="D8" s="18" t="s">
        <v>165</v>
      </c>
      <c r="E8" s="17" t="s">
        <v>175</v>
      </c>
      <c r="F8" s="17">
        <v>5</v>
      </c>
      <c r="G8" s="78">
        <f>'Precificação total'!R82</f>
        <v>4884.8358738338138</v>
      </c>
      <c r="H8" s="78">
        <f t="shared" si="0"/>
        <v>24424.179369169069</v>
      </c>
      <c r="I8" s="131">
        <f t="shared" si="3"/>
        <v>136775.40446734679</v>
      </c>
      <c r="J8" s="131">
        <f t="shared" si="4"/>
        <v>683877.02233673399</v>
      </c>
      <c r="K8" s="19">
        <f t="shared" si="1"/>
        <v>136775.40446734679</v>
      </c>
      <c r="L8" s="13">
        <v>136994.35999999999</v>
      </c>
      <c r="M8" s="12">
        <f t="shared" si="5"/>
        <v>-218.95553265319904</v>
      </c>
    </row>
    <row r="9" spans="2:13" x14ac:dyDescent="0.2">
      <c r="B9" s="383"/>
      <c r="C9" s="17">
        <f t="shared" si="2"/>
        <v>46</v>
      </c>
      <c r="D9" s="18" t="s">
        <v>166</v>
      </c>
      <c r="E9" s="17" t="s">
        <v>175</v>
      </c>
      <c r="F9" s="17">
        <v>40</v>
      </c>
      <c r="G9" s="78">
        <f>'Precificação total'!V82</f>
        <v>9412.8752219129292</v>
      </c>
      <c r="H9" s="78">
        <f t="shared" si="0"/>
        <v>376515.00887651718</v>
      </c>
      <c r="I9" s="131">
        <f t="shared" si="3"/>
        <v>263560.50621356198</v>
      </c>
      <c r="J9" s="131">
        <f t="shared" si="4"/>
        <v>10542420.24854248</v>
      </c>
      <c r="K9" s="19">
        <f t="shared" si="1"/>
        <v>263560.50621356204</v>
      </c>
      <c r="L9" s="13">
        <v>263946.21000000002</v>
      </c>
      <c r="M9" s="12">
        <f t="shared" si="5"/>
        <v>-385.70378643798176</v>
      </c>
    </row>
    <row r="10" spans="2:13" x14ac:dyDescent="0.2">
      <c r="B10" s="383"/>
      <c r="C10" s="17">
        <f t="shared" si="2"/>
        <v>47</v>
      </c>
      <c r="D10" s="18" t="s">
        <v>167</v>
      </c>
      <c r="E10" s="17" t="s">
        <v>175</v>
      </c>
      <c r="F10" s="17">
        <v>39</v>
      </c>
      <c r="G10" s="78">
        <f>'Precificação total'!Z82</f>
        <v>10551.186329161661</v>
      </c>
      <c r="H10" s="78">
        <f t="shared" si="0"/>
        <v>411496.26683730481</v>
      </c>
      <c r="I10" s="131">
        <f t="shared" si="3"/>
        <v>295433.21721652651</v>
      </c>
      <c r="J10" s="131">
        <f t="shared" si="4"/>
        <v>11521895.471444534</v>
      </c>
      <c r="K10" s="19">
        <f t="shared" si="1"/>
        <v>295433.21721652651</v>
      </c>
      <c r="L10" s="13">
        <v>295862.25</v>
      </c>
      <c r="M10" s="12">
        <f t="shared" si="5"/>
        <v>-429.0327834734926</v>
      </c>
    </row>
    <row r="11" spans="2:13" x14ac:dyDescent="0.2">
      <c r="B11" s="383"/>
      <c r="C11" s="17">
        <f t="shared" si="2"/>
        <v>48</v>
      </c>
      <c r="D11" s="18" t="s">
        <v>168</v>
      </c>
      <c r="E11" s="17" t="s">
        <v>175</v>
      </c>
      <c r="F11" s="17">
        <v>16</v>
      </c>
      <c r="G11" s="78">
        <f>'Precificação total'!AD82</f>
        <v>5181.3854192239523</v>
      </c>
      <c r="H11" s="78">
        <f t="shared" si="0"/>
        <v>82902.166707583237</v>
      </c>
      <c r="I11" s="131">
        <f t="shared" si="3"/>
        <v>145078.79173827067</v>
      </c>
      <c r="J11" s="131">
        <f t="shared" si="4"/>
        <v>2321260.6678123306</v>
      </c>
      <c r="K11" s="19">
        <f t="shared" si="1"/>
        <v>145078.79173827067</v>
      </c>
      <c r="L11" s="13">
        <v>145305.64000000001</v>
      </c>
      <c r="M11" s="12">
        <f t="shared" si="5"/>
        <v>-226.84826172934845</v>
      </c>
    </row>
    <row r="12" spans="2:13" ht="15" customHeight="1" x14ac:dyDescent="0.2">
      <c r="B12" s="384"/>
      <c r="C12" s="385" t="s">
        <v>228</v>
      </c>
      <c r="D12" s="386"/>
      <c r="E12" s="386"/>
      <c r="F12" s="134">
        <f>SUM(F5:F11)</f>
        <v>459</v>
      </c>
      <c r="G12" s="132"/>
      <c r="H12" s="132"/>
      <c r="I12" s="133">
        <f>SUM(I5:I11)</f>
        <v>1182615.083071206</v>
      </c>
      <c r="J12" s="131">
        <f>SUM(J5:J11)</f>
        <v>63844729.21066469</v>
      </c>
      <c r="K12" s="19">
        <f>SUM(K5:K11)</f>
        <v>1182615.083071206</v>
      </c>
      <c r="M12" s="12"/>
    </row>
    <row r="14" spans="2:13" x14ac:dyDescent="0.2">
      <c r="J14" s="12">
        <f>J12/28</f>
        <v>2280168.900380882</v>
      </c>
    </row>
    <row r="15" spans="2:13" x14ac:dyDescent="0.2">
      <c r="C15" s="380" t="s">
        <v>360</v>
      </c>
      <c r="D15" s="380"/>
      <c r="E15" s="380"/>
    </row>
    <row r="18" spans="3:6" x14ac:dyDescent="0.2">
      <c r="C18" s="380" t="s">
        <v>270</v>
      </c>
      <c r="D18" s="380"/>
      <c r="E18" s="380"/>
      <c r="F18" s="380"/>
    </row>
    <row r="19" spans="3:6" x14ac:dyDescent="0.2">
      <c r="C19" s="306" t="s">
        <v>271</v>
      </c>
      <c r="D19" s="306"/>
    </row>
  </sheetData>
  <mergeCells count="6">
    <mergeCell ref="C15:E15"/>
    <mergeCell ref="C18:F18"/>
    <mergeCell ref="C19:D19"/>
    <mergeCell ref="B2:D2"/>
    <mergeCell ref="B5:B12"/>
    <mergeCell ref="C12:E12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N20"/>
  <sheetViews>
    <sheetView workbookViewId="0">
      <selection activeCell="B16" sqref="B16"/>
    </sheetView>
  </sheetViews>
  <sheetFormatPr defaultRowHeight="12.75" x14ac:dyDescent="0.25"/>
  <cols>
    <col min="1" max="1" width="9.140625" style="136"/>
    <col min="2" max="2" width="24.7109375" style="136" customWidth="1"/>
    <col min="3" max="3" width="29.85546875" style="136" customWidth="1"/>
    <col min="4" max="4" width="15.7109375" style="136" customWidth="1"/>
    <col min="5" max="6" width="24.42578125" style="136" customWidth="1"/>
    <col min="7" max="7" width="39.42578125" style="136" bestFit="1" customWidth="1"/>
    <col min="8" max="8" width="10.140625" style="136" bestFit="1" customWidth="1"/>
    <col min="9" max="16384" width="9.140625" style="136"/>
  </cols>
  <sheetData>
    <row r="2" spans="2:14" ht="15" x14ac:dyDescent="0.25">
      <c r="B2" s="135" t="s">
        <v>251</v>
      </c>
    </row>
    <row r="4" spans="2:14" ht="51.75" customHeight="1" x14ac:dyDescent="0.25">
      <c r="B4" s="388" t="s">
        <v>272</v>
      </c>
      <c r="C4" s="389"/>
      <c r="D4" s="389"/>
      <c r="E4" s="389"/>
      <c r="F4" s="389"/>
      <c r="G4" s="390"/>
      <c r="H4" s="137"/>
    </row>
    <row r="5" spans="2:14" ht="6" customHeight="1" x14ac:dyDescent="0.25">
      <c r="B5" s="169"/>
      <c r="C5" s="170"/>
      <c r="D5" s="170"/>
      <c r="E5" s="170"/>
      <c r="F5" s="170"/>
      <c r="G5" s="171"/>
    </row>
    <row r="6" spans="2:14" ht="30" x14ac:dyDescent="0.25">
      <c r="B6" s="172" t="s">
        <v>240</v>
      </c>
      <c r="C6" s="173" t="s">
        <v>273</v>
      </c>
      <c r="D6" s="172" t="s">
        <v>241</v>
      </c>
      <c r="E6" s="173" t="s">
        <v>274</v>
      </c>
      <c r="F6" s="172" t="s">
        <v>185</v>
      </c>
      <c r="G6" s="172" t="s">
        <v>2</v>
      </c>
    </row>
    <row r="7" spans="2:14" ht="16.5" customHeight="1" x14ac:dyDescent="0.25">
      <c r="B7" s="174" t="s">
        <v>107</v>
      </c>
      <c r="C7" s="175" t="s">
        <v>242</v>
      </c>
      <c r="D7" s="175" t="s">
        <v>243</v>
      </c>
      <c r="E7" s="175" t="s">
        <v>244</v>
      </c>
      <c r="F7" s="176">
        <v>1278.71</v>
      </c>
      <c r="G7" s="176" t="s">
        <v>247</v>
      </c>
      <c r="H7" s="138"/>
    </row>
    <row r="8" spans="2:14" ht="16.5" customHeight="1" x14ac:dyDescent="0.25">
      <c r="B8" s="177" t="s">
        <v>245</v>
      </c>
      <c r="C8" s="175" t="s">
        <v>242</v>
      </c>
      <c r="D8" s="175" t="s">
        <v>243</v>
      </c>
      <c r="E8" s="175" t="s">
        <v>244</v>
      </c>
      <c r="F8" s="176">
        <v>1790</v>
      </c>
      <c r="G8" s="176" t="s">
        <v>250</v>
      </c>
      <c r="H8" s="138"/>
      <c r="I8" s="144"/>
    </row>
    <row r="9" spans="2:14" ht="16.5" customHeight="1" x14ac:dyDescent="0.25">
      <c r="B9" s="177" t="s">
        <v>164</v>
      </c>
      <c r="C9" s="175" t="s">
        <v>242</v>
      </c>
      <c r="D9" s="175" t="s">
        <v>243</v>
      </c>
      <c r="E9" s="175" t="s">
        <v>244</v>
      </c>
      <c r="F9" s="176">
        <v>1826.64</v>
      </c>
      <c r="G9" s="176" t="s">
        <v>247</v>
      </c>
      <c r="H9" s="138"/>
      <c r="I9" s="145"/>
    </row>
    <row r="10" spans="2:14" ht="16.5" customHeight="1" x14ac:dyDescent="0.25">
      <c r="B10" s="177" t="s">
        <v>249</v>
      </c>
      <c r="C10" s="175" t="s">
        <v>242</v>
      </c>
      <c r="D10" s="175" t="s">
        <v>243</v>
      </c>
      <c r="E10" s="175" t="s">
        <v>244</v>
      </c>
      <c r="F10" s="176">
        <v>2069.6</v>
      </c>
      <c r="G10" s="176" t="s">
        <v>248</v>
      </c>
      <c r="H10" s="138"/>
    </row>
    <row r="11" spans="2:14" ht="16.5" customHeight="1" x14ac:dyDescent="0.25">
      <c r="B11" s="177" t="s">
        <v>166</v>
      </c>
      <c r="C11" s="175" t="s">
        <v>242</v>
      </c>
      <c r="D11" s="175" t="s">
        <v>246</v>
      </c>
      <c r="E11" s="175" t="s">
        <v>244</v>
      </c>
      <c r="F11" s="176">
        <v>4440</v>
      </c>
      <c r="G11" s="176" t="s">
        <v>247</v>
      </c>
      <c r="H11" s="138"/>
      <c r="I11" s="391"/>
      <c r="J11" s="391"/>
      <c r="K11" s="391"/>
      <c r="L11" s="391"/>
      <c r="M11" s="391"/>
      <c r="N11" s="391"/>
    </row>
    <row r="12" spans="2:14" ht="16.5" customHeight="1" x14ac:dyDescent="0.25">
      <c r="B12" s="177" t="s">
        <v>167</v>
      </c>
      <c r="C12" s="175" t="s">
        <v>242</v>
      </c>
      <c r="D12" s="175" t="s">
        <v>246</v>
      </c>
      <c r="E12" s="175" t="s">
        <v>244</v>
      </c>
      <c r="F12" s="176">
        <v>5030</v>
      </c>
      <c r="G12" s="176" t="s">
        <v>269</v>
      </c>
      <c r="H12" s="138"/>
      <c r="I12" s="391"/>
      <c r="J12" s="391"/>
      <c r="K12" s="391"/>
      <c r="L12" s="391"/>
      <c r="M12" s="391"/>
      <c r="N12" s="391"/>
    </row>
    <row r="13" spans="2:14" ht="16.5" customHeight="1" x14ac:dyDescent="0.25">
      <c r="B13" s="177" t="s">
        <v>168</v>
      </c>
      <c r="C13" s="175" t="s">
        <v>242</v>
      </c>
      <c r="D13" s="175" t="s">
        <v>246</v>
      </c>
      <c r="E13" s="175" t="s">
        <v>244</v>
      </c>
      <c r="F13" s="176">
        <v>2220</v>
      </c>
      <c r="G13" s="176" t="s">
        <v>247</v>
      </c>
      <c r="H13" s="145"/>
      <c r="I13" s="391"/>
      <c r="J13" s="391"/>
      <c r="K13" s="391"/>
      <c r="L13" s="391"/>
      <c r="M13" s="391"/>
      <c r="N13" s="391"/>
    </row>
    <row r="14" spans="2:14" ht="16.5" customHeight="1" x14ac:dyDescent="0.25">
      <c r="B14" s="139"/>
      <c r="C14" s="140"/>
      <c r="D14" s="140"/>
      <c r="E14" s="140"/>
      <c r="F14" s="140"/>
      <c r="G14" s="141"/>
      <c r="H14" s="138"/>
      <c r="I14" s="391"/>
      <c r="J14" s="391"/>
      <c r="K14" s="391"/>
      <c r="L14" s="391"/>
      <c r="M14" s="391"/>
      <c r="N14" s="391"/>
    </row>
    <row r="15" spans="2:14" ht="19.5" customHeight="1" x14ac:dyDescent="0.25">
      <c r="B15" s="135"/>
      <c r="C15" s="135"/>
      <c r="D15" s="142"/>
      <c r="E15" s="135"/>
      <c r="F15" s="135"/>
      <c r="G15" s="135"/>
    </row>
    <row r="16" spans="2:14" ht="18" customHeight="1" x14ac:dyDescent="0.25">
      <c r="B16" s="135" t="str">
        <f>'Precificação total'!C86</f>
        <v>FLORIANOPOLIS, 08 DE JULHO DE 2021</v>
      </c>
      <c r="C16" s="135"/>
      <c r="D16" s="142"/>
      <c r="E16" s="135"/>
      <c r="F16" s="135"/>
      <c r="G16" s="135"/>
    </row>
    <row r="17" spans="2:7" ht="17.25" customHeight="1" x14ac:dyDescent="0.25">
      <c r="B17" s="135"/>
      <c r="C17" s="143"/>
      <c r="D17" s="135"/>
      <c r="E17" s="135"/>
      <c r="F17" s="135"/>
      <c r="G17" s="135"/>
    </row>
    <row r="18" spans="2:7" ht="15" x14ac:dyDescent="0.25">
      <c r="B18" s="135" t="str">
        <f>'Precificação total'!C89</f>
        <v>PLANSUL PLANEJAMENTO E CONSULTORIA EIRELI</v>
      </c>
      <c r="C18" s="135"/>
      <c r="D18" s="135"/>
      <c r="E18" s="135"/>
      <c r="F18" s="135"/>
      <c r="G18" s="135"/>
    </row>
    <row r="19" spans="2:7" ht="15" x14ac:dyDescent="0.25">
      <c r="B19" s="135" t="str">
        <f>'Precificação total'!C90</f>
        <v>CNPJ: 78.533.312/0001-58</v>
      </c>
      <c r="C19" s="135"/>
      <c r="D19" s="135"/>
      <c r="E19" s="135"/>
      <c r="F19" s="135"/>
      <c r="G19" s="135"/>
    </row>
    <row r="20" spans="2:7" ht="15" x14ac:dyDescent="0.25">
      <c r="B20" s="387"/>
      <c r="C20" s="387"/>
      <c r="D20" s="387"/>
      <c r="E20" s="387"/>
      <c r="F20" s="387"/>
      <c r="G20" s="387"/>
    </row>
  </sheetData>
  <mergeCells count="3">
    <mergeCell ref="B20:G20"/>
    <mergeCell ref="B4:G4"/>
    <mergeCell ref="I11:N14"/>
  </mergeCells>
  <pageMargins left="0.51181102362204722" right="0.51181102362204722" top="0.78740157480314965" bottom="0.78740157480314965" header="0.31496062992125984" footer="0.31496062992125984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G34"/>
  <sheetViews>
    <sheetView topLeftCell="A4" workbookViewId="0">
      <selection activeCell="A2" sqref="A2:E36"/>
    </sheetView>
  </sheetViews>
  <sheetFormatPr defaultRowHeight="15" x14ac:dyDescent="0.2"/>
  <cols>
    <col min="1" max="2" width="9.140625" style="89"/>
    <col min="3" max="3" width="21.85546875" style="89" bestFit="1" customWidth="1"/>
    <col min="4" max="4" width="19.5703125" style="89" bestFit="1" customWidth="1"/>
    <col min="5" max="5" width="13.140625" style="89" bestFit="1" customWidth="1"/>
    <col min="6" max="6" width="9.140625" style="89"/>
    <col min="7" max="7" width="13.140625" style="89" bestFit="1" customWidth="1"/>
    <col min="8" max="16384" width="9.140625" style="89"/>
  </cols>
  <sheetData>
    <row r="2" spans="1:5" s="136" customFormat="1" x14ac:dyDescent="0.25">
      <c r="A2" s="135" t="s">
        <v>251</v>
      </c>
    </row>
    <row r="4" spans="1:5" ht="15.75" x14ac:dyDescent="0.2">
      <c r="B4" s="392" t="s">
        <v>207</v>
      </c>
      <c r="C4" s="90" t="s">
        <v>6</v>
      </c>
      <c r="D4" s="91">
        <v>0.08</v>
      </c>
    </row>
    <row r="5" spans="1:5" ht="15.75" x14ac:dyDescent="0.2">
      <c r="B5" s="393"/>
      <c r="C5" s="90" t="s">
        <v>8</v>
      </c>
      <c r="D5" s="91">
        <v>0.2</v>
      </c>
    </row>
    <row r="6" spans="1:5" ht="15.75" x14ac:dyDescent="0.2">
      <c r="B6" s="393"/>
      <c r="C6" s="90" t="s">
        <v>10</v>
      </c>
      <c r="D6" s="91">
        <v>2E-3</v>
      </c>
    </row>
    <row r="7" spans="1:5" ht="15.75" x14ac:dyDescent="0.2">
      <c r="B7" s="393"/>
      <c r="C7" s="90" t="s">
        <v>208</v>
      </c>
      <c r="D7" s="91">
        <v>0.01</v>
      </c>
    </row>
    <row r="8" spans="1:5" ht="15.75" x14ac:dyDescent="0.2">
      <c r="B8" s="393"/>
      <c r="C8" s="90" t="s">
        <v>209</v>
      </c>
      <c r="D8" s="91">
        <v>1.4999999999999999E-2</v>
      </c>
    </row>
    <row r="9" spans="1:5" ht="15.75" x14ac:dyDescent="0.2">
      <c r="B9" s="393"/>
      <c r="C9" s="90" t="s">
        <v>16</v>
      </c>
      <c r="D9" s="91">
        <v>6.0000000000000001E-3</v>
      </c>
    </row>
    <row r="10" spans="1:5" ht="15.75" x14ac:dyDescent="0.2">
      <c r="B10" s="393"/>
      <c r="C10" s="90" t="s">
        <v>18</v>
      </c>
      <c r="D10" s="91">
        <v>2.5000000000000001E-2</v>
      </c>
    </row>
    <row r="11" spans="1:5" ht="15.75" x14ac:dyDescent="0.2">
      <c r="B11" s="394"/>
      <c r="C11" s="90" t="s">
        <v>20</v>
      </c>
      <c r="D11" s="95">
        <v>2.017E-2</v>
      </c>
    </row>
    <row r="14" spans="1:5" ht="15.75" x14ac:dyDescent="0.2">
      <c r="B14" s="395" t="s">
        <v>92</v>
      </c>
      <c r="C14" s="92" t="s">
        <v>93</v>
      </c>
      <c r="D14" s="93" t="s">
        <v>94</v>
      </c>
      <c r="E14" s="94">
        <v>3.4000000000000002E-2</v>
      </c>
    </row>
    <row r="15" spans="1:5" ht="15.75" x14ac:dyDescent="0.2">
      <c r="B15" s="395"/>
      <c r="C15" s="92" t="s">
        <v>96</v>
      </c>
      <c r="D15" s="93" t="s">
        <v>97</v>
      </c>
      <c r="E15" s="94">
        <v>0.03</v>
      </c>
    </row>
    <row r="16" spans="1:5" ht="15.75" x14ac:dyDescent="0.2">
      <c r="B16" s="395"/>
      <c r="C16" s="92" t="s">
        <v>98</v>
      </c>
      <c r="D16" s="93" t="s">
        <v>99</v>
      </c>
      <c r="E16" s="94">
        <v>0.05</v>
      </c>
    </row>
    <row r="17" spans="2:7" ht="15.75" x14ac:dyDescent="0.2">
      <c r="B17" s="395"/>
      <c r="C17" s="92" t="s">
        <v>100</v>
      </c>
      <c r="D17" s="93" t="s">
        <v>101</v>
      </c>
      <c r="E17" s="94">
        <v>6.4999999999999997E-3</v>
      </c>
    </row>
    <row r="18" spans="2:7" ht="15.75" x14ac:dyDescent="0.2">
      <c r="B18" s="395"/>
      <c r="C18" s="92" t="s">
        <v>103</v>
      </c>
      <c r="D18" s="93" t="s">
        <v>104</v>
      </c>
      <c r="E18" s="94">
        <v>0.01</v>
      </c>
    </row>
    <row r="19" spans="2:7" ht="15.75" x14ac:dyDescent="0.25">
      <c r="C19" s="396" t="s">
        <v>210</v>
      </c>
      <c r="D19" s="396"/>
      <c r="E19" s="96">
        <f>(1+E14)/(1-(E15+E16+E17)-E18)-1</f>
        <v>0.14443829551743237</v>
      </c>
    </row>
    <row r="22" spans="2:7" x14ac:dyDescent="0.2">
      <c r="B22" s="397" t="s">
        <v>355</v>
      </c>
      <c r="C22" s="397"/>
      <c r="D22" s="397"/>
      <c r="E22" s="397"/>
    </row>
    <row r="23" spans="2:7" ht="15.75" x14ac:dyDescent="0.2">
      <c r="B23" s="395" t="s">
        <v>92</v>
      </c>
      <c r="C23" s="92" t="s">
        <v>93</v>
      </c>
      <c r="D23" s="93" t="s">
        <v>94</v>
      </c>
      <c r="E23" s="94">
        <v>3.3000000000000002E-2</v>
      </c>
      <c r="G23" s="218">
        <f>resumo!M7</f>
        <v>-4.5200000000040745</v>
      </c>
    </row>
    <row r="24" spans="2:7" ht="15.75" x14ac:dyDescent="0.2">
      <c r="B24" s="395"/>
      <c r="C24" s="92" t="s">
        <v>96</v>
      </c>
      <c r="D24" s="93" t="s">
        <v>97</v>
      </c>
      <c r="E24" s="94">
        <v>0.03</v>
      </c>
    </row>
    <row r="25" spans="2:7" ht="15.75" x14ac:dyDescent="0.2">
      <c r="B25" s="395"/>
      <c r="C25" s="92" t="s">
        <v>98</v>
      </c>
      <c r="D25" s="93" t="s">
        <v>99</v>
      </c>
      <c r="E25" s="94">
        <v>0.05</v>
      </c>
    </row>
    <row r="26" spans="2:7" ht="15.75" x14ac:dyDescent="0.2">
      <c r="B26" s="395"/>
      <c r="C26" s="92" t="s">
        <v>100</v>
      </c>
      <c r="D26" s="93" t="s">
        <v>101</v>
      </c>
      <c r="E26" s="94">
        <v>6.4999999999999997E-3</v>
      </c>
    </row>
    <row r="27" spans="2:7" ht="15.75" x14ac:dyDescent="0.2">
      <c r="B27" s="395"/>
      <c r="C27" s="92" t="s">
        <v>103</v>
      </c>
      <c r="D27" s="93" t="s">
        <v>104</v>
      </c>
      <c r="E27" s="94">
        <v>0.01</v>
      </c>
    </row>
    <row r="28" spans="2:7" ht="15.75" x14ac:dyDescent="0.25">
      <c r="C28" s="396" t="s">
        <v>210</v>
      </c>
      <c r="D28" s="396"/>
      <c r="E28" s="96">
        <f>(1+E23)/(1-(E24+E25+E26)-E27)-1</f>
        <v>0.14333148865522971</v>
      </c>
    </row>
    <row r="30" spans="2:7" x14ac:dyDescent="0.2">
      <c r="B30" s="89" t="str">
        <f>'Memória de Cálculo Salários'!B16</f>
        <v>FLORIANOPOLIS, 08 DE JULHO DE 2021</v>
      </c>
    </row>
    <row r="33" spans="2:2" x14ac:dyDescent="0.2">
      <c r="B33" s="89" t="str">
        <f>'Memória de Cálculo Salários'!B18</f>
        <v>PLANSUL PLANEJAMENTO E CONSULTORIA EIRELI</v>
      </c>
    </row>
    <row r="34" spans="2:2" x14ac:dyDescent="0.2">
      <c r="B34" s="89" t="str">
        <f>'Memória de Cálculo Salários'!B19</f>
        <v>CNPJ: 78.533.312/0001-58</v>
      </c>
    </row>
  </sheetData>
  <mergeCells count="6">
    <mergeCell ref="B4:B11"/>
    <mergeCell ref="B14:B18"/>
    <mergeCell ref="C19:D19"/>
    <mergeCell ref="B23:B27"/>
    <mergeCell ref="C28:D28"/>
    <mergeCell ref="B22:E22"/>
  </mergeCells>
  <pageMargins left="0.51181102362204722" right="0.51181102362204722" top="0.78740157480314965" bottom="0.78740157480314965" header="0.31496062992125984" footer="0.31496062992125984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R47"/>
  <sheetViews>
    <sheetView workbookViewId="0">
      <selection activeCell="G36" sqref="G36"/>
    </sheetView>
  </sheetViews>
  <sheetFormatPr defaultRowHeight="15" x14ac:dyDescent="0.25"/>
  <cols>
    <col min="1" max="1" width="9.140625" style="97"/>
    <col min="2" max="2" width="12.85546875" style="97" customWidth="1"/>
    <col min="3" max="3" width="39.28515625" style="97" customWidth="1"/>
    <col min="4" max="4" width="0" style="97" hidden="1" customWidth="1"/>
    <col min="5" max="5" width="11" style="97" hidden="1" customWidth="1"/>
    <col min="6" max="6" width="13.7109375" style="97" customWidth="1"/>
    <col min="7" max="10" width="12.28515625" style="97" customWidth="1"/>
    <col min="11" max="11" width="9.140625" style="97"/>
    <col min="12" max="13" width="0" style="97" hidden="1" customWidth="1"/>
    <col min="14" max="14" width="11.7109375" style="97" hidden="1" customWidth="1"/>
    <col min="15" max="17" width="0" style="97" hidden="1" customWidth="1"/>
    <col min="18" max="18" width="10.140625" style="97" bestFit="1" customWidth="1"/>
    <col min="19" max="16384" width="9.140625" style="97"/>
  </cols>
  <sheetData>
    <row r="2" spans="2:18" x14ac:dyDescent="0.25">
      <c r="B2" s="398" t="s">
        <v>211</v>
      </c>
      <c r="C2" s="398"/>
      <c r="D2" s="398"/>
      <c r="E2" s="398"/>
      <c r="F2" s="398"/>
      <c r="G2" s="398"/>
      <c r="H2" s="398"/>
      <c r="I2" s="398"/>
      <c r="J2" s="398"/>
    </row>
    <row r="4" spans="2:18" s="98" customFormat="1" x14ac:dyDescent="0.25">
      <c r="B4" s="399" t="s">
        <v>212</v>
      </c>
      <c r="C4" s="400"/>
      <c r="D4" s="400"/>
      <c r="E4" s="400"/>
      <c r="F4" s="400"/>
      <c r="G4" s="400"/>
      <c r="H4" s="400"/>
      <c r="I4" s="400"/>
      <c r="J4" s="401"/>
    </row>
    <row r="5" spans="2:18" x14ac:dyDescent="0.25">
      <c r="B5" s="402" t="s">
        <v>213</v>
      </c>
      <c r="C5" s="402"/>
      <c r="D5" s="402"/>
      <c r="E5" s="402"/>
      <c r="F5" s="402"/>
      <c r="G5" s="402"/>
      <c r="H5" s="402"/>
      <c r="I5" s="402"/>
      <c r="J5" s="402"/>
    </row>
    <row r="6" spans="2:18" ht="45" x14ac:dyDescent="0.25">
      <c r="B6" s="115" t="str">
        <f>PROPER("TIPO")</f>
        <v>Tipo</v>
      </c>
      <c r="C6" s="116" t="str">
        <f>PROPER("ESPECIFICAÇÃO")</f>
        <v>Especificação</v>
      </c>
      <c r="D6" s="116" t="s">
        <v>214</v>
      </c>
      <c r="E6" s="116" t="s">
        <v>215</v>
      </c>
      <c r="F6" s="116" t="s">
        <v>216</v>
      </c>
      <c r="G6" s="116" t="s">
        <v>197</v>
      </c>
      <c r="H6" s="116" t="s">
        <v>217</v>
      </c>
      <c r="I6" s="116" t="s">
        <v>218</v>
      </c>
      <c r="J6" s="117" t="s">
        <v>219</v>
      </c>
    </row>
    <row r="7" spans="2:18" x14ac:dyDescent="0.25">
      <c r="B7" s="99" t="s">
        <v>220</v>
      </c>
      <c r="C7" s="100" t="s">
        <v>221</v>
      </c>
      <c r="D7" s="101">
        <v>2</v>
      </c>
      <c r="E7" s="101">
        <v>1</v>
      </c>
      <c r="F7" s="101">
        <v>6</v>
      </c>
      <c r="G7" s="102">
        <v>33</v>
      </c>
      <c r="H7" s="102">
        <v>33</v>
      </c>
      <c r="I7" s="103">
        <f>G7*F7</f>
        <v>198</v>
      </c>
      <c r="J7" s="104">
        <f>I7/28</f>
        <v>7.0714285714285712</v>
      </c>
      <c r="N7" s="105">
        <f>G7-(G7*21%)</f>
        <v>26.07</v>
      </c>
      <c r="P7" s="105"/>
    </row>
    <row r="8" spans="2:18" ht="30" x14ac:dyDescent="0.25">
      <c r="B8" s="99" t="s">
        <v>222</v>
      </c>
      <c r="C8" s="106" t="s">
        <v>223</v>
      </c>
      <c r="D8" s="101">
        <v>2</v>
      </c>
      <c r="E8" s="101">
        <v>1</v>
      </c>
      <c r="F8" s="101">
        <f t="shared" ref="F8:F10" si="0">D8+(E8*4)</f>
        <v>6</v>
      </c>
      <c r="G8" s="107">
        <v>30</v>
      </c>
      <c r="H8" s="102">
        <v>30</v>
      </c>
      <c r="I8" s="103">
        <f t="shared" ref="I8:I10" si="1">G8*F8</f>
        <v>180</v>
      </c>
      <c r="J8" s="104">
        <f t="shared" ref="J8:J10" si="2">I8/28</f>
        <v>6.4285714285714288</v>
      </c>
      <c r="R8" s="105">
        <f>H40</f>
        <v>102.03999999999999</v>
      </c>
    </row>
    <row r="9" spans="2:18" x14ac:dyDescent="0.25">
      <c r="B9" s="99" t="s">
        <v>224</v>
      </c>
      <c r="C9" s="106" t="s">
        <v>225</v>
      </c>
      <c r="D9" s="108">
        <v>2</v>
      </c>
      <c r="E9" s="108">
        <v>1</v>
      </c>
      <c r="F9" s="101">
        <f t="shared" si="0"/>
        <v>6</v>
      </c>
      <c r="G9" s="107">
        <v>34.54</v>
      </c>
      <c r="H9" s="102">
        <v>34.54</v>
      </c>
      <c r="I9" s="103">
        <f t="shared" si="1"/>
        <v>207.24</v>
      </c>
      <c r="J9" s="104">
        <f t="shared" si="2"/>
        <v>7.4014285714285721</v>
      </c>
    </row>
    <row r="10" spans="2:18" ht="15.75" thickBot="1" x14ac:dyDescent="0.3">
      <c r="B10" s="99" t="s">
        <v>226</v>
      </c>
      <c r="C10" s="106" t="s">
        <v>227</v>
      </c>
      <c r="D10" s="108">
        <v>2</v>
      </c>
      <c r="E10" s="108">
        <v>1</v>
      </c>
      <c r="F10" s="101">
        <f t="shared" si="0"/>
        <v>6</v>
      </c>
      <c r="G10" s="107">
        <v>4.5</v>
      </c>
      <c r="H10" s="102">
        <v>4.5</v>
      </c>
      <c r="I10" s="103">
        <f t="shared" si="1"/>
        <v>27</v>
      </c>
      <c r="J10" s="104">
        <f t="shared" si="2"/>
        <v>0.9642857142857143</v>
      </c>
    </row>
    <row r="11" spans="2:18" s="109" customFormat="1" ht="15.75" customHeight="1" x14ac:dyDescent="0.25">
      <c r="B11" s="403" t="s">
        <v>228</v>
      </c>
      <c r="C11" s="404"/>
      <c r="D11" s="404"/>
      <c r="E11" s="404"/>
      <c r="F11" s="404"/>
      <c r="G11" s="118"/>
      <c r="H11" s="118">
        <f>SUM(H7:H10)</f>
        <v>102.03999999999999</v>
      </c>
      <c r="I11" s="119">
        <f>SUM(I7:I10)</f>
        <v>612.24</v>
      </c>
      <c r="J11" s="120">
        <f>SUM(J7:J10)</f>
        <v>21.865714285714287</v>
      </c>
    </row>
    <row r="12" spans="2:18" s="98" customFormat="1" ht="5.25" customHeight="1" x14ac:dyDescent="0.25">
      <c r="B12" s="110"/>
      <c r="C12" s="111"/>
      <c r="D12" s="111"/>
      <c r="E12" s="111"/>
      <c r="F12" s="111"/>
      <c r="G12" s="111"/>
      <c r="H12" s="111"/>
      <c r="I12" s="111"/>
      <c r="J12" s="112"/>
    </row>
    <row r="13" spans="2:18" x14ac:dyDescent="0.25">
      <c r="B13" s="402" t="s">
        <v>229</v>
      </c>
      <c r="C13" s="402"/>
      <c r="D13" s="402"/>
      <c r="E13" s="402"/>
      <c r="F13" s="402"/>
      <c r="G13" s="402"/>
      <c r="H13" s="402"/>
      <c r="I13" s="402"/>
      <c r="J13" s="402"/>
    </row>
    <row r="14" spans="2:18" ht="45" x14ac:dyDescent="0.25">
      <c r="B14" s="115" t="str">
        <f>PROPER("TIPO")</f>
        <v>Tipo</v>
      </c>
      <c r="C14" s="116" t="str">
        <f>PROPER("ESPECIFICAÇÃO")</f>
        <v>Especificação</v>
      </c>
      <c r="D14" s="116" t="s">
        <v>214</v>
      </c>
      <c r="E14" s="116" t="s">
        <v>215</v>
      </c>
      <c r="F14" s="116" t="s">
        <v>216</v>
      </c>
      <c r="G14" s="116" t="s">
        <v>197</v>
      </c>
      <c r="H14" s="116" t="s">
        <v>217</v>
      </c>
      <c r="I14" s="116" t="s">
        <v>218</v>
      </c>
      <c r="J14" s="117" t="s">
        <v>219</v>
      </c>
    </row>
    <row r="15" spans="2:18" x14ac:dyDescent="0.25">
      <c r="B15" s="99" t="s">
        <v>230</v>
      </c>
      <c r="C15" s="100" t="s">
        <v>221</v>
      </c>
      <c r="D15" s="101">
        <v>2</v>
      </c>
      <c r="E15" s="101">
        <v>1</v>
      </c>
      <c r="F15" s="101">
        <v>6</v>
      </c>
      <c r="G15" s="102">
        <v>33</v>
      </c>
      <c r="H15" s="102">
        <v>33</v>
      </c>
      <c r="I15" s="103">
        <f>G15*F15</f>
        <v>198</v>
      </c>
      <c r="J15" s="104">
        <f>I15/28</f>
        <v>7.0714285714285712</v>
      </c>
      <c r="L15" s="97">
        <f>AVERAGE(M15:N15)</f>
        <v>31.5</v>
      </c>
      <c r="M15" s="97">
        <v>33</v>
      </c>
      <c r="N15" s="97">
        <v>30</v>
      </c>
    </row>
    <row r="16" spans="2:18" ht="41.25" customHeight="1" x14ac:dyDescent="0.25">
      <c r="B16" s="99" t="s">
        <v>222</v>
      </c>
      <c r="C16" s="106" t="s">
        <v>223</v>
      </c>
      <c r="D16" s="101">
        <v>1</v>
      </c>
      <c r="E16" s="101">
        <v>1</v>
      </c>
      <c r="F16" s="101">
        <v>6</v>
      </c>
      <c r="G16" s="107">
        <f>G8</f>
        <v>30</v>
      </c>
      <c r="H16" s="102">
        <v>30</v>
      </c>
      <c r="I16" s="103">
        <f t="shared" ref="I16:I18" si="3">G16*F16</f>
        <v>180</v>
      </c>
      <c r="J16" s="104">
        <f t="shared" ref="J16:J18" si="4">I16/28</f>
        <v>6.4285714285714288</v>
      </c>
    </row>
    <row r="17" spans="2:10" x14ac:dyDescent="0.25">
      <c r="B17" s="99" t="s">
        <v>224</v>
      </c>
      <c r="C17" s="106" t="s">
        <v>225</v>
      </c>
      <c r="D17" s="108">
        <v>3</v>
      </c>
      <c r="E17" s="108">
        <v>1</v>
      </c>
      <c r="F17" s="101">
        <v>6</v>
      </c>
      <c r="G17" s="107">
        <f>G9</f>
        <v>34.54</v>
      </c>
      <c r="H17" s="102">
        <v>34.54</v>
      </c>
      <c r="I17" s="103">
        <f t="shared" si="3"/>
        <v>207.24</v>
      </c>
      <c r="J17" s="104">
        <f t="shared" si="4"/>
        <v>7.4014285714285721</v>
      </c>
    </row>
    <row r="18" spans="2:10" ht="15.75" thickBot="1" x14ac:dyDescent="0.3">
      <c r="B18" s="99" t="s">
        <v>226</v>
      </c>
      <c r="C18" s="106" t="s">
        <v>227</v>
      </c>
      <c r="D18" s="108">
        <v>2</v>
      </c>
      <c r="E18" s="108">
        <v>1</v>
      </c>
      <c r="F18" s="101">
        <f t="shared" ref="F18" si="5">D18+(E18*4)</f>
        <v>6</v>
      </c>
      <c r="G18" s="107">
        <v>4.5</v>
      </c>
      <c r="H18" s="102">
        <v>4.5</v>
      </c>
      <c r="I18" s="103">
        <f t="shared" si="3"/>
        <v>27</v>
      </c>
      <c r="J18" s="104">
        <f t="shared" si="4"/>
        <v>0.9642857142857143</v>
      </c>
    </row>
    <row r="19" spans="2:10" ht="16.5" customHeight="1" thickBot="1" x14ac:dyDescent="0.3">
      <c r="B19" s="405" t="s">
        <v>228</v>
      </c>
      <c r="C19" s="406"/>
      <c r="D19" s="406"/>
      <c r="E19" s="406"/>
      <c r="F19" s="406"/>
      <c r="G19" s="407"/>
      <c r="H19" s="119">
        <f>SUM(H15:H18)</f>
        <v>102.03999999999999</v>
      </c>
      <c r="I19" s="119">
        <f>SUM(I15:I18)</f>
        <v>612.24</v>
      </c>
      <c r="J19" s="120">
        <f>SUM(J15:J18)</f>
        <v>21.865714285714287</v>
      </c>
    </row>
    <row r="20" spans="2:10" ht="15.75" customHeight="1" x14ac:dyDescent="0.25">
      <c r="B20" s="403" t="s">
        <v>231</v>
      </c>
      <c r="C20" s="404"/>
      <c r="D20" s="404"/>
      <c r="E20" s="404"/>
      <c r="F20" s="404"/>
      <c r="G20" s="404"/>
      <c r="H20" s="119">
        <f>SUM(H11+H19)/2</f>
        <v>102.03999999999999</v>
      </c>
      <c r="I20" s="119">
        <f>SUM(I11+I19)/2</f>
        <v>612.24</v>
      </c>
      <c r="J20" s="119">
        <f>SUM(J11+J19)/2</f>
        <v>21.865714285714287</v>
      </c>
    </row>
    <row r="22" spans="2:10" s="98" customFormat="1" ht="24" customHeight="1" x14ac:dyDescent="0.25">
      <c r="B22" s="399" t="s">
        <v>232</v>
      </c>
      <c r="C22" s="400"/>
      <c r="D22" s="400"/>
      <c r="E22" s="400"/>
      <c r="F22" s="400"/>
      <c r="G22" s="400"/>
      <c r="H22" s="400"/>
      <c r="I22" s="400"/>
      <c r="J22" s="401"/>
    </row>
    <row r="23" spans="2:10" x14ac:dyDescent="0.25">
      <c r="B23" s="408" t="s">
        <v>213</v>
      </c>
      <c r="C23" s="408"/>
      <c r="D23" s="408"/>
      <c r="E23" s="408"/>
      <c r="F23" s="408"/>
      <c r="G23" s="408"/>
      <c r="H23" s="408"/>
      <c r="I23" s="408"/>
      <c r="J23" s="408"/>
    </row>
    <row r="24" spans="2:10" ht="45" x14ac:dyDescent="0.25">
      <c r="B24" s="115" t="str">
        <f>PROPER("TIPO")</f>
        <v>Tipo</v>
      </c>
      <c r="C24" s="116" t="str">
        <f>PROPER("ESPECIFICAÇÃO")</f>
        <v>Especificação</v>
      </c>
      <c r="D24" s="116" t="s">
        <v>214</v>
      </c>
      <c r="E24" s="116" t="s">
        <v>215</v>
      </c>
      <c r="F24" s="116" t="s">
        <v>216</v>
      </c>
      <c r="G24" s="116" t="s">
        <v>197</v>
      </c>
      <c r="H24" s="116" t="s">
        <v>217</v>
      </c>
      <c r="I24" s="116" t="s">
        <v>218</v>
      </c>
      <c r="J24" s="117" t="s">
        <v>219</v>
      </c>
    </row>
    <row r="25" spans="2:10" x14ac:dyDescent="0.25">
      <c r="B25" s="99" t="s">
        <v>220</v>
      </c>
      <c r="C25" s="100" t="s">
        <v>221</v>
      </c>
      <c r="D25" s="101">
        <v>2</v>
      </c>
      <c r="E25" s="101">
        <v>2</v>
      </c>
      <c r="F25" s="101">
        <f>D25+(E25*4)</f>
        <v>10</v>
      </c>
      <c r="G25" s="102">
        <f>G7</f>
        <v>33</v>
      </c>
      <c r="H25" s="102">
        <f>G25</f>
        <v>33</v>
      </c>
      <c r="I25" s="103">
        <f>G25*F25</f>
        <v>330</v>
      </c>
      <c r="J25" s="104">
        <f>I25/28</f>
        <v>11.785714285714286</v>
      </c>
    </row>
    <row r="26" spans="2:10" ht="30" x14ac:dyDescent="0.25">
      <c r="B26" s="99" t="s">
        <v>222</v>
      </c>
      <c r="C26" s="106" t="s">
        <v>223</v>
      </c>
      <c r="D26" s="101">
        <v>2</v>
      </c>
      <c r="E26" s="101">
        <v>2</v>
      </c>
      <c r="F26" s="101">
        <f t="shared" ref="F26:F28" si="6">D26+(E26*4)</f>
        <v>10</v>
      </c>
      <c r="G26" s="107">
        <f>G8</f>
        <v>30</v>
      </c>
      <c r="H26" s="102">
        <f t="shared" ref="H26:H28" si="7">G26</f>
        <v>30</v>
      </c>
      <c r="I26" s="103">
        <f t="shared" ref="I26:I28" si="8">G26*F26</f>
        <v>300</v>
      </c>
      <c r="J26" s="104">
        <f t="shared" ref="J26:J28" si="9">I26/28</f>
        <v>10.714285714285714</v>
      </c>
    </row>
    <row r="27" spans="2:10" x14ac:dyDescent="0.25">
      <c r="B27" s="99" t="s">
        <v>224</v>
      </c>
      <c r="C27" s="106" t="s">
        <v>225</v>
      </c>
      <c r="D27" s="108">
        <v>2</v>
      </c>
      <c r="E27" s="108">
        <v>2</v>
      </c>
      <c r="F27" s="101">
        <f t="shared" si="6"/>
        <v>10</v>
      </c>
      <c r="G27" s="107">
        <f>G9</f>
        <v>34.54</v>
      </c>
      <c r="H27" s="102">
        <f t="shared" si="7"/>
        <v>34.54</v>
      </c>
      <c r="I27" s="103">
        <f t="shared" si="8"/>
        <v>345.4</v>
      </c>
      <c r="J27" s="104">
        <f t="shared" si="9"/>
        <v>12.335714285714285</v>
      </c>
    </row>
    <row r="28" spans="2:10" ht="15.75" thickBot="1" x14ac:dyDescent="0.3">
      <c r="B28" s="99" t="s">
        <v>226</v>
      </c>
      <c r="C28" s="106" t="s">
        <v>227</v>
      </c>
      <c r="D28" s="108">
        <v>2</v>
      </c>
      <c r="E28" s="108">
        <v>2</v>
      </c>
      <c r="F28" s="101">
        <f t="shared" si="6"/>
        <v>10</v>
      </c>
      <c r="G28" s="107">
        <v>4.5</v>
      </c>
      <c r="H28" s="102">
        <f t="shared" si="7"/>
        <v>4.5</v>
      </c>
      <c r="I28" s="103">
        <f t="shared" si="8"/>
        <v>45</v>
      </c>
      <c r="J28" s="104">
        <f t="shared" si="9"/>
        <v>1.6071428571428572</v>
      </c>
    </row>
    <row r="29" spans="2:10" s="109" customFormat="1" ht="15.75" thickBot="1" x14ac:dyDescent="0.3">
      <c r="B29" s="405" t="s">
        <v>228</v>
      </c>
      <c r="C29" s="406"/>
      <c r="D29" s="406"/>
      <c r="E29" s="406"/>
      <c r="F29" s="406"/>
      <c r="G29" s="407"/>
      <c r="H29" s="119">
        <f>SUM(H25:H28)</f>
        <v>102.03999999999999</v>
      </c>
      <c r="I29" s="119">
        <f>SUM(I25:I28)</f>
        <v>1020.4</v>
      </c>
      <c r="J29" s="120">
        <f>SUM(J25:J28)</f>
        <v>36.442857142857143</v>
      </c>
    </row>
    <row r="30" spans="2:10" s="98" customFormat="1" ht="5.25" customHeight="1" x14ac:dyDescent="0.25">
      <c r="B30" s="110"/>
      <c r="C30" s="111"/>
      <c r="D30" s="111"/>
      <c r="E30" s="111"/>
      <c r="F30" s="111"/>
      <c r="G30" s="111"/>
      <c r="H30" s="111"/>
      <c r="I30" s="111"/>
      <c r="J30" s="112"/>
    </row>
    <row r="31" spans="2:10" x14ac:dyDescent="0.25">
      <c r="B31" s="402" t="s">
        <v>229</v>
      </c>
      <c r="C31" s="402"/>
      <c r="D31" s="402"/>
      <c r="E31" s="402"/>
      <c r="F31" s="402"/>
      <c r="G31" s="402"/>
      <c r="H31" s="402"/>
      <c r="I31" s="402"/>
      <c r="J31" s="402"/>
    </row>
    <row r="32" spans="2:10" ht="45" x14ac:dyDescent="0.25">
      <c r="B32" s="115" t="str">
        <f>PROPER("TIPO")</f>
        <v>Tipo</v>
      </c>
      <c r="C32" s="116" t="str">
        <f>PROPER("ESPECIFICAÇÃO")</f>
        <v>Especificação</v>
      </c>
      <c r="D32" s="116" t="s">
        <v>214</v>
      </c>
      <c r="E32" s="116" t="s">
        <v>215</v>
      </c>
      <c r="F32" s="116" t="s">
        <v>216</v>
      </c>
      <c r="G32" s="116" t="s">
        <v>197</v>
      </c>
      <c r="H32" s="116" t="s">
        <v>217</v>
      </c>
      <c r="I32" s="116" t="s">
        <v>218</v>
      </c>
      <c r="J32" s="117" t="s">
        <v>219</v>
      </c>
    </row>
    <row r="33" spans="2:15" x14ac:dyDescent="0.25">
      <c r="B33" s="124" t="s">
        <v>230</v>
      </c>
      <c r="C33" s="125" t="s">
        <v>221</v>
      </c>
      <c r="D33" s="126">
        <v>2</v>
      </c>
      <c r="E33" s="126">
        <v>2</v>
      </c>
      <c r="F33" s="126">
        <f>D33+(E33*4)</f>
        <v>10</v>
      </c>
      <c r="G33" s="127">
        <f>G15</f>
        <v>33</v>
      </c>
      <c r="H33" s="127">
        <f t="shared" ref="H33:H36" si="10">G33</f>
        <v>33</v>
      </c>
      <c r="I33" s="127">
        <f>G33*F33</f>
        <v>330</v>
      </c>
      <c r="J33" s="128">
        <f>I33/28</f>
        <v>11.785714285714286</v>
      </c>
    </row>
    <row r="34" spans="2:15" ht="41.25" customHeight="1" x14ac:dyDescent="0.25">
      <c r="B34" s="99" t="s">
        <v>222</v>
      </c>
      <c r="C34" s="106" t="s">
        <v>223</v>
      </c>
      <c r="D34" s="101">
        <v>1</v>
      </c>
      <c r="E34" s="101">
        <v>1</v>
      </c>
      <c r="F34" s="101">
        <v>10</v>
      </c>
      <c r="G34" s="107">
        <f>G26</f>
        <v>30</v>
      </c>
      <c r="H34" s="102">
        <f t="shared" si="10"/>
        <v>30</v>
      </c>
      <c r="I34" s="103">
        <f t="shared" ref="I34:I36" si="11">G34*F34</f>
        <v>300</v>
      </c>
      <c r="J34" s="104">
        <f t="shared" ref="J34:J36" si="12">I34/28</f>
        <v>10.714285714285714</v>
      </c>
    </row>
    <row r="35" spans="2:15" x14ac:dyDescent="0.25">
      <c r="B35" s="99" t="s">
        <v>224</v>
      </c>
      <c r="C35" s="106" t="s">
        <v>225</v>
      </c>
      <c r="D35" s="108">
        <v>3</v>
      </c>
      <c r="E35" s="108">
        <v>2</v>
      </c>
      <c r="F35" s="101">
        <v>10</v>
      </c>
      <c r="G35" s="107">
        <f>G27</f>
        <v>34.54</v>
      </c>
      <c r="H35" s="102">
        <f t="shared" si="10"/>
        <v>34.54</v>
      </c>
      <c r="I35" s="103">
        <f t="shared" si="11"/>
        <v>345.4</v>
      </c>
      <c r="J35" s="104">
        <f t="shared" si="12"/>
        <v>12.335714285714285</v>
      </c>
    </row>
    <row r="36" spans="2:15" ht="15.75" thickBot="1" x14ac:dyDescent="0.3">
      <c r="B36" s="99" t="s">
        <v>226</v>
      </c>
      <c r="C36" s="106" t="s">
        <v>227</v>
      </c>
      <c r="D36" s="108">
        <v>2</v>
      </c>
      <c r="E36" s="108">
        <v>2</v>
      </c>
      <c r="F36" s="101">
        <f t="shared" ref="F36" si="13">D36+(E36*4)</f>
        <v>10</v>
      </c>
      <c r="G36" s="107">
        <f>G28</f>
        <v>4.5</v>
      </c>
      <c r="H36" s="102">
        <f t="shared" si="10"/>
        <v>4.5</v>
      </c>
      <c r="I36" s="103">
        <f t="shared" si="11"/>
        <v>45</v>
      </c>
      <c r="J36" s="104">
        <f t="shared" si="12"/>
        <v>1.6071428571428572</v>
      </c>
    </row>
    <row r="37" spans="2:15" ht="15.75" thickBot="1" x14ac:dyDescent="0.3">
      <c r="B37" s="405" t="s">
        <v>228</v>
      </c>
      <c r="C37" s="406"/>
      <c r="D37" s="406"/>
      <c r="E37" s="406"/>
      <c r="F37" s="406"/>
      <c r="G37" s="407"/>
      <c r="H37" s="119">
        <f>SUM(H33:H36)</f>
        <v>102.03999999999999</v>
      </c>
      <c r="I37" s="119">
        <f>SUM(I33:I36)</f>
        <v>1020.4</v>
      </c>
      <c r="J37" s="120">
        <f>SUM(J33:J36)</f>
        <v>36.442857142857143</v>
      </c>
    </row>
    <row r="38" spans="2:15" x14ac:dyDescent="0.25">
      <c r="B38" s="403" t="s">
        <v>231</v>
      </c>
      <c r="C38" s="404"/>
      <c r="D38" s="404"/>
      <c r="E38" s="404"/>
      <c r="F38" s="404"/>
      <c r="G38" s="404"/>
      <c r="H38" s="119">
        <f>SUM(H29+H37)/2</f>
        <v>102.03999999999999</v>
      </c>
      <c r="I38" s="119">
        <f>SUM(I29+I37)/2</f>
        <v>1020.4</v>
      </c>
      <c r="J38" s="119">
        <f>SUM(J29+J37)/2</f>
        <v>36.442857142857143</v>
      </c>
    </row>
    <row r="39" spans="2:15" x14ac:dyDescent="0.25">
      <c r="N39" s="97" t="s">
        <v>233</v>
      </c>
      <c r="O39" s="113">
        <v>26.11</v>
      </c>
    </row>
    <row r="40" spans="2:15" x14ac:dyDescent="0.25">
      <c r="B40" s="123" t="s">
        <v>234</v>
      </c>
      <c r="C40" s="121"/>
      <c r="D40" s="121"/>
      <c r="E40" s="121"/>
      <c r="F40" s="121"/>
      <c r="G40" s="121"/>
      <c r="H40" s="122">
        <f>(H20+H38)/2</f>
        <v>102.03999999999999</v>
      </c>
      <c r="I40" s="97">
        <v>102.04</v>
      </c>
      <c r="L40" s="105">
        <v>122.6</v>
      </c>
      <c r="M40" s="114"/>
      <c r="N40" s="97" t="s">
        <v>235</v>
      </c>
      <c r="O40" s="113">
        <v>42.41</v>
      </c>
    </row>
    <row r="43" spans="2:15" x14ac:dyDescent="0.25">
      <c r="C43" s="97" t="str">
        <f>'Encargos e CITL'!B30</f>
        <v>FLORIANOPOLIS, 08 DE JULHO DE 2021</v>
      </c>
    </row>
    <row r="46" spans="2:15" x14ac:dyDescent="0.25">
      <c r="C46" s="97" t="str">
        <f>'Encargos e CITL'!B33</f>
        <v>PLANSUL PLANEJAMENTO E CONSULTORIA EIRELI</v>
      </c>
    </row>
    <row r="47" spans="2:15" x14ac:dyDescent="0.25">
      <c r="C47" s="97" t="str">
        <f>'Encargos e CITL'!B34</f>
        <v>CNPJ: 78.533.312/0001-58</v>
      </c>
    </row>
  </sheetData>
  <mergeCells count="13">
    <mergeCell ref="B31:J31"/>
    <mergeCell ref="B37:G37"/>
    <mergeCell ref="B38:G38"/>
    <mergeCell ref="B19:G19"/>
    <mergeCell ref="B20:G20"/>
    <mergeCell ref="B22:J22"/>
    <mergeCell ref="B23:J23"/>
    <mergeCell ref="B29:G29"/>
    <mergeCell ref="B2:J2"/>
    <mergeCell ref="B4:J4"/>
    <mergeCell ref="B5:J5"/>
    <mergeCell ref="B11:F11"/>
    <mergeCell ref="B13:J13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K40"/>
  <sheetViews>
    <sheetView workbookViewId="0">
      <selection activeCell="D20" sqref="D20:G20"/>
    </sheetView>
  </sheetViews>
  <sheetFormatPr defaultRowHeight="15" x14ac:dyDescent="0.25"/>
  <cols>
    <col min="2" max="2" width="72.7109375" bestFit="1" customWidth="1"/>
    <col min="3" max="3" width="16.28515625" customWidth="1"/>
    <col min="4" max="4" width="18.7109375" bestFit="1" customWidth="1"/>
    <col min="5" max="5" width="22" customWidth="1"/>
    <col min="6" max="6" width="15.140625" customWidth="1"/>
    <col min="7" max="7" width="19.7109375" customWidth="1"/>
    <col min="8" max="8" width="18.5703125" customWidth="1"/>
    <col min="9" max="9" width="22.140625" customWidth="1"/>
    <col min="10" max="10" width="20.28515625" bestFit="1" customWidth="1"/>
    <col min="11" max="11" width="22" bestFit="1" customWidth="1"/>
  </cols>
  <sheetData>
    <row r="2" spans="2:9" s="136" customFormat="1" x14ac:dyDescent="0.25">
      <c r="B2" s="135" t="s">
        <v>251</v>
      </c>
    </row>
    <row r="4" spans="2:9" ht="15.75" thickBot="1" x14ac:dyDescent="0.3"/>
    <row r="5" spans="2:9" ht="15.75" x14ac:dyDescent="0.25">
      <c r="B5" s="411" t="s">
        <v>252</v>
      </c>
      <c r="C5" s="412"/>
      <c r="D5" s="412"/>
      <c r="E5" s="412"/>
      <c r="F5" s="412"/>
      <c r="G5" s="412"/>
      <c r="H5" s="412"/>
      <c r="I5" s="413"/>
    </row>
    <row r="6" spans="2:9" ht="15.75" x14ac:dyDescent="0.25">
      <c r="B6" s="414" t="s">
        <v>253</v>
      </c>
      <c r="C6" s="146" t="s">
        <v>4</v>
      </c>
      <c r="D6" s="146" t="s">
        <v>5</v>
      </c>
      <c r="E6" s="146" t="s">
        <v>7</v>
      </c>
      <c r="F6" s="146" t="s">
        <v>9</v>
      </c>
      <c r="G6" s="146" t="s">
        <v>11</v>
      </c>
      <c r="H6" s="146" t="s">
        <v>13</v>
      </c>
      <c r="I6" s="147" t="s">
        <v>15</v>
      </c>
    </row>
    <row r="7" spans="2:9" ht="94.5" x14ac:dyDescent="0.25">
      <c r="B7" s="415"/>
      <c r="C7" s="148" t="s">
        <v>254</v>
      </c>
      <c r="D7" s="148" t="s">
        <v>255</v>
      </c>
      <c r="E7" s="148" t="s">
        <v>256</v>
      </c>
      <c r="F7" s="148" t="s">
        <v>257</v>
      </c>
      <c r="G7" s="148" t="s">
        <v>258</v>
      </c>
      <c r="H7" s="148" t="s">
        <v>259</v>
      </c>
      <c r="I7" s="149" t="s">
        <v>260</v>
      </c>
    </row>
    <row r="8" spans="2:9" x14ac:dyDescent="0.25">
      <c r="B8" s="150" t="str">
        <f>resumo!D5</f>
        <v>Auxiliar Administrativo</v>
      </c>
      <c r="C8" s="151">
        <f>resumo!F5</f>
        <v>194</v>
      </c>
      <c r="D8" s="152">
        <v>33.619999999999997</v>
      </c>
      <c r="E8" s="152">
        <v>0</v>
      </c>
      <c r="F8" s="152">
        <f>D8-E8</f>
        <v>33.619999999999997</v>
      </c>
      <c r="G8" s="153">
        <v>21</v>
      </c>
      <c r="H8" s="154">
        <f>((F8*G8)/28)*26</f>
        <v>655.59</v>
      </c>
      <c r="I8" s="155">
        <f>H8*C8</f>
        <v>127184.46</v>
      </c>
    </row>
    <row r="9" spans="2:9" x14ac:dyDescent="0.25">
      <c r="B9" s="150" t="str">
        <f>resumo!D6</f>
        <v>Assistente Administrativo</v>
      </c>
      <c r="C9" s="151">
        <f>resumo!F6</f>
        <v>125</v>
      </c>
      <c r="D9" s="152">
        <v>33.619999999999997</v>
      </c>
      <c r="E9" s="152">
        <v>0</v>
      </c>
      <c r="F9" s="152">
        <f t="shared" ref="F9:F11" si="0">D9-E9</f>
        <v>33.619999999999997</v>
      </c>
      <c r="G9" s="153">
        <v>21</v>
      </c>
      <c r="H9" s="154">
        <f t="shared" ref="H9:H11" si="1">((F9*G9)/28)*26</f>
        <v>655.59</v>
      </c>
      <c r="I9" s="155">
        <f t="shared" ref="I9:I11" si="2">H9*C9</f>
        <v>81948.75</v>
      </c>
    </row>
    <row r="10" spans="2:9" x14ac:dyDescent="0.25">
      <c r="B10" s="150" t="str">
        <f>resumo!D7</f>
        <v>Recepcionista</v>
      </c>
      <c r="C10" s="151">
        <f>resumo!F7</f>
        <v>40</v>
      </c>
      <c r="D10" s="152">
        <v>33.619999999999997</v>
      </c>
      <c r="E10" s="152">
        <v>0</v>
      </c>
      <c r="F10" s="152">
        <f t="shared" si="0"/>
        <v>33.619999999999997</v>
      </c>
      <c r="G10" s="153">
        <v>21</v>
      </c>
      <c r="H10" s="154">
        <f t="shared" si="1"/>
        <v>655.59</v>
      </c>
      <c r="I10" s="155">
        <f t="shared" si="2"/>
        <v>26223.600000000002</v>
      </c>
    </row>
    <row r="11" spans="2:9" x14ac:dyDescent="0.25">
      <c r="B11" s="150" t="str">
        <f>resumo!D8</f>
        <v>Recepcionista Bilíngue</v>
      </c>
      <c r="C11" s="151">
        <f>resumo!F8</f>
        <v>5</v>
      </c>
      <c r="D11" s="152">
        <v>33.619999999999997</v>
      </c>
      <c r="E11" s="152">
        <v>0</v>
      </c>
      <c r="F11" s="152">
        <f t="shared" si="0"/>
        <v>33.619999999999997</v>
      </c>
      <c r="G11" s="153">
        <v>21</v>
      </c>
      <c r="H11" s="154">
        <f t="shared" si="1"/>
        <v>655.59</v>
      </c>
      <c r="I11" s="155">
        <f t="shared" si="2"/>
        <v>3277.9500000000003</v>
      </c>
    </row>
    <row r="12" spans="2:9" ht="16.5" thickBot="1" x14ac:dyDescent="0.3">
      <c r="B12" s="156" t="s">
        <v>228</v>
      </c>
      <c r="C12" s="157">
        <f>SUM(C8:C11)</f>
        <v>364</v>
      </c>
      <c r="D12" s="416"/>
      <c r="E12" s="417"/>
      <c r="F12" s="417"/>
      <c r="G12" s="418"/>
      <c r="H12" s="219"/>
      <c r="I12" s="159">
        <f>SUM(I8:I11)</f>
        <v>238634.76000000004</v>
      </c>
    </row>
    <row r="13" spans="2:9" ht="15.75" thickBot="1" x14ac:dyDescent="0.3">
      <c r="B13" s="150"/>
      <c r="C13" s="151"/>
      <c r="D13" s="152"/>
      <c r="E13" s="152"/>
      <c r="F13" s="152"/>
      <c r="G13" s="153"/>
      <c r="H13" s="154"/>
      <c r="I13" s="155"/>
    </row>
    <row r="14" spans="2:9" ht="15.75" x14ac:dyDescent="0.25">
      <c r="B14" s="424" t="s">
        <v>359</v>
      </c>
      <c r="C14" s="425"/>
      <c r="D14" s="425"/>
      <c r="E14" s="425"/>
      <c r="F14" s="425"/>
      <c r="G14" s="425"/>
      <c r="H14" s="425"/>
      <c r="I14" s="426"/>
    </row>
    <row r="15" spans="2:9" ht="15.75" x14ac:dyDescent="0.25">
      <c r="B15" s="414" t="s">
        <v>253</v>
      </c>
      <c r="C15" s="146" t="s">
        <v>4</v>
      </c>
      <c r="D15" s="146" t="s">
        <v>5</v>
      </c>
      <c r="E15" s="146" t="s">
        <v>7</v>
      </c>
      <c r="F15" s="146" t="s">
        <v>9</v>
      </c>
      <c r="G15" s="146" t="s">
        <v>11</v>
      </c>
      <c r="H15" s="146" t="s">
        <v>13</v>
      </c>
      <c r="I15" s="147" t="s">
        <v>15</v>
      </c>
    </row>
    <row r="16" spans="2:9" ht="94.5" x14ac:dyDescent="0.25">
      <c r="B16" s="415"/>
      <c r="C16" s="148" t="s">
        <v>254</v>
      </c>
      <c r="D16" s="148" t="s">
        <v>255</v>
      </c>
      <c r="E16" s="148" t="s">
        <v>256</v>
      </c>
      <c r="F16" s="148" t="s">
        <v>257</v>
      </c>
      <c r="G16" s="148" t="s">
        <v>258</v>
      </c>
      <c r="H16" s="148" t="s">
        <v>259</v>
      </c>
      <c r="I16" s="149" t="s">
        <v>260</v>
      </c>
    </row>
    <row r="17" spans="2:11" x14ac:dyDescent="0.25">
      <c r="B17" s="150" t="str">
        <f>resumo!D9</f>
        <v>Secretário Executivo I</v>
      </c>
      <c r="C17" s="151">
        <f>resumo!F9</f>
        <v>40</v>
      </c>
      <c r="D17" s="152">
        <v>33.92</v>
      </c>
      <c r="E17" s="152">
        <v>0.3</v>
      </c>
      <c r="F17" s="152">
        <f t="shared" ref="F17:F19" si="3">D17-E17</f>
        <v>33.620000000000005</v>
      </c>
      <c r="G17" s="153">
        <v>21</v>
      </c>
      <c r="H17" s="154">
        <f t="shared" ref="H17:H18" si="4">((F17*G17)/28)*26</f>
        <v>655.59000000000015</v>
      </c>
      <c r="I17" s="155">
        <f t="shared" ref="I17:I18" si="5">H17*C17</f>
        <v>26223.600000000006</v>
      </c>
    </row>
    <row r="18" spans="2:11" x14ac:dyDescent="0.25">
      <c r="B18" s="150" t="str">
        <f>resumo!D10</f>
        <v>Secretário Executivo II</v>
      </c>
      <c r="C18" s="151">
        <f>resumo!F10</f>
        <v>39</v>
      </c>
      <c r="D18" s="152">
        <v>33.92</v>
      </c>
      <c r="E18" s="152">
        <v>0.3</v>
      </c>
      <c r="F18" s="152">
        <f t="shared" si="3"/>
        <v>33.620000000000005</v>
      </c>
      <c r="G18" s="153">
        <v>21</v>
      </c>
      <c r="H18" s="154">
        <f t="shared" si="4"/>
        <v>655.59000000000015</v>
      </c>
      <c r="I18" s="155">
        <f t="shared" si="5"/>
        <v>25568.010000000006</v>
      </c>
    </row>
    <row r="19" spans="2:11" x14ac:dyDescent="0.25">
      <c r="B19" s="241" t="str">
        <f>resumo!D11</f>
        <v>Técnico em Secretariado</v>
      </c>
      <c r="C19" s="151">
        <f>resumo!F11</f>
        <v>16</v>
      </c>
      <c r="D19" s="239">
        <v>33.92</v>
      </c>
      <c r="E19" s="240">
        <v>0.3</v>
      </c>
      <c r="F19" s="240">
        <f t="shared" si="3"/>
        <v>33.620000000000005</v>
      </c>
      <c r="G19" s="257">
        <v>21</v>
      </c>
      <c r="H19" s="154">
        <f t="shared" ref="H19" si="6">((F19*G19)/28)*26</f>
        <v>655.59000000000015</v>
      </c>
      <c r="I19" s="155">
        <f t="shared" ref="I19" si="7">H19*C19</f>
        <v>10489.440000000002</v>
      </c>
    </row>
    <row r="20" spans="2:11" ht="16.5" thickBot="1" x14ac:dyDescent="0.3">
      <c r="B20" s="156" t="s">
        <v>228</v>
      </c>
      <c r="C20" s="157">
        <f>SUM(C17:C19)</f>
        <v>95</v>
      </c>
      <c r="D20" s="416"/>
      <c r="E20" s="417"/>
      <c r="F20" s="417"/>
      <c r="G20" s="418"/>
      <c r="H20" s="158"/>
      <c r="I20" s="159">
        <f>SUM(I17:I19)</f>
        <v>62281.050000000017</v>
      </c>
    </row>
    <row r="23" spans="2:11" ht="15.75" x14ac:dyDescent="0.25">
      <c r="B23" s="419" t="s">
        <v>261</v>
      </c>
      <c r="C23" s="420"/>
      <c r="D23" s="420"/>
      <c r="E23" s="420"/>
      <c r="F23" s="420"/>
      <c r="G23" s="420"/>
      <c r="H23" s="420"/>
      <c r="I23" s="420"/>
      <c r="J23" s="420"/>
      <c r="K23" s="421"/>
    </row>
    <row r="24" spans="2:11" ht="15.75" x14ac:dyDescent="0.25">
      <c r="B24" s="422" t="s">
        <v>253</v>
      </c>
      <c r="C24" s="160" t="s">
        <v>4</v>
      </c>
      <c r="D24" s="160" t="s">
        <v>5</v>
      </c>
      <c r="E24" s="160" t="s">
        <v>7</v>
      </c>
      <c r="F24" s="160" t="s">
        <v>9</v>
      </c>
      <c r="G24" s="160" t="s">
        <v>11</v>
      </c>
      <c r="H24" s="160" t="s">
        <v>13</v>
      </c>
      <c r="I24" s="160" t="s">
        <v>15</v>
      </c>
      <c r="J24" s="160" t="s">
        <v>17</v>
      </c>
      <c r="K24" s="160" t="s">
        <v>19</v>
      </c>
    </row>
    <row r="25" spans="2:11" ht="63" x14ac:dyDescent="0.25">
      <c r="B25" s="423"/>
      <c r="C25" s="148" t="s">
        <v>254</v>
      </c>
      <c r="D25" s="148" t="s">
        <v>262</v>
      </c>
      <c r="E25" s="148" t="s">
        <v>263</v>
      </c>
      <c r="F25" s="148" t="s">
        <v>264</v>
      </c>
      <c r="G25" s="148" t="s">
        <v>265</v>
      </c>
      <c r="H25" s="148" t="s">
        <v>258</v>
      </c>
      <c r="I25" s="148" t="s">
        <v>266</v>
      </c>
      <c r="J25" s="148" t="s">
        <v>267</v>
      </c>
      <c r="K25" s="148" t="s">
        <v>268</v>
      </c>
    </row>
    <row r="26" spans="2:11" x14ac:dyDescent="0.25">
      <c r="B26" s="150" t="str">
        <f>resumo!D5</f>
        <v>Auxiliar Administrativo</v>
      </c>
      <c r="C26" s="151">
        <f>resumo!F5</f>
        <v>194</v>
      </c>
      <c r="D26" s="161">
        <f>'Memória de Cálculo Salários'!F7</f>
        <v>1278.71</v>
      </c>
      <c r="E26" s="161">
        <f>D26*0.06</f>
        <v>76.7226</v>
      </c>
      <c r="F26" s="162">
        <v>4.25</v>
      </c>
      <c r="G26" s="163">
        <v>2</v>
      </c>
      <c r="H26" s="153">
        <v>21</v>
      </c>
      <c r="I26" s="154">
        <f>F26*G26*H26</f>
        <v>178.5</v>
      </c>
      <c r="J26" s="164">
        <f>((I26-E26)/28)*26</f>
        <v>94.50758571428571</v>
      </c>
      <c r="K26" s="164">
        <f t="shared" ref="K26:K32" si="8">J26*C26</f>
        <v>18334.471628571428</v>
      </c>
    </row>
    <row r="27" spans="2:11" x14ac:dyDescent="0.25">
      <c r="B27" s="150" t="str">
        <f>resumo!D6</f>
        <v>Assistente Administrativo</v>
      </c>
      <c r="C27" s="151">
        <f>resumo!F6</f>
        <v>125</v>
      </c>
      <c r="D27" s="161">
        <f>'Memória de Cálculo Salários'!F8</f>
        <v>1790</v>
      </c>
      <c r="E27" s="161">
        <f t="shared" ref="E27:E32" si="9">D27*0.06</f>
        <v>107.39999999999999</v>
      </c>
      <c r="F27" s="162">
        <v>4.25</v>
      </c>
      <c r="G27" s="163">
        <v>2</v>
      </c>
      <c r="H27" s="153">
        <v>21</v>
      </c>
      <c r="I27" s="154">
        <f t="shared" ref="I27:I32" si="10">F27*G27*H27</f>
        <v>178.5</v>
      </c>
      <c r="J27" s="164">
        <f t="shared" ref="J27:J32" si="11">((I27-E27)/28)*26</f>
        <v>66.021428571428572</v>
      </c>
      <c r="K27" s="164">
        <f t="shared" si="8"/>
        <v>8252.6785714285706</v>
      </c>
    </row>
    <row r="28" spans="2:11" x14ac:dyDescent="0.25">
      <c r="B28" s="150" t="str">
        <f>resumo!D7</f>
        <v>Recepcionista</v>
      </c>
      <c r="C28" s="151">
        <f>resumo!F7</f>
        <v>40</v>
      </c>
      <c r="D28" s="161">
        <f>'Memória de Cálculo Salários'!F9</f>
        <v>1826.64</v>
      </c>
      <c r="E28" s="161">
        <f t="shared" si="9"/>
        <v>109.5984</v>
      </c>
      <c r="F28" s="162">
        <v>4.25</v>
      </c>
      <c r="G28" s="163">
        <v>2</v>
      </c>
      <c r="H28" s="153">
        <v>21</v>
      </c>
      <c r="I28" s="154">
        <f t="shared" si="10"/>
        <v>178.5</v>
      </c>
      <c r="J28" s="164">
        <f t="shared" si="11"/>
        <v>63.980057142857149</v>
      </c>
      <c r="K28" s="164">
        <f t="shared" si="8"/>
        <v>2559.2022857142861</v>
      </c>
    </row>
    <row r="29" spans="2:11" x14ac:dyDescent="0.25">
      <c r="B29" s="150" t="str">
        <f>resumo!D8</f>
        <v>Recepcionista Bilíngue</v>
      </c>
      <c r="C29" s="151">
        <f>resumo!F8</f>
        <v>5</v>
      </c>
      <c r="D29" s="161">
        <f>'Memória de Cálculo Salários'!F10</f>
        <v>2069.6</v>
      </c>
      <c r="E29" s="161">
        <f t="shared" si="9"/>
        <v>124.17599999999999</v>
      </c>
      <c r="F29" s="162">
        <v>4.25</v>
      </c>
      <c r="G29" s="163">
        <v>2</v>
      </c>
      <c r="H29" s="153">
        <v>21</v>
      </c>
      <c r="I29" s="154">
        <f t="shared" si="10"/>
        <v>178.5</v>
      </c>
      <c r="J29" s="164">
        <f t="shared" si="11"/>
        <v>50.4437142857143</v>
      </c>
      <c r="K29" s="164">
        <f t="shared" si="8"/>
        <v>252.21857142857149</v>
      </c>
    </row>
    <row r="30" spans="2:11" x14ac:dyDescent="0.25">
      <c r="B30" s="150" t="str">
        <f>resumo!D9</f>
        <v>Secretário Executivo I</v>
      </c>
      <c r="C30" s="151">
        <f>resumo!F9</f>
        <v>40</v>
      </c>
      <c r="D30" s="161">
        <f>'Memória de Cálculo Salários'!F11</f>
        <v>4440</v>
      </c>
      <c r="E30" s="161">
        <f t="shared" si="9"/>
        <v>266.39999999999998</v>
      </c>
      <c r="F30" s="162">
        <v>4.25</v>
      </c>
      <c r="G30" s="163">
        <v>2</v>
      </c>
      <c r="H30" s="153">
        <v>21</v>
      </c>
      <c r="I30" s="154">
        <f t="shared" si="10"/>
        <v>178.5</v>
      </c>
      <c r="J30" s="164">
        <v>0</v>
      </c>
      <c r="K30" s="164">
        <f t="shared" si="8"/>
        <v>0</v>
      </c>
    </row>
    <row r="31" spans="2:11" x14ac:dyDescent="0.25">
      <c r="B31" s="150" t="str">
        <f>resumo!D10</f>
        <v>Secretário Executivo II</v>
      </c>
      <c r="C31" s="151">
        <f>resumo!F10</f>
        <v>39</v>
      </c>
      <c r="D31" s="161">
        <f>'Memória de Cálculo Salários'!F12</f>
        <v>5030</v>
      </c>
      <c r="E31" s="161">
        <f t="shared" si="9"/>
        <v>301.8</v>
      </c>
      <c r="F31" s="162">
        <v>4.25</v>
      </c>
      <c r="G31" s="163">
        <v>2</v>
      </c>
      <c r="H31" s="153">
        <v>21</v>
      </c>
      <c r="I31" s="154">
        <f t="shared" si="10"/>
        <v>178.5</v>
      </c>
      <c r="J31" s="164">
        <v>0</v>
      </c>
      <c r="K31" s="164">
        <f t="shared" si="8"/>
        <v>0</v>
      </c>
    </row>
    <row r="32" spans="2:11" ht="15.75" thickBot="1" x14ac:dyDescent="0.3">
      <c r="B32" s="150" t="str">
        <f>resumo!D11</f>
        <v>Técnico em Secretariado</v>
      </c>
      <c r="C32" s="151">
        <f>resumo!F11</f>
        <v>16</v>
      </c>
      <c r="D32" s="161">
        <f>'Memória de Cálculo Salários'!F13</f>
        <v>2220</v>
      </c>
      <c r="E32" s="161">
        <f t="shared" si="9"/>
        <v>133.19999999999999</v>
      </c>
      <c r="F32" s="162">
        <v>4.25</v>
      </c>
      <c r="G32" s="163">
        <v>2</v>
      </c>
      <c r="H32" s="153">
        <v>21</v>
      </c>
      <c r="I32" s="154">
        <f t="shared" si="10"/>
        <v>178.5</v>
      </c>
      <c r="J32" s="164">
        <f t="shared" si="11"/>
        <v>42.064285714285724</v>
      </c>
      <c r="K32" s="164">
        <f t="shared" si="8"/>
        <v>673.02857142857158</v>
      </c>
    </row>
    <row r="33" spans="2:11" ht="16.5" thickBot="1" x14ac:dyDescent="0.3">
      <c r="B33" s="165" t="s">
        <v>228</v>
      </c>
      <c r="C33" s="166">
        <f>SUM(C26:C32)</f>
        <v>459</v>
      </c>
      <c r="D33" s="409"/>
      <c r="E33" s="410"/>
      <c r="F33" s="409"/>
      <c r="G33" s="410"/>
      <c r="H33" s="409"/>
      <c r="I33" s="410"/>
      <c r="J33" s="167"/>
      <c r="K33" s="168">
        <f>SUM(K26:K32)</f>
        <v>30071.599628571425</v>
      </c>
    </row>
    <row r="36" spans="2:11" x14ac:dyDescent="0.25">
      <c r="B36" t="str">
        <f>UNIFORME!C43</f>
        <v>FLORIANOPOLIS, 08 DE JULHO DE 2021</v>
      </c>
    </row>
    <row r="39" spans="2:11" x14ac:dyDescent="0.25">
      <c r="B39" t="str">
        <f>UNIFORME!C46</f>
        <v>PLANSUL PLANEJAMENTO E CONSULTORIA EIRELI</v>
      </c>
    </row>
    <row r="40" spans="2:11" x14ac:dyDescent="0.25">
      <c r="B40" t="str">
        <f>UNIFORME!C47</f>
        <v>CNPJ: 78.533.312/0001-58</v>
      </c>
    </row>
  </sheetData>
  <mergeCells count="11">
    <mergeCell ref="D33:E33"/>
    <mergeCell ref="F33:G33"/>
    <mergeCell ref="H33:I33"/>
    <mergeCell ref="B5:I5"/>
    <mergeCell ref="B6:B7"/>
    <mergeCell ref="D20:G20"/>
    <mergeCell ref="B23:K23"/>
    <mergeCell ref="B24:B25"/>
    <mergeCell ref="D12:G12"/>
    <mergeCell ref="B14:I14"/>
    <mergeCell ref="B15:B16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5</vt:i4>
      </vt:variant>
    </vt:vector>
  </HeadingPairs>
  <TitlesOfParts>
    <vt:vector size="13" baseType="lpstr">
      <vt:lpstr>RESUMO 01</vt:lpstr>
      <vt:lpstr>Precificação por Lote</vt:lpstr>
      <vt:lpstr>Precificação total</vt:lpstr>
      <vt:lpstr>resumo</vt:lpstr>
      <vt:lpstr>Memória de Cálculo Salários</vt:lpstr>
      <vt:lpstr>Encargos e CITL</vt:lpstr>
      <vt:lpstr>UNIFORME</vt:lpstr>
      <vt:lpstr>VA E VT</vt:lpstr>
      <vt:lpstr>'Encargos e CITL'!Area_de_impressao</vt:lpstr>
      <vt:lpstr>'Memória de Cálculo Salários'!Area_de_impressao</vt:lpstr>
      <vt:lpstr>resumo!Area_de_impressao</vt:lpstr>
      <vt:lpstr>UNIFORME!Area_de_impressao</vt:lpstr>
      <vt:lpstr>'VA E VT'!Area_de_impressao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licitação</dc:creator>
  <cp:lastModifiedBy>licitacao</cp:lastModifiedBy>
  <cp:lastPrinted>2021-07-08T18:58:21Z</cp:lastPrinted>
  <dcterms:created xsi:type="dcterms:W3CDTF">2020-11-30T17:10:30Z</dcterms:created>
  <dcterms:modified xsi:type="dcterms:W3CDTF">2021-07-08T19:01:23Z</dcterms:modified>
</cp:coreProperties>
</file>