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a Contratos\Agiel\dados Jader IN 84 2020\"/>
    </mc:Choice>
  </mc:AlternateContent>
  <xr:revisionPtr revIDLastSave="0" documentId="8_{8A4CA165-0E4F-462D-8DDA-4B5017DB5C61}" xr6:coauthVersionLast="47" xr6:coauthVersionMax="47" xr10:uidLastSave="{00000000-0000-0000-0000-000000000000}"/>
  <bookViews>
    <workbookView xWindow="-120" yWindow="-120" windowWidth="29040" windowHeight="15840" tabRatio="717" firstSheet="2" activeTab="2" xr2:uid="{00000000-000D-0000-FFFF-FFFF00000000}"/>
  </bookViews>
  <sheets>
    <sheet name="Definição Quantitativo" sheetId="12" state="hidden" r:id="rId1"/>
    <sheet name="Pesquisa de preços" sheetId="8" state="hidden" r:id="rId2"/>
    <sheet name="Definição Preço Referência" sheetId="10" r:id="rId3"/>
    <sheet name="Quadro Consolidado TR" sheetId="13" state="hidden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0" l="1"/>
  <c r="G5" i="10"/>
  <c r="AF5" i="10" l="1"/>
  <c r="AB5" i="10"/>
  <c r="AA5" i="10"/>
  <c r="AG5" i="10"/>
  <c r="V5" i="10"/>
  <c r="W5" i="10"/>
  <c r="AH5" i="10" l="1"/>
  <c r="V5" i="12" l="1"/>
  <c r="R7" i="12"/>
  <c r="O19" i="12"/>
  <c r="O11" i="12"/>
  <c r="R11" i="12" s="1"/>
  <c r="O18" i="12"/>
  <c r="O17" i="12"/>
  <c r="R17" i="12" s="1"/>
  <c r="O16" i="12"/>
  <c r="O14" i="12"/>
  <c r="R14" i="12" s="1"/>
  <c r="O15" i="12"/>
  <c r="R15" i="12" s="1"/>
  <c r="O13" i="12"/>
  <c r="R13" i="12" s="1"/>
  <c r="O12" i="12"/>
  <c r="O10" i="12"/>
  <c r="R10" i="12" s="1"/>
  <c r="O9" i="12"/>
  <c r="R9" i="12" s="1"/>
  <c r="O8" i="12"/>
  <c r="R8" i="12" s="1"/>
  <c r="O7" i="12"/>
  <c r="V19" i="12"/>
  <c r="Q19" i="12"/>
  <c r="P19" i="12"/>
  <c r="R19" i="12" s="1"/>
  <c r="V18" i="12"/>
  <c r="Q18" i="12"/>
  <c r="P18" i="12"/>
  <c r="R18" i="12" s="1"/>
  <c r="S17" i="12"/>
  <c r="V17" i="12" s="1"/>
  <c r="Q17" i="12"/>
  <c r="P17" i="12"/>
  <c r="V16" i="12"/>
  <c r="Q16" i="12"/>
  <c r="P16" i="12"/>
  <c r="R16" i="12" s="1"/>
  <c r="V15" i="12"/>
  <c r="Q15" i="12"/>
  <c r="V14" i="12"/>
  <c r="Q14" i="12"/>
  <c r="P14" i="12"/>
  <c r="U13" i="12"/>
  <c r="V13" i="12" s="1"/>
  <c r="T13" i="12"/>
  <c r="Q13" i="12"/>
  <c r="P13" i="12"/>
  <c r="S12" i="12"/>
  <c r="V12" i="12" s="1"/>
  <c r="Q12" i="12"/>
  <c r="P12" i="12"/>
  <c r="R12" i="12" s="1"/>
  <c r="V11" i="12"/>
  <c r="Q11" i="12"/>
  <c r="P11" i="12"/>
  <c r="V10" i="12"/>
  <c r="Q10" i="12"/>
  <c r="P10" i="12"/>
  <c r="S9" i="12"/>
  <c r="V9" i="12" s="1"/>
  <c r="Q9" i="12"/>
  <c r="P9" i="12"/>
  <c r="U8" i="12"/>
  <c r="T8" i="12"/>
  <c r="Q8" i="12"/>
  <c r="P8" i="12"/>
  <c r="T7" i="12"/>
  <c r="S7" i="12"/>
  <c r="Q7" i="12"/>
  <c r="P7" i="12"/>
  <c r="M7" i="12"/>
  <c r="L7" i="12"/>
  <c r="U6" i="12"/>
  <c r="S6" i="12"/>
  <c r="Q6" i="12"/>
  <c r="R6" i="12" s="1"/>
  <c r="P6" i="12"/>
  <c r="Q5" i="12"/>
  <c r="R5" i="12" s="1"/>
  <c r="W5" i="12" s="1"/>
  <c r="AU5" i="10"/>
  <c r="F5" i="10" s="1"/>
  <c r="X5" i="10" l="1"/>
  <c r="AD5" i="10"/>
  <c r="AE5" i="10"/>
  <c r="W19" i="12"/>
  <c r="X19" i="12" s="1"/>
  <c r="V7" i="12"/>
  <c r="W7" i="12" s="1"/>
  <c r="W9" i="12"/>
  <c r="X5" i="12"/>
  <c r="V6" i="12"/>
  <c r="W6" i="12" s="1"/>
  <c r="AA6" i="12" s="1"/>
  <c r="AB6" i="12" s="1"/>
  <c r="V8" i="12"/>
  <c r="W10" i="12"/>
  <c r="AA10" i="12" s="1"/>
  <c r="AB10" i="12" s="1"/>
  <c r="W11" i="12"/>
  <c r="W13" i="12"/>
  <c r="AA13" i="12" s="1"/>
  <c r="AB13" i="12" s="1"/>
  <c r="W14" i="12"/>
  <c r="AA14" i="12" s="1"/>
  <c r="AB14" i="12" s="1"/>
  <c r="W16" i="12"/>
  <c r="X16" i="12" s="1"/>
  <c r="W17" i="12"/>
  <c r="W18" i="12"/>
  <c r="X10" i="12"/>
  <c r="AA19" i="12"/>
  <c r="AB19" i="12" s="1"/>
  <c r="AA9" i="12"/>
  <c r="AB9" i="12" s="1"/>
  <c r="X9" i="12"/>
  <c r="X13" i="12"/>
  <c r="AA17" i="12"/>
  <c r="AB17" i="12" s="1"/>
  <c r="X17" i="12"/>
  <c r="X18" i="12"/>
  <c r="AA18" i="12"/>
  <c r="AB18" i="12" s="1"/>
  <c r="X6" i="12"/>
  <c r="W12" i="12"/>
  <c r="W15" i="12"/>
  <c r="AC5" i="10"/>
  <c r="Y5" i="10"/>
  <c r="Z5" i="10"/>
  <c r="AA5" i="12" l="1"/>
  <c r="AB5" i="12" s="1"/>
  <c r="X14" i="12"/>
  <c r="Z14" i="12" s="1"/>
  <c r="W8" i="12"/>
  <c r="AA16" i="12"/>
  <c r="AB16" i="12" s="1"/>
  <c r="X12" i="12"/>
  <c r="AA12" i="12"/>
  <c r="AB12" i="12" s="1"/>
  <c r="Z6" i="12"/>
  <c r="Y6" i="12"/>
  <c r="Y16" i="12"/>
  <c r="Z16" i="12"/>
  <c r="Y13" i="12"/>
  <c r="Z13" i="12"/>
  <c r="X11" i="12"/>
  <c r="AA11" i="12"/>
  <c r="AB11" i="12" s="1"/>
  <c r="AA15" i="12"/>
  <c r="AB15" i="12" s="1"/>
  <c r="X15" i="12"/>
  <c r="Y10" i="12"/>
  <c r="Z10" i="12"/>
  <c r="Y5" i="12"/>
  <c r="Z5" i="12"/>
  <c r="Y17" i="12"/>
  <c r="Z17" i="12"/>
  <c r="Z9" i="12"/>
  <c r="Y9" i="12"/>
  <c r="AA7" i="12"/>
  <c r="AB7" i="12" s="1"/>
  <c r="X7" i="12"/>
  <c r="Y18" i="12"/>
  <c r="Z18" i="12"/>
  <c r="Y19" i="12"/>
  <c r="Z19" i="12"/>
  <c r="Y14" i="12" l="1"/>
  <c r="AA8" i="12"/>
  <c r="AB8" i="12" s="1"/>
  <c r="X8" i="12"/>
  <c r="Y11" i="12"/>
  <c r="Z11" i="12"/>
  <c r="Y12" i="12"/>
  <c r="Z12" i="12"/>
  <c r="Z15" i="12"/>
  <c r="Y15" i="12"/>
  <c r="Y7" i="12"/>
  <c r="Z7" i="12"/>
  <c r="Y8" i="12" l="1"/>
  <c r="Z8" i="12"/>
</calcChain>
</file>

<file path=xl/sharedStrings.xml><?xml version="1.0" encoding="utf-8"?>
<sst xmlns="http://schemas.openxmlformats.org/spreadsheetml/2006/main" count="206" uniqueCount="95">
  <si>
    <t>Item</t>
  </si>
  <si>
    <t>SIASG</t>
  </si>
  <si>
    <t>Descrição do Material</t>
  </si>
  <si>
    <t>Unidade de Medida</t>
  </si>
  <si>
    <t>SRTb/SC</t>
  </si>
  <si>
    <t>PFN/SC</t>
  </si>
  <si>
    <t>SPU</t>
  </si>
  <si>
    <t>GRA/SC</t>
  </si>
  <si>
    <t>CGU-R/SC</t>
  </si>
  <si>
    <t>Pacote 1kg</t>
  </si>
  <si>
    <t>Unidade</t>
  </si>
  <si>
    <t>Rolo 250g</t>
  </si>
  <si>
    <t>Caneta marca-texto, material plástico, tipo ponta chanfrada, cor verde, características adicionais traço 2,5 a 5 mm, transparente</t>
  </si>
  <si>
    <t>Bisnaga</t>
  </si>
  <si>
    <t>Caixa 72 unidades</t>
  </si>
  <si>
    <t>Colchete fixação, material aço, tratamento superficial latonado, tamanho nº 9</t>
  </si>
  <si>
    <t>Pacote 100 unidades</t>
  </si>
  <si>
    <t>Papel A4, alcalino, gramatura 75 g/m², medindo 210mm x 297mm (l x a), cor extra branco e acondicionados em embalagem resistente à umidade, com 500 folhas, com certificado FSC ou CERFLOR, regulamentado pelas normas da ABNT. Tipo CHAMEX ou similar.</t>
  </si>
  <si>
    <t xml:space="preserve">Resma   </t>
  </si>
  <si>
    <t>Pacote com 2 unidades</t>
  </si>
  <si>
    <t>Pilha não recarregável, modelo "AA", tamanho pequeno, tipo alcalina.não contém mercurio e cadmio, tensão nominal 1,5 V</t>
  </si>
  <si>
    <t>Fita adesiva, material polipropileno transparente, tipo monoface, largura minima 45mm, comprimento minimo 45m, cor incolor, aplicação multiuso</t>
  </si>
  <si>
    <t>Unidades</t>
  </si>
  <si>
    <t>Caixa  50 unidades</t>
  </si>
  <si>
    <t>Caixa para arquivo permanente, material polipropileno corrugado, cor azul, tamanho ofício, fechamento por travas, material plástico alveolar, com tampa, dimensão de 25 x 13 x 35 cm (a x l x c), com impressão de etiqueta de identificação, marca Polionda ou similar.</t>
  </si>
  <si>
    <t>Caneta esferográfica, material plástico, material ponta esfera de tungstênio, tipo escrita média, 1 mm,  cor tinta azul, características adicionais sextavada</t>
  </si>
  <si>
    <t>Cola à base de PVA, lavável, não tóxica, apresentação frasco com bico aplicador, cor branca, aplicação papel/cortiça e material poroso, composição acetato de polivinila, de 90g, com prazo de validade mínima de 1 (um) ano. Tipo Pritt, Tenaz ou similar.</t>
  </si>
  <si>
    <t xml:space="preserve">Copo descartável para água, em poliestireno, capacidade de 200 ml, material atóxico, de acordo com norma ABNT, NBR 14865/2012, peso mínimo 2,20 g. </t>
  </si>
  <si>
    <t>Pacote de 500 g</t>
  </si>
  <si>
    <t>Copo descartável, material poliestireno, capacidade 50ml, aplicação café, características adicionais não tóxico, peso mínimo 0,75g.</t>
  </si>
  <si>
    <t>Açúcar refinado, origem vegetal, sacarose de cana de açúcar, aplicação adoçante, branco, embalagem plástica, marca União ou similar.</t>
  </si>
  <si>
    <t>Café, apresentação: torrado moído, intensidade: intensa ou extra forte, tipo: tradicional, empacotamento: vácuo ;  marca pilão, 3 corações , melitta ou similar.</t>
  </si>
  <si>
    <t>Pregao 1/2018</t>
  </si>
  <si>
    <t>Pregao SRP 6/2018</t>
  </si>
  <si>
    <t>Histórico de Compra</t>
  </si>
  <si>
    <t>Pregao SRP 5/2017</t>
  </si>
  <si>
    <t>Pregao SRP 12/2017</t>
  </si>
  <si>
    <t>Média anual consumo GRA/SC</t>
  </si>
  <si>
    <t>Média anual de consumo SRTb/SC</t>
  </si>
  <si>
    <t>Intervalo de aquisição (I): 12 meses</t>
  </si>
  <si>
    <t>Média mensal de consumo (c)</t>
  </si>
  <si>
    <t xml:space="preserve">Estoque de segurança (es): c x 0,5t </t>
  </si>
  <si>
    <t>Estoque máximo (EM): es + (c x I)</t>
  </si>
  <si>
    <t>Ponto de pedido (Pp): es + c x T</t>
  </si>
  <si>
    <t>Quantidade a ressuprimir (Q): c x I</t>
  </si>
  <si>
    <t>Tempo de aquisição (T): 4 meses.</t>
  </si>
  <si>
    <t>Metodogia utilizada para definiação dos quantitativos definida na IN SEDAP 205/88. Definição da quantidade estimada com base numa Ata RP de 12 meses.</t>
  </si>
  <si>
    <t>Quantidade a ressuprimir (Q): c x I x 2</t>
  </si>
  <si>
    <t xml:space="preserve">Estoque de segurança (es): c x 0,5 x t </t>
  </si>
  <si>
    <t>Dados dos materiais</t>
  </si>
  <si>
    <t>Quanitade estimada</t>
  </si>
  <si>
    <t>Painel de Preços</t>
  </si>
  <si>
    <t>Gimba CNPJ 54.651.716/0011-50</t>
  </si>
  <si>
    <t>Barbante algodão, quantidade fios 8, acabamento superficial crú, cor branca. Aprox.180m.</t>
  </si>
  <si>
    <t>Contabilista CNPJ 77.765.840/0001-70</t>
  </si>
  <si>
    <t>Magazine Luiza CNPJ 47.960.950/0449-27</t>
  </si>
  <si>
    <t>Americanas CNPJ 00.776.574/0006-60</t>
  </si>
  <si>
    <t>Pilha alcalina AAA,  voltagem: 1,5V, marca RAYOVAC ou similar. Não recarregável.</t>
  </si>
  <si>
    <t>Angeloni CNPJ 83.646.984/0069-06</t>
  </si>
  <si>
    <t>EXTRA CNPJ 33.041.260/0652-90</t>
  </si>
  <si>
    <t>Kalunga CNPJ 43.283.811/0023-65</t>
  </si>
  <si>
    <t>Capa processo, material: papel monolúcido, formato: 520 x 330 mm, gramatura: 300 g,m2, cor: branca, características adicionais: conforme modelo e especificações contidas no Anexo I. Cintados de 100 em 100 unidades.</t>
  </si>
  <si>
    <t>Muffato CNPJ 76.430.438/0031-97</t>
  </si>
  <si>
    <t>Item  5 - Cola 90g. Preço correspondente a mediana, visto que há 50 contratações constante no relatório, ou seja, 50 pesquisas.</t>
  </si>
  <si>
    <t>Item  9 - Papel A4. Preço correspondente a mediana, visto que há 28 contratações constante no relatório, ou seja, 28 pesquisas.</t>
  </si>
  <si>
    <t>Observações</t>
  </si>
  <si>
    <t>Item 15 - Capa de Processo. Foi considerado apenas um valor constante no Painel com o código 150592, visto que era o único com as mesmas especificações do código 437191.</t>
  </si>
  <si>
    <t>Média</t>
  </si>
  <si>
    <t>Desvio Padrão</t>
  </si>
  <si>
    <t>Coeficiente de Variação (&lt;25% será considerado homogêneo)</t>
  </si>
  <si>
    <t>Limite Superior</t>
  </si>
  <si>
    <t>Limite Inferior</t>
  </si>
  <si>
    <t>Quantidade estimada no PAC 2020</t>
  </si>
  <si>
    <t>Consolidação dos valores da pesquisa de mercado</t>
  </si>
  <si>
    <t>Definição do preço de referência com a metodologia da Média Saneada ( valores com área hachurada na cor amarela são os valores adotados como preço de referência para a contratação)</t>
  </si>
  <si>
    <t>1º cálculo</t>
  </si>
  <si>
    <t>2º cálculo</t>
  </si>
  <si>
    <t>3º cálculo</t>
  </si>
  <si>
    <t>4º cálculo</t>
  </si>
  <si>
    <t>5º cálculo</t>
  </si>
  <si>
    <t>Valor do preço de referência</t>
  </si>
  <si>
    <t>Os valores destacados em vermelho foram sendo excluídos, até que se obtivesse o valor da média com coeficiente de variação abaixo de 25%, definida como Média Saneada.</t>
  </si>
  <si>
    <t>Quantidade estimada</t>
  </si>
  <si>
    <t>Observações: Histórico de consumo da SRTb/SC obtido por relatório do Sistema SIGAP; Histórico de consumo da GRA/SC obtido pelo Sistema SIADS. Q2 é a quantidade estimada para compras a serem realizadas no exercício 2020 e/ou 2021, limitado à vigência de 12 (doze) meses da Ata de Registro de Preços. Tempo de Aquisição (T)- período decorrido entre a emissão do pedido de compra e o recebimento do material no Almoxarifado (relativo, sempre, à unidade mês), nesse caso considerado o tempo de 4 (quatro) meses; Intervalo de Aquisição (I)- período compreendido entre duas aquisições normais e sucessivas, aqui considerado de 12 (doze) meses;</t>
  </si>
  <si>
    <t>Histórico de consumo (sistemas SIGAP e SIADS)</t>
  </si>
  <si>
    <t>Memória de cálculo</t>
  </si>
  <si>
    <t>Quadro Consolidado para o Termo de Referência</t>
  </si>
  <si>
    <t>Preço de Referência (Valor Unitário Máximo)</t>
  </si>
  <si>
    <t>Unidade de Medida ( Taxa Administrativa)</t>
  </si>
  <si>
    <t>Taxa de Administração</t>
  </si>
  <si>
    <t>Valor do Preço de Referêencia</t>
  </si>
  <si>
    <t>Valor máximo Mensal</t>
  </si>
  <si>
    <t>Valor máximo anual</t>
  </si>
  <si>
    <t>Descrição do Material/Serviço</t>
  </si>
  <si>
    <t xml:space="preserve"> Agente de Integração de Estágios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</si>
</sst>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b/>
      <sz val="11"/>
      <name val="Calibri"/>
      <family val="2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6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wrapText="1"/>
    </xf>
    <xf numFmtId="0" fontId="4" fillId="0" borderId="0" xfId="0" applyFont="1" applyAlignment="1">
      <alignment horizontal="center"/>
    </xf>
    <xf numFmtId="44" fontId="5" fillId="0" borderId="5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4" fontId="5" fillId="0" borderId="5" xfId="1" applyFont="1" applyFill="1" applyBorder="1" applyAlignment="1">
      <alignment vertical="center" wrapText="1"/>
    </xf>
    <xf numFmtId="0" fontId="4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3" fontId="4" fillId="0" borderId="0" xfId="0" applyNumberFormat="1" applyFont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44" fontId="5" fillId="0" borderId="14" xfId="1" applyFont="1" applyFill="1" applyBorder="1" applyAlignment="1">
      <alignment horizontal="center" vertical="center" wrapText="1"/>
    </xf>
    <xf numFmtId="3" fontId="0" fillId="0" borderId="0" xfId="0" applyNumberFormat="1"/>
    <xf numFmtId="3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7" fillId="0" borderId="0" xfId="0" applyFont="1"/>
    <xf numFmtId="44" fontId="1" fillId="0" borderId="10" xfId="1" applyFont="1" applyFill="1" applyBorder="1" applyAlignment="1">
      <alignment horizontal="center" vertical="center" wrapText="1"/>
    </xf>
    <xf numFmtId="44" fontId="1" fillId="0" borderId="5" xfId="1" applyFont="1" applyFill="1" applyBorder="1" applyAlignment="1">
      <alignment horizontal="center" vertical="center" wrapText="1"/>
    </xf>
    <xf numFmtId="44" fontId="1" fillId="0" borderId="14" xfId="1" applyFont="1" applyFill="1" applyBorder="1" applyAlignment="1">
      <alignment horizontal="center" vertical="center" wrapText="1"/>
    </xf>
    <xf numFmtId="44" fontId="1" fillId="0" borderId="7" xfId="1" applyFont="1" applyFill="1" applyBorder="1" applyAlignment="1">
      <alignment horizontal="center" vertical="center" wrapText="1"/>
    </xf>
    <xf numFmtId="44" fontId="1" fillId="0" borderId="34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44" fontId="5" fillId="0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" fontId="0" fillId="0" borderId="0" xfId="0" applyNumberFormat="1"/>
    <xf numFmtId="0" fontId="0" fillId="0" borderId="5" xfId="0" applyBorder="1"/>
    <xf numFmtId="4" fontId="0" fillId="0" borderId="5" xfId="0" applyNumberFormat="1" applyBorder="1"/>
    <xf numFmtId="44" fontId="1" fillId="0" borderId="23" xfId="1" applyFont="1" applyFill="1" applyBorder="1" applyAlignment="1">
      <alignment horizontal="center" vertical="center" wrapText="1"/>
    </xf>
    <xf numFmtId="44" fontId="1" fillId="0" borderId="35" xfId="1" applyFont="1" applyFill="1" applyBorder="1" applyAlignment="1">
      <alignment horizontal="center" vertical="center" wrapText="1"/>
    </xf>
    <xf numFmtId="44" fontId="8" fillId="0" borderId="5" xfId="0" applyNumberFormat="1" applyFont="1" applyBorder="1" applyAlignment="1">
      <alignment horizontal="right" vertical="center"/>
    </xf>
    <xf numFmtId="4" fontId="8" fillId="0" borderId="5" xfId="2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1" fillId="0" borderId="5" xfId="1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center"/>
    </xf>
    <xf numFmtId="4" fontId="1" fillId="0" borderId="10" xfId="1" applyNumberFormat="1" applyFont="1" applyFill="1" applyBorder="1" applyAlignment="1">
      <alignment horizontal="center" vertical="center" wrapText="1"/>
    </xf>
    <xf numFmtId="44" fontId="9" fillId="0" borderId="5" xfId="1" applyFont="1" applyFill="1" applyBorder="1" applyAlignment="1">
      <alignment horizontal="center" vertical="center" wrapText="1"/>
    </xf>
    <xf numFmtId="44" fontId="10" fillId="0" borderId="5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 vertical="center" wrapText="1"/>
    </xf>
    <xf numFmtId="44" fontId="1" fillId="3" borderId="23" xfId="1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horizontal="right" vertical="center"/>
    </xf>
    <xf numFmtId="4" fontId="8" fillId="0" borderId="5" xfId="2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44" fontId="1" fillId="0" borderId="11" xfId="1" applyFont="1" applyFill="1" applyBorder="1" applyAlignment="1">
      <alignment horizontal="center" vertical="center" wrapText="1"/>
    </xf>
    <xf numFmtId="44" fontId="1" fillId="0" borderId="20" xfId="1" applyFont="1" applyFill="1" applyBorder="1" applyAlignment="1">
      <alignment horizontal="center" vertical="center" wrapText="1"/>
    </xf>
    <xf numFmtId="44" fontId="1" fillId="0" borderId="21" xfId="1" applyFont="1" applyFill="1" applyBorder="1" applyAlignment="1">
      <alignment horizontal="center" vertical="center" wrapText="1"/>
    </xf>
    <xf numFmtId="44" fontId="1" fillId="0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44" fontId="5" fillId="0" borderId="23" xfId="1" applyFont="1" applyFill="1" applyBorder="1" applyAlignment="1">
      <alignment horizontal="center" vertical="center" wrapText="1"/>
    </xf>
    <xf numFmtId="44" fontId="9" fillId="0" borderId="23" xfId="1" applyFont="1" applyFill="1" applyBorder="1" applyAlignment="1">
      <alignment horizontal="center" vertical="center" wrapText="1"/>
    </xf>
    <xf numFmtId="0" fontId="0" fillId="0" borderId="23" xfId="0" applyBorder="1"/>
    <xf numFmtId="44" fontId="8" fillId="0" borderId="23" xfId="0" applyNumberFormat="1" applyFont="1" applyBorder="1" applyAlignment="1">
      <alignment horizontal="right" vertical="center"/>
    </xf>
    <xf numFmtId="4" fontId="1" fillId="0" borderId="23" xfId="1" applyNumberFormat="1" applyFont="1" applyFill="1" applyBorder="1" applyAlignment="1">
      <alignment horizontal="right" vertical="center" wrapText="1"/>
    </xf>
    <xf numFmtId="4" fontId="8" fillId="0" borderId="23" xfId="2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4" fontId="8" fillId="5" borderId="23" xfId="2" applyNumberFormat="1" applyFont="1" applyFill="1" applyBorder="1" applyAlignment="1">
      <alignment horizontal="right" vertical="center"/>
    </xf>
    <xf numFmtId="0" fontId="11" fillId="2" borderId="34" xfId="0" applyFont="1" applyFill="1" applyBorder="1" applyAlignment="1">
      <alignment horizontal="center" vertical="center" wrapText="1"/>
    </xf>
    <xf numFmtId="4" fontId="11" fillId="2" borderId="7" xfId="2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39" xfId="0" applyNumberFormat="1" applyFont="1" applyFill="1" applyBorder="1" applyAlignment="1">
      <alignment horizontal="center" vertical="center" wrapText="1"/>
    </xf>
    <xf numFmtId="44" fontId="10" fillId="0" borderId="14" xfId="1" applyFont="1" applyFill="1" applyBorder="1" applyAlignment="1">
      <alignment horizontal="center" vertical="center" wrapText="1"/>
    </xf>
    <xf numFmtId="44" fontId="8" fillId="0" borderId="14" xfId="0" applyNumberFormat="1" applyFont="1" applyBorder="1" applyAlignment="1">
      <alignment horizontal="right" vertical="center"/>
    </xf>
    <xf numFmtId="4" fontId="1" fillId="0" borderId="14" xfId="1" applyNumberFormat="1" applyFont="1" applyFill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/>
    </xf>
    <xf numFmtId="44" fontId="1" fillId="0" borderId="19" xfId="1" applyFont="1" applyFill="1" applyBorder="1" applyAlignment="1">
      <alignment horizontal="center" vertical="center" wrapText="1"/>
    </xf>
    <xf numFmtId="4" fontId="8" fillId="0" borderId="28" xfId="2" applyNumberFormat="1" applyFont="1" applyBorder="1" applyAlignment="1">
      <alignment horizontal="right" vertical="center"/>
    </xf>
    <xf numFmtId="44" fontId="1" fillId="0" borderId="36" xfId="1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right" vertical="center"/>
    </xf>
    <xf numFmtId="4" fontId="8" fillId="0" borderId="40" xfId="0" applyNumberFormat="1" applyFont="1" applyBorder="1" applyAlignment="1">
      <alignment horizontal="right" vertical="center"/>
    </xf>
    <xf numFmtId="44" fontId="1" fillId="0" borderId="28" xfId="1" applyFont="1" applyFill="1" applyBorder="1" applyAlignment="1">
      <alignment horizontal="center" vertical="center" wrapText="1"/>
    </xf>
    <xf numFmtId="44" fontId="1" fillId="0" borderId="40" xfId="1" applyFont="1" applyFill="1" applyBorder="1" applyAlignment="1">
      <alignment horizontal="center" vertical="center" wrapText="1"/>
    </xf>
    <xf numFmtId="44" fontId="1" fillId="0" borderId="41" xfId="1" applyFont="1" applyFill="1" applyBorder="1" applyAlignment="1">
      <alignment horizontal="center" vertical="center" wrapText="1"/>
    </xf>
    <xf numFmtId="44" fontId="0" fillId="0" borderId="42" xfId="0" applyNumberFormat="1" applyBorder="1"/>
    <xf numFmtId="44" fontId="0" fillId="0" borderId="43" xfId="0" applyNumberFormat="1" applyBorder="1"/>
    <xf numFmtId="44" fontId="0" fillId="0" borderId="44" xfId="0" applyNumberFormat="1" applyBorder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45" xfId="0" applyBorder="1"/>
    <xf numFmtId="44" fontId="1" fillId="0" borderId="38" xfId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27" xfId="0" applyBorder="1"/>
    <xf numFmtId="0" fontId="0" fillId="0" borderId="46" xfId="0" applyBorder="1"/>
    <xf numFmtId="44" fontId="5" fillId="0" borderId="22" xfId="1" applyFont="1" applyFill="1" applyBorder="1" applyAlignment="1">
      <alignment horizontal="center" vertical="center" wrapText="1"/>
    </xf>
    <xf numFmtId="44" fontId="10" fillId="0" borderId="12" xfId="1" applyFont="1" applyFill="1" applyBorder="1" applyAlignment="1">
      <alignment horizontal="center" vertical="center" wrapText="1"/>
    </xf>
    <xf numFmtId="44" fontId="5" fillId="0" borderId="12" xfId="1" applyFont="1" applyFill="1" applyBorder="1" applyAlignment="1">
      <alignment horizontal="center" vertical="center" wrapText="1"/>
    </xf>
    <xf numFmtId="44" fontId="5" fillId="0" borderId="12" xfId="1" applyFont="1" applyFill="1" applyBorder="1" applyAlignment="1">
      <alignment vertical="center" wrapText="1"/>
    </xf>
    <xf numFmtId="44" fontId="5" fillId="0" borderId="13" xfId="1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2" xfId="0" applyFont="1" applyFill="1" applyBorder="1"/>
    <xf numFmtId="0" fontId="6" fillId="0" borderId="0" xfId="0" applyFont="1" applyAlignment="1">
      <alignment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center" vertical="center" wrapText="1"/>
    </xf>
    <xf numFmtId="3" fontId="11" fillId="2" borderId="3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1" fillId="0" borderId="10" xfId="1" applyFont="1" applyFill="1" applyBorder="1" applyAlignment="1">
      <alignment horizontal="right" vertical="center" wrapText="1"/>
    </xf>
    <xf numFmtId="44" fontId="1" fillId="0" borderId="5" xfId="1" applyFont="1" applyFill="1" applyBorder="1" applyAlignment="1">
      <alignment horizontal="right" vertical="center" wrapText="1"/>
    </xf>
    <xf numFmtId="44" fontId="1" fillId="0" borderId="14" xfId="1" applyFont="1" applyFill="1" applyBorder="1" applyAlignment="1">
      <alignment horizontal="right" vertical="center" wrapText="1"/>
    </xf>
    <xf numFmtId="44" fontId="1" fillId="0" borderId="7" xfId="1" applyFont="1" applyFill="1" applyBorder="1" applyAlignment="1">
      <alignment horizontal="right" vertical="center" wrapText="1"/>
    </xf>
    <xf numFmtId="44" fontId="10" fillId="0" borderId="23" xfId="1" applyFont="1" applyFill="1" applyBorder="1" applyAlignment="1">
      <alignment horizontal="center" vertical="center" wrapText="1"/>
    </xf>
    <xf numFmtId="4" fontId="8" fillId="0" borderId="14" xfId="2" applyNumberFormat="1" applyFont="1" applyFill="1" applyBorder="1" applyAlignment="1">
      <alignment horizontal="right" vertical="center"/>
    </xf>
    <xf numFmtId="4" fontId="8" fillId="0" borderId="23" xfId="2" applyNumberFormat="1" applyFont="1" applyFill="1" applyBorder="1" applyAlignment="1">
      <alignment horizontal="right" vertical="center"/>
    </xf>
    <xf numFmtId="44" fontId="10" fillId="6" borderId="23" xfId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3" fontId="1" fillId="0" borderId="47" xfId="0" applyNumberFormat="1" applyFont="1" applyBorder="1" applyAlignment="1">
      <alignment horizontal="center" vertical="center" wrapText="1"/>
    </xf>
    <xf numFmtId="44" fontId="1" fillId="0" borderId="1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26" xfId="0" applyBorder="1" applyAlignment="1">
      <alignment horizontal="left" wrapText="1"/>
    </xf>
    <xf numFmtId="0" fontId="6" fillId="2" borderId="18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3" fontId="11" fillId="2" borderId="32" xfId="0" applyNumberFormat="1" applyFont="1" applyFill="1" applyBorder="1" applyAlignment="1">
      <alignment horizontal="center" vertical="center" wrapText="1"/>
    </xf>
    <xf numFmtId="3" fontId="11" fillId="2" borderId="26" xfId="0" applyNumberFormat="1" applyFont="1" applyFill="1" applyBorder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center" vertical="center" wrapText="1"/>
    </xf>
    <xf numFmtId="3" fontId="11" fillId="2" borderId="33" xfId="0" applyNumberFormat="1" applyFont="1" applyFill="1" applyBorder="1" applyAlignment="1">
      <alignment horizontal="center" vertical="center" wrapText="1"/>
    </xf>
    <xf numFmtId="3" fontId="11" fillId="2" borderId="17" xfId="0" applyNumberFormat="1" applyFont="1" applyFill="1" applyBorder="1" applyAlignment="1">
      <alignment horizontal="center" vertical="center" wrapText="1"/>
    </xf>
    <xf numFmtId="3" fontId="11" fillId="2" borderId="3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3" fontId="6" fillId="2" borderId="25" xfId="0" applyNumberFormat="1" applyFont="1" applyFill="1" applyBorder="1" applyAlignment="1">
      <alignment horizontal="center" wrapText="1"/>
    </xf>
    <xf numFmtId="3" fontId="6" fillId="2" borderId="26" xfId="0" applyNumberFormat="1" applyFont="1" applyFill="1" applyBorder="1" applyAlignment="1">
      <alignment horizontal="center" wrapText="1"/>
    </xf>
    <xf numFmtId="3" fontId="6" fillId="2" borderId="27" xfId="0" applyNumberFormat="1" applyFont="1" applyFill="1" applyBorder="1" applyAlignment="1">
      <alignment horizontal="center" wrapText="1"/>
    </xf>
    <xf numFmtId="3" fontId="6" fillId="2" borderId="28" xfId="0" applyNumberFormat="1" applyFont="1" applyFill="1" applyBorder="1" applyAlignment="1">
      <alignment horizontal="center" wrapText="1"/>
    </xf>
    <xf numFmtId="3" fontId="6" fillId="2" borderId="29" xfId="0" applyNumberFormat="1" applyFont="1" applyFill="1" applyBorder="1" applyAlignment="1">
      <alignment horizontal="center" wrapText="1"/>
    </xf>
    <xf numFmtId="3" fontId="6" fillId="2" borderId="30" xfId="0" applyNumberFormat="1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/>
    </xf>
    <xf numFmtId="3" fontId="6" fillId="2" borderId="27" xfId="0" applyNumberFormat="1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31" xfId="0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.7109375" customWidth="1"/>
    <col min="2" max="2" width="13.140625" customWidth="1"/>
    <col min="3" max="3" width="41.5703125" customWidth="1"/>
    <col min="4" max="4" width="9" customWidth="1"/>
    <col min="5" max="5" width="17.5703125" style="29" customWidth="1"/>
    <col min="6" max="6" width="7.7109375" customWidth="1"/>
    <col min="7" max="10" width="6.42578125" customWidth="1"/>
    <col min="11" max="17" width="7.5703125" customWidth="1"/>
    <col min="18" max="19" width="9.42578125" customWidth="1"/>
    <col min="23" max="23" width="11.140625" style="29" customWidth="1"/>
    <col min="24" max="24" width="12.7109375" customWidth="1"/>
    <col min="25" max="25" width="14.140625" customWidth="1"/>
    <col min="26" max="26" width="13.140625" customWidth="1"/>
    <col min="27" max="28" width="14" customWidth="1"/>
  </cols>
  <sheetData>
    <row r="1" spans="1:28" ht="16.5" thickBot="1" x14ac:dyDescent="0.3">
      <c r="C1" s="50"/>
    </row>
    <row r="2" spans="1:28" x14ac:dyDescent="0.25">
      <c r="A2" s="165" t="s">
        <v>49</v>
      </c>
      <c r="B2" s="166"/>
      <c r="C2" s="166"/>
      <c r="D2" s="166"/>
      <c r="E2" s="167"/>
      <c r="F2" s="149" t="s">
        <v>72</v>
      </c>
      <c r="G2" s="150"/>
      <c r="H2" s="150"/>
      <c r="I2" s="150"/>
      <c r="J2" s="151"/>
      <c r="K2" s="155" t="s">
        <v>34</v>
      </c>
      <c r="L2" s="156"/>
      <c r="M2" s="156"/>
      <c r="N2" s="156"/>
      <c r="O2" s="146" t="s">
        <v>84</v>
      </c>
      <c r="P2" s="147"/>
      <c r="Q2" s="147"/>
      <c r="R2" s="147"/>
      <c r="S2" s="147"/>
      <c r="T2" s="147"/>
      <c r="U2" s="147"/>
      <c r="V2" s="148"/>
      <c r="W2" s="157" t="s">
        <v>46</v>
      </c>
      <c r="X2" s="158"/>
      <c r="Y2" s="158"/>
      <c r="Z2" s="158"/>
      <c r="AA2" s="158"/>
      <c r="AB2" s="159"/>
    </row>
    <row r="3" spans="1:28" ht="15.75" thickBot="1" x14ac:dyDescent="0.3">
      <c r="A3" s="168"/>
      <c r="B3" s="169"/>
      <c r="C3" s="169"/>
      <c r="D3" s="169"/>
      <c r="E3" s="170"/>
      <c r="F3" s="152"/>
      <c r="G3" s="153"/>
      <c r="H3" s="153"/>
      <c r="I3" s="153"/>
      <c r="J3" s="154"/>
      <c r="K3" s="163" t="s">
        <v>4</v>
      </c>
      <c r="L3" s="164"/>
      <c r="M3" s="164" t="s">
        <v>7</v>
      </c>
      <c r="N3" s="164"/>
      <c r="O3" s="72"/>
      <c r="P3" s="164" t="s">
        <v>4</v>
      </c>
      <c r="Q3" s="164"/>
      <c r="R3" s="164"/>
      <c r="S3" s="72"/>
      <c r="T3" s="164" t="s">
        <v>7</v>
      </c>
      <c r="U3" s="164"/>
      <c r="V3" s="164"/>
      <c r="W3" s="160"/>
      <c r="X3" s="161"/>
      <c r="Y3" s="161"/>
      <c r="Z3" s="161"/>
      <c r="AA3" s="161"/>
      <c r="AB3" s="162"/>
    </row>
    <row r="4" spans="1:28" ht="34.5" thickBot="1" x14ac:dyDescent="0.3">
      <c r="A4" s="10" t="s">
        <v>0</v>
      </c>
      <c r="B4" s="11" t="s">
        <v>1</v>
      </c>
      <c r="C4" s="11" t="s">
        <v>2</v>
      </c>
      <c r="D4" s="11" t="s">
        <v>3</v>
      </c>
      <c r="E4" s="23" t="s">
        <v>82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41" t="s">
        <v>32</v>
      </c>
      <c r="L4" s="42" t="s">
        <v>33</v>
      </c>
      <c r="M4" s="42" t="s">
        <v>35</v>
      </c>
      <c r="N4" s="42" t="s">
        <v>36</v>
      </c>
      <c r="O4" s="42">
        <v>2017</v>
      </c>
      <c r="P4" s="42">
        <v>2018</v>
      </c>
      <c r="Q4" s="42">
        <v>2019</v>
      </c>
      <c r="R4" s="42" t="s">
        <v>38</v>
      </c>
      <c r="S4" s="42">
        <v>2017</v>
      </c>
      <c r="T4" s="42">
        <v>2018</v>
      </c>
      <c r="U4" s="42">
        <v>2019</v>
      </c>
      <c r="V4" s="42" t="s">
        <v>37</v>
      </c>
      <c r="W4" s="42" t="s">
        <v>40</v>
      </c>
      <c r="X4" s="42" t="s">
        <v>48</v>
      </c>
      <c r="Y4" s="42" t="s">
        <v>42</v>
      </c>
      <c r="Z4" s="42" t="s">
        <v>43</v>
      </c>
      <c r="AA4" s="42" t="s">
        <v>44</v>
      </c>
      <c r="AB4" s="43" t="s">
        <v>47</v>
      </c>
    </row>
    <row r="5" spans="1:28" ht="23.25" x14ac:dyDescent="0.25">
      <c r="A5" s="12">
        <v>1</v>
      </c>
      <c r="B5" s="13">
        <v>206995</v>
      </c>
      <c r="C5" s="14" t="s">
        <v>53</v>
      </c>
      <c r="D5" s="15" t="s">
        <v>11</v>
      </c>
      <c r="E5" s="24">
        <v>23.733333333333334</v>
      </c>
      <c r="F5" s="24"/>
      <c r="G5" s="24">
        <v>50</v>
      </c>
      <c r="H5" s="24">
        <v>6</v>
      </c>
      <c r="I5" s="24"/>
      <c r="J5" s="24"/>
      <c r="K5" s="37">
        <v>0</v>
      </c>
      <c r="L5" s="38">
        <v>0</v>
      </c>
      <c r="M5" s="38">
        <v>500</v>
      </c>
      <c r="N5" s="38">
        <v>0</v>
      </c>
      <c r="O5" s="38">
        <v>12</v>
      </c>
      <c r="P5" s="38">
        <v>8</v>
      </c>
      <c r="Q5" s="38">
        <f>1.3*12</f>
        <v>15.600000000000001</v>
      </c>
      <c r="R5" s="38">
        <f>AVERAGE(O5:Q5)</f>
        <v>11.866666666666667</v>
      </c>
      <c r="S5" s="38">
        <v>0</v>
      </c>
      <c r="T5" s="38">
        <v>0</v>
      </c>
      <c r="U5" s="38">
        <v>0</v>
      </c>
      <c r="V5" s="38">
        <f>AVERAGE(S5:U5)</f>
        <v>0</v>
      </c>
      <c r="W5" s="38">
        <f>(V5+R5)/12</f>
        <v>0.98888888888888893</v>
      </c>
      <c r="X5" s="39">
        <f>W5*0.5*4</f>
        <v>1.9777777777777779</v>
      </c>
      <c r="Y5" s="39">
        <f>(X5+(W5*12))</f>
        <v>13.844444444444445</v>
      </c>
      <c r="Z5" s="39">
        <f>X5+W5*4</f>
        <v>5.9333333333333336</v>
      </c>
      <c r="AA5" s="38">
        <f>W5*12</f>
        <v>11.866666666666667</v>
      </c>
      <c r="AB5" s="40">
        <f>AA5*2</f>
        <v>23.733333333333334</v>
      </c>
    </row>
    <row r="6" spans="1:28" ht="56.25" x14ac:dyDescent="0.25">
      <c r="A6" s="16">
        <v>2</v>
      </c>
      <c r="B6" s="2">
        <v>468082</v>
      </c>
      <c r="C6" s="3" t="s">
        <v>24</v>
      </c>
      <c r="D6" s="1" t="s">
        <v>22</v>
      </c>
      <c r="E6" s="25">
        <v>5962</v>
      </c>
      <c r="F6" s="25">
        <v>1000</v>
      </c>
      <c r="G6" s="25"/>
      <c r="H6" s="25"/>
      <c r="I6" s="25">
        <v>100</v>
      </c>
      <c r="J6" s="25"/>
      <c r="K6" s="32">
        <v>0</v>
      </c>
      <c r="L6" s="25">
        <v>1000</v>
      </c>
      <c r="M6" s="25">
        <v>1500</v>
      </c>
      <c r="N6" s="25">
        <v>0</v>
      </c>
      <c r="O6" s="25">
        <v>719</v>
      </c>
      <c r="P6" s="25">
        <f>53.4*12</f>
        <v>640.79999999999995</v>
      </c>
      <c r="Q6" s="25">
        <f>95.1*12</f>
        <v>1141.1999999999998</v>
      </c>
      <c r="R6" s="38">
        <f t="shared" ref="R6:R19" si="0">AVERAGE(O6:Q6)</f>
        <v>833.66666666666663</v>
      </c>
      <c r="S6" s="25">
        <f>3100+1300+1780+6</f>
        <v>6186</v>
      </c>
      <c r="T6" s="25">
        <v>150</v>
      </c>
      <c r="U6" s="25">
        <f>55+51</f>
        <v>106</v>
      </c>
      <c r="V6" s="38">
        <f>AVERAGE(S6:U6)</f>
        <v>2147.3333333333335</v>
      </c>
      <c r="W6" s="25">
        <f>(V6+R6)/12</f>
        <v>248.41666666666666</v>
      </c>
      <c r="X6" s="39">
        <f t="shared" ref="X6:X19" si="1">W6*0.5*4</f>
        <v>496.83333333333331</v>
      </c>
      <c r="Y6" s="31">
        <f t="shared" ref="Y6:Y19" si="2">(X6+(W6*12))</f>
        <v>3477.8333333333335</v>
      </c>
      <c r="Z6" s="31">
        <f t="shared" ref="Z6:Z19" si="3">X6+W6*4</f>
        <v>1490.5</v>
      </c>
      <c r="AA6" s="25">
        <f t="shared" ref="AA6:AA19" si="4">W6*12</f>
        <v>2981</v>
      </c>
      <c r="AB6" s="33">
        <f t="shared" ref="AB6:AB19" si="5">AA6*2</f>
        <v>5962</v>
      </c>
    </row>
    <row r="7" spans="1:28" ht="33.75" x14ac:dyDescent="0.25">
      <c r="A7" s="16">
        <v>3</v>
      </c>
      <c r="B7" s="2">
        <v>301077</v>
      </c>
      <c r="C7" s="3" t="s">
        <v>25</v>
      </c>
      <c r="D7" s="1" t="s">
        <v>23</v>
      </c>
      <c r="E7" s="25">
        <v>58.496000000000009</v>
      </c>
      <c r="F7" s="25">
        <v>14</v>
      </c>
      <c r="G7" s="25"/>
      <c r="H7" s="25">
        <v>2</v>
      </c>
      <c r="I7" s="25"/>
      <c r="J7" s="25"/>
      <c r="K7" s="32">
        <v>4</v>
      </c>
      <c r="L7" s="25">
        <f>700/50</f>
        <v>14</v>
      </c>
      <c r="M7" s="25">
        <f>3000/50</f>
        <v>60</v>
      </c>
      <c r="N7" s="25">
        <v>0</v>
      </c>
      <c r="O7" s="25">
        <f>(56.4*12)/50</f>
        <v>13.536</v>
      </c>
      <c r="P7" s="25">
        <f>(25.7*12)/50</f>
        <v>6.1679999999999993</v>
      </c>
      <c r="Q7" s="25">
        <f>(45.5*12)/50</f>
        <v>10.92</v>
      </c>
      <c r="R7" s="38">
        <f t="shared" si="0"/>
        <v>10.208</v>
      </c>
      <c r="S7" s="25">
        <f>(1205)/50</f>
        <v>24.1</v>
      </c>
      <c r="T7" s="25">
        <f>(1625+2+2+2+20)/50</f>
        <v>33.020000000000003</v>
      </c>
      <c r="U7" s="25">
        <v>0</v>
      </c>
      <c r="V7" s="38">
        <f t="shared" ref="V7:V19" si="6">AVERAGE(S7:U7)</f>
        <v>19.040000000000003</v>
      </c>
      <c r="W7" s="25">
        <f>(V7+R7)/12</f>
        <v>2.4373333333333336</v>
      </c>
      <c r="X7" s="39">
        <f t="shared" si="1"/>
        <v>4.8746666666666671</v>
      </c>
      <c r="Y7" s="31">
        <f t="shared" si="2"/>
        <v>34.122666666666674</v>
      </c>
      <c r="Z7" s="31">
        <f t="shared" si="3"/>
        <v>14.624000000000002</v>
      </c>
      <c r="AA7" s="25">
        <f t="shared" si="4"/>
        <v>29.248000000000005</v>
      </c>
      <c r="AB7" s="33">
        <f t="shared" si="5"/>
        <v>58.496000000000009</v>
      </c>
    </row>
    <row r="8" spans="1:28" ht="33.75" x14ac:dyDescent="0.25">
      <c r="A8" s="16">
        <v>4</v>
      </c>
      <c r="B8" s="2">
        <v>428784</v>
      </c>
      <c r="C8" s="3" t="s">
        <v>12</v>
      </c>
      <c r="D8" s="1" t="s">
        <v>10</v>
      </c>
      <c r="E8" s="25">
        <v>1025.2</v>
      </c>
      <c r="F8" s="25">
        <v>150</v>
      </c>
      <c r="G8" s="25">
        <v>150</v>
      </c>
      <c r="H8" s="25"/>
      <c r="I8" s="25"/>
      <c r="J8" s="25"/>
      <c r="K8" s="32">
        <v>120</v>
      </c>
      <c r="L8" s="25">
        <v>400</v>
      </c>
      <c r="M8" s="25">
        <v>1500</v>
      </c>
      <c r="N8" s="25">
        <v>0</v>
      </c>
      <c r="O8" s="25">
        <f>2.6*12</f>
        <v>31.200000000000003</v>
      </c>
      <c r="P8" s="25">
        <f>19.8*12</f>
        <v>237.60000000000002</v>
      </c>
      <c r="Q8" s="25">
        <f>12*12</f>
        <v>144</v>
      </c>
      <c r="R8" s="38">
        <f t="shared" si="0"/>
        <v>137.6</v>
      </c>
      <c r="S8" s="25">
        <v>71</v>
      </c>
      <c r="T8" s="25">
        <f>4+1+1029+1+2+3+2</f>
        <v>1042</v>
      </c>
      <c r="U8" s="25">
        <f>12</f>
        <v>12</v>
      </c>
      <c r="V8" s="38">
        <f t="shared" si="6"/>
        <v>375</v>
      </c>
      <c r="W8" s="25">
        <f t="shared" ref="W8:W19" si="7">(V8+R8)/12</f>
        <v>42.716666666666669</v>
      </c>
      <c r="X8" s="39">
        <f t="shared" si="1"/>
        <v>85.433333333333337</v>
      </c>
      <c r="Y8" s="31">
        <f t="shared" si="2"/>
        <v>598.0333333333333</v>
      </c>
      <c r="Z8" s="31">
        <f t="shared" si="3"/>
        <v>256.3</v>
      </c>
      <c r="AA8" s="25">
        <f t="shared" si="4"/>
        <v>512.6</v>
      </c>
      <c r="AB8" s="33">
        <f t="shared" si="5"/>
        <v>1025.2</v>
      </c>
    </row>
    <row r="9" spans="1:28" ht="56.25" x14ac:dyDescent="0.25">
      <c r="A9" s="16">
        <v>5</v>
      </c>
      <c r="B9" s="2">
        <v>317878</v>
      </c>
      <c r="C9" s="3" t="s">
        <v>26</v>
      </c>
      <c r="D9" s="1" t="s">
        <v>13</v>
      </c>
      <c r="E9" s="25">
        <v>223.06666666666666</v>
      </c>
      <c r="F9" s="25">
        <v>150</v>
      </c>
      <c r="G9" s="25">
        <v>30</v>
      </c>
      <c r="H9" s="25"/>
      <c r="I9" s="25"/>
      <c r="J9" s="25"/>
      <c r="K9" s="32">
        <v>50</v>
      </c>
      <c r="L9" s="25">
        <v>150</v>
      </c>
      <c r="M9" s="25">
        <v>500</v>
      </c>
      <c r="N9" s="25">
        <v>500</v>
      </c>
      <c r="O9" s="25">
        <f>9.1*12</f>
        <v>109.19999999999999</v>
      </c>
      <c r="P9" s="25">
        <f>9.9*12</f>
        <v>118.80000000000001</v>
      </c>
      <c r="Q9" s="25">
        <f>7.3*12</f>
        <v>87.6</v>
      </c>
      <c r="R9" s="38">
        <f t="shared" si="0"/>
        <v>105.2</v>
      </c>
      <c r="S9" s="25">
        <f>2+17</f>
        <v>19</v>
      </c>
      <c r="T9" s="25">
        <v>0</v>
      </c>
      <c r="U9" s="25">
        <v>0</v>
      </c>
      <c r="V9" s="38">
        <f t="shared" si="6"/>
        <v>6.333333333333333</v>
      </c>
      <c r="W9" s="25">
        <f t="shared" si="7"/>
        <v>9.2944444444444443</v>
      </c>
      <c r="X9" s="39">
        <f t="shared" si="1"/>
        <v>18.588888888888889</v>
      </c>
      <c r="Y9" s="31">
        <f t="shared" si="2"/>
        <v>130.12222222222221</v>
      </c>
      <c r="Z9" s="31">
        <f t="shared" si="3"/>
        <v>55.766666666666666</v>
      </c>
      <c r="AA9" s="25">
        <f t="shared" si="4"/>
        <v>111.53333333333333</v>
      </c>
      <c r="AB9" s="33">
        <f t="shared" si="5"/>
        <v>223.06666666666666</v>
      </c>
    </row>
    <row r="10" spans="1:28" ht="22.5" x14ac:dyDescent="0.25">
      <c r="A10" s="16">
        <v>6</v>
      </c>
      <c r="B10" s="2">
        <v>278609</v>
      </c>
      <c r="C10" s="7" t="s">
        <v>15</v>
      </c>
      <c r="D10" s="1" t="s">
        <v>14</v>
      </c>
      <c r="E10" s="25">
        <v>553.59999999999991</v>
      </c>
      <c r="F10" s="25">
        <v>400</v>
      </c>
      <c r="G10" s="25"/>
      <c r="H10" s="25"/>
      <c r="I10" s="25"/>
      <c r="J10" s="25"/>
      <c r="K10" s="32">
        <v>100</v>
      </c>
      <c r="L10" s="25">
        <v>400</v>
      </c>
      <c r="M10" s="25">
        <v>0</v>
      </c>
      <c r="N10" s="25">
        <v>0</v>
      </c>
      <c r="O10" s="25">
        <f>24.2*12</f>
        <v>290.39999999999998</v>
      </c>
      <c r="P10" s="25">
        <f>12.1*12</f>
        <v>145.19999999999999</v>
      </c>
      <c r="Q10" s="25">
        <f>32.9*12</f>
        <v>394.79999999999995</v>
      </c>
      <c r="R10" s="38">
        <f t="shared" si="0"/>
        <v>276.79999999999995</v>
      </c>
      <c r="S10" s="25">
        <v>0</v>
      </c>
      <c r="T10" s="25">
        <v>0</v>
      </c>
      <c r="U10" s="25">
        <v>0</v>
      </c>
      <c r="V10" s="38">
        <f t="shared" si="6"/>
        <v>0</v>
      </c>
      <c r="W10" s="25">
        <f t="shared" si="7"/>
        <v>23.066666666666663</v>
      </c>
      <c r="X10" s="39">
        <f t="shared" si="1"/>
        <v>46.133333333333326</v>
      </c>
      <c r="Y10" s="31">
        <f t="shared" si="2"/>
        <v>322.93333333333328</v>
      </c>
      <c r="Z10" s="31">
        <f t="shared" si="3"/>
        <v>138.39999999999998</v>
      </c>
      <c r="AA10" s="25">
        <f t="shared" si="4"/>
        <v>276.79999999999995</v>
      </c>
      <c r="AB10" s="33">
        <f t="shared" si="5"/>
        <v>553.59999999999991</v>
      </c>
    </row>
    <row r="11" spans="1:28" ht="33.75" x14ac:dyDescent="0.25">
      <c r="A11" s="16">
        <v>7</v>
      </c>
      <c r="B11" s="2">
        <v>252435</v>
      </c>
      <c r="C11" s="3" t="s">
        <v>29</v>
      </c>
      <c r="D11" s="1" t="s">
        <v>16</v>
      </c>
      <c r="E11" s="25">
        <v>1185.0666666666666</v>
      </c>
      <c r="F11" s="25">
        <v>700</v>
      </c>
      <c r="G11" s="25"/>
      <c r="H11" s="25"/>
      <c r="I11" s="25"/>
      <c r="J11" s="25"/>
      <c r="K11" s="32">
        <v>160</v>
      </c>
      <c r="L11" s="25">
        <v>700</v>
      </c>
      <c r="M11" s="25">
        <v>1000</v>
      </c>
      <c r="N11" s="25">
        <v>0</v>
      </c>
      <c r="O11" s="25">
        <f>41.7*12</f>
        <v>500.40000000000003</v>
      </c>
      <c r="P11" s="25">
        <f>33.8*12</f>
        <v>405.59999999999997</v>
      </c>
      <c r="Q11" s="25">
        <f>28.8*12</f>
        <v>345.6</v>
      </c>
      <c r="R11" s="38">
        <f t="shared" si="0"/>
        <v>417.2</v>
      </c>
      <c r="S11" s="25">
        <v>526</v>
      </c>
      <c r="T11" s="25">
        <v>0</v>
      </c>
      <c r="U11" s="25">
        <v>0</v>
      </c>
      <c r="V11" s="38">
        <f t="shared" si="6"/>
        <v>175.33333333333334</v>
      </c>
      <c r="W11" s="25">
        <f t="shared" si="7"/>
        <v>49.377777777777773</v>
      </c>
      <c r="X11" s="39">
        <f t="shared" si="1"/>
        <v>98.755555555555546</v>
      </c>
      <c r="Y11" s="31">
        <f t="shared" si="2"/>
        <v>691.28888888888889</v>
      </c>
      <c r="Z11" s="31">
        <f t="shared" si="3"/>
        <v>296.26666666666665</v>
      </c>
      <c r="AA11" s="25">
        <f t="shared" si="4"/>
        <v>592.5333333333333</v>
      </c>
      <c r="AB11" s="33">
        <f t="shared" si="5"/>
        <v>1185.0666666666666</v>
      </c>
    </row>
    <row r="12" spans="1:28" ht="33.75" x14ac:dyDescent="0.25">
      <c r="A12" s="16">
        <v>8</v>
      </c>
      <c r="B12" s="2">
        <v>356367</v>
      </c>
      <c r="C12" s="3" t="s">
        <v>21</v>
      </c>
      <c r="D12" s="1" t="s">
        <v>10</v>
      </c>
      <c r="E12" s="25">
        <v>250.66666666666669</v>
      </c>
      <c r="F12" s="25">
        <v>140</v>
      </c>
      <c r="G12" s="25">
        <v>20</v>
      </c>
      <c r="H12" s="25"/>
      <c r="I12" s="25">
        <v>100</v>
      </c>
      <c r="J12" s="25"/>
      <c r="K12" s="32">
        <v>0</v>
      </c>
      <c r="L12" s="25">
        <v>140</v>
      </c>
      <c r="M12" s="25">
        <v>100</v>
      </c>
      <c r="N12" s="25">
        <v>0</v>
      </c>
      <c r="O12" s="25">
        <f>10.8*12</f>
        <v>129.60000000000002</v>
      </c>
      <c r="P12" s="25">
        <f>10.9*12</f>
        <v>130.80000000000001</v>
      </c>
      <c r="Q12" s="25">
        <f>9.3*12</f>
        <v>111.60000000000001</v>
      </c>
      <c r="R12" s="38">
        <f t="shared" si="0"/>
        <v>124.00000000000001</v>
      </c>
      <c r="S12" s="25">
        <f>2+2</f>
        <v>4</v>
      </c>
      <c r="T12" s="25">
        <v>0</v>
      </c>
      <c r="U12" s="25">
        <v>0</v>
      </c>
      <c r="V12" s="38">
        <f t="shared" si="6"/>
        <v>1.3333333333333333</v>
      </c>
      <c r="W12" s="25">
        <f t="shared" si="7"/>
        <v>10.444444444444445</v>
      </c>
      <c r="X12" s="39">
        <f t="shared" si="1"/>
        <v>20.888888888888889</v>
      </c>
      <c r="Y12" s="31">
        <f t="shared" si="2"/>
        <v>146.22222222222223</v>
      </c>
      <c r="Z12" s="31">
        <f t="shared" si="3"/>
        <v>62.666666666666671</v>
      </c>
      <c r="AA12" s="25">
        <f t="shared" si="4"/>
        <v>125.33333333333334</v>
      </c>
      <c r="AB12" s="33">
        <f t="shared" si="5"/>
        <v>250.66666666666669</v>
      </c>
    </row>
    <row r="13" spans="1:28" ht="56.25" x14ac:dyDescent="0.25">
      <c r="A13" s="16">
        <v>9</v>
      </c>
      <c r="B13" s="2">
        <v>461821</v>
      </c>
      <c r="C13" s="3" t="s">
        <v>17</v>
      </c>
      <c r="D13" s="1" t="s">
        <v>18</v>
      </c>
      <c r="E13" s="25">
        <v>5422.6666666666661</v>
      </c>
      <c r="F13" s="25">
        <v>3000</v>
      </c>
      <c r="G13" s="25">
        <v>500</v>
      </c>
      <c r="H13" s="25"/>
      <c r="I13" s="25">
        <v>200</v>
      </c>
      <c r="J13" s="25">
        <v>150</v>
      </c>
      <c r="K13" s="32">
        <v>1000</v>
      </c>
      <c r="L13" s="25">
        <v>3000</v>
      </c>
      <c r="M13" s="25">
        <v>3000</v>
      </c>
      <c r="N13" s="25">
        <v>3000</v>
      </c>
      <c r="O13" s="25">
        <f>219.1*12</f>
        <v>2629.2</v>
      </c>
      <c r="P13" s="25">
        <f>180.2*12</f>
        <v>2162.3999999999996</v>
      </c>
      <c r="Q13" s="25">
        <f>202.2*12</f>
        <v>2426.3999999999996</v>
      </c>
      <c r="R13" s="38">
        <f t="shared" si="0"/>
        <v>2405.9999999999995</v>
      </c>
      <c r="S13" s="25">
        <v>0</v>
      </c>
      <c r="T13" s="25">
        <f>440+22+3+3+14</f>
        <v>482</v>
      </c>
      <c r="U13" s="25">
        <f>401+3+20+10</f>
        <v>434</v>
      </c>
      <c r="V13" s="38">
        <f t="shared" si="6"/>
        <v>305.33333333333331</v>
      </c>
      <c r="W13" s="25">
        <f t="shared" si="7"/>
        <v>225.94444444444443</v>
      </c>
      <c r="X13" s="39">
        <f t="shared" si="1"/>
        <v>451.88888888888886</v>
      </c>
      <c r="Y13" s="31">
        <f t="shared" si="2"/>
        <v>3163.2222222222217</v>
      </c>
      <c r="Z13" s="31">
        <f t="shared" si="3"/>
        <v>1355.6666666666665</v>
      </c>
      <c r="AA13" s="25">
        <f t="shared" si="4"/>
        <v>2711.333333333333</v>
      </c>
      <c r="AB13" s="33">
        <f t="shared" si="5"/>
        <v>5422.6666666666661</v>
      </c>
    </row>
    <row r="14" spans="1:28" ht="22.5" x14ac:dyDescent="0.25">
      <c r="A14" s="16">
        <v>10</v>
      </c>
      <c r="B14" s="1">
        <v>246685</v>
      </c>
      <c r="C14" s="3" t="s">
        <v>57</v>
      </c>
      <c r="D14" s="1" t="s">
        <v>19</v>
      </c>
      <c r="E14" s="25">
        <v>124</v>
      </c>
      <c r="F14" s="25">
        <v>50</v>
      </c>
      <c r="G14" s="25">
        <v>50</v>
      </c>
      <c r="H14" s="25">
        <v>16</v>
      </c>
      <c r="I14" s="25"/>
      <c r="J14" s="25"/>
      <c r="K14" s="32">
        <v>50</v>
      </c>
      <c r="L14" s="25">
        <v>50</v>
      </c>
      <c r="M14" s="25">
        <v>0</v>
      </c>
      <c r="N14" s="25">
        <v>0</v>
      </c>
      <c r="O14" s="25">
        <f>3.3*12</f>
        <v>39.599999999999994</v>
      </c>
      <c r="P14" s="25">
        <f>9*12</f>
        <v>108</v>
      </c>
      <c r="Q14" s="25">
        <f>3.2*12</f>
        <v>38.400000000000006</v>
      </c>
      <c r="R14" s="38">
        <f t="shared" si="0"/>
        <v>62</v>
      </c>
      <c r="S14" s="25">
        <v>0</v>
      </c>
      <c r="T14" s="25">
        <v>0</v>
      </c>
      <c r="U14" s="25">
        <v>0</v>
      </c>
      <c r="V14" s="38">
        <f t="shared" si="6"/>
        <v>0</v>
      </c>
      <c r="W14" s="25">
        <f t="shared" si="7"/>
        <v>5.166666666666667</v>
      </c>
      <c r="X14" s="39">
        <f t="shared" si="1"/>
        <v>10.333333333333334</v>
      </c>
      <c r="Y14" s="31">
        <f t="shared" si="2"/>
        <v>72.333333333333329</v>
      </c>
      <c r="Z14" s="31">
        <f t="shared" si="3"/>
        <v>31</v>
      </c>
      <c r="AA14" s="25">
        <f t="shared" si="4"/>
        <v>62</v>
      </c>
      <c r="AB14" s="33">
        <f t="shared" si="5"/>
        <v>124</v>
      </c>
    </row>
    <row r="15" spans="1:28" ht="34.5" thickBot="1" x14ac:dyDescent="0.3">
      <c r="A15" s="17">
        <v>11</v>
      </c>
      <c r="B15" s="19">
        <v>403983</v>
      </c>
      <c r="C15" s="20" t="s">
        <v>20</v>
      </c>
      <c r="D15" s="19" t="s">
        <v>19</v>
      </c>
      <c r="E15" s="26">
        <v>25.6</v>
      </c>
      <c r="F15" s="26">
        <v>50</v>
      </c>
      <c r="G15" s="26">
        <v>65</v>
      </c>
      <c r="H15" s="26"/>
      <c r="I15" s="26"/>
      <c r="J15" s="26"/>
      <c r="K15" s="32">
        <v>0</v>
      </c>
      <c r="L15" s="25">
        <v>50</v>
      </c>
      <c r="M15" s="25">
        <v>0</v>
      </c>
      <c r="N15" s="25">
        <v>0</v>
      </c>
      <c r="O15" s="25">
        <f>1.5*12</f>
        <v>18</v>
      </c>
      <c r="P15" s="25">
        <v>0</v>
      </c>
      <c r="Q15" s="25">
        <f>1.7*12</f>
        <v>20.399999999999999</v>
      </c>
      <c r="R15" s="38">
        <f t="shared" si="0"/>
        <v>12.799999999999999</v>
      </c>
      <c r="S15" s="25">
        <v>0</v>
      </c>
      <c r="T15" s="25">
        <v>0</v>
      </c>
      <c r="U15" s="25">
        <v>0</v>
      </c>
      <c r="V15" s="38">
        <f t="shared" si="6"/>
        <v>0</v>
      </c>
      <c r="W15" s="25">
        <f t="shared" si="7"/>
        <v>1.0666666666666667</v>
      </c>
      <c r="X15" s="39">
        <f t="shared" si="1"/>
        <v>2.1333333333333333</v>
      </c>
      <c r="Y15" s="31">
        <f t="shared" si="2"/>
        <v>14.933333333333334</v>
      </c>
      <c r="Z15" s="31">
        <f t="shared" si="3"/>
        <v>6.4</v>
      </c>
      <c r="AA15" s="25">
        <f t="shared" si="4"/>
        <v>12.8</v>
      </c>
      <c r="AB15" s="33">
        <f t="shared" si="5"/>
        <v>25.6</v>
      </c>
    </row>
    <row r="16" spans="1:28" ht="33.75" x14ac:dyDescent="0.25">
      <c r="A16" s="12">
        <v>12</v>
      </c>
      <c r="B16" s="13">
        <v>463996</v>
      </c>
      <c r="C16" s="21" t="s">
        <v>30</v>
      </c>
      <c r="D16" s="15" t="s">
        <v>9</v>
      </c>
      <c r="E16" s="24">
        <v>1446.3999999999996</v>
      </c>
      <c r="F16" s="24"/>
      <c r="G16" s="24">
        <v>50</v>
      </c>
      <c r="H16" s="24">
        <v>140</v>
      </c>
      <c r="I16" s="24"/>
      <c r="J16" s="24"/>
      <c r="K16" s="32">
        <v>320</v>
      </c>
      <c r="L16" s="25">
        <v>1300</v>
      </c>
      <c r="M16" s="25">
        <v>0</v>
      </c>
      <c r="N16" s="25">
        <v>0</v>
      </c>
      <c r="O16" s="25">
        <f>83.3*12</f>
        <v>999.59999999999991</v>
      </c>
      <c r="P16" s="25">
        <f>64.6*12</f>
        <v>775.19999999999993</v>
      </c>
      <c r="Q16" s="25">
        <f>32.9*12</f>
        <v>394.79999999999995</v>
      </c>
      <c r="R16" s="38">
        <f t="shared" si="0"/>
        <v>723.19999999999982</v>
      </c>
      <c r="S16" s="25">
        <v>0</v>
      </c>
      <c r="T16" s="25">
        <v>0</v>
      </c>
      <c r="U16" s="25">
        <v>0</v>
      </c>
      <c r="V16" s="38">
        <f t="shared" si="6"/>
        <v>0</v>
      </c>
      <c r="W16" s="25">
        <f t="shared" si="7"/>
        <v>60.266666666666652</v>
      </c>
      <c r="X16" s="39">
        <f t="shared" si="1"/>
        <v>120.5333333333333</v>
      </c>
      <c r="Y16" s="31">
        <f t="shared" si="2"/>
        <v>843.73333333333312</v>
      </c>
      <c r="Z16" s="31">
        <f t="shared" si="3"/>
        <v>361.59999999999991</v>
      </c>
      <c r="AA16" s="25">
        <f t="shared" si="4"/>
        <v>723.19999999999982</v>
      </c>
      <c r="AB16" s="33">
        <f t="shared" si="5"/>
        <v>1446.3999999999996</v>
      </c>
    </row>
    <row r="17" spans="1:28" ht="34.5" x14ac:dyDescent="0.25">
      <c r="A17" s="16">
        <v>13</v>
      </c>
      <c r="B17" s="2">
        <v>463575</v>
      </c>
      <c r="C17" s="4" t="s">
        <v>31</v>
      </c>
      <c r="D17" s="1" t="s">
        <v>28</v>
      </c>
      <c r="E17" s="25">
        <v>3126.8000000000006</v>
      </c>
      <c r="F17" s="25"/>
      <c r="G17" s="25">
        <v>600</v>
      </c>
      <c r="H17" s="25">
        <v>130</v>
      </c>
      <c r="I17" s="25"/>
      <c r="J17" s="25"/>
      <c r="K17" s="32">
        <v>0</v>
      </c>
      <c r="L17" s="25">
        <v>2000</v>
      </c>
      <c r="M17" s="25">
        <v>0</v>
      </c>
      <c r="N17" s="25">
        <v>0</v>
      </c>
      <c r="O17" s="25">
        <f>135.9*12</f>
        <v>1630.8000000000002</v>
      </c>
      <c r="P17" s="25">
        <f>128.9*12</f>
        <v>1546.8000000000002</v>
      </c>
      <c r="Q17" s="25">
        <f>86.3*12</f>
        <v>1035.5999999999999</v>
      </c>
      <c r="R17" s="38">
        <f t="shared" si="0"/>
        <v>1404.4000000000003</v>
      </c>
      <c r="S17" s="25">
        <f>10+207</f>
        <v>217</v>
      </c>
      <c r="T17" s="25">
        <v>20</v>
      </c>
      <c r="U17" s="25">
        <v>240</v>
      </c>
      <c r="V17" s="38">
        <f t="shared" si="6"/>
        <v>159</v>
      </c>
      <c r="W17" s="25">
        <f t="shared" si="7"/>
        <v>130.28333333333336</v>
      </c>
      <c r="X17" s="39">
        <f t="shared" si="1"/>
        <v>260.56666666666672</v>
      </c>
      <c r="Y17" s="31">
        <f t="shared" si="2"/>
        <v>1823.9666666666672</v>
      </c>
      <c r="Z17" s="31">
        <f t="shared" si="3"/>
        <v>781.70000000000016</v>
      </c>
      <c r="AA17" s="25">
        <f t="shared" si="4"/>
        <v>1563.4000000000003</v>
      </c>
      <c r="AB17" s="33">
        <f t="shared" si="5"/>
        <v>3126.8000000000006</v>
      </c>
    </row>
    <row r="18" spans="1:28" ht="34.5" thickBot="1" x14ac:dyDescent="0.3">
      <c r="A18" s="17">
        <v>14</v>
      </c>
      <c r="B18" s="18">
        <v>269615</v>
      </c>
      <c r="C18" s="20" t="s">
        <v>27</v>
      </c>
      <c r="D18" s="19" t="s">
        <v>16</v>
      </c>
      <c r="E18" s="26">
        <v>3333.6000000000004</v>
      </c>
      <c r="F18" s="26">
        <v>2500</v>
      </c>
      <c r="G18" s="26">
        <v>50</v>
      </c>
      <c r="H18" s="26">
        <v>50</v>
      </c>
      <c r="I18" s="26"/>
      <c r="J18" s="26"/>
      <c r="K18" s="32">
        <v>400</v>
      </c>
      <c r="L18" s="25">
        <v>2500</v>
      </c>
      <c r="M18" s="25">
        <v>1000</v>
      </c>
      <c r="N18" s="25">
        <v>0</v>
      </c>
      <c r="O18" s="25">
        <f>188.8*12</f>
        <v>2265.6000000000004</v>
      </c>
      <c r="P18" s="25">
        <f>132.6*12</f>
        <v>1591.1999999999998</v>
      </c>
      <c r="Q18" s="25">
        <f>95.3*12</f>
        <v>1143.5999999999999</v>
      </c>
      <c r="R18" s="38">
        <f t="shared" si="0"/>
        <v>1666.8</v>
      </c>
      <c r="S18" s="25">
        <v>0</v>
      </c>
      <c r="T18" s="25">
        <v>0</v>
      </c>
      <c r="U18" s="25">
        <v>0</v>
      </c>
      <c r="V18" s="38">
        <f t="shared" si="6"/>
        <v>0</v>
      </c>
      <c r="W18" s="25">
        <f t="shared" si="7"/>
        <v>138.9</v>
      </c>
      <c r="X18" s="39">
        <f t="shared" si="1"/>
        <v>277.8</v>
      </c>
      <c r="Y18" s="31">
        <f t="shared" si="2"/>
        <v>1944.6000000000001</v>
      </c>
      <c r="Z18" s="31">
        <f t="shared" si="3"/>
        <v>833.40000000000009</v>
      </c>
      <c r="AA18" s="25">
        <f t="shared" si="4"/>
        <v>1666.8000000000002</v>
      </c>
      <c r="AB18" s="33">
        <f t="shared" si="5"/>
        <v>3333.6000000000004</v>
      </c>
    </row>
    <row r="19" spans="1:28" ht="45.75" thickBot="1" x14ac:dyDescent="0.3">
      <c r="A19" s="44">
        <v>15</v>
      </c>
      <c r="B19" s="45">
        <v>437191</v>
      </c>
      <c r="C19" s="46" t="s">
        <v>61</v>
      </c>
      <c r="D19" s="47" t="s">
        <v>10</v>
      </c>
      <c r="E19" s="48">
        <v>32979.199999999997</v>
      </c>
      <c r="F19" s="48">
        <v>23000</v>
      </c>
      <c r="G19" s="48"/>
      <c r="H19" s="48"/>
      <c r="I19" s="48"/>
      <c r="J19" s="48"/>
      <c r="K19" s="34">
        <v>10000</v>
      </c>
      <c r="L19" s="26">
        <v>23000</v>
      </c>
      <c r="M19" s="26">
        <v>0</v>
      </c>
      <c r="N19" s="26">
        <v>0</v>
      </c>
      <c r="O19" s="26">
        <f>1408.3*12</f>
        <v>16899.599999999999</v>
      </c>
      <c r="P19" s="26">
        <f>1500.8*12</f>
        <v>18009.599999999999</v>
      </c>
      <c r="Q19" s="26">
        <f>1213.3*12</f>
        <v>14559.599999999999</v>
      </c>
      <c r="R19" s="38">
        <f t="shared" si="0"/>
        <v>16489.599999999999</v>
      </c>
      <c r="S19" s="26">
        <v>0</v>
      </c>
      <c r="T19" s="26">
        <v>0</v>
      </c>
      <c r="U19" s="26">
        <v>0</v>
      </c>
      <c r="V19" s="30">
        <f t="shared" si="6"/>
        <v>0</v>
      </c>
      <c r="W19" s="26">
        <f t="shared" si="7"/>
        <v>1374.1333333333332</v>
      </c>
      <c r="X19" s="49">
        <f t="shared" si="1"/>
        <v>2748.2666666666664</v>
      </c>
      <c r="Y19" s="35">
        <f t="shared" si="2"/>
        <v>19237.866666666665</v>
      </c>
      <c r="Z19" s="35">
        <f t="shared" si="3"/>
        <v>8244.7999999999993</v>
      </c>
      <c r="AA19" s="26">
        <f t="shared" si="4"/>
        <v>16489.599999999999</v>
      </c>
      <c r="AB19" s="36">
        <f t="shared" si="5"/>
        <v>32979.199999999997</v>
      </c>
    </row>
    <row r="20" spans="1:28" ht="123.75" customHeight="1" x14ac:dyDescent="0.25">
      <c r="A20" s="145" t="s">
        <v>83</v>
      </c>
      <c r="B20" s="145"/>
      <c r="C20" s="145"/>
      <c r="D20" s="145"/>
      <c r="E20" s="145"/>
      <c r="F20" s="22"/>
      <c r="G20" s="22"/>
      <c r="H20" s="22"/>
      <c r="I20" s="22"/>
      <c r="J20" s="22"/>
    </row>
    <row r="21" spans="1:28" x14ac:dyDescent="0.25">
      <c r="A21" s="112"/>
      <c r="B21" s="112"/>
      <c r="C21" s="112"/>
      <c r="D21" s="112"/>
    </row>
    <row r="22" spans="1:28" x14ac:dyDescent="0.25">
      <c r="A22" t="s">
        <v>45</v>
      </c>
      <c r="B22" s="29"/>
    </row>
    <row r="23" spans="1:28" x14ac:dyDescent="0.25">
      <c r="A23" t="s">
        <v>41</v>
      </c>
      <c r="B23" s="29"/>
    </row>
    <row r="24" spans="1:28" x14ac:dyDescent="0.25">
      <c r="A24" t="s">
        <v>39</v>
      </c>
      <c r="B24" s="29"/>
    </row>
    <row r="25" spans="1:28" x14ac:dyDescent="0.25">
      <c r="A25" t="s">
        <v>42</v>
      </c>
    </row>
    <row r="26" spans="1:28" x14ac:dyDescent="0.25">
      <c r="A26" t="s">
        <v>43</v>
      </c>
    </row>
    <row r="27" spans="1:28" x14ac:dyDescent="0.25">
      <c r="A27" t="s">
        <v>44</v>
      </c>
    </row>
  </sheetData>
  <mergeCells count="10">
    <mergeCell ref="A20:E20"/>
    <mergeCell ref="O2:V2"/>
    <mergeCell ref="F2:J3"/>
    <mergeCell ref="K2:N2"/>
    <mergeCell ref="W2:AB3"/>
    <mergeCell ref="K3:L3"/>
    <mergeCell ref="M3:N3"/>
    <mergeCell ref="P3:R3"/>
    <mergeCell ref="T3:V3"/>
    <mergeCell ref="A2:E3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workbookViewId="0">
      <pane ySplit="4" topLeftCell="A5" activePane="bottomLeft" state="frozen"/>
      <selection pane="bottomLeft" activeCell="D1" sqref="D1"/>
    </sheetView>
  </sheetViews>
  <sheetFormatPr defaultRowHeight="15" x14ac:dyDescent="0.25"/>
  <cols>
    <col min="1" max="1" width="4.7109375" customWidth="1"/>
    <col min="2" max="2" width="13.140625" customWidth="1"/>
    <col min="3" max="3" width="23.7109375" customWidth="1"/>
    <col min="4" max="4" width="9" customWidth="1"/>
    <col min="5" max="13" width="7.7109375" customWidth="1"/>
    <col min="14" max="15" width="8.7109375" customWidth="1"/>
    <col min="16" max="16" width="10.140625" customWidth="1"/>
    <col min="17" max="19" width="7.7109375" customWidth="1"/>
    <col min="20" max="21" width="9.42578125" customWidth="1"/>
  </cols>
  <sheetData>
    <row r="1" spans="1:21" ht="16.5" thickBot="1" x14ac:dyDescent="0.3">
      <c r="C1" s="50"/>
    </row>
    <row r="2" spans="1:21" ht="15" customHeight="1" x14ac:dyDescent="0.25">
      <c r="A2" s="175" t="s">
        <v>49</v>
      </c>
      <c r="B2" s="176"/>
      <c r="C2" s="176"/>
      <c r="D2" s="177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2"/>
    </row>
    <row r="3" spans="1:21" ht="15.75" thickBot="1" x14ac:dyDescent="0.3">
      <c r="A3" s="178"/>
      <c r="B3" s="179"/>
      <c r="C3" s="179"/>
      <c r="D3" s="180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1:21" ht="57" thickBot="1" x14ac:dyDescent="0.3">
      <c r="A4" s="10" t="s">
        <v>0</v>
      </c>
      <c r="B4" s="11" t="s">
        <v>1</v>
      </c>
      <c r="C4" s="11" t="s">
        <v>2</v>
      </c>
      <c r="D4" s="11" t="s">
        <v>3</v>
      </c>
      <c r="E4" s="11" t="s">
        <v>51</v>
      </c>
      <c r="F4" s="11" t="s">
        <v>51</v>
      </c>
      <c r="G4" s="11" t="s">
        <v>51</v>
      </c>
      <c r="H4" s="11" t="s">
        <v>51</v>
      </c>
      <c r="I4" s="11" t="s">
        <v>51</v>
      </c>
      <c r="J4" s="11" t="s">
        <v>51</v>
      </c>
      <c r="K4" s="11" t="s">
        <v>51</v>
      </c>
      <c r="L4" s="11" t="s">
        <v>51</v>
      </c>
      <c r="M4" s="11" t="s">
        <v>51</v>
      </c>
      <c r="N4" s="11" t="s">
        <v>52</v>
      </c>
      <c r="O4" s="11" t="s">
        <v>62</v>
      </c>
      <c r="P4" s="11" t="s">
        <v>55</v>
      </c>
      <c r="Q4" s="11" t="s">
        <v>56</v>
      </c>
      <c r="R4" s="11" t="s">
        <v>59</v>
      </c>
      <c r="S4" s="11" t="s">
        <v>60</v>
      </c>
      <c r="T4" s="11" t="s">
        <v>54</v>
      </c>
      <c r="U4" s="77" t="s">
        <v>58</v>
      </c>
    </row>
    <row r="5" spans="1:21" ht="34.5" x14ac:dyDescent="0.25">
      <c r="A5" s="12">
        <v>1</v>
      </c>
      <c r="B5" s="13">
        <v>206995</v>
      </c>
      <c r="C5" s="14" t="s">
        <v>53</v>
      </c>
      <c r="D5" s="15" t="s">
        <v>11</v>
      </c>
      <c r="E5" s="27">
        <v>4.01</v>
      </c>
      <c r="F5" s="27">
        <v>4.1399999999999997</v>
      </c>
      <c r="G5" s="27">
        <v>4.25</v>
      </c>
      <c r="H5" s="27">
        <v>4.25</v>
      </c>
      <c r="I5" s="27">
        <v>4.26</v>
      </c>
      <c r="J5" s="27"/>
      <c r="K5" s="27"/>
      <c r="L5" s="27"/>
      <c r="M5" s="27"/>
      <c r="N5" s="51"/>
      <c r="O5" s="51"/>
      <c r="P5" s="51">
        <v>7</v>
      </c>
      <c r="Q5" s="51">
        <v>8.74</v>
      </c>
      <c r="R5" s="51"/>
      <c r="S5" s="51"/>
      <c r="T5" s="51">
        <v>6.9</v>
      </c>
      <c r="U5" s="78"/>
    </row>
    <row r="6" spans="1:21" ht="101.25" x14ac:dyDescent="0.25">
      <c r="A6" s="16">
        <v>2</v>
      </c>
      <c r="B6" s="2">
        <v>468082</v>
      </c>
      <c r="C6" s="3" t="s">
        <v>24</v>
      </c>
      <c r="D6" s="1" t="s">
        <v>22</v>
      </c>
      <c r="E6" s="6">
        <v>2.2400000000000002</v>
      </c>
      <c r="F6" s="6">
        <v>2.2799999999999998</v>
      </c>
      <c r="G6" s="6">
        <v>2.29</v>
      </c>
      <c r="H6" s="6">
        <v>2.86</v>
      </c>
      <c r="I6" s="6">
        <v>3.74</v>
      </c>
      <c r="J6" s="6"/>
      <c r="K6" s="6"/>
      <c r="L6" s="6"/>
      <c r="M6" s="6"/>
      <c r="N6" s="52">
        <v>3.25</v>
      </c>
      <c r="O6" s="52"/>
      <c r="P6" s="52"/>
      <c r="Q6" s="52">
        <v>3.17</v>
      </c>
      <c r="R6" s="52"/>
      <c r="S6" s="52">
        <v>4.5199999999999996</v>
      </c>
      <c r="T6" s="52"/>
      <c r="U6" s="79"/>
    </row>
    <row r="7" spans="1:21" ht="67.5" x14ac:dyDescent="0.25">
      <c r="A7" s="16">
        <v>3</v>
      </c>
      <c r="B7" s="2">
        <v>301077</v>
      </c>
      <c r="C7" s="3" t="s">
        <v>25</v>
      </c>
      <c r="D7" s="1" t="s">
        <v>23</v>
      </c>
      <c r="E7" s="6">
        <v>24</v>
      </c>
      <c r="F7" s="6">
        <v>27.92</v>
      </c>
      <c r="G7" s="6">
        <v>27.92</v>
      </c>
      <c r="H7" s="6"/>
      <c r="I7" s="6"/>
      <c r="J7" s="6"/>
      <c r="K7" s="6"/>
      <c r="L7" s="6"/>
      <c r="M7" s="6"/>
      <c r="N7" s="52"/>
      <c r="O7" s="52"/>
      <c r="P7" s="52">
        <v>39.9</v>
      </c>
      <c r="Q7" s="52">
        <v>29.9</v>
      </c>
      <c r="R7" s="52"/>
      <c r="S7" s="52">
        <v>33.6</v>
      </c>
      <c r="T7" s="52"/>
      <c r="U7" s="79"/>
    </row>
    <row r="8" spans="1:21" ht="56.25" x14ac:dyDescent="0.25">
      <c r="A8" s="16">
        <v>4</v>
      </c>
      <c r="B8" s="2">
        <v>428784</v>
      </c>
      <c r="C8" s="3" t="s">
        <v>12</v>
      </c>
      <c r="D8" s="1" t="s">
        <v>10</v>
      </c>
      <c r="E8" s="6">
        <v>0.6</v>
      </c>
      <c r="F8" s="6">
        <v>0.7</v>
      </c>
      <c r="G8" s="6">
        <v>0.7</v>
      </c>
      <c r="H8" s="6"/>
      <c r="I8" s="6"/>
      <c r="J8" s="6"/>
      <c r="K8" s="6"/>
      <c r="L8" s="6"/>
      <c r="M8" s="6"/>
      <c r="N8" s="52"/>
      <c r="O8" s="52"/>
      <c r="P8" s="52">
        <v>1.49</v>
      </c>
      <c r="Q8" s="52">
        <v>1.54</v>
      </c>
      <c r="R8" s="52"/>
      <c r="S8" s="52">
        <v>2.7</v>
      </c>
      <c r="T8" s="52"/>
      <c r="U8" s="79"/>
    </row>
    <row r="9" spans="1:21" ht="101.25" x14ac:dyDescent="0.25">
      <c r="A9" s="16">
        <v>5</v>
      </c>
      <c r="B9" s="2">
        <v>317878</v>
      </c>
      <c r="C9" s="3" t="s">
        <v>26</v>
      </c>
      <c r="D9" s="1" t="s">
        <v>13</v>
      </c>
      <c r="E9" s="6">
        <v>1.0900000000000001</v>
      </c>
      <c r="F9" s="6"/>
      <c r="G9" s="6"/>
      <c r="H9" s="6"/>
      <c r="I9" s="6"/>
      <c r="J9" s="6"/>
      <c r="K9" s="6"/>
      <c r="L9" s="6"/>
      <c r="M9" s="6"/>
      <c r="N9" s="52">
        <v>1.49</v>
      </c>
      <c r="O9" s="52"/>
      <c r="P9" s="52">
        <v>1.7</v>
      </c>
      <c r="Q9" s="52">
        <v>1.98</v>
      </c>
      <c r="R9" s="52"/>
      <c r="S9" s="52"/>
      <c r="T9" s="52"/>
      <c r="U9" s="79"/>
    </row>
    <row r="10" spans="1:21" ht="33.75" x14ac:dyDescent="0.25">
      <c r="A10" s="16">
        <v>6</v>
      </c>
      <c r="B10" s="2">
        <v>278609</v>
      </c>
      <c r="C10" s="7" t="s">
        <v>15</v>
      </c>
      <c r="D10" s="1" t="s">
        <v>14</v>
      </c>
      <c r="E10" s="6">
        <v>2.78</v>
      </c>
      <c r="F10" s="6">
        <v>2.99</v>
      </c>
      <c r="G10" s="6">
        <v>3.2</v>
      </c>
      <c r="H10" s="6"/>
      <c r="I10" s="6"/>
      <c r="J10" s="6"/>
      <c r="K10" s="6"/>
      <c r="L10" s="6"/>
      <c r="M10" s="6"/>
      <c r="N10" s="52"/>
      <c r="O10" s="52"/>
      <c r="P10" s="52">
        <v>7.95</v>
      </c>
      <c r="Q10" s="52">
        <v>7.42</v>
      </c>
      <c r="R10" s="52"/>
      <c r="S10" s="52"/>
      <c r="T10" s="52">
        <v>7.5</v>
      </c>
      <c r="U10" s="79"/>
    </row>
    <row r="11" spans="1:21" ht="56.25" x14ac:dyDescent="0.25">
      <c r="A11" s="16">
        <v>7</v>
      </c>
      <c r="B11" s="2">
        <v>252435</v>
      </c>
      <c r="C11" s="3" t="s">
        <v>29</v>
      </c>
      <c r="D11" s="1" t="s">
        <v>16</v>
      </c>
      <c r="E11" s="6">
        <v>0.9</v>
      </c>
      <c r="F11" s="6">
        <v>1.1000000000000001</v>
      </c>
      <c r="G11" s="6">
        <v>1.34</v>
      </c>
      <c r="H11" s="6">
        <v>1.65</v>
      </c>
      <c r="I11" s="6"/>
      <c r="J11" s="6"/>
      <c r="K11" s="6"/>
      <c r="L11" s="6"/>
      <c r="M11" s="6"/>
      <c r="N11" s="52"/>
      <c r="O11" s="52"/>
      <c r="P11" s="52"/>
      <c r="Q11" s="52">
        <v>9.99</v>
      </c>
      <c r="R11" s="52"/>
      <c r="S11" s="52">
        <v>2.7</v>
      </c>
      <c r="T11" s="52">
        <v>3.3</v>
      </c>
      <c r="U11" s="79"/>
    </row>
    <row r="12" spans="1:21" ht="67.5" x14ac:dyDescent="0.25">
      <c r="A12" s="16">
        <v>8</v>
      </c>
      <c r="B12" s="2">
        <v>356367</v>
      </c>
      <c r="C12" s="3" t="s">
        <v>21</v>
      </c>
      <c r="D12" s="1" t="s">
        <v>10</v>
      </c>
      <c r="E12" s="8">
        <v>1.9</v>
      </c>
      <c r="F12" s="8">
        <v>1.93</v>
      </c>
      <c r="G12" s="8">
        <v>1.97</v>
      </c>
      <c r="H12" s="8">
        <v>2.21</v>
      </c>
      <c r="I12" s="8">
        <v>2.35</v>
      </c>
      <c r="J12" s="8">
        <v>2.38</v>
      </c>
      <c r="K12" s="8">
        <v>2.52</v>
      </c>
      <c r="L12" s="8">
        <v>2.6</v>
      </c>
      <c r="M12" s="8">
        <v>2.69</v>
      </c>
      <c r="N12" s="52"/>
      <c r="O12" s="52"/>
      <c r="P12" s="52">
        <v>5.39</v>
      </c>
      <c r="Q12" s="52">
        <v>4.2</v>
      </c>
      <c r="R12" s="52"/>
      <c r="S12" s="52"/>
      <c r="T12" s="52">
        <v>4.22</v>
      </c>
      <c r="U12" s="79"/>
    </row>
    <row r="13" spans="1:21" ht="101.25" x14ac:dyDescent="0.25">
      <c r="A13" s="16">
        <v>9</v>
      </c>
      <c r="B13" s="2">
        <v>461821</v>
      </c>
      <c r="C13" s="3" t="s">
        <v>17</v>
      </c>
      <c r="D13" s="1" t="s">
        <v>18</v>
      </c>
      <c r="E13" s="6">
        <v>15.12</v>
      </c>
      <c r="F13" s="6"/>
      <c r="G13" s="6"/>
      <c r="H13" s="6"/>
      <c r="I13" s="6"/>
      <c r="J13" s="6"/>
      <c r="K13" s="6"/>
      <c r="L13" s="6"/>
      <c r="M13" s="6"/>
      <c r="N13" s="52">
        <v>17.899999999999999</v>
      </c>
      <c r="O13" s="52"/>
      <c r="P13" s="52">
        <v>19.989999999999998</v>
      </c>
      <c r="Q13" s="52">
        <v>19.899999999999999</v>
      </c>
      <c r="R13" s="52">
        <v>16.920000000000002</v>
      </c>
      <c r="S13" s="52">
        <v>18.5</v>
      </c>
      <c r="T13" s="52">
        <v>25.6</v>
      </c>
      <c r="U13" s="79"/>
    </row>
    <row r="14" spans="1:21" ht="33.75" x14ac:dyDescent="0.25">
      <c r="A14" s="16">
        <v>10</v>
      </c>
      <c r="B14" s="1">
        <v>246685</v>
      </c>
      <c r="C14" s="3" t="s">
        <v>57</v>
      </c>
      <c r="D14" s="1" t="s">
        <v>19</v>
      </c>
      <c r="E14" s="6">
        <v>1.33</v>
      </c>
      <c r="F14" s="6">
        <v>1.6</v>
      </c>
      <c r="G14" s="6">
        <v>1.95</v>
      </c>
      <c r="H14" s="6"/>
      <c r="I14" s="6"/>
      <c r="J14" s="6"/>
      <c r="K14" s="6"/>
      <c r="L14" s="6"/>
      <c r="M14" s="6"/>
      <c r="N14" s="52"/>
      <c r="O14" s="52"/>
      <c r="P14" s="52">
        <v>2.72</v>
      </c>
      <c r="Q14" s="52">
        <v>4.58</v>
      </c>
      <c r="R14" s="52"/>
      <c r="S14" s="52">
        <v>13.1</v>
      </c>
      <c r="T14" s="52">
        <v>7.5</v>
      </c>
      <c r="U14" s="79"/>
    </row>
    <row r="15" spans="1:21" ht="45.75" thickBot="1" x14ac:dyDescent="0.3">
      <c r="A15" s="17">
        <v>11</v>
      </c>
      <c r="B15" s="19">
        <v>403983</v>
      </c>
      <c r="C15" s="20" t="s">
        <v>20</v>
      </c>
      <c r="D15" s="19" t="s">
        <v>19</v>
      </c>
      <c r="E15" s="28">
        <v>1.99</v>
      </c>
      <c r="F15" s="28">
        <v>2.16</v>
      </c>
      <c r="G15" s="28">
        <v>2.2599999999999998</v>
      </c>
      <c r="H15" s="28">
        <v>2.79</v>
      </c>
      <c r="I15" s="28"/>
      <c r="J15" s="28"/>
      <c r="K15" s="28"/>
      <c r="L15" s="28"/>
      <c r="M15" s="28"/>
      <c r="N15" s="53"/>
      <c r="O15" s="53"/>
      <c r="P15" s="53">
        <v>3.95</v>
      </c>
      <c r="Q15" s="53">
        <v>5.9</v>
      </c>
      <c r="R15" s="53"/>
      <c r="S15" s="53">
        <v>11.9</v>
      </c>
      <c r="T15" s="53">
        <v>6.9</v>
      </c>
      <c r="U15" s="80"/>
    </row>
    <row r="16" spans="1:21" ht="56.25" x14ac:dyDescent="0.25">
      <c r="A16" s="12">
        <v>12</v>
      </c>
      <c r="B16" s="13">
        <v>463996</v>
      </c>
      <c r="C16" s="21" t="s">
        <v>30</v>
      </c>
      <c r="D16" s="15" t="s">
        <v>9</v>
      </c>
      <c r="E16" s="27">
        <v>1.93</v>
      </c>
      <c r="F16" s="27">
        <v>2.0499999999999998</v>
      </c>
      <c r="G16" s="27">
        <v>2.5299999999999998</v>
      </c>
      <c r="H16" s="27">
        <v>8.9499999999999993</v>
      </c>
      <c r="I16" s="27"/>
      <c r="J16" s="27"/>
      <c r="K16" s="27"/>
      <c r="L16" s="27"/>
      <c r="M16" s="27"/>
      <c r="N16" s="51">
        <v>2.44</v>
      </c>
      <c r="O16" s="51"/>
      <c r="P16" s="51"/>
      <c r="Q16" s="51"/>
      <c r="R16" s="51">
        <v>3.15</v>
      </c>
      <c r="S16" s="51"/>
      <c r="T16" s="51"/>
      <c r="U16" s="78">
        <v>2.69</v>
      </c>
    </row>
    <row r="17" spans="1:21" ht="68.25" x14ac:dyDescent="0.25">
      <c r="A17" s="16">
        <v>13</v>
      </c>
      <c r="B17" s="2">
        <v>463575</v>
      </c>
      <c r="C17" s="4" t="s">
        <v>31</v>
      </c>
      <c r="D17" s="1" t="s">
        <v>28</v>
      </c>
      <c r="E17" s="6">
        <v>6.56</v>
      </c>
      <c r="F17" s="6">
        <v>8.89</v>
      </c>
      <c r="G17" s="6">
        <v>9.7100000000000009</v>
      </c>
      <c r="H17" s="6"/>
      <c r="I17" s="6"/>
      <c r="J17" s="6"/>
      <c r="K17" s="6"/>
      <c r="L17" s="6"/>
      <c r="M17" s="6"/>
      <c r="N17" s="52">
        <v>9.25</v>
      </c>
      <c r="O17" s="52">
        <v>8.89</v>
      </c>
      <c r="P17" s="52"/>
      <c r="Q17" s="52">
        <v>9.25</v>
      </c>
      <c r="R17" s="52"/>
      <c r="S17" s="52"/>
      <c r="T17" s="52"/>
      <c r="U17" s="79">
        <v>10.95</v>
      </c>
    </row>
    <row r="18" spans="1:21" ht="57" thickBot="1" x14ac:dyDescent="0.3">
      <c r="A18" s="17">
        <v>14</v>
      </c>
      <c r="B18" s="18">
        <v>269615</v>
      </c>
      <c r="C18" s="20" t="s">
        <v>27</v>
      </c>
      <c r="D18" s="19" t="s">
        <v>16</v>
      </c>
      <c r="E18" s="28">
        <v>1.96</v>
      </c>
      <c r="F18" s="28">
        <v>1.96</v>
      </c>
      <c r="G18" s="28">
        <v>2.29</v>
      </c>
      <c r="H18" s="28">
        <v>2.3199999999999998</v>
      </c>
      <c r="I18" s="28">
        <v>2.33</v>
      </c>
      <c r="J18" s="28">
        <v>2.4</v>
      </c>
      <c r="K18" s="28">
        <v>2.77</v>
      </c>
      <c r="L18" s="28">
        <v>4.5</v>
      </c>
      <c r="M18" s="28"/>
      <c r="N18" s="53"/>
      <c r="O18" s="53"/>
      <c r="P18" s="53"/>
      <c r="Q18" s="53">
        <v>4.5599999999999996</v>
      </c>
      <c r="R18" s="53"/>
      <c r="S18" s="53">
        <v>4.5</v>
      </c>
      <c r="T18" s="53">
        <v>5.4</v>
      </c>
      <c r="U18" s="80"/>
    </row>
    <row r="19" spans="1:21" ht="90.75" thickBot="1" x14ac:dyDescent="0.3">
      <c r="A19" s="44">
        <v>15</v>
      </c>
      <c r="B19" s="45">
        <v>437191</v>
      </c>
      <c r="C19" s="46" t="s">
        <v>61</v>
      </c>
      <c r="D19" s="47" t="s">
        <v>10</v>
      </c>
      <c r="E19" s="56">
        <v>0.9</v>
      </c>
      <c r="F19" s="57">
        <v>3.07</v>
      </c>
      <c r="G19" s="57">
        <v>0.78</v>
      </c>
      <c r="H19" s="57"/>
      <c r="I19" s="57"/>
      <c r="J19" s="57"/>
      <c r="K19" s="57"/>
      <c r="L19" s="57"/>
      <c r="M19" s="57"/>
      <c r="N19" s="55"/>
      <c r="O19" s="55"/>
      <c r="P19" s="54"/>
      <c r="Q19" s="54"/>
      <c r="R19" s="54"/>
      <c r="S19" s="54"/>
      <c r="T19" s="54"/>
      <c r="U19" s="81"/>
    </row>
    <row r="20" spans="1:21" x14ac:dyDescent="0.25">
      <c r="A20" s="82" t="s">
        <v>65</v>
      </c>
      <c r="B20" s="5"/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82" t="s">
        <v>63</v>
      </c>
    </row>
    <row r="22" spans="1:21" x14ac:dyDescent="0.25">
      <c r="A22" s="82" t="s">
        <v>64</v>
      </c>
    </row>
    <row r="23" spans="1:21" x14ac:dyDescent="0.25">
      <c r="A23" s="82" t="s">
        <v>66</v>
      </c>
    </row>
  </sheetData>
  <mergeCells count="2">
    <mergeCell ref="E2:U3"/>
    <mergeCell ref="A2:D3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36"/>
  <sheetViews>
    <sheetView tabSelected="1" zoomScale="86" zoomScaleNormal="86" workbookViewId="0">
      <pane ySplit="4" topLeftCell="A5" activePane="bottomLeft" state="frozen"/>
      <selection pane="bottomLeft" activeCell="C8" sqref="C8"/>
    </sheetView>
  </sheetViews>
  <sheetFormatPr defaultRowHeight="15" x14ac:dyDescent="0.25"/>
  <cols>
    <col min="1" max="1" width="5.85546875" customWidth="1"/>
    <col min="2" max="2" width="9.85546875" customWidth="1"/>
    <col min="3" max="3" width="35.42578125" customWidth="1"/>
    <col min="4" max="4" width="15.28515625" bestFit="1" customWidth="1"/>
    <col min="5" max="5" width="12.28515625" style="29" customWidth="1"/>
    <col min="6" max="9" width="15.42578125" style="29" customWidth="1"/>
    <col min="10" max="17" width="9.140625" customWidth="1"/>
    <col min="18" max="22" width="9.42578125" customWidth="1"/>
    <col min="23" max="26" width="9.42578125" style="59" customWidth="1"/>
    <col min="27" max="36" width="9.42578125" customWidth="1"/>
    <col min="37" max="46" width="9.42578125" hidden="1" customWidth="1"/>
    <col min="47" max="47" width="16.85546875" customWidth="1"/>
  </cols>
  <sheetData>
    <row r="1" spans="1:47" ht="16.5" thickBot="1" x14ac:dyDescent="0.3">
      <c r="C1" s="50"/>
      <c r="J1" s="125" t="s">
        <v>85</v>
      </c>
      <c r="K1" s="126"/>
    </row>
    <row r="2" spans="1:47" ht="15.75" customHeight="1" thickBot="1" x14ac:dyDescent="0.3">
      <c r="A2" s="127"/>
      <c r="B2" s="127"/>
      <c r="C2" s="127"/>
      <c r="D2" s="127"/>
      <c r="E2" s="127"/>
      <c r="F2" s="127"/>
      <c r="G2" s="127"/>
      <c r="H2" s="113"/>
      <c r="I2" s="113"/>
      <c r="J2" s="190" t="s">
        <v>81</v>
      </c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2"/>
      <c r="V2" s="184" t="s">
        <v>74</v>
      </c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6"/>
      <c r="AU2" s="118"/>
    </row>
    <row r="3" spans="1:47" ht="15.75" thickBot="1" x14ac:dyDescent="0.3">
      <c r="A3" s="127"/>
      <c r="B3" s="127"/>
      <c r="C3" s="127"/>
      <c r="D3" s="127"/>
      <c r="E3" s="127"/>
      <c r="F3" s="127"/>
      <c r="G3" s="127"/>
      <c r="H3" s="113"/>
      <c r="I3" s="113"/>
      <c r="J3" s="193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5"/>
      <c r="V3" s="187" t="s">
        <v>75</v>
      </c>
      <c r="W3" s="188"/>
      <c r="X3" s="188"/>
      <c r="Y3" s="188"/>
      <c r="Z3" s="189"/>
      <c r="AA3" s="187" t="s">
        <v>76</v>
      </c>
      <c r="AB3" s="188"/>
      <c r="AC3" s="188"/>
      <c r="AD3" s="188"/>
      <c r="AE3" s="189"/>
      <c r="AF3" s="187" t="s">
        <v>77</v>
      </c>
      <c r="AG3" s="188"/>
      <c r="AH3" s="188"/>
      <c r="AI3" s="188"/>
      <c r="AJ3" s="189"/>
      <c r="AK3" s="187" t="s">
        <v>78</v>
      </c>
      <c r="AL3" s="188"/>
      <c r="AM3" s="188"/>
      <c r="AN3" s="188"/>
      <c r="AO3" s="189"/>
      <c r="AP3" s="187" t="s">
        <v>79</v>
      </c>
      <c r="AQ3" s="188"/>
      <c r="AR3" s="188"/>
      <c r="AS3" s="188"/>
      <c r="AT3" s="189"/>
      <c r="AU3" s="119"/>
    </row>
    <row r="4" spans="1:47" ht="51" customHeight="1" thickBot="1" x14ac:dyDescent="0.3">
      <c r="A4" s="128" t="s">
        <v>0</v>
      </c>
      <c r="B4" s="129" t="s">
        <v>1</v>
      </c>
      <c r="C4" s="129" t="s">
        <v>93</v>
      </c>
      <c r="D4" s="129" t="s">
        <v>88</v>
      </c>
      <c r="E4" s="130" t="s">
        <v>50</v>
      </c>
      <c r="F4" s="131" t="s">
        <v>90</v>
      </c>
      <c r="G4" s="131" t="s">
        <v>91</v>
      </c>
      <c r="H4" s="131" t="s">
        <v>92</v>
      </c>
      <c r="I4" s="116"/>
      <c r="J4" s="181" t="s">
        <v>73</v>
      </c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3"/>
      <c r="V4" s="92" t="s">
        <v>67</v>
      </c>
      <c r="W4" s="93" t="s">
        <v>68</v>
      </c>
      <c r="X4" s="94" t="s">
        <v>69</v>
      </c>
      <c r="Y4" s="94" t="s">
        <v>70</v>
      </c>
      <c r="Z4" s="94" t="s">
        <v>71</v>
      </c>
      <c r="AA4" s="83" t="s">
        <v>67</v>
      </c>
      <c r="AB4" s="83" t="s">
        <v>68</v>
      </c>
      <c r="AC4" s="94" t="s">
        <v>69</v>
      </c>
      <c r="AD4" s="94" t="s">
        <v>70</v>
      </c>
      <c r="AE4" s="94" t="s">
        <v>71</v>
      </c>
      <c r="AF4" s="83" t="s">
        <v>67</v>
      </c>
      <c r="AG4" s="83" t="s">
        <v>68</v>
      </c>
      <c r="AH4" s="94" t="s">
        <v>69</v>
      </c>
      <c r="AI4" s="94" t="s">
        <v>70</v>
      </c>
      <c r="AJ4" s="94" t="s">
        <v>71</v>
      </c>
      <c r="AK4" s="83" t="s">
        <v>67</v>
      </c>
      <c r="AL4" s="83" t="s">
        <v>68</v>
      </c>
      <c r="AM4" s="94" t="s">
        <v>69</v>
      </c>
      <c r="AN4" s="94" t="s">
        <v>70</v>
      </c>
      <c r="AO4" s="94" t="s">
        <v>71</v>
      </c>
      <c r="AP4" s="83" t="s">
        <v>67</v>
      </c>
      <c r="AQ4" s="83" t="s">
        <v>68</v>
      </c>
      <c r="AR4" s="94" t="s">
        <v>69</v>
      </c>
      <c r="AS4" s="94" t="s">
        <v>70</v>
      </c>
      <c r="AT4" s="95" t="s">
        <v>71</v>
      </c>
      <c r="AU4" s="96" t="s">
        <v>80</v>
      </c>
    </row>
    <row r="5" spans="1:47" ht="21" customHeight="1" x14ac:dyDescent="0.25">
      <c r="A5" s="12">
        <v>1</v>
      </c>
      <c r="B5" s="13">
        <v>15156</v>
      </c>
      <c r="C5" s="144" t="s">
        <v>94</v>
      </c>
      <c r="D5" s="15" t="s">
        <v>89</v>
      </c>
      <c r="E5" s="24">
        <v>86</v>
      </c>
      <c r="F5" s="143">
        <f>AU5</f>
        <v>33.592500000000001</v>
      </c>
      <c r="G5" s="78">
        <f>E5*F5</f>
        <v>2888.9549999999999</v>
      </c>
      <c r="H5" s="78">
        <f>G5*12</f>
        <v>34667.46</v>
      </c>
      <c r="I5" s="117"/>
      <c r="J5" s="120">
        <v>33.33</v>
      </c>
      <c r="K5" s="84">
        <v>35.549999999999997</v>
      </c>
      <c r="L5" s="84">
        <v>38.64</v>
      </c>
      <c r="M5" s="140">
        <v>26.85</v>
      </c>
      <c r="N5" s="137">
        <v>54</v>
      </c>
      <c r="O5" s="137">
        <v>60</v>
      </c>
      <c r="P5" s="85"/>
      <c r="Q5" s="85"/>
      <c r="R5" s="84"/>
      <c r="S5" s="62"/>
      <c r="T5" s="62"/>
      <c r="U5" s="86"/>
      <c r="V5" s="87">
        <f>AVERAGE(J5:U5)</f>
        <v>41.395000000000003</v>
      </c>
      <c r="W5" s="88">
        <f>STDEV(J5:U5)</f>
        <v>12.832671974300604</v>
      </c>
      <c r="X5" s="89">
        <f>(W5/V5)*100</f>
        <v>31.000536234570848</v>
      </c>
      <c r="Y5" s="90">
        <f>V5+W5</f>
        <v>54.227671974300605</v>
      </c>
      <c r="Z5" s="90">
        <f>V5-W5</f>
        <v>28.562328025699401</v>
      </c>
      <c r="AA5" s="62">
        <f>AVERAGE(J5:N5)</f>
        <v>37.673999999999999</v>
      </c>
      <c r="AB5" s="62">
        <f>STDEV(J5:N5)</f>
        <v>10.099654944600834</v>
      </c>
      <c r="AC5" s="139">
        <f>(AB5/AA5)*100</f>
        <v>26.808023954453557</v>
      </c>
      <c r="AD5" s="90">
        <f>AA5+AB5</f>
        <v>47.773654944600835</v>
      </c>
      <c r="AE5" s="90">
        <f>AA5-AB5</f>
        <v>27.574345055399164</v>
      </c>
      <c r="AF5" s="74">
        <f>AVERAGE(J5:M5)</f>
        <v>33.592500000000001</v>
      </c>
      <c r="AG5" s="62">
        <f>STDEV(J5:L5)</f>
        <v>2.6668520768876567</v>
      </c>
      <c r="AH5" s="91">
        <f>(AG5/AF5)*100</f>
        <v>7.9388318133144491</v>
      </c>
      <c r="AI5" s="90"/>
      <c r="AJ5" s="90"/>
      <c r="AK5" s="90"/>
      <c r="AL5" s="90"/>
      <c r="AM5" s="90"/>
      <c r="AN5" s="90"/>
      <c r="AO5" s="89"/>
      <c r="AP5" s="89"/>
      <c r="AQ5" s="89"/>
      <c r="AR5" s="89"/>
      <c r="AS5" s="89"/>
      <c r="AT5" s="102"/>
      <c r="AU5" s="109">
        <f>AF5</f>
        <v>33.592500000000001</v>
      </c>
    </row>
    <row r="6" spans="1:47" x14ac:dyDescent="0.25">
      <c r="A6" s="16"/>
      <c r="B6" s="2"/>
      <c r="C6" s="3"/>
      <c r="D6" s="1"/>
      <c r="E6" s="25"/>
      <c r="F6" s="141"/>
      <c r="G6" s="79"/>
      <c r="H6" s="79"/>
      <c r="I6" s="117"/>
      <c r="J6" s="121"/>
      <c r="K6" s="71"/>
      <c r="L6" s="71"/>
      <c r="M6" s="6"/>
      <c r="N6" s="52"/>
      <c r="O6" s="52"/>
      <c r="P6" s="71"/>
      <c r="Q6" s="70"/>
      <c r="R6" s="6"/>
      <c r="S6" s="60"/>
      <c r="T6" s="52"/>
      <c r="U6" s="52"/>
      <c r="V6" s="64"/>
      <c r="W6" s="67"/>
      <c r="X6" s="65"/>
      <c r="Y6" s="66"/>
      <c r="Z6" s="66"/>
      <c r="AA6" s="52"/>
      <c r="AB6" s="52"/>
      <c r="AC6" s="76"/>
      <c r="AD6" s="66"/>
      <c r="AE6" s="66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103"/>
      <c r="AU6" s="110"/>
    </row>
    <row r="7" spans="1:47" x14ac:dyDescent="0.25">
      <c r="A7" s="16"/>
      <c r="B7" s="2"/>
      <c r="C7" s="3"/>
      <c r="D7" s="1"/>
      <c r="E7" s="25"/>
      <c r="F7" s="141"/>
      <c r="G7" s="79"/>
      <c r="H7" s="79"/>
      <c r="I7" s="117"/>
      <c r="J7" s="122"/>
      <c r="K7" s="6"/>
      <c r="L7" s="6"/>
      <c r="M7" s="52"/>
      <c r="N7" s="52"/>
      <c r="O7" s="52"/>
      <c r="P7" s="60"/>
      <c r="Q7" s="6"/>
      <c r="R7" s="6"/>
      <c r="S7" s="52"/>
      <c r="T7" s="52"/>
      <c r="U7" s="60"/>
      <c r="V7" s="64"/>
      <c r="W7" s="67"/>
      <c r="X7" s="65"/>
      <c r="Y7" s="66"/>
      <c r="Z7" s="66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103"/>
      <c r="AU7" s="110"/>
    </row>
    <row r="8" spans="1:47" x14ac:dyDescent="0.25">
      <c r="A8" s="16"/>
      <c r="B8" s="2"/>
      <c r="C8" s="3"/>
      <c r="D8" s="1"/>
      <c r="E8" s="25"/>
      <c r="F8" s="141"/>
      <c r="G8" s="79"/>
      <c r="H8" s="79"/>
      <c r="I8" s="117"/>
      <c r="J8" s="122"/>
      <c r="K8" s="6"/>
      <c r="L8" s="6"/>
      <c r="M8" s="70"/>
      <c r="N8" s="70"/>
      <c r="O8" s="70"/>
      <c r="Q8" s="6"/>
      <c r="R8" s="6"/>
      <c r="S8" s="52"/>
      <c r="T8" s="52"/>
      <c r="U8" s="60"/>
      <c r="V8" s="64"/>
      <c r="W8" s="67"/>
      <c r="X8" s="65"/>
      <c r="Y8" s="66"/>
      <c r="Z8" s="66"/>
      <c r="AA8" s="52"/>
      <c r="AB8" s="52"/>
      <c r="AC8" s="76"/>
      <c r="AD8" s="66"/>
      <c r="AE8" s="66"/>
      <c r="AF8" s="62"/>
      <c r="AG8" s="62"/>
      <c r="AH8" s="76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103"/>
      <c r="AU8" s="110"/>
    </row>
    <row r="9" spans="1:47" x14ac:dyDescent="0.25">
      <c r="A9" s="16"/>
      <c r="B9" s="2"/>
      <c r="C9" s="3"/>
      <c r="D9" s="1"/>
      <c r="E9" s="25"/>
      <c r="F9" s="141"/>
      <c r="G9" s="79"/>
      <c r="H9" s="79"/>
      <c r="I9" s="117"/>
      <c r="J9" s="122"/>
      <c r="K9" s="52"/>
      <c r="L9" s="52"/>
      <c r="M9" s="52"/>
      <c r="N9" s="60"/>
      <c r="O9" s="6"/>
      <c r="P9" s="6"/>
      <c r="Q9" s="6"/>
      <c r="R9" s="6"/>
      <c r="S9" s="60"/>
      <c r="T9" s="60"/>
      <c r="U9" s="60"/>
      <c r="V9" s="64"/>
      <c r="W9" s="67"/>
      <c r="X9" s="65"/>
      <c r="Y9" s="66"/>
      <c r="Z9" s="66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103"/>
      <c r="AU9" s="110"/>
    </row>
    <row r="10" spans="1:47" x14ac:dyDescent="0.25">
      <c r="A10" s="16"/>
      <c r="B10" s="2"/>
      <c r="C10" s="7"/>
      <c r="D10" s="1"/>
      <c r="E10" s="25"/>
      <c r="F10" s="141"/>
      <c r="G10" s="79"/>
      <c r="H10" s="79"/>
      <c r="I10" s="117"/>
      <c r="J10" s="122"/>
      <c r="K10" s="6"/>
      <c r="L10" s="6"/>
      <c r="M10" s="70"/>
      <c r="N10" s="70"/>
      <c r="O10" s="70"/>
      <c r="P10" s="52"/>
      <c r="Q10" s="60"/>
      <c r="R10" s="6"/>
      <c r="S10" s="52"/>
      <c r="T10" s="52"/>
      <c r="U10" s="60"/>
      <c r="V10" s="64"/>
      <c r="W10" s="67"/>
      <c r="X10" s="65"/>
      <c r="Y10" s="66"/>
      <c r="Z10" s="66"/>
      <c r="AA10" s="52"/>
      <c r="AB10" s="52"/>
      <c r="AC10" s="76"/>
      <c r="AD10" s="66"/>
      <c r="AE10" s="66"/>
      <c r="AF10" s="62"/>
      <c r="AG10" s="62"/>
      <c r="AH10" s="76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103"/>
      <c r="AU10" s="110"/>
    </row>
    <row r="11" spans="1:47" x14ac:dyDescent="0.25">
      <c r="A11" s="16"/>
      <c r="B11" s="2"/>
      <c r="C11" s="3"/>
      <c r="D11" s="1"/>
      <c r="E11" s="25"/>
      <c r="F11" s="141"/>
      <c r="G11" s="79"/>
      <c r="H11" s="79"/>
      <c r="I11" s="117"/>
      <c r="J11" s="121"/>
      <c r="K11" s="6"/>
      <c r="L11" s="6"/>
      <c r="M11" s="71"/>
      <c r="N11" s="70"/>
      <c r="O11" s="70"/>
      <c r="P11" s="70"/>
      <c r="Q11" s="60"/>
      <c r="R11" s="6"/>
      <c r="S11" s="52"/>
      <c r="T11" s="52"/>
      <c r="U11" s="52"/>
      <c r="V11" s="64"/>
      <c r="W11" s="67"/>
      <c r="X11" s="65"/>
      <c r="Y11" s="66"/>
      <c r="Z11" s="66"/>
      <c r="AA11" s="52"/>
      <c r="AB11" s="52"/>
      <c r="AC11" s="76"/>
      <c r="AD11" s="66"/>
      <c r="AE11" s="66"/>
      <c r="AF11" s="62"/>
      <c r="AG11" s="62"/>
      <c r="AH11" s="76"/>
      <c r="AI11" s="66"/>
      <c r="AJ11" s="66"/>
      <c r="AK11" s="62"/>
      <c r="AL11" s="62"/>
      <c r="AM11" s="76"/>
      <c r="AN11" s="66"/>
      <c r="AO11" s="66"/>
      <c r="AP11" s="62"/>
      <c r="AQ11" s="62"/>
      <c r="AR11" s="76"/>
      <c r="AS11" s="66"/>
      <c r="AT11" s="104"/>
      <c r="AU11" s="110"/>
    </row>
    <row r="12" spans="1:47" x14ac:dyDescent="0.25">
      <c r="A12" s="16"/>
      <c r="B12" s="2"/>
      <c r="C12" s="3"/>
      <c r="D12" s="1"/>
      <c r="E12" s="25"/>
      <c r="F12" s="141"/>
      <c r="G12" s="79"/>
      <c r="H12" s="79"/>
      <c r="I12" s="117"/>
      <c r="J12" s="123"/>
      <c r="K12" s="8"/>
      <c r="L12" s="8"/>
      <c r="M12" s="8"/>
      <c r="N12" s="8"/>
      <c r="O12" s="8"/>
      <c r="P12" s="8"/>
      <c r="Q12" s="8"/>
      <c r="R12" s="8"/>
      <c r="S12" s="70"/>
      <c r="T12" s="70"/>
      <c r="U12" s="70"/>
      <c r="V12" s="64"/>
      <c r="W12" s="67"/>
      <c r="X12" s="65"/>
      <c r="Y12" s="66"/>
      <c r="Z12" s="66"/>
      <c r="AA12" s="52"/>
      <c r="AB12" s="52"/>
      <c r="AC12" s="76"/>
      <c r="AD12" s="66"/>
      <c r="AE12" s="66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103"/>
      <c r="AU12" s="110"/>
    </row>
    <row r="13" spans="1:47" x14ac:dyDescent="0.25">
      <c r="A13" s="16"/>
      <c r="B13" s="2"/>
      <c r="C13" s="3"/>
      <c r="D13" s="1"/>
      <c r="E13" s="25"/>
      <c r="F13" s="141"/>
      <c r="G13" s="79"/>
      <c r="H13" s="79"/>
      <c r="I13" s="117"/>
      <c r="J13" s="122"/>
      <c r="K13" s="52"/>
      <c r="L13" s="52"/>
      <c r="M13" s="52"/>
      <c r="N13" s="52"/>
      <c r="O13" s="52"/>
      <c r="P13" s="52"/>
      <c r="Q13" s="60"/>
      <c r="R13" s="6"/>
      <c r="S13" s="60"/>
      <c r="T13" s="60"/>
      <c r="U13" s="60"/>
      <c r="V13" s="64"/>
      <c r="W13" s="67"/>
      <c r="X13" s="65"/>
      <c r="Y13" s="66"/>
      <c r="Z13" s="66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103"/>
      <c r="AU13" s="110"/>
    </row>
    <row r="14" spans="1:47" x14ac:dyDescent="0.25">
      <c r="A14" s="16"/>
      <c r="B14" s="1"/>
      <c r="C14" s="3"/>
      <c r="D14" s="1"/>
      <c r="E14" s="25"/>
      <c r="F14" s="141"/>
      <c r="G14" s="79"/>
      <c r="H14" s="79"/>
      <c r="I14" s="117"/>
      <c r="J14" s="122"/>
      <c r="K14" s="6"/>
      <c r="L14" s="6"/>
      <c r="M14" s="70"/>
      <c r="N14" s="70"/>
      <c r="O14" s="70"/>
      <c r="P14" s="70"/>
      <c r="Q14" s="60"/>
      <c r="R14" s="52"/>
      <c r="S14" s="52"/>
      <c r="T14" s="52"/>
      <c r="U14" s="60"/>
      <c r="V14" s="64"/>
      <c r="W14" s="67"/>
      <c r="X14" s="65"/>
      <c r="Y14" s="66"/>
      <c r="Z14" s="66"/>
      <c r="AA14" s="52"/>
      <c r="AB14" s="52"/>
      <c r="AC14" s="76"/>
      <c r="AD14" s="66"/>
      <c r="AE14" s="66"/>
      <c r="AF14" s="62"/>
      <c r="AG14" s="62"/>
      <c r="AH14" s="76"/>
      <c r="AI14" s="66"/>
      <c r="AJ14" s="66"/>
      <c r="AK14" s="62"/>
      <c r="AL14" s="62"/>
      <c r="AM14" s="76"/>
      <c r="AN14" s="66"/>
      <c r="AO14" s="66"/>
      <c r="AP14" s="62"/>
      <c r="AQ14" s="62"/>
      <c r="AR14" s="76"/>
      <c r="AS14" s="66"/>
      <c r="AT14" s="104"/>
      <c r="AU14" s="110"/>
    </row>
    <row r="15" spans="1:47" ht="15.75" thickBot="1" x14ac:dyDescent="0.3">
      <c r="A15" s="16"/>
      <c r="B15" s="19"/>
      <c r="C15" s="3"/>
      <c r="D15" s="1"/>
      <c r="E15" s="25"/>
      <c r="F15" s="141"/>
      <c r="G15" s="79"/>
      <c r="H15" s="79"/>
      <c r="I15" s="117"/>
      <c r="J15" s="122"/>
      <c r="K15" s="6"/>
      <c r="L15" s="6"/>
      <c r="M15" s="6"/>
      <c r="N15" s="70"/>
      <c r="O15" s="70"/>
      <c r="P15" s="70"/>
      <c r="Q15" s="70"/>
      <c r="R15" s="60"/>
      <c r="S15" s="52"/>
      <c r="T15" s="52"/>
      <c r="U15" s="60"/>
      <c r="V15" s="64"/>
      <c r="W15" s="67"/>
      <c r="X15" s="65"/>
      <c r="Y15" s="66"/>
      <c r="Z15" s="66"/>
      <c r="AA15" s="73"/>
      <c r="AB15" s="52"/>
      <c r="AC15" s="76"/>
      <c r="AD15" s="66"/>
      <c r="AE15" s="66"/>
      <c r="AF15" s="62"/>
      <c r="AG15" s="62"/>
      <c r="AH15" s="76"/>
      <c r="AI15" s="66"/>
      <c r="AJ15" s="66"/>
      <c r="AK15" s="62"/>
      <c r="AL15" s="62"/>
      <c r="AM15" s="76"/>
      <c r="AN15" s="66"/>
      <c r="AO15" s="66"/>
      <c r="AP15" s="62"/>
      <c r="AQ15" s="62"/>
      <c r="AR15" s="76"/>
      <c r="AS15" s="75"/>
      <c r="AT15" s="105"/>
      <c r="AU15" s="110"/>
    </row>
    <row r="16" spans="1:47" x14ac:dyDescent="0.25">
      <c r="A16" s="16"/>
      <c r="B16" s="13"/>
      <c r="C16" s="3"/>
      <c r="D16" s="1"/>
      <c r="E16" s="25"/>
      <c r="F16" s="141"/>
      <c r="G16" s="79"/>
      <c r="H16" s="79"/>
      <c r="I16" s="117"/>
      <c r="J16" s="122"/>
      <c r="K16" s="6"/>
      <c r="L16" s="52"/>
      <c r="M16" s="6"/>
      <c r="N16" s="52"/>
      <c r="O16" s="52"/>
      <c r="P16" s="71"/>
      <c r="Q16" s="52"/>
      <c r="R16" s="60"/>
      <c r="S16" s="52"/>
      <c r="T16" s="52"/>
      <c r="U16" s="60"/>
      <c r="V16" s="64"/>
      <c r="W16" s="67"/>
      <c r="X16" s="65"/>
      <c r="Y16" s="66"/>
      <c r="Z16" s="66"/>
      <c r="AA16" s="52"/>
      <c r="AB16" s="52"/>
      <c r="AC16" s="76"/>
      <c r="AD16" s="66"/>
      <c r="AE16" s="66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106"/>
      <c r="AU16" s="110"/>
    </row>
    <row r="17" spans="1:47" x14ac:dyDescent="0.25">
      <c r="A17" s="16"/>
      <c r="B17" s="2"/>
      <c r="C17" s="4"/>
      <c r="D17" s="1"/>
      <c r="E17" s="25"/>
      <c r="F17" s="141"/>
      <c r="G17" s="79"/>
      <c r="H17" s="79"/>
      <c r="I17" s="117"/>
      <c r="J17" s="121"/>
      <c r="K17" s="6"/>
      <c r="L17" s="52"/>
      <c r="M17" s="52"/>
      <c r="N17" s="52"/>
      <c r="O17" s="6"/>
      <c r="P17" s="70"/>
      <c r="Q17" s="52"/>
      <c r="R17" s="52"/>
      <c r="S17" s="52"/>
      <c r="T17" s="60"/>
      <c r="U17" s="60"/>
      <c r="V17" s="64"/>
      <c r="W17" s="67"/>
      <c r="X17" s="65"/>
      <c r="Y17" s="66"/>
      <c r="Z17" s="66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103"/>
      <c r="AU17" s="110"/>
    </row>
    <row r="18" spans="1:47" ht="15.75" thickBot="1" x14ac:dyDescent="0.3">
      <c r="A18" s="16"/>
      <c r="B18" s="18"/>
      <c r="C18" s="3"/>
      <c r="D18" s="1"/>
      <c r="E18" s="25"/>
      <c r="F18" s="141"/>
      <c r="G18" s="79"/>
      <c r="H18" s="79"/>
      <c r="I18" s="117"/>
      <c r="J18" s="122"/>
      <c r="K18" s="6"/>
      <c r="L18" s="6"/>
      <c r="M18" s="6"/>
      <c r="N18" s="6"/>
      <c r="O18" s="6"/>
      <c r="P18" s="6"/>
      <c r="Q18" s="71"/>
      <c r="R18" s="70"/>
      <c r="S18" s="70"/>
      <c r="T18" s="70"/>
      <c r="U18" s="60"/>
      <c r="V18" s="64"/>
      <c r="W18" s="67"/>
      <c r="X18" s="65"/>
      <c r="Y18" s="66"/>
      <c r="Z18" s="66"/>
      <c r="AA18" s="52"/>
      <c r="AB18" s="52"/>
      <c r="AC18" s="76"/>
      <c r="AD18" s="66"/>
      <c r="AE18" s="66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107"/>
      <c r="AU18" s="110"/>
    </row>
    <row r="19" spans="1:47" ht="15.75" thickBot="1" x14ac:dyDescent="0.3">
      <c r="A19" s="17"/>
      <c r="B19" s="45"/>
      <c r="C19" s="20"/>
      <c r="D19" s="19"/>
      <c r="E19" s="26"/>
      <c r="F19" s="142"/>
      <c r="G19" s="80"/>
      <c r="H19" s="80"/>
      <c r="I19" s="117"/>
      <c r="J19" s="124"/>
      <c r="K19" s="28"/>
      <c r="L19" s="97"/>
      <c r="M19" s="28"/>
      <c r="N19" s="28"/>
      <c r="O19" s="28"/>
      <c r="P19" s="28"/>
      <c r="Q19" s="28"/>
      <c r="R19" s="28"/>
      <c r="S19" s="53"/>
      <c r="T19" s="53"/>
      <c r="U19" s="53"/>
      <c r="V19" s="98"/>
      <c r="W19" s="99"/>
      <c r="X19" s="65"/>
      <c r="Y19" s="100"/>
      <c r="Z19" s="100"/>
      <c r="AA19" s="53"/>
      <c r="AB19" s="53"/>
      <c r="AC19" s="138"/>
      <c r="AD19" s="100"/>
      <c r="AE19" s="100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8"/>
      <c r="AU19" s="111"/>
    </row>
    <row r="20" spans="1:47" x14ac:dyDescent="0.25">
      <c r="A20" s="58"/>
      <c r="B20" s="5"/>
      <c r="C20" s="9"/>
      <c r="D20" s="5"/>
      <c r="E20" s="22"/>
      <c r="F20" s="22"/>
      <c r="G20" s="22"/>
      <c r="H20" s="22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8"/>
      <c r="X20" s="68"/>
      <c r="Y20" s="68"/>
      <c r="Z20" s="68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7" x14ac:dyDescent="0.25">
      <c r="A21" s="58"/>
    </row>
    <row r="22" spans="1:47" x14ac:dyDescent="0.25">
      <c r="A22" s="58"/>
    </row>
    <row r="23" spans="1:47" x14ac:dyDescent="0.25">
      <c r="A23" s="58"/>
    </row>
    <row r="26" spans="1:47" x14ac:dyDescent="0.25">
      <c r="B26" s="29"/>
    </row>
    <row r="27" spans="1:47" x14ac:dyDescent="0.25">
      <c r="B27" s="29"/>
      <c r="J27" s="114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1"/>
      <c r="X27" s="61"/>
      <c r="Y27" s="61"/>
      <c r="Z27" s="61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</row>
    <row r="28" spans="1:47" x14ac:dyDescent="0.25">
      <c r="B28" s="29"/>
      <c r="J28" s="114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61"/>
      <c r="Y28" s="61"/>
      <c r="Z28" s="61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</row>
    <row r="29" spans="1:47" x14ac:dyDescent="0.25">
      <c r="J29" s="114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  <c r="X29" s="61"/>
      <c r="Y29" s="61"/>
      <c r="Z29" s="61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</row>
    <row r="30" spans="1:47" x14ac:dyDescent="0.25">
      <c r="J30" s="114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  <c r="X30" s="61"/>
      <c r="Y30" s="61"/>
      <c r="Z30" s="61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</row>
    <row r="31" spans="1:47" x14ac:dyDescent="0.25">
      <c r="J31" s="114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1"/>
      <c r="X31" s="61"/>
      <c r="Y31" s="61"/>
      <c r="Z31" s="61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</row>
    <row r="32" spans="1:47" x14ac:dyDescent="0.25">
      <c r="J32" s="114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1"/>
      <c r="X32" s="61"/>
      <c r="Y32" s="61"/>
      <c r="Z32" s="61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</row>
    <row r="33" spans="10:46" x14ac:dyDescent="0.25">
      <c r="J33" s="114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1"/>
      <c r="X33" s="61"/>
      <c r="Y33" s="61"/>
      <c r="Z33" s="61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</row>
    <row r="34" spans="10:46" x14ac:dyDescent="0.25">
      <c r="J34" s="114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1"/>
      <c r="X34" s="61"/>
      <c r="Y34" s="61"/>
      <c r="Z34" s="61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</row>
    <row r="35" spans="10:46" ht="15.75" thickBot="1" x14ac:dyDescent="0.3"/>
    <row r="36" spans="10:46" x14ac:dyDescent="0.25">
      <c r="J36" s="115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69"/>
      <c r="X36" s="69"/>
      <c r="Y36" s="69"/>
      <c r="Z36" s="69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</row>
  </sheetData>
  <sortState xmlns:xlrd2="http://schemas.microsoft.com/office/spreadsheetml/2017/richdata2" columnSort="1" ref="AE19:AG19">
    <sortCondition ref="AE19:AG19"/>
  </sortState>
  <mergeCells count="8">
    <mergeCell ref="J4:U4"/>
    <mergeCell ref="V2:AT2"/>
    <mergeCell ref="V3:Z3"/>
    <mergeCell ref="AA3:AE3"/>
    <mergeCell ref="AF3:AJ3"/>
    <mergeCell ref="AK3:AO3"/>
    <mergeCell ref="AP3:AT3"/>
    <mergeCell ref="J2:U3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7"/>
  <sheetViews>
    <sheetView workbookViewId="0">
      <selection activeCell="G3" sqref="G3"/>
    </sheetView>
  </sheetViews>
  <sheetFormatPr defaultRowHeight="15" x14ac:dyDescent="0.25"/>
  <cols>
    <col min="4" max="4" width="52.42578125" customWidth="1"/>
    <col min="7" max="7" width="17.28515625" style="132" customWidth="1"/>
  </cols>
  <sheetData>
    <row r="1" spans="2:7" ht="15.75" thickBot="1" x14ac:dyDescent="0.3">
      <c r="B1" t="s">
        <v>86</v>
      </c>
    </row>
    <row r="2" spans="2:7" ht="23.25" thickBot="1" x14ac:dyDescent="0.3">
      <c r="B2" s="10" t="s">
        <v>0</v>
      </c>
      <c r="C2" s="11" t="s">
        <v>1</v>
      </c>
      <c r="D2" s="11" t="s">
        <v>2</v>
      </c>
      <c r="E2" s="11" t="s">
        <v>3</v>
      </c>
      <c r="F2" s="23" t="s">
        <v>82</v>
      </c>
      <c r="G2" s="23" t="s">
        <v>87</v>
      </c>
    </row>
    <row r="3" spans="2:7" ht="23.25" x14ac:dyDescent="0.25">
      <c r="B3" s="12">
        <v>1</v>
      </c>
      <c r="C3" s="13">
        <v>206995</v>
      </c>
      <c r="D3" s="14" t="s">
        <v>53</v>
      </c>
      <c r="E3" s="15" t="s">
        <v>11</v>
      </c>
      <c r="F3" s="24">
        <v>23.733333333333334</v>
      </c>
      <c r="G3" s="133">
        <v>4.18</v>
      </c>
    </row>
    <row r="4" spans="2:7" ht="45" x14ac:dyDescent="0.25">
      <c r="B4" s="16">
        <v>2</v>
      </c>
      <c r="C4" s="2">
        <v>468082</v>
      </c>
      <c r="D4" s="3" t="s">
        <v>24</v>
      </c>
      <c r="E4" s="1" t="s">
        <v>22</v>
      </c>
      <c r="F4" s="25">
        <v>5962</v>
      </c>
      <c r="G4" s="134">
        <v>2.93</v>
      </c>
    </row>
    <row r="5" spans="2:7" ht="33.75" x14ac:dyDescent="0.25">
      <c r="B5" s="16">
        <v>3</v>
      </c>
      <c r="C5" s="2">
        <v>301077</v>
      </c>
      <c r="D5" s="3" t="s">
        <v>25</v>
      </c>
      <c r="E5" s="1" t="s">
        <v>23</v>
      </c>
      <c r="F5" s="25">
        <v>58.496000000000009</v>
      </c>
      <c r="G5" s="134">
        <v>30.54</v>
      </c>
    </row>
    <row r="6" spans="2:7" ht="22.5" x14ac:dyDescent="0.25">
      <c r="B6" s="16">
        <v>4</v>
      </c>
      <c r="C6" s="2">
        <v>428784</v>
      </c>
      <c r="D6" s="3" t="s">
        <v>12</v>
      </c>
      <c r="E6" s="1" t="s">
        <v>10</v>
      </c>
      <c r="F6" s="25">
        <v>1025.2</v>
      </c>
      <c r="G6" s="134">
        <v>0.67</v>
      </c>
    </row>
    <row r="7" spans="2:7" ht="45" x14ac:dyDescent="0.25">
      <c r="B7" s="16">
        <v>5</v>
      </c>
      <c r="C7" s="2">
        <v>317878</v>
      </c>
      <c r="D7" s="3" t="s">
        <v>26</v>
      </c>
      <c r="E7" s="1" t="s">
        <v>13</v>
      </c>
      <c r="F7" s="25">
        <v>223.06666666666666</v>
      </c>
      <c r="G7" s="134">
        <v>1.57</v>
      </c>
    </row>
    <row r="8" spans="2:7" ht="22.5" x14ac:dyDescent="0.25">
      <c r="B8" s="16">
        <v>6</v>
      </c>
      <c r="C8" s="2">
        <v>278609</v>
      </c>
      <c r="D8" s="7" t="s">
        <v>15</v>
      </c>
      <c r="E8" s="1" t="s">
        <v>14</v>
      </c>
      <c r="F8" s="25">
        <v>553.59999999999991</v>
      </c>
      <c r="G8" s="134">
        <v>2.99</v>
      </c>
    </row>
    <row r="9" spans="2:7" ht="22.5" x14ac:dyDescent="0.25">
      <c r="B9" s="16">
        <v>7</v>
      </c>
      <c r="C9" s="2">
        <v>252435</v>
      </c>
      <c r="D9" s="3" t="s">
        <v>29</v>
      </c>
      <c r="E9" s="1" t="s">
        <v>16</v>
      </c>
      <c r="F9" s="25">
        <v>1185.0666666666666</v>
      </c>
      <c r="G9" s="134">
        <v>1.22</v>
      </c>
    </row>
    <row r="10" spans="2:7" ht="22.5" x14ac:dyDescent="0.25">
      <c r="B10" s="16">
        <v>8</v>
      </c>
      <c r="C10" s="2">
        <v>356367</v>
      </c>
      <c r="D10" s="3" t="s">
        <v>21</v>
      </c>
      <c r="E10" s="1" t="s">
        <v>10</v>
      </c>
      <c r="F10" s="25">
        <v>250.66666666666669</v>
      </c>
      <c r="G10" s="134">
        <v>2.2799999999999998</v>
      </c>
    </row>
    <row r="11" spans="2:7" ht="45" x14ac:dyDescent="0.25">
      <c r="B11" s="16">
        <v>9</v>
      </c>
      <c r="C11" s="2">
        <v>461821</v>
      </c>
      <c r="D11" s="3" t="s">
        <v>17</v>
      </c>
      <c r="E11" s="1" t="s">
        <v>18</v>
      </c>
      <c r="F11" s="25">
        <v>5422.6666666666661</v>
      </c>
      <c r="G11" s="134">
        <v>19.13</v>
      </c>
    </row>
    <row r="12" spans="2:7" ht="22.5" x14ac:dyDescent="0.25">
      <c r="B12" s="16">
        <v>10</v>
      </c>
      <c r="C12" s="1">
        <v>246685</v>
      </c>
      <c r="D12" s="3" t="s">
        <v>57</v>
      </c>
      <c r="E12" s="1" t="s">
        <v>19</v>
      </c>
      <c r="F12" s="25">
        <v>124</v>
      </c>
      <c r="G12" s="134">
        <v>1.63</v>
      </c>
    </row>
    <row r="13" spans="2:7" ht="23.25" thickBot="1" x14ac:dyDescent="0.3">
      <c r="B13" s="17">
        <v>11</v>
      </c>
      <c r="C13" s="19">
        <v>403983</v>
      </c>
      <c r="D13" s="20" t="s">
        <v>20</v>
      </c>
      <c r="E13" s="19" t="s">
        <v>19</v>
      </c>
      <c r="F13" s="26">
        <v>25.6</v>
      </c>
      <c r="G13" s="135">
        <v>2.2999999999999998</v>
      </c>
    </row>
    <row r="14" spans="2:7" ht="22.5" x14ac:dyDescent="0.25">
      <c r="B14" s="12">
        <v>12</v>
      </c>
      <c r="C14" s="13">
        <v>463996</v>
      </c>
      <c r="D14" s="21" t="s">
        <v>30</v>
      </c>
      <c r="E14" s="15" t="s">
        <v>9</v>
      </c>
      <c r="F14" s="24">
        <v>1446.3999999999996</v>
      </c>
      <c r="G14" s="133">
        <v>2.4700000000000002</v>
      </c>
    </row>
    <row r="15" spans="2:7" ht="34.5" x14ac:dyDescent="0.25">
      <c r="B15" s="16">
        <v>13</v>
      </c>
      <c r="C15" s="2">
        <v>463575</v>
      </c>
      <c r="D15" s="4" t="s">
        <v>31</v>
      </c>
      <c r="E15" s="1" t="s">
        <v>28</v>
      </c>
      <c r="F15" s="25">
        <v>3126.8000000000006</v>
      </c>
      <c r="G15" s="134">
        <v>9.07</v>
      </c>
    </row>
    <row r="16" spans="2:7" ht="34.5" thickBot="1" x14ac:dyDescent="0.3">
      <c r="B16" s="17">
        <v>14</v>
      </c>
      <c r="C16" s="18">
        <v>269615</v>
      </c>
      <c r="D16" s="20" t="s">
        <v>27</v>
      </c>
      <c r="E16" s="19" t="s">
        <v>16</v>
      </c>
      <c r="F16" s="26">
        <v>3333.6000000000004</v>
      </c>
      <c r="G16" s="135">
        <v>2.29</v>
      </c>
    </row>
    <row r="17" spans="2:7" ht="45.75" thickBot="1" x14ac:dyDescent="0.3">
      <c r="B17" s="44">
        <v>15</v>
      </c>
      <c r="C17" s="45">
        <v>437191</v>
      </c>
      <c r="D17" s="46" t="s">
        <v>61</v>
      </c>
      <c r="E17" s="47" t="s">
        <v>10</v>
      </c>
      <c r="F17" s="48">
        <v>32979.199999999997</v>
      </c>
      <c r="G17" s="136">
        <v>0.84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Definição Quantitativo</vt:lpstr>
      <vt:lpstr>Pesquisa de preços</vt:lpstr>
      <vt:lpstr>Definição Preço Referência</vt:lpstr>
      <vt:lpstr>Quadro Consolidado TR</vt:lpstr>
    </vt:vector>
  </TitlesOfParts>
  <Company>SERPRO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da Economia</dc:creator>
  <cp:lastModifiedBy>Ministerio da Economia</cp:lastModifiedBy>
  <cp:lastPrinted>2020-03-06T14:12:51Z</cp:lastPrinted>
  <dcterms:created xsi:type="dcterms:W3CDTF">2020-02-28T13:26:00Z</dcterms:created>
  <dcterms:modified xsi:type="dcterms:W3CDTF">2022-11-09T17:45:53Z</dcterms:modified>
</cp:coreProperties>
</file>