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66925"/>
  <mc:AlternateContent xmlns:mc="http://schemas.openxmlformats.org/markup-compatibility/2006">
    <mc:Choice Requires="x15">
      <x15ac:absPath xmlns:x15ac="http://schemas.microsoft.com/office/spreadsheetml/2010/11/ac" url="C:\Users\refpa\Documents\TRABALHO\FOSCAKIZADORA\ESPLANADA\"/>
    </mc:Choice>
  </mc:AlternateContent>
  <xr:revisionPtr revIDLastSave="0" documentId="8_{E21C52DE-99B5-476D-A7C2-2A062D3E440D}" xr6:coauthVersionLast="46" xr6:coauthVersionMax="46" xr10:uidLastSave="{00000000-0000-0000-0000-000000000000}"/>
  <bookViews>
    <workbookView xWindow="-120" yWindow="-120" windowWidth="20730" windowHeight="11160" tabRatio="906" xr2:uid="{3805EF9B-A5EC-4D3A-B1FF-E4D22722F995}"/>
  </bookViews>
  <sheets>
    <sheet name="Rosto" sheetId="51" r:id="rId1"/>
    <sheet name="Resumo" sheetId="31" r:id="rId2"/>
    <sheet name="Sup Cont" sheetId="30" r:id="rId3"/>
    <sheet name="Sup Tec" sheetId="49" r:id="rId4"/>
    <sheet name="Insumos" sheetId="50" r:id="rId5"/>
  </sheets>
  <definedNames>
    <definedName name="_xlnm.Print_Area" localSheetId="1">Resumo!$A$1:$G$12</definedName>
    <definedName name="_xlnm.Print_Area" localSheetId="0">Rosto!$A$1:$H$79</definedName>
    <definedName name="_xlnm.Print_Area" localSheetId="2">'Sup Cont'!$A$1:$F$120</definedName>
    <definedName name="_xlnm.Print_Area" localSheetId="3">'Sup Tec'!$A$1:$F$118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50" l="1"/>
  <c r="D21" i="50"/>
  <c r="A67" i="51"/>
  <c r="I68" i="49" l="1"/>
  <c r="E66" i="49"/>
  <c r="E63" i="49"/>
  <c r="E66" i="30"/>
  <c r="E63" i="30"/>
  <c r="D15" i="50" l="1"/>
  <c r="D16" i="50" s="1"/>
  <c r="D5" i="50"/>
  <c r="D6" i="50"/>
  <c r="D7" i="50"/>
  <c r="D8" i="50"/>
  <c r="D4" i="50"/>
  <c r="F94" i="49" l="1"/>
  <c r="D9" i="50"/>
  <c r="D10" i="50" s="1"/>
  <c r="F91" i="49" l="1"/>
  <c r="F91" i="30"/>
  <c r="E107" i="49"/>
  <c r="I102" i="49"/>
  <c r="H102" i="49"/>
  <c r="J102" i="49" s="1"/>
  <c r="F96" i="49"/>
  <c r="F115" i="49" s="1"/>
  <c r="F81" i="49"/>
  <c r="F86" i="49" s="1"/>
  <c r="E77" i="49"/>
  <c r="K66" i="49"/>
  <c r="M65" i="49"/>
  <c r="H62" i="49"/>
  <c r="I62" i="49" s="1"/>
  <c r="E62" i="49"/>
  <c r="K61" i="49"/>
  <c r="I45" i="49"/>
  <c r="F45" i="49" s="1"/>
  <c r="J44" i="49"/>
  <c r="I44" i="49"/>
  <c r="E41" i="49"/>
  <c r="E65" i="49" s="1"/>
  <c r="E67" i="49" s="1"/>
  <c r="E30" i="49"/>
  <c r="F18" i="49"/>
  <c r="F24" i="49" s="1"/>
  <c r="F111" i="49" s="1"/>
  <c r="K44" i="49" l="1"/>
  <c r="F44" i="49" s="1"/>
  <c r="F50" i="49"/>
  <c r="F56" i="49" s="1"/>
  <c r="I80" i="49"/>
  <c r="F72" i="49"/>
  <c r="F61" i="49"/>
  <c r="F75" i="49"/>
  <c r="F71" i="49"/>
  <c r="F66" i="49"/>
  <c r="F64" i="49"/>
  <c r="F62" i="49"/>
  <c r="F28" i="49"/>
  <c r="F74" i="49"/>
  <c r="F63" i="49"/>
  <c r="F73" i="49"/>
  <c r="F65" i="49"/>
  <c r="F29" i="49"/>
  <c r="F76" i="49"/>
  <c r="F86" i="30"/>
  <c r="F81" i="30"/>
  <c r="I102" i="30"/>
  <c r="H102" i="30"/>
  <c r="J102" i="30" s="1"/>
  <c r="F30" i="49" l="1"/>
  <c r="F67" i="49"/>
  <c r="F113" i="49" s="1"/>
  <c r="F77" i="49"/>
  <c r="F85" i="49" s="1"/>
  <c r="F87" i="49" s="1"/>
  <c r="F114" i="49" s="1"/>
  <c r="F54" i="49" l="1"/>
  <c r="F35" i="49"/>
  <c r="F34" i="49"/>
  <c r="F40" i="49"/>
  <c r="F37" i="49"/>
  <c r="F36" i="49"/>
  <c r="F39" i="49"/>
  <c r="F38" i="49"/>
  <c r="F33" i="49"/>
  <c r="F41" i="49" l="1"/>
  <c r="F55" i="49" s="1"/>
  <c r="F57" i="49"/>
  <c r="F112" i="49" s="1"/>
  <c r="F116" i="49" s="1"/>
  <c r="H81" i="49" l="1"/>
  <c r="I81" i="49" s="1"/>
  <c r="H98" i="49"/>
  <c r="H99" i="49" l="1"/>
  <c r="F100" i="49" s="1"/>
  <c r="H100" i="49" l="1"/>
  <c r="H101" i="49" l="1"/>
  <c r="F101" i="49" s="1"/>
  <c r="K61" i="30"/>
  <c r="K66" i="30"/>
  <c r="M65" i="30"/>
  <c r="H62" i="30"/>
  <c r="I62" i="30" s="1"/>
  <c r="H103" i="49" l="1"/>
  <c r="E62" i="30"/>
  <c r="H104" i="49" l="1"/>
  <c r="F104" i="49" s="1"/>
  <c r="H106" i="49"/>
  <c r="F106" i="49" s="1"/>
  <c r="H105" i="49"/>
  <c r="F105" i="49" s="1"/>
  <c r="J44" i="30"/>
  <c r="I45" i="30"/>
  <c r="F45" i="30" s="1"/>
  <c r="F46" i="30" s="1"/>
  <c r="I44" i="30"/>
  <c r="E30" i="30"/>
  <c r="F18" i="30"/>
  <c r="F107" i="49" l="1"/>
  <c r="F117" i="49" s="1"/>
  <c r="F118" i="49" s="1"/>
  <c r="B6" i="31" s="1"/>
  <c r="K44" i="30"/>
  <c r="F44" i="30" l="1"/>
  <c r="F50" i="30" s="1"/>
  <c r="E41" i="30"/>
  <c r="E65" i="30" l="1"/>
  <c r="F96" i="30"/>
  <c r="F115" i="30" s="1"/>
  <c r="E107" i="30"/>
  <c r="E77" i="30"/>
  <c r="F24" i="30"/>
  <c r="E67" i="30" l="1"/>
  <c r="I80" i="30" s="1"/>
  <c r="F74" i="30"/>
  <c r="F62" i="30"/>
  <c r="F61" i="30"/>
  <c r="F75" i="30"/>
  <c r="F63" i="30"/>
  <c r="F29" i="30"/>
  <c r="F72" i="30"/>
  <c r="F76" i="30"/>
  <c r="F64" i="30"/>
  <c r="F28" i="30"/>
  <c r="F73" i="30"/>
  <c r="F71" i="30"/>
  <c r="F66" i="30"/>
  <c r="F65" i="30"/>
  <c r="F56" i="30"/>
  <c r="F111" i="30"/>
  <c r="F77" i="30" l="1"/>
  <c r="F85" i="30" s="1"/>
  <c r="F87" i="30" s="1"/>
  <c r="F114" i="30" s="1"/>
  <c r="F67" i="30"/>
  <c r="F113" i="30" s="1"/>
  <c r="F30" i="30"/>
  <c r="F33" i="30" l="1"/>
  <c r="H30" i="30"/>
  <c r="F34" i="30"/>
  <c r="F37" i="30"/>
  <c r="F36" i="30"/>
  <c r="F38" i="30"/>
  <c r="F39" i="30"/>
  <c r="F35" i="30"/>
  <c r="F54" i="30"/>
  <c r="F40" i="30"/>
  <c r="F41" i="30" l="1"/>
  <c r="F55" i="30" s="1"/>
  <c r="F57" i="30" s="1"/>
  <c r="F112" i="30" l="1"/>
  <c r="F116" i="30" s="1"/>
  <c r="H98" i="30"/>
  <c r="H81" i="30"/>
  <c r="I81" i="30" s="1"/>
  <c r="H99" i="30" l="1"/>
  <c r="F100" i="30" s="1"/>
  <c r="H100" i="30" l="1"/>
  <c r="H101" i="30" s="1"/>
  <c r="H103" i="30" l="1"/>
  <c r="F101" i="30"/>
  <c r="H105" i="30" l="1"/>
  <c r="F105" i="30" s="1"/>
  <c r="H104" i="30"/>
  <c r="F104" i="30" s="1"/>
  <c r="H106" i="30"/>
  <c r="F106" i="30" s="1"/>
  <c r="D6" i="31" l="1"/>
  <c r="F6" i="31" s="1"/>
  <c r="F107" i="30"/>
  <c r="F117" i="30" s="1"/>
  <c r="F118" i="30" s="1"/>
  <c r="G6" i="31" l="1"/>
  <c r="L6" i="31" s="1"/>
  <c r="I6" i="31"/>
  <c r="F119" i="30"/>
  <c r="B5" i="31" s="1"/>
  <c r="D5" i="31" l="1"/>
  <c r="F5" i="31" s="1"/>
  <c r="F120" i="30"/>
  <c r="F7" i="31" l="1"/>
  <c r="I5" i="31"/>
  <c r="G5" i="31"/>
  <c r="L5" i="31" s="1"/>
  <c r="G23" i="51" l="1"/>
  <c r="F124" i="30"/>
  <c r="F124" i="49"/>
  <c r="G9" i="31"/>
  <c r="G25" i="51" l="1"/>
  <c r="F125" i="49"/>
  <c r="F125" i="30"/>
</calcChain>
</file>

<file path=xl/sharedStrings.xml><?xml version="1.0" encoding="utf-8"?>
<sst xmlns="http://schemas.openxmlformats.org/spreadsheetml/2006/main" count="498" uniqueCount="231">
  <si>
    <t>DISCRIMINAÇÃO DOS SERVIÇOS</t>
  </si>
  <si>
    <t>A</t>
  </si>
  <si>
    <t>Data de apresentação da proposta</t>
  </si>
  <si>
    <t>B</t>
  </si>
  <si>
    <t>Município</t>
  </si>
  <si>
    <t>C</t>
  </si>
  <si>
    <t>D</t>
  </si>
  <si>
    <t>Nº de meses de execução contratual</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</si>
  <si>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</si>
  <si>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</si>
  <si>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</si>
  <si>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</si>
  <si>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</si>
  <si>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Data base da categoria (dia/mês/ano)</t>
  </si>
  <si>
    <t>MÓDULO 1 - COMPOSIÇÃO DA REMUNERAÇÃO</t>
  </si>
  <si>
    <t>COMPOSIÇÃO DA REMUNERAÇÃO</t>
  </si>
  <si>
    <t>%</t>
  </si>
  <si>
    <t>VALOR (R$)</t>
  </si>
  <si>
    <t>Salário Base</t>
  </si>
  <si>
    <t>Adicional Periculosidade</t>
  </si>
  <si>
    <t>Adicional Insalubridade</t>
  </si>
  <si>
    <t>Adicional Noturno</t>
  </si>
  <si>
    <t>E</t>
  </si>
  <si>
    <t>Adicional de Hora Noturna Reduzida</t>
  </si>
  <si>
    <t>F</t>
  </si>
  <si>
    <t>Outros (especificar) -</t>
  </si>
  <si>
    <t>TOTAL DO MÓDULO 1</t>
  </si>
  <si>
    <t>.</t>
  </si>
  <si>
    <t>MÓDULO 2 – ENCARGOS E BENEFÍCIOS ANUAIS, MENSAIS E DIÁRIOS</t>
  </si>
  <si>
    <t>Submódulo 2.1 - 13º Salário, Férias e Adicional de Férias</t>
  </si>
  <si>
    <t>13 (Décimo-terceiro) salário</t>
  </si>
  <si>
    <t>Férias e Adicional de Férias</t>
  </si>
  <si>
    <t>TOTAL SUBMÓDULO 2.1</t>
  </si>
  <si>
    <t>Submódulo 2.2 - GPS, FGTS e Outras Contribuições</t>
  </si>
  <si>
    <t>G</t>
  </si>
  <si>
    <t>H</t>
  </si>
  <si>
    <t>TOTAL SUBMÓDULO 2.2</t>
  </si>
  <si>
    <t>Submódulo 2.3 - Benefícios Mensais e Diários</t>
  </si>
  <si>
    <t>TOTAL SUBMÓDULO 2.3</t>
  </si>
  <si>
    <t>QUADRO-RESUMO DO MÓDULO 2 - ENCARGOS, BENEFÍCIOS ANUAIS, MENSAIS E DIÁRIOS</t>
  </si>
  <si>
    <t>DESCRIÇÃO</t>
  </si>
  <si>
    <t>13º Salário, Férias e Adicional de Férias</t>
  </si>
  <si>
    <t>GPS, FGTS e Outras Contribuições</t>
  </si>
  <si>
    <t>Benefícios Mensais e Diários</t>
  </si>
  <si>
    <t>TOTAL DO MÓDULO 2</t>
  </si>
  <si>
    <t>MÓDULO 3 – PROVISÃO PARA RESCISÃO</t>
  </si>
  <si>
    <t>PROVISÃO PARA RESCISÃO</t>
  </si>
  <si>
    <t>Incidência dos encargos do submódulo 2.2 sobre Aviso Prévio Trabalhado</t>
  </si>
  <si>
    <t>TOTAL DO MÓDULO 3</t>
  </si>
  <si>
    <t>MÓDULO 4 – CUSTO DE REPOSIÇÃO DO PROFISSIONAL AUSENTE</t>
  </si>
  <si>
    <t>Submódulo 4.1 - Ausências Legais</t>
  </si>
  <si>
    <t>Ausências Legais</t>
  </si>
  <si>
    <t>TOTAL SUBMÓDULO 4.1</t>
  </si>
  <si>
    <t>Submódulo 4.2 - Intrajornada</t>
  </si>
  <si>
    <t>Intervalo para Repouso ou Alimentação</t>
  </si>
  <si>
    <t>TOTAL SUBMÓDULO 4.2</t>
  </si>
  <si>
    <t>QUADRO-RESUMO DO MÓDULO 4 - CUSTO DE REPOSIÇÃO DO PROFISSIONAL AUSENTE</t>
  </si>
  <si>
    <t>Módulo 4 - Custo de Reposição do Profissional Ausente</t>
  </si>
  <si>
    <t>Intrajornada</t>
  </si>
  <si>
    <t>TOTAL DO MÓDULO 4</t>
  </si>
  <si>
    <t>MÓDULO 5 – INSUMOS DIVERSOS</t>
  </si>
  <si>
    <t>INSUMOS DIVERSOS</t>
  </si>
  <si>
    <t>TOTAL DO MÓDULO 5</t>
  </si>
  <si>
    <t>MÓDULO 6 – CUSTOS INDIRETOS, TRIBUTOS E LUCRO</t>
  </si>
  <si>
    <t>CUSTOS INDIRETOS, TRIBUTOS E LUCRO</t>
  </si>
  <si>
    <t>Custos Indiretos</t>
  </si>
  <si>
    <t>Lucro</t>
  </si>
  <si>
    <t>TRIBUTOS</t>
  </si>
  <si>
    <t>Base Cálculo</t>
  </si>
  <si>
    <t>Base
Racional</t>
  </si>
  <si>
    <t>C.1</t>
  </si>
  <si>
    <t>C.2</t>
  </si>
  <si>
    <t>C.3</t>
  </si>
  <si>
    <t>TOTAL DO MÓDULO 6</t>
  </si>
  <si>
    <t>QUADRO RESUMO DO CUSTO POR EMPREGADO</t>
  </si>
  <si>
    <t>Mão-de-Obra vinculada à execução contratual (valor por empregado)</t>
  </si>
  <si>
    <t>Subtotal (A + B + C + D + E)</t>
  </si>
  <si>
    <t>Valor Total por Empregado</t>
  </si>
  <si>
    <t>BRASÍLIA</t>
  </si>
  <si>
    <t>DF000001/2020</t>
  </si>
  <si>
    <t xml:space="preserve">Materiais </t>
  </si>
  <si>
    <t>2.1</t>
  </si>
  <si>
    <t>2.2</t>
  </si>
  <si>
    <t>4.1</t>
  </si>
  <si>
    <t>EPI's</t>
  </si>
  <si>
    <t>(1 Remuneração + 0,0833 13º Salário + 0,0833 Férias + 0,0278 Adic.Férias) x 0,5 Multa x 0,08 FGTS x 0,9 x 0,5 = 2,15</t>
  </si>
  <si>
    <t>(0,50)*0,08 *0,004)X100 = 0,02%</t>
  </si>
  <si>
    <t>QUADRO RESUMO - VALOR MENSAL E ANUAL</t>
  </si>
  <si>
    <t>Tipo do serviço</t>
  </si>
  <si>
    <t>(A)</t>
  </si>
  <si>
    <t>( C )</t>
  </si>
  <si>
    <t>(B)</t>
  </si>
  <si>
    <t>(D) = (B x C)</t>
  </si>
  <si>
    <t>(E)</t>
  </si>
  <si>
    <t>(F) = (D x E)</t>
  </si>
  <si>
    <t>Valor Proposto
por Empregado</t>
  </si>
  <si>
    <t>Qtde. de Empregados por Posto</t>
  </si>
  <si>
    <t>Outros (Especificar)</t>
  </si>
  <si>
    <t xml:space="preserve">PLANILHA DE CUSTOS E FORMAÇÃO DE PREÇOS  - INSTRUÇÃO NORMATIVA N° 5 , DE 25 DE MAIO DE 2017.  </t>
  </si>
  <si>
    <t>Valor Mensal dos Serviços - Mão de obra</t>
  </si>
  <si>
    <t>Valor Anual dos Serviços - Mão de obra</t>
  </si>
  <si>
    <t>Estimados unitários</t>
  </si>
  <si>
    <t>Diferença</t>
  </si>
  <si>
    <t xml:space="preserve">Ano do Acordo, Convenção ou Dissídio Coletivo </t>
  </si>
  <si>
    <t>Sindicato da Categoria:</t>
  </si>
  <si>
    <t>2.3</t>
  </si>
  <si>
    <t>4.2</t>
  </si>
  <si>
    <t>Valor Anual
do Serviço</t>
  </si>
  <si>
    <t>(G) = (F x 12)</t>
  </si>
  <si>
    <t>Valor Mensal
do Serviço</t>
  </si>
  <si>
    <t>DF000542/2019</t>
  </si>
  <si>
    <t>Valor por hora do Empregado</t>
  </si>
  <si>
    <t>Valor para 125 horas, conforme Edital</t>
  </si>
  <si>
    <t>Apoio à Fiscalização Administrativa</t>
  </si>
  <si>
    <t>Apoio à Fiscalização Técnica</t>
  </si>
  <si>
    <t>Valor Proposto
por Posto / Hora de serviço</t>
  </si>
  <si>
    <t>Qtde. de
Postos / Hrs de serviços*</t>
  </si>
  <si>
    <t>*125 horas mensais, conforme 9.3.1 do TR. Por não se trata de dedicação exclusiva, nos termos do 5.6-I, é possível a proporcionalidade do pagamento.</t>
  </si>
  <si>
    <t>**O custo da Fiscalização Administrativa guarda relação com a eventualidade do serviço, tanto que não haverá repactuação para o Item I, nos termos do 19.1 TR</t>
  </si>
  <si>
    <t>Lance</t>
  </si>
  <si>
    <t>PLANILHA DE CUSTOS DE UNIFORMES</t>
  </si>
  <si>
    <t>VALOR UNITÁRIO</t>
  </si>
  <si>
    <t>QUANTDADE ANUAL</t>
  </si>
  <si>
    <t>VALOR TOTAL</t>
  </si>
  <si>
    <t>BLAZER</t>
  </si>
  <si>
    <t>CALÇA</t>
  </si>
  <si>
    <t>CAMISA</t>
  </si>
  <si>
    <t>SAPATO</t>
  </si>
  <si>
    <t>Valor total do uniforme</t>
  </si>
  <si>
    <t>Valor total do uniforme por empregado</t>
  </si>
  <si>
    <t>MEIA social</t>
  </si>
  <si>
    <t>TABLET</t>
  </si>
  <si>
    <t>2019/2020</t>
  </si>
  <si>
    <t>SUPEVISOR ADMINISTRATIVO</t>
  </si>
  <si>
    <t>ESTE CUSTO NOA PODERÁ SER MENOR, HAJA VISTA QUE O MESMO SERÁ RETIDO EM CONTA VINCULADA</t>
  </si>
  <si>
    <t>Desconto do vale alimentação conforme CCT</t>
  </si>
  <si>
    <t>SUPERVISOR TÉCNICO</t>
  </si>
  <si>
    <t>ENCRREGADO GERAL</t>
  </si>
  <si>
    <t>PLANILHA DE CUSTOS DE EQUIPAMENTOS</t>
  </si>
  <si>
    <r>
      <t xml:space="preserve">Incidência do FGTS sobre Aviso Prévio Indenizado  =          </t>
    </r>
    <r>
      <rPr>
        <sz val="9"/>
        <color rgb="FFFF0000"/>
        <rFont val="Calibri Light"/>
        <family val="2"/>
        <scheme val="major"/>
      </rPr>
      <t xml:space="preserve">8% X 0,42%  </t>
    </r>
  </si>
  <si>
    <r>
      <t xml:space="preserve">Aviso Prévio Trabalhado  </t>
    </r>
    <r>
      <rPr>
        <sz val="9"/>
        <color rgb="FFFF0000"/>
        <rFont val="Calibri Light"/>
        <family val="2"/>
        <scheme val="major"/>
      </rPr>
      <t xml:space="preserve">  (((7/30)/12)x100x0,02)- Manual do MPOG / Art. 7º XXI, CF/88, 477 e 491 CLT </t>
    </r>
  </si>
  <si>
    <r>
      <t xml:space="preserve">Uniformes </t>
    </r>
    <r>
      <rPr>
        <sz val="9"/>
        <color rgb="FFFF0000"/>
        <rFont val="Calibri Light"/>
        <family val="2"/>
        <scheme val="major"/>
      </rPr>
      <t xml:space="preserve"> ( planilha em anexo)</t>
    </r>
  </si>
  <si>
    <r>
      <t xml:space="preserve">Equipamentos ( Tablet)  </t>
    </r>
    <r>
      <rPr>
        <sz val="9"/>
        <color rgb="FFFF0000"/>
        <rFont val="Calibri Light"/>
        <family val="2"/>
        <scheme val="major"/>
      </rPr>
      <t>( Planilha em anexo)</t>
    </r>
  </si>
  <si>
    <r>
      <t xml:space="preserve">PIS  </t>
    </r>
    <r>
      <rPr>
        <sz val="9"/>
        <color rgb="FFFF0000"/>
        <rFont val="Calibri Light"/>
        <family val="2"/>
        <scheme val="major"/>
      </rPr>
      <t xml:space="preserve"> (confrome legislação)</t>
    </r>
  </si>
  <si>
    <r>
      <t xml:space="preserve">COFINS </t>
    </r>
    <r>
      <rPr>
        <sz val="9"/>
        <color rgb="FFFF0000"/>
        <rFont val="Calibri Light"/>
        <family val="2"/>
        <scheme val="major"/>
      </rPr>
      <t xml:space="preserve"> ( conforme legislação)</t>
    </r>
  </si>
  <si>
    <r>
      <t>ISS</t>
    </r>
    <r>
      <rPr>
        <sz val="9"/>
        <color rgb="FFFF0000"/>
        <rFont val="Calibri Light"/>
        <family val="2"/>
        <scheme val="major"/>
      </rPr>
      <t xml:space="preserve">  ( conforme legislação)</t>
    </r>
  </si>
  <si>
    <r>
      <t xml:space="preserve">SAT (Seguro Acidente de Trabalho) </t>
    </r>
    <r>
      <rPr>
        <sz val="9"/>
        <color rgb="FFFF0000"/>
        <rFont val="Calibri Light"/>
        <family val="2"/>
        <scheme val="major"/>
      </rPr>
      <t xml:space="preserve">  Anexo V do Decreto n.º 3.048/1999- GFIP ANEXO</t>
    </r>
  </si>
  <si>
    <r>
      <t xml:space="preserve">Salário Educação               </t>
    </r>
    <r>
      <rPr>
        <sz val="9"/>
        <color rgb="FFFF0000"/>
        <rFont val="Calibri Light"/>
        <family val="2"/>
        <scheme val="major"/>
      </rPr>
      <t xml:space="preserve"> Art. 3º, Inciso I, Decreto n.º 87.043/82.</t>
    </r>
  </si>
  <si>
    <r>
      <t xml:space="preserve">SENAI - SENAC                 </t>
    </r>
    <r>
      <rPr>
        <sz val="9"/>
        <color rgb="FFFF0000"/>
        <rFont val="Calibri Light"/>
        <family val="2"/>
        <scheme val="major"/>
      </rPr>
      <t xml:space="preserve"> Decreto n.º 2.318/86.</t>
    </r>
  </si>
  <si>
    <r>
      <t xml:space="preserve">SEBRAE                              </t>
    </r>
    <r>
      <rPr>
        <sz val="9"/>
        <color rgb="FFFF0000"/>
        <rFont val="Calibri Light"/>
        <family val="2"/>
        <scheme val="major"/>
      </rPr>
      <t>Art. 8º, Lei n.º 8.029/90 e Lei n.º 8.154/90</t>
    </r>
  </si>
  <si>
    <r>
      <t xml:space="preserve">INCRA                                </t>
    </r>
    <r>
      <rPr>
        <sz val="9"/>
        <color rgb="FFFF0000"/>
        <rFont val="Calibri Light"/>
        <family val="2"/>
        <scheme val="major"/>
      </rPr>
      <t>Lei n.º 7.787/89 e DL n.º 1.146/70.</t>
    </r>
  </si>
  <si>
    <r>
      <t xml:space="preserve">FGTS                                   </t>
    </r>
    <r>
      <rPr>
        <sz val="9"/>
        <color rgb="FFFF0000"/>
        <rFont val="Calibri Light"/>
        <family val="2"/>
        <scheme val="major"/>
      </rPr>
      <t>Art. 15, Lei nº 8.030/90 e Art. 7º, III, CF.</t>
    </r>
  </si>
  <si>
    <r>
      <t xml:space="preserve">SESC ou SESI                       </t>
    </r>
    <r>
      <rPr>
        <sz val="9"/>
        <color rgb="FFFF0000"/>
        <rFont val="Calibri Light"/>
        <family val="2"/>
        <scheme val="major"/>
      </rPr>
      <t>Art. 3º, Lei n.º 8.036/90.</t>
    </r>
  </si>
  <si>
    <r>
      <rPr>
        <sz val="9"/>
        <rFont val="Calibri Light"/>
        <family val="2"/>
        <scheme val="major"/>
      </rPr>
      <t xml:space="preserve">INSS         </t>
    </r>
    <r>
      <rPr>
        <sz val="9"/>
        <color rgb="FFFF0000"/>
        <rFont val="Calibri Light"/>
        <family val="2"/>
        <scheme val="major"/>
      </rPr>
      <t xml:space="preserve">                             Art. 22, Inciso I, da Lei nº 8.212/91.</t>
    </r>
  </si>
  <si>
    <r>
      <t xml:space="preserve">INSS         </t>
    </r>
    <r>
      <rPr>
        <sz val="9"/>
        <color rgb="FFFF0000"/>
        <rFont val="Calibri Light"/>
        <family val="2"/>
        <scheme val="major"/>
      </rPr>
      <t xml:space="preserve">                             Art. 22, Inciso I, da Lei nº 8.212/91.</t>
    </r>
  </si>
  <si>
    <r>
      <t xml:space="preserve">Transporte  =                                              </t>
    </r>
    <r>
      <rPr>
        <sz val="9"/>
        <color rgb="FFFF0000"/>
        <rFont val="Calibri Light"/>
        <family val="2"/>
        <scheme val="major"/>
      </rPr>
      <t xml:space="preserve"> ( 5,5*2*21) - 6% ( conforme CLT e CCT )</t>
    </r>
  </si>
  <si>
    <r>
      <t xml:space="preserve">Auxílio-Refeição/Alimentação  =                </t>
    </r>
    <r>
      <rPr>
        <sz val="9"/>
        <color rgb="FFFF0000"/>
        <rFont val="Calibri Light"/>
        <family val="2"/>
        <scheme val="major"/>
      </rPr>
      <t>( 22*21) - 5% = conforme CCt da Categoria</t>
    </r>
  </si>
  <si>
    <r>
      <t xml:space="preserve">Assistência Médica e Familiar -            </t>
    </r>
    <r>
      <rPr>
        <sz val="9"/>
        <color rgb="FFFF0000"/>
        <rFont val="Calibri Light"/>
        <family val="2"/>
        <scheme val="major"/>
      </rPr>
      <t>não se aplica</t>
    </r>
  </si>
  <si>
    <r>
      <t>Auxílio Funeral -</t>
    </r>
    <r>
      <rPr>
        <sz val="9"/>
        <color rgb="FFFF0000"/>
        <rFont val="Calibri Light"/>
        <family val="2"/>
        <scheme val="major"/>
      </rPr>
      <t xml:space="preserve">                                    Não se aplica</t>
    </r>
  </si>
  <si>
    <r>
      <t>Aviso Prévio Indenizado =</t>
    </r>
    <r>
      <rPr>
        <sz val="9"/>
        <color rgb="FFFF0000"/>
        <rFont val="Calibri Light"/>
        <family val="2"/>
        <scheme val="major"/>
      </rPr>
      <t xml:space="preserve">      ((1/12)x0,05) x 100 = 0,42%  / Art. 7º, XXI, CF/88, 477, 487 e ss, CLT</t>
    </r>
  </si>
  <si>
    <r>
      <t>Substituto na cobertura de Férias férias =</t>
    </r>
    <r>
      <rPr>
        <sz val="9"/>
        <color rgb="FFFF0000"/>
        <rFont val="Calibri Light"/>
        <family val="2"/>
        <scheme val="major"/>
      </rPr>
      <t>8,33%+ um terço de férias = 8,33%/3=2,78%)/12 =0,92% / IN 05/2018 e Art.473 e 83 da CLT.</t>
    </r>
  </si>
  <si>
    <r>
      <t xml:space="preserve">Substituto na cobertura de Licença Paternidade = </t>
    </r>
    <r>
      <rPr>
        <sz val="9"/>
        <color rgb="FFFF0000"/>
        <rFont val="Calibri Light"/>
        <family val="2"/>
        <scheme val="major"/>
      </rPr>
      <t>{[(5/30)/12]x0,015}x 100 = 0,02% = Art. 7º, XIX, CF/88 e 10, § 1º, da CLT.</t>
    </r>
  </si>
  <si>
    <r>
      <t xml:space="preserve">Substituo na cobertura de Ausência por Acidente de Trabalho </t>
    </r>
    <r>
      <rPr>
        <sz val="9"/>
        <color rgb="FFFF0000"/>
        <rFont val="Calibri Light"/>
        <family val="2"/>
        <scheme val="major"/>
      </rPr>
      <t>=  {[(15/30)/12]*0,008}x100 = 0,03% / Art. 19 a 23 da Lei n.º 8.213/91</t>
    </r>
  </si>
  <si>
    <r>
      <t>Substituto na cobertura por Afastamento Maternidade =</t>
    </r>
    <r>
      <rPr>
        <sz val="9"/>
        <color rgb="FFFF0000"/>
        <rFont val="Calibri Light"/>
        <family val="2"/>
        <scheme val="major"/>
      </rPr>
      <t>{[(5/30)/12]x0,015}x 100 = 0,02% / Art. 7º, XIX, CF/88 e 10, § 1º, da CLT</t>
    </r>
  </si>
  <si>
    <r>
      <t xml:space="preserve">Substituo na cobertura de Ausências Legais =  </t>
    </r>
    <r>
      <rPr>
        <sz val="9"/>
        <color rgb="FFFF0000"/>
        <rFont val="Calibri Light"/>
        <family val="2"/>
        <scheme val="major"/>
      </rPr>
      <t xml:space="preserve"> ((2,96/30)x1/12)x100 = 0,08% = Metodologia do TCU</t>
    </r>
  </si>
  <si>
    <r>
      <t xml:space="preserve">Auxílio-Refeição/Alimentação  =                </t>
    </r>
    <r>
      <rPr>
        <sz val="9"/>
        <color rgb="FFFF0000"/>
        <rFont val="Calibri Light"/>
        <family val="2"/>
        <scheme val="major"/>
      </rPr>
      <t>( 33,62*21) - 5% = conforme CCt da Categoria</t>
    </r>
  </si>
  <si>
    <r>
      <t xml:space="preserve">Plano Odontológico                                </t>
    </r>
    <r>
      <rPr>
        <sz val="9"/>
        <color rgb="FFFF0000"/>
        <rFont val="Calibri Light"/>
        <family val="2"/>
        <scheme val="major"/>
      </rPr>
      <t xml:space="preserve"> não se aplica</t>
    </r>
  </si>
  <si>
    <t>CONTADOR JUNIOR</t>
  </si>
  <si>
    <r>
      <t xml:space="preserve">Multa do FGTS sobre o Aviso Prévio Indenizado =          </t>
    </r>
    <r>
      <rPr>
        <sz val="9"/>
        <color rgb="FFFF0000"/>
        <rFont val="Calibri Light"/>
        <family val="2"/>
        <scheme val="major"/>
      </rPr>
      <t>Art. 12 da Lei nº 13.932, de 11 de dezembro de 2019 = (0,08*0,4*0,9*(1+1/12+1/12+(1/3*1/12))</t>
    </r>
  </si>
  <si>
    <r>
      <t xml:space="preserve">Multa do FGTS sobre o Aviso Prévio Trabalhado = </t>
    </r>
    <r>
      <rPr>
        <sz val="9"/>
        <color rgb="FFFF0000"/>
        <rFont val="Calibri Light"/>
        <family val="2"/>
        <scheme val="major"/>
      </rPr>
      <t xml:space="preserve">     Art. 12 da Lei nº 13.932, de 11 de dezembro de 2019 = (0,04*0,08)*0,4</t>
    </r>
  </si>
  <si>
    <r>
      <t xml:space="preserve">Multa do FGTS sobre o Aviso Prévio Indenizado =          </t>
    </r>
    <r>
      <rPr>
        <sz val="9"/>
        <color rgb="FFFF0000"/>
        <rFont val="Calibri Light"/>
        <family val="2"/>
        <scheme val="major"/>
      </rPr>
      <t>Art. 12 da Lei nº 13.932, de 11 de dezembro de 2019  = (0,08*0,4*0,9*(1+1/12+1/12+(1/3*1/12))</t>
    </r>
  </si>
  <si>
    <r>
      <t xml:space="preserve">Multa do FGTS sobre o Aviso Prévio Trabalhado = </t>
    </r>
    <r>
      <rPr>
        <sz val="9"/>
        <color rgb="FFFF0000"/>
        <rFont val="Calibri Light"/>
        <family val="2"/>
        <scheme val="major"/>
      </rPr>
      <t xml:space="preserve">     Art. 12 da Lei nº 13.932, de 11 de dezembro de 2019 =  (0,04*0,08)*0,4</t>
    </r>
  </si>
  <si>
    <t>Outros ( especificar)</t>
  </si>
  <si>
    <t>AO</t>
  </si>
  <si>
    <t>MINISTÉRIO DA ECONOMIA</t>
  </si>
  <si>
    <t xml:space="preserve">PREGÃO ELETRÔNICO Nº </t>
  </si>
  <si>
    <t>02/2021</t>
  </si>
  <si>
    <t>PROPOSTA COMERCIAL</t>
  </si>
  <si>
    <t>NOME DA PROPONENTE: ESPLANADA SERVIÇOS TERCEIRIZADOS EIRELI</t>
  </si>
  <si>
    <t>CNPJ: 01.099.686/0001-82</t>
  </si>
  <si>
    <t>ENDEREÇO: ADE, Conjunto 08, Lote 30 – Brasília - DF</t>
  </si>
  <si>
    <t>TELEFONE: (61) 3973-0888</t>
  </si>
  <si>
    <t>E-MAIL: publico@esplanadaservicos.com.br / publico.esplanadaservicos@gmail.com</t>
  </si>
  <si>
    <t>OBJETO:</t>
  </si>
  <si>
    <t>CONTRATAÇÃO DE EMPRESA PARA A PRESTAÇÃO DE APOIO À FISCALIZAÇÃO DO CONTRATO ADMINISTRATIVO DE SERVIÇO DE LIMPEZA DAS EDIFICAÇÕES DO MINISTÉRIO DA ECONOMIA - ME LOCALIZADAS NO DISTRITO FEDERAL, CONFORME ESPECIFICAÇÕES, CONDIÇÕES, QUANTIDADES E EXIGÊNCIAS ESTABELECIDAS NO TERMO DE REFERÊNCIA, ANEXO I DESTE EDITAL</t>
  </si>
  <si>
    <t>DOS PREÇOS:</t>
  </si>
  <si>
    <t>VALOR MENSAL</t>
  </si>
  <si>
    <t>VALOR ANUAL</t>
  </si>
  <si>
    <t xml:space="preserve">PRAZO DE VALIDADE DA PROPOSTA: </t>
  </si>
  <si>
    <t>60 (sessenta) dias, contados da data de sua apresentação.</t>
  </si>
  <si>
    <t>A empresa, por intermédio de seu representante legal abaixo identificado, para todos os efeitos legais e administrativos, sob as penas da lei, DECLARA:</t>
  </si>
  <si>
    <t>1. que se responsabiliza pelas transações efetuadas em seu nome, assumindo como firmes e verdadeiras suas propostas e lances, inclusive os atos praticados diretamente ou por seu representante, não cabendo à demandante do presente processo a responsabilidade por eventuais danos decorrentes de uso indevido da senha, ainda que por terceiros.</t>
  </si>
  <si>
    <t xml:space="preserve">2.  que os sócios que integram a composição societária do Licitante não há empregados do quadro de pessoal deste órgão, e nem exercem função de confiança, função de dirigente, ou que seja responsável pela presente licitação, nos termos do inciso III, do art. 9º da Lei nº 8.666, de 1993; </t>
  </si>
  <si>
    <t>3. que não alocaremos familiares de empregado do orgão, que exerça cargo de confiança ou função de confiança, na execução do objeto deste Edital, nos termos do art. 7º do Decreto nº 7.203, de 2010;</t>
  </si>
  <si>
    <t xml:space="preserve">4. que estamos legalmente estabelecidos e que exploramos o ramo de atividade pertinente e compatível com o objeto deste Edital e seus anexos; </t>
  </si>
  <si>
    <t>5. que os preços contidos na proposta incluem todos os custos, tais como: salário, ônus tributários, fiscais, parafiscais, trabalhistas e sociais, auxílio alimentação, vale transporte, uniforme, frete, todos os materiais, utensílios, equipamentos e demais despesas de qualquer natureza que possam incidir, direta ou indiretamente, no cumprimento integral do objeto deste Edital e seus anexos.</t>
  </si>
  <si>
    <t>6. que a forma de tributação da empresa em âmbito federal e estadual é o LUCRO PRESUMIDO.</t>
  </si>
  <si>
    <t>7. que conhecemos e nos submetemos integralmente a todas as demais cláusulas e condições do Edital de Licitação, integrante desta proposta.</t>
  </si>
  <si>
    <t>DADOS DA EMPRESA:</t>
  </si>
  <si>
    <t>Razão Social: Esplanada Serviços Terceirizados Eireli</t>
  </si>
  <si>
    <t>Endereço: ADE, Conj. 08, Lt. 30 – Águas Claras-DF, Brasília - Distrito Federal, CEP: 71.986-540</t>
  </si>
  <si>
    <t>Tel/Fax: (61) 3973-0888</t>
  </si>
  <si>
    <t>Banco:</t>
  </si>
  <si>
    <t>SANTANDER</t>
  </si>
  <si>
    <t>Agência:</t>
  </si>
  <si>
    <t>3678</t>
  </si>
  <si>
    <t>C/C:</t>
  </si>
  <si>
    <t>13004227-5</t>
  </si>
  <si>
    <t>Praça de pagamento:</t>
  </si>
  <si>
    <t>Brasília-DF</t>
  </si>
  <si>
    <t>DADOS DO REPRESENTANTE LEGAL DA EMPRESA PARA ASSINATURA DO CONTRATO:</t>
  </si>
  <si>
    <t>André Luís Silva de Oliveira</t>
  </si>
  <si>
    <t>RG: 00505880170 - DETRAN/DF</t>
  </si>
  <si>
    <t>CPF: 461.323.501-44</t>
  </si>
  <si>
    <t>Estado civil: Casado</t>
  </si>
  <si>
    <t>Nacionalidade: Brasileiro</t>
  </si>
  <si>
    <t>Endereço: ADE, Conjunto 08, Lote 30 – Brasília - DF</t>
  </si>
  <si>
    <t>Profissão: Empresário</t>
  </si>
  <si>
    <t>Cargo/Função: Diretor</t>
  </si>
  <si>
    <t>Desde já, colocamo-nos à disposição para eventuais esclarecimentos que se façam necessários.</t>
  </si>
  <si>
    <t>2522-10</t>
  </si>
  <si>
    <t>Depreciação 20%  = ( 495,00/60 meses/03 empregados *80% )</t>
  </si>
  <si>
    <t>CUSTOS COM DESCLOCAMENTOS</t>
  </si>
  <si>
    <t>km p/ mês</t>
  </si>
  <si>
    <t>VALOR UNITÁRIO/KM</t>
  </si>
  <si>
    <t>DESLOCAMENTO DE FISCALIZAÇÃO, por meio de motocicleta</t>
  </si>
  <si>
    <t>Valor total divido 150/3=50,00</t>
  </si>
  <si>
    <t>Custo com deslocamento</t>
  </si>
  <si>
    <t>Brasília-DF, 23 de março de 2021</t>
  </si>
  <si>
    <t>Vinte mil, quatorze reais e quarenta e oito centavos</t>
  </si>
  <si>
    <t>Duzentos e quarenta mil, cento e setenta e tres reais e setenta e seis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</si>
</sst>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0.0"/>
    <numFmt numFmtId="165" formatCode="_-&quot;R$&quot;\ * #,##0.0000_-;\-&quot;R$&quot;\ * #,##0.0000_-;_-&quot;R$&quot;\ * &quot;-&quot;??_-;_-@_-"/>
  </numFmts>
  <fonts count="23" x14ac:knownFonts="1">
    <font>
      <sz val="11"/>
      <color theme="1"/>
      <name val="Calibri"/>
      <family val="2"/>
      <scheme val="minor"/>
    </font>
    <font>
      <sz val="11"/>
      <color theme="1"/>
      <name val="Calibri"/>
      <family val="2"/>
      <scheme val="minor"/>
    </font>
    <font>
      <sz val="11"/>
      <color theme="1"/>
      <name val="Calibri Light"/>
      <family val="2"/>
      <scheme val="major"/>
    </font>
    <font>
      <b/>
      <sz val="9"/>
      <name val="Calibri Light"/>
      <family val="2"/>
      <scheme val="major"/>
    </font>
    <font>
      <sz val="9"/>
      <name val="Calibri Light"/>
      <family val="2"/>
      <scheme val="major"/>
    </font>
    <font>
      <b/>
      <sz val="9"/>
      <color rgb="FF000000"/>
      <name val="Calibri Light"/>
      <family val="2"/>
      <scheme val="major"/>
    </font>
    <font>
      <sz val="9"/>
      <color theme="1"/>
      <name val="Calibri Light"/>
      <family val="2"/>
      <scheme val="major"/>
    </font>
    <font>
      <sz val="9"/>
      <color rgb="FF000000"/>
      <name val="Calibri Light"/>
      <family val="2"/>
      <scheme val="major"/>
    </font>
    <font>
      <b/>
      <sz val="9"/>
      <color theme="1"/>
      <name val="Calibri Light"/>
      <family val="2"/>
      <scheme val="major"/>
    </font>
    <font>
      <b/>
      <sz val="11"/>
      <color rgb="FF000000"/>
      <name val="Calibri Light"/>
      <family val="2"/>
      <scheme val="major"/>
    </font>
    <font>
      <sz val="14"/>
      <color theme="1"/>
      <name val="Calibri"/>
      <family val="2"/>
      <scheme val="minor"/>
    </font>
    <font>
      <sz val="9"/>
      <color theme="1"/>
      <name val="Calibri"/>
      <family val="2"/>
      <scheme val="minor"/>
    </font>
    <font>
      <b/>
      <sz val="14"/>
      <color theme="1"/>
      <name val="Calibri"/>
      <family val="2"/>
      <scheme val="minor"/>
    </font>
    <font>
      <sz val="13"/>
      <color theme="1"/>
      <name val="Calibri"/>
      <family val="2"/>
      <scheme val="minor"/>
    </font>
    <font>
      <sz val="8"/>
      <color theme="1"/>
      <name val="Calibri"/>
      <family val="2"/>
      <scheme val="minor"/>
    </font>
    <font>
      <sz val="10"/>
      <color theme="1"/>
      <name val="Calibri"/>
      <family val="2"/>
      <scheme val="minor"/>
    </font>
    <font>
      <b/>
      <sz val="14"/>
      <color rgb="FFFF0000"/>
      <name val="Calibri"/>
      <family val="2"/>
      <scheme val="minor"/>
    </font>
    <font>
      <b/>
      <sz val="11"/>
      <color theme="1"/>
      <name val="Calibri"/>
      <family val="2"/>
      <scheme val="minor"/>
    </font>
    <font>
      <sz val="9"/>
      <color rgb="FFFF0000"/>
      <name val="Calibri Light"/>
      <family val="2"/>
      <scheme val="major"/>
    </font>
    <font>
      <b/>
      <sz val="9"/>
      <color rgb="FFFF0000"/>
      <name val="Calibri Light"/>
      <family val="2"/>
      <scheme val="major"/>
    </font>
    <font>
      <sz val="9"/>
      <color indexed="10"/>
      <name val="Calibri Light"/>
      <family val="2"/>
      <scheme val="major"/>
    </font>
    <font>
      <sz val="12"/>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9847407452621"/>
        <bgColor indexed="64"/>
      </patternFill>
    </fill>
  </fills>
  <borders count="44">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FFFFFF"/>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25">
    <xf numFmtId="0" fontId="0" fillId="0" borderId="0" xfId="0"/>
    <xf numFmtId="44" fontId="0" fillId="0" borderId="0" xfId="0" applyNumberFormat="1"/>
    <xf numFmtId="0" fontId="2"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 fontId="5" fillId="0" borderId="1" xfId="0" applyNumberFormat="1" applyFont="1" applyBorder="1" applyAlignment="1">
      <alignment horizontal="center" vertical="center" shrinkToFit="1"/>
    </xf>
    <xf numFmtId="1" fontId="5" fillId="0" borderId="1" xfId="0" applyNumberFormat="1" applyFont="1" applyBorder="1" applyAlignment="1">
      <alignment horizontal="center" vertical="top" shrinkToFit="1"/>
    </xf>
    <xf numFmtId="1" fontId="5" fillId="0" borderId="6" xfId="0" applyNumberFormat="1" applyFont="1" applyBorder="1" applyAlignment="1">
      <alignment horizontal="center" vertical="top" shrinkToFi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4" fillId="0" borderId="5" xfId="0" applyFont="1" applyBorder="1" applyAlignment="1">
      <alignment horizontal="left" vertical="top" wrapText="1" indent="3"/>
    </xf>
    <xf numFmtId="44" fontId="4" fillId="0" borderId="5" xfId="2" applyFont="1" applyBorder="1" applyAlignment="1">
      <alignment horizontal="center" vertical="top" wrapText="1"/>
    </xf>
    <xf numFmtId="0" fontId="3" fillId="0" borderId="5" xfId="0" applyFont="1" applyBorder="1" applyAlignment="1">
      <alignment horizontal="right" vertical="top" wrapText="1" indent="1"/>
    </xf>
    <xf numFmtId="44" fontId="2" fillId="0" borderId="0" xfId="0" applyNumberFormat="1" applyFont="1"/>
    <xf numFmtId="165" fontId="2" fillId="0" borderId="0" xfId="0" applyNumberFormat="1" applyFont="1"/>
    <xf numFmtId="0" fontId="3" fillId="0" borderId="4" xfId="0" applyFont="1" applyBorder="1" applyAlignment="1">
      <alignment horizontal="center" vertical="top" wrapText="1"/>
    </xf>
    <xf numFmtId="44" fontId="4" fillId="0" borderId="17" xfId="2" applyFont="1" applyBorder="1" applyAlignment="1">
      <alignment horizontal="center" vertical="top" wrapText="1"/>
    </xf>
    <xf numFmtId="44" fontId="4" fillId="0" borderId="17" xfId="2" applyFont="1" applyBorder="1" applyAlignment="1">
      <alignment horizontal="center" vertical="center" wrapText="1"/>
    </xf>
    <xf numFmtId="44" fontId="4" fillId="0" borderId="5" xfId="2" applyFont="1" applyBorder="1" applyAlignment="1">
      <alignment horizontal="center" vertical="center" wrapText="1"/>
    </xf>
    <xf numFmtId="164" fontId="5" fillId="0" borderId="5" xfId="0" applyNumberFormat="1" applyFont="1" applyBorder="1" applyAlignment="1">
      <alignment horizontal="center" vertical="center" shrinkToFit="1"/>
    </xf>
    <xf numFmtId="0" fontId="3" fillId="0" borderId="5" xfId="0" applyFont="1" applyBorder="1" applyAlignment="1">
      <alignment horizontal="center" vertical="center" wrapText="1"/>
    </xf>
    <xf numFmtId="10" fontId="3" fillId="0" borderId="5" xfId="0" applyNumberFormat="1" applyFont="1" applyBorder="1" applyAlignment="1">
      <alignment horizontal="center" vertical="top" wrapText="1"/>
    </xf>
    <xf numFmtId="0" fontId="4" fillId="0" borderId="5" xfId="0" quotePrefix="1" applyFont="1" applyBorder="1" applyAlignment="1">
      <alignment horizontal="center" vertical="top" wrapText="1"/>
    </xf>
    <xf numFmtId="9" fontId="3" fillId="0" borderId="5" xfId="0" applyNumberFormat="1" applyFont="1" applyBorder="1" applyAlignment="1">
      <alignment horizontal="center" vertical="top" wrapText="1"/>
    </xf>
    <xf numFmtId="0" fontId="3" fillId="0" borderId="5" xfId="0" applyFont="1" applyBorder="1" applyAlignment="1">
      <alignment horizontal="left" vertical="center" wrapText="1" indent="4"/>
    </xf>
    <xf numFmtId="0" fontId="3" fillId="0" borderId="5" xfId="0" applyFont="1" applyBorder="1" applyAlignment="1">
      <alignment horizontal="left" vertical="top" wrapText="1" indent="3"/>
    </xf>
    <xf numFmtId="0" fontId="4" fillId="0" borderId="5" xfId="0" applyFont="1" applyBorder="1" applyAlignment="1">
      <alignment horizontal="right" vertical="top" wrapText="1" indent="1"/>
    </xf>
    <xf numFmtId="14" fontId="6" fillId="0" borderId="2" xfId="0" applyNumberFormat="1" applyFont="1" applyBorder="1" applyAlignment="1">
      <alignment horizontal="center" vertical="center" wrapText="1"/>
    </xf>
    <xf numFmtId="0" fontId="7" fillId="0" borderId="2" xfId="0" applyFont="1" applyBorder="1" applyAlignment="1">
      <alignment horizontal="center" wrapText="1"/>
    </xf>
    <xf numFmtId="0" fontId="6" fillId="0" borderId="2" xfId="0" applyFont="1" applyBorder="1" applyAlignment="1">
      <alignment horizontal="center" wrapText="1"/>
    </xf>
    <xf numFmtId="0" fontId="6" fillId="0" borderId="13" xfId="0" applyFont="1" applyBorder="1" applyAlignment="1">
      <alignment horizontal="center" wrapText="1"/>
    </xf>
    <xf numFmtId="44" fontId="6" fillId="0" borderId="2" xfId="2" applyFont="1" applyBorder="1" applyAlignment="1">
      <alignment horizontal="center" wrapText="1"/>
    </xf>
    <xf numFmtId="14" fontId="6" fillId="0" borderId="13" xfId="0" applyNumberFormat="1" applyFont="1" applyBorder="1" applyAlignment="1">
      <alignment horizontal="center" wrapText="1"/>
    </xf>
    <xf numFmtId="44" fontId="6" fillId="0" borderId="5" xfId="2" applyFont="1" applyBorder="1" applyAlignment="1">
      <alignment horizontal="center" wrapText="1"/>
    </xf>
    <xf numFmtId="10" fontId="6" fillId="0" borderId="5" xfId="1" applyNumberFormat="1" applyFont="1" applyBorder="1" applyAlignment="1">
      <alignment horizontal="center" wrapText="1"/>
    </xf>
    <xf numFmtId="10" fontId="6" fillId="0" borderId="5" xfId="1" applyNumberFormat="1" applyFont="1" applyFill="1" applyBorder="1" applyAlignment="1">
      <alignment horizontal="center" wrapText="1"/>
    </xf>
    <xf numFmtId="44" fontId="6" fillId="0" borderId="17" xfId="2" applyFont="1" applyBorder="1" applyAlignment="1">
      <alignment horizontal="center" wrapText="1"/>
    </xf>
    <xf numFmtId="44" fontId="7" fillId="0" borderId="5" xfId="2" quotePrefix="1" applyFont="1" applyBorder="1" applyAlignment="1">
      <alignment horizontal="center" wrapText="1"/>
    </xf>
    <xf numFmtId="44" fontId="6" fillId="0" borderId="5" xfId="2" applyFont="1" applyBorder="1" applyAlignment="1">
      <alignment horizontal="center" vertical="center" wrapText="1"/>
    </xf>
    <xf numFmtId="10" fontId="6" fillId="0" borderId="5" xfId="0" applyNumberFormat="1" applyFont="1" applyBorder="1" applyAlignment="1">
      <alignment horizontal="center" wrapText="1"/>
    </xf>
    <xf numFmtId="10" fontId="6" fillId="0" borderId="5" xfId="0" applyNumberFormat="1" applyFont="1" applyBorder="1" applyAlignment="1">
      <alignment horizontal="center" vertical="center" wrapText="1"/>
    </xf>
    <xf numFmtId="10" fontId="7" fillId="0" borderId="5" xfId="0" applyNumberFormat="1" applyFont="1" applyBorder="1" applyAlignment="1">
      <alignment horizontal="center" vertical="center" wrapText="1"/>
    </xf>
    <xf numFmtId="10" fontId="6" fillId="0" borderId="17" xfId="0" applyNumberFormat="1" applyFont="1" applyBorder="1" applyAlignment="1">
      <alignment horizontal="center" wrapText="1"/>
    </xf>
    <xf numFmtId="44" fontId="6" fillId="0" borderId="21" xfId="2" applyFont="1" applyBorder="1" applyAlignment="1">
      <alignment horizontal="center" wrapText="1"/>
    </xf>
    <xf numFmtId="4" fontId="6" fillId="0" borderId="5" xfId="0" applyNumberFormat="1" applyFont="1" applyBorder="1" applyAlignment="1">
      <alignment horizontal="center" vertical="center" wrapText="1"/>
    </xf>
    <xf numFmtId="0" fontId="6" fillId="0" borderId="5" xfId="0" applyFont="1" applyBorder="1" applyAlignment="1">
      <alignment horizontal="center" vertical="top" wrapText="1"/>
    </xf>
    <xf numFmtId="0" fontId="6" fillId="0" borderId="5" xfId="0" applyFont="1" applyBorder="1" applyAlignment="1">
      <alignment horizontal="left" vertical="center" wrapText="1"/>
    </xf>
    <xf numFmtId="10" fontId="5" fillId="0" borderId="5" xfId="0" applyNumberFormat="1" applyFont="1" applyBorder="1" applyAlignment="1">
      <alignment horizontal="center" wrapText="1"/>
    </xf>
    <xf numFmtId="10" fontId="2" fillId="0" borderId="0" xfId="1" applyNumberFormat="1" applyFont="1"/>
    <xf numFmtId="0" fontId="10" fillId="3" borderId="2" xfId="0" applyFont="1" applyFill="1" applyBorder="1" applyAlignment="1">
      <alignment horizontal="center" vertical="center" wrapText="1"/>
    </xf>
    <xf numFmtId="0" fontId="10" fillId="3" borderId="2" xfId="0" applyFont="1" applyFill="1" applyBorder="1" applyAlignment="1">
      <alignment horizontal="center"/>
    </xf>
    <xf numFmtId="44" fontId="5" fillId="3" borderId="8" xfId="2" applyFont="1" applyFill="1" applyBorder="1" applyAlignment="1">
      <alignment horizontal="center" wrapText="1"/>
    </xf>
    <xf numFmtId="10" fontId="5" fillId="3" borderId="5" xfId="1" applyNumberFormat="1" applyFont="1" applyFill="1" applyBorder="1" applyAlignment="1">
      <alignment horizontal="center" wrapText="1"/>
    </xf>
    <xf numFmtId="44" fontId="8" fillId="3" borderId="5" xfId="2" applyFont="1" applyFill="1" applyBorder="1" applyAlignment="1">
      <alignment horizontal="center" wrapText="1"/>
    </xf>
    <xf numFmtId="44" fontId="5" fillId="3" borderId="5" xfId="2" applyFont="1" applyFill="1" applyBorder="1" applyAlignment="1">
      <alignment horizontal="center" wrapText="1"/>
    </xf>
    <xf numFmtId="10" fontId="5" fillId="3" borderId="8" xfId="1" applyNumberFormat="1" applyFont="1" applyFill="1" applyBorder="1" applyAlignment="1">
      <alignment horizontal="center" wrapText="1"/>
    </xf>
    <xf numFmtId="10" fontId="5" fillId="3" borderId="5" xfId="0" applyNumberFormat="1" applyFont="1" applyFill="1" applyBorder="1" applyAlignment="1">
      <alignment horizontal="center" wrapText="1"/>
    </xf>
    <xf numFmtId="0" fontId="6" fillId="3" borderId="5" xfId="0" applyFont="1" applyFill="1" applyBorder="1" applyAlignment="1">
      <alignment horizontal="left" wrapText="1"/>
    </xf>
    <xf numFmtId="0" fontId="0" fillId="0" borderId="0" xfId="0" applyAlignment="1"/>
    <xf numFmtId="0" fontId="13" fillId="0" borderId="2" xfId="0" applyFont="1" applyBorder="1" applyAlignment="1">
      <alignment horizontal="center" vertical="center"/>
    </xf>
    <xf numFmtId="10" fontId="2" fillId="0" borderId="0" xfId="0" applyNumberFormat="1" applyFont="1"/>
    <xf numFmtId="0" fontId="0" fillId="0" borderId="0" xfId="0" applyAlignment="1">
      <alignment horizontal="left"/>
    </xf>
    <xf numFmtId="0" fontId="0" fillId="0" borderId="0" xfId="0" applyAlignment="1">
      <alignment horizontal="center"/>
    </xf>
    <xf numFmtId="0" fontId="15" fillId="3" borderId="29" xfId="0" applyFont="1" applyFill="1" applyBorder="1" applyAlignment="1">
      <alignment horizontal="center"/>
    </xf>
    <xf numFmtId="0" fontId="11" fillId="3" borderId="29" xfId="0" applyFont="1" applyFill="1" applyBorder="1" applyAlignment="1">
      <alignment horizontal="left"/>
    </xf>
    <xf numFmtId="1" fontId="5" fillId="0" borderId="5" xfId="0" applyNumberFormat="1" applyFont="1" applyBorder="1" applyAlignment="1">
      <alignment horizontal="center" vertical="center" shrinkToFit="1"/>
    </xf>
    <xf numFmtId="0" fontId="3" fillId="0" borderId="17" xfId="0" applyFont="1" applyBorder="1" applyAlignment="1">
      <alignment horizontal="center" vertical="center" wrapText="1"/>
    </xf>
    <xf numFmtId="164" fontId="5" fillId="0" borderId="1" xfId="0" applyNumberFormat="1" applyFont="1" applyBorder="1" applyAlignment="1">
      <alignment horizontal="center" vertical="center" shrinkToFit="1"/>
    </xf>
    <xf numFmtId="44" fontId="6" fillId="0" borderId="0" xfId="0" applyNumberFormat="1" applyFont="1"/>
    <xf numFmtId="0" fontId="6" fillId="0" borderId="0" xfId="0" applyFont="1" applyAlignment="1"/>
    <xf numFmtId="0" fontId="6" fillId="0" borderId="0" xfId="0" applyFont="1"/>
    <xf numFmtId="44" fontId="6" fillId="0" borderId="0" xfId="2" applyFont="1"/>
    <xf numFmtId="9" fontId="6" fillId="0" borderId="0" xfId="1" applyFont="1"/>
    <xf numFmtId="10" fontId="6" fillId="0" borderId="0" xfId="0" applyNumberFormat="1" applyFont="1"/>
    <xf numFmtId="44" fontId="3" fillId="3" borderId="8" xfId="0" applyNumberFormat="1" applyFont="1" applyFill="1" applyBorder="1" applyAlignment="1">
      <alignment horizontal="center" vertical="top" wrapText="1"/>
    </xf>
    <xf numFmtId="0" fontId="0" fillId="0" borderId="0" xfId="0" applyBorder="1"/>
    <xf numFmtId="10" fontId="0" fillId="0" borderId="0" xfId="1" applyNumberFormat="1" applyFont="1" applyBorder="1"/>
    <xf numFmtId="44" fontId="12" fillId="0" borderId="0" xfId="2" applyFont="1" applyBorder="1"/>
    <xf numFmtId="0" fontId="12" fillId="0" borderId="31" xfId="0" applyFont="1" applyBorder="1" applyAlignment="1"/>
    <xf numFmtId="0" fontId="12" fillId="0" borderId="0" xfId="0" applyFont="1" applyBorder="1" applyAlignment="1"/>
    <xf numFmtId="0" fontId="10" fillId="0" borderId="13" xfId="0" applyFont="1" applyBorder="1" applyAlignment="1">
      <alignment horizontal="center" vertical="center"/>
    </xf>
    <xf numFmtId="44" fontId="12" fillId="0" borderId="13" xfId="2" applyFont="1" applyBorder="1"/>
    <xf numFmtId="44" fontId="12" fillId="0" borderId="30" xfId="2" applyFont="1" applyBorder="1"/>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center" vertical="center" wrapText="1"/>
    </xf>
    <xf numFmtId="0" fontId="13" fillId="0" borderId="2" xfId="0" applyFont="1" applyBorder="1" applyAlignment="1">
      <alignment wrapText="1"/>
    </xf>
    <xf numFmtId="44" fontId="13" fillId="0" borderId="2" xfId="0" applyNumberFormat="1" applyFont="1" applyBorder="1" applyAlignment="1">
      <alignment horizontal="center" vertical="center"/>
    </xf>
    <xf numFmtId="44" fontId="13" fillId="0" borderId="2" xfId="2" applyFont="1" applyBorder="1" applyAlignment="1">
      <alignment horizontal="center" vertical="center"/>
    </xf>
    <xf numFmtId="44" fontId="14" fillId="0" borderId="0" xfId="2" applyFont="1" applyAlignment="1">
      <alignment horizontal="center" vertical="center"/>
    </xf>
    <xf numFmtId="44" fontId="0" fillId="0" borderId="0" xfId="0" applyNumberFormat="1" applyAlignment="1">
      <alignment horizontal="center" vertical="center"/>
    </xf>
    <xf numFmtId="4" fontId="0" fillId="0" borderId="0" xfId="0" applyNumberFormat="1"/>
    <xf numFmtId="44" fontId="2" fillId="0" borderId="0" xfId="2" applyFont="1"/>
    <xf numFmtId="0" fontId="17" fillId="0" borderId="2" xfId="0" applyFont="1" applyBorder="1"/>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44" fontId="17" fillId="0" borderId="2" xfId="2" applyFont="1" applyBorder="1" applyAlignment="1">
      <alignment horizontal="center" vertical="center"/>
    </xf>
    <xf numFmtId="0" fontId="19" fillId="0" borderId="2" xfId="0" applyFont="1" applyBorder="1" applyAlignment="1">
      <alignment horizontal="center" vertical="center" wrapText="1"/>
    </xf>
    <xf numFmtId="44" fontId="18" fillId="0" borderId="17" xfId="2" applyFont="1" applyBorder="1" applyAlignment="1">
      <alignment horizontal="center" wrapText="1"/>
    </xf>
    <xf numFmtId="0" fontId="19" fillId="0" borderId="2" xfId="0" applyFont="1" applyBorder="1" applyAlignment="1">
      <alignment horizontal="center" wrapText="1"/>
    </xf>
    <xf numFmtId="0" fontId="17" fillId="0" borderId="35" xfId="0" applyFont="1" applyBorder="1"/>
    <xf numFmtId="0" fontId="17" fillId="0" borderId="36" xfId="0" applyFont="1" applyBorder="1"/>
    <xf numFmtId="0" fontId="17" fillId="0" borderId="35" xfId="0" applyFont="1" applyBorder="1" applyAlignment="1">
      <alignment horizontal="center" vertical="center"/>
    </xf>
    <xf numFmtId="0" fontId="17" fillId="0" borderId="36" xfId="0" applyFont="1" applyBorder="1" applyAlignment="1">
      <alignment horizontal="center" vertical="center"/>
    </xf>
    <xf numFmtId="44" fontId="17" fillId="0" borderId="36" xfId="2" applyFont="1" applyBorder="1" applyAlignment="1">
      <alignment horizontal="center" vertical="center"/>
    </xf>
    <xf numFmtId="0" fontId="0" fillId="0" borderId="37" xfId="0" applyBorder="1"/>
    <xf numFmtId="0" fontId="0" fillId="0" borderId="38" xfId="0" applyBorder="1"/>
    <xf numFmtId="44" fontId="17" fillId="5" borderId="36" xfId="0" applyNumberFormat="1" applyFont="1" applyFill="1" applyBorder="1" applyAlignment="1">
      <alignment vertical="center"/>
    </xf>
    <xf numFmtId="44" fontId="17" fillId="5" borderId="42" xfId="2" applyFont="1" applyFill="1" applyBorder="1" applyAlignment="1">
      <alignment horizontal="center" vertical="center"/>
    </xf>
    <xf numFmtId="10" fontId="6" fillId="0" borderId="5" xfId="1" applyNumberFormat="1" applyFont="1" applyFill="1" applyBorder="1" applyAlignment="1">
      <alignment horizontal="center" vertical="center" wrapText="1"/>
    </xf>
    <xf numFmtId="10" fontId="4" fillId="0" borderId="5" xfId="1" applyNumberFormat="1" applyFont="1" applyFill="1" applyBorder="1" applyAlignment="1">
      <alignment horizontal="center" vertical="center" wrapText="1"/>
    </xf>
    <xf numFmtId="0" fontId="0" fillId="0" borderId="0" xfId="0" applyAlignment="1">
      <alignment horizontal="left"/>
    </xf>
    <xf numFmtId="49" fontId="0" fillId="0" borderId="0" xfId="0" applyNumberFormat="1" applyAlignment="1">
      <alignment horizontal="center" vertical="center"/>
    </xf>
    <xf numFmtId="49" fontId="0" fillId="0" borderId="0" xfId="0" applyNumberFormat="1" applyAlignment="1">
      <alignment horizontal="justify"/>
    </xf>
    <xf numFmtId="44" fontId="0" fillId="0" borderId="0" xfId="2" applyFont="1"/>
    <xf numFmtId="0" fontId="17" fillId="0" borderId="35" xfId="0" applyFont="1" applyBorder="1" applyAlignment="1">
      <alignment wrapText="1"/>
    </xf>
    <xf numFmtId="49" fontId="0" fillId="0" borderId="0" xfId="0" applyNumberFormat="1" applyAlignment="1">
      <alignment horizontal="justify"/>
    </xf>
    <xf numFmtId="49" fontId="0" fillId="0" borderId="0" xfId="0" applyNumberFormat="1" applyAlignment="1">
      <alignment horizontal="left"/>
    </xf>
    <xf numFmtId="0" fontId="0" fillId="0" borderId="0" xfId="0" applyAlignment="1">
      <alignment horizontal="center"/>
    </xf>
    <xf numFmtId="49" fontId="21" fillId="0" borderId="0" xfId="0" applyNumberFormat="1" applyFont="1" applyAlignment="1">
      <alignment horizontal="justify"/>
    </xf>
    <xf numFmtId="0" fontId="0" fillId="0" borderId="2" xfId="0" applyBorder="1" applyAlignment="1">
      <alignment horizontal="center"/>
    </xf>
    <xf numFmtId="0" fontId="21" fillId="0" borderId="0" xfId="0" applyFont="1" applyAlignment="1">
      <alignment horizontal="justify"/>
    </xf>
    <xf numFmtId="0" fontId="0" fillId="0" borderId="0" xfId="0" applyAlignment="1">
      <alignment horizontal="justify"/>
    </xf>
    <xf numFmtId="49" fontId="0" fillId="0" borderId="0" xfId="0" applyNumberFormat="1" applyAlignment="1">
      <alignment horizontal="justify" vertical="top" wrapText="1"/>
    </xf>
    <xf numFmtId="49" fontId="0" fillId="0" borderId="0" xfId="0" applyNumberFormat="1" applyAlignment="1">
      <alignment horizontal="justify" wrapText="1"/>
    </xf>
    <xf numFmtId="0" fontId="21" fillId="0" borderId="43" xfId="0" applyFont="1" applyBorder="1" applyAlignment="1">
      <alignment horizontal="left"/>
    </xf>
    <xf numFmtId="0" fontId="0" fillId="3" borderId="22" xfId="0"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44" fontId="0" fillId="3" borderId="22" xfId="0" applyNumberFormat="1" applyFill="1" applyBorder="1" applyAlignment="1">
      <alignment horizontal="center"/>
    </xf>
    <xf numFmtId="0" fontId="0" fillId="0" borderId="0" xfId="0" applyAlignment="1">
      <alignment horizontal="right"/>
    </xf>
    <xf numFmtId="0" fontId="0" fillId="0" borderId="0" xfId="0" applyAlignment="1">
      <alignment horizontal="left"/>
    </xf>
    <xf numFmtId="0" fontId="10" fillId="0" borderId="0" xfId="0" applyFont="1" applyAlignment="1">
      <alignment horizontal="center"/>
    </xf>
    <xf numFmtId="0" fontId="21" fillId="0" borderId="0" xfId="0" applyFont="1" applyAlignment="1">
      <alignment horizontal="left"/>
    </xf>
    <xf numFmtId="0" fontId="12" fillId="0" borderId="27" xfId="0" applyFont="1" applyBorder="1" applyAlignment="1">
      <alignment horizontal="center"/>
    </xf>
    <xf numFmtId="0" fontId="12" fillId="0" borderId="11" xfId="0" applyFont="1" applyBorder="1" applyAlignment="1">
      <alignment horizontal="center"/>
    </xf>
    <xf numFmtId="0" fontId="12" fillId="0" borderId="28" xfId="0" applyFont="1" applyBorder="1" applyAlignment="1">
      <alignment horizontal="center"/>
    </xf>
    <xf numFmtId="0" fontId="12" fillId="0" borderId="2" xfId="0" applyFont="1" applyBorder="1" applyAlignment="1">
      <alignment horizontal="center"/>
    </xf>
    <xf numFmtId="0" fontId="16"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3" borderId="1"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3" borderId="14" xfId="0"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3" borderId="16" xfId="0" applyFont="1" applyFill="1" applyBorder="1" applyAlignment="1">
      <alignment horizontal="center"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9" fillId="0" borderId="2" xfId="0" applyFont="1" applyBorder="1" applyAlignment="1">
      <alignment horizontal="center" vertical="top" wrapText="1"/>
    </xf>
    <xf numFmtId="0" fontId="3" fillId="2" borderId="25"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26" xfId="0" applyFont="1" applyFill="1" applyBorder="1" applyAlignment="1">
      <alignment horizontal="center" vertical="top"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7" xfId="0" applyFont="1" applyBorder="1" applyAlignment="1">
      <alignment horizontal="left" vertical="top" wrapText="1"/>
    </xf>
    <xf numFmtId="0" fontId="4" fillId="0" borderId="11" xfId="0" applyFont="1" applyBorder="1" applyAlignment="1">
      <alignment horizontal="left" vertical="top" wrapText="1"/>
    </xf>
    <xf numFmtId="0" fontId="4" fillId="0" borderId="28" xfId="0" applyFont="1" applyBorder="1" applyAlignment="1">
      <alignment horizontal="left" vertical="top" wrapText="1"/>
    </xf>
    <xf numFmtId="0" fontId="4" fillId="0" borderId="2" xfId="0" applyFont="1" applyBorder="1" applyAlignment="1">
      <alignment horizontal="left" vertical="top" wrapText="1"/>
    </xf>
    <xf numFmtId="0" fontId="3" fillId="2" borderId="14"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16" xfId="0" applyFont="1" applyFill="1" applyBorder="1" applyAlignment="1">
      <alignment horizontal="center" vertical="top" wrapText="1"/>
    </xf>
    <xf numFmtId="0" fontId="7" fillId="0" borderId="22"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3" borderId="18" xfId="0" applyFont="1" applyFill="1" applyBorder="1" applyAlignment="1">
      <alignment horizontal="center" vertical="top" wrapText="1"/>
    </xf>
    <xf numFmtId="0" fontId="3" fillId="3" borderId="19" xfId="0" applyFont="1" applyFill="1" applyBorder="1" applyAlignment="1">
      <alignment horizontal="center" vertical="top" wrapText="1"/>
    </xf>
    <xf numFmtId="0" fontId="3" fillId="3" borderId="20" xfId="0" applyFont="1" applyFill="1" applyBorder="1" applyAlignment="1">
      <alignment horizontal="center"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18" fillId="0" borderId="1"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2" borderId="1"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7" xfId="0" applyFont="1" applyFill="1" applyBorder="1" applyAlignment="1">
      <alignment horizontal="center" vertical="top" wrapText="1"/>
    </xf>
    <xf numFmtId="0" fontId="6" fillId="0" borderId="4" xfId="0" applyFont="1" applyBorder="1" applyAlignment="1">
      <alignment horizont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17" fillId="4" borderId="35"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6" xfId="0" applyFont="1" applyFill="1" applyBorder="1" applyAlignment="1">
      <alignment horizontal="center" vertical="center"/>
    </xf>
    <xf numFmtId="0" fontId="22" fillId="5" borderId="39" xfId="0" applyFont="1" applyFill="1" applyBorder="1" applyAlignment="1">
      <alignment horizontal="center" vertical="center"/>
    </xf>
    <xf numFmtId="0" fontId="22" fillId="5" borderId="40" xfId="0" applyFont="1" applyFill="1" applyBorder="1" applyAlignment="1">
      <alignment horizontal="center" vertical="center"/>
    </xf>
    <xf numFmtId="0" fontId="22" fillId="5" borderId="41" xfId="0" applyFont="1" applyFill="1" applyBorder="1" applyAlignment="1">
      <alignment horizontal="center" vertical="center"/>
    </xf>
    <xf numFmtId="0" fontId="17" fillId="4" borderId="32" xfId="0" applyFont="1" applyFill="1" applyBorder="1" applyAlignment="1">
      <alignment horizontal="center" vertical="center"/>
    </xf>
    <xf numFmtId="0" fontId="17" fillId="4" borderId="33" xfId="0" applyFont="1" applyFill="1" applyBorder="1" applyAlignment="1">
      <alignment horizontal="center" vertical="center"/>
    </xf>
    <xf numFmtId="0" fontId="17" fillId="4" borderId="34" xfId="0" applyFont="1" applyFill="1" applyBorder="1" applyAlignment="1">
      <alignment horizontal="center" vertical="center"/>
    </xf>
    <xf numFmtId="0" fontId="17" fillId="5" borderId="35" xfId="0" applyFont="1" applyFill="1" applyBorder="1" applyAlignment="1">
      <alignment horizontal="center" vertical="center"/>
    </xf>
    <xf numFmtId="0" fontId="17" fillId="5" borderId="2" xfId="0" applyFont="1" applyFill="1" applyBorder="1" applyAlignment="1">
      <alignment horizontal="center" vertical="center"/>
    </xf>
  </cellXfs>
  <cellStyles count="3">
    <cellStyle name="Moeda" xfId="2" builtinId="4"/>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261256</xdr:colOff>
      <xdr:row>67</xdr:row>
      <xdr:rowOff>174171</xdr:rowOff>
    </xdr:from>
    <xdr:to>
      <xdr:col>5</xdr:col>
      <xdr:colOff>217713</xdr:colOff>
      <xdr:row>78</xdr:row>
      <xdr:rowOff>35106</xdr:rowOff>
    </xdr:to>
    <xdr:pic>
      <xdr:nvPicPr>
        <xdr:cNvPr id="2" name="Imagem 1">
          <a:extLst>
            <a:ext uri="{FF2B5EF4-FFF2-40B4-BE49-F238E27FC236}">
              <a16:creationId xmlns:a16="http://schemas.microsoft.com/office/drawing/2014/main" id="{D9C51314-A890-4E90-8BA8-6A05F3A9E81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3856" y="16204746"/>
          <a:ext cx="2518682" cy="1956435"/>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7849-62E8-4366-BF7B-F92DB8D3F503}">
  <dimension ref="A2:I72"/>
  <sheetViews>
    <sheetView tabSelected="1" view="pageBreakPreview" topLeftCell="A19" zoomScaleNormal="100" zoomScaleSheetLayoutView="100" workbookViewId="0">
      <selection activeCell="A26" sqref="A26:H26"/>
    </sheetView>
  </sheetViews>
  <sheetFormatPr defaultColWidth="12.42578125" defaultRowHeight="15" x14ac:dyDescent="0.25"/>
  <cols>
    <col min="2" max="2" width="13.85546875" customWidth="1"/>
    <col min="3" max="3" width="13.5703125" customWidth="1"/>
    <col min="9" max="9" width="14.28515625" bestFit="1" customWidth="1"/>
  </cols>
  <sheetData>
    <row r="2" spans="1:8" x14ac:dyDescent="0.25">
      <c r="A2" s="132" t="s">
        <v>228</v>
      </c>
      <c r="B2" s="132"/>
      <c r="C2" s="132"/>
      <c r="D2" s="132"/>
      <c r="E2" s="132"/>
      <c r="F2" s="132"/>
      <c r="G2" s="132"/>
      <c r="H2" s="132"/>
    </row>
    <row r="4" spans="1:8" x14ac:dyDescent="0.25">
      <c r="A4" t="s">
        <v>173</v>
      </c>
    </row>
    <row r="5" spans="1:8" x14ac:dyDescent="0.25">
      <c r="A5" s="133" t="s">
        <v>174</v>
      </c>
      <c r="B5" s="133"/>
      <c r="C5" s="133"/>
      <c r="D5" s="133"/>
      <c r="E5" s="133"/>
      <c r="F5" s="133"/>
      <c r="G5" s="133"/>
      <c r="H5" s="133"/>
    </row>
    <row r="6" spans="1:8" x14ac:dyDescent="0.25">
      <c r="A6" s="133"/>
      <c r="B6" s="133"/>
      <c r="C6" s="133"/>
      <c r="D6" s="133"/>
      <c r="E6" s="133"/>
      <c r="F6" s="133"/>
      <c r="G6" s="133"/>
      <c r="H6" s="133"/>
    </row>
    <row r="8" spans="1:8" x14ac:dyDescent="0.25">
      <c r="A8" s="133" t="s">
        <v>175</v>
      </c>
      <c r="B8" s="133"/>
      <c r="C8" s="114" t="s">
        <v>176</v>
      </c>
    </row>
    <row r="11" spans="1:8" ht="18.75" x14ac:dyDescent="0.3">
      <c r="A11" s="134" t="s">
        <v>177</v>
      </c>
      <c r="B11" s="134"/>
      <c r="C11" s="134"/>
      <c r="D11" s="134"/>
      <c r="E11" s="134"/>
      <c r="F11" s="134"/>
      <c r="G11" s="134"/>
      <c r="H11" s="134"/>
    </row>
    <row r="13" spans="1:8" x14ac:dyDescent="0.25">
      <c r="A13" s="133" t="s">
        <v>178</v>
      </c>
      <c r="B13" s="133"/>
      <c r="C13" s="133"/>
      <c r="D13" s="133"/>
      <c r="E13" s="133"/>
      <c r="F13" s="133"/>
      <c r="G13" s="133"/>
      <c r="H13" s="133"/>
    </row>
    <row r="14" spans="1:8" x14ac:dyDescent="0.25">
      <c r="A14" s="124" t="s">
        <v>179</v>
      </c>
      <c r="B14" s="124"/>
      <c r="C14" s="124"/>
      <c r="D14" s="124"/>
      <c r="E14" s="124"/>
      <c r="F14" s="124"/>
      <c r="G14" s="124"/>
      <c r="H14" s="124"/>
    </row>
    <row r="15" spans="1:8" x14ac:dyDescent="0.25">
      <c r="A15" s="124" t="s">
        <v>180</v>
      </c>
      <c r="B15" s="124"/>
      <c r="C15" s="124"/>
      <c r="D15" s="124"/>
      <c r="E15" s="124"/>
      <c r="F15" s="124"/>
      <c r="G15" s="124"/>
      <c r="H15" s="124"/>
    </row>
    <row r="16" spans="1:8" x14ac:dyDescent="0.25">
      <c r="A16" s="124" t="s">
        <v>181</v>
      </c>
      <c r="B16" s="124"/>
      <c r="C16" s="124"/>
      <c r="D16" s="124"/>
      <c r="E16" s="124"/>
      <c r="F16" s="124"/>
      <c r="G16" s="124"/>
      <c r="H16" s="124"/>
    </row>
    <row r="17" spans="1:9" x14ac:dyDescent="0.25">
      <c r="A17" s="124" t="s">
        <v>182</v>
      </c>
      <c r="B17" s="124"/>
      <c r="C17" s="124"/>
      <c r="D17" s="124"/>
      <c r="E17" s="124"/>
      <c r="F17" s="124"/>
      <c r="G17" s="124"/>
      <c r="H17" s="124"/>
    </row>
    <row r="19" spans="1:9" ht="15.75" x14ac:dyDescent="0.25">
      <c r="A19" s="135" t="s">
        <v>183</v>
      </c>
      <c r="B19" s="135"/>
      <c r="C19" s="135"/>
      <c r="D19" s="135"/>
      <c r="E19" s="135"/>
      <c r="F19" s="135"/>
      <c r="G19" s="135"/>
      <c r="H19" s="135"/>
    </row>
    <row r="20" spans="1:9" ht="66" customHeight="1" x14ac:dyDescent="0.25">
      <c r="A20" s="125" t="s">
        <v>184</v>
      </c>
      <c r="B20" s="125"/>
      <c r="C20" s="125"/>
      <c r="D20" s="125"/>
      <c r="E20" s="125"/>
      <c r="F20" s="125"/>
      <c r="G20" s="125"/>
      <c r="H20" s="125"/>
    </row>
    <row r="22" spans="1:9" ht="15.75" x14ac:dyDescent="0.25">
      <c r="A22" s="127" t="s">
        <v>185</v>
      </c>
      <c r="B22" s="127"/>
      <c r="C22" s="127"/>
      <c r="D22" s="127"/>
      <c r="E22" s="127"/>
      <c r="F22" s="127"/>
      <c r="G22" s="127"/>
      <c r="H22" s="127"/>
    </row>
    <row r="23" spans="1:9" x14ac:dyDescent="0.25">
      <c r="A23" s="128" t="s">
        <v>186</v>
      </c>
      <c r="B23" s="129"/>
      <c r="C23" s="129"/>
      <c r="D23" s="129"/>
      <c r="E23" s="129"/>
      <c r="F23" s="130"/>
      <c r="G23" s="131">
        <f>Resumo!F7</f>
        <v>20014.48</v>
      </c>
      <c r="H23" s="130"/>
      <c r="I23" s="116"/>
    </row>
    <row r="24" spans="1:9" x14ac:dyDescent="0.25">
      <c r="A24" s="122" t="s">
        <v>229</v>
      </c>
      <c r="B24" s="122"/>
      <c r="C24" s="122"/>
      <c r="D24" s="122"/>
      <c r="E24" s="122"/>
      <c r="F24" s="122"/>
      <c r="G24" s="122"/>
      <c r="H24" s="122"/>
    </row>
    <row r="25" spans="1:9" x14ac:dyDescent="0.25">
      <c r="A25" s="128" t="s">
        <v>187</v>
      </c>
      <c r="B25" s="129"/>
      <c r="C25" s="129"/>
      <c r="D25" s="129"/>
      <c r="E25" s="129"/>
      <c r="F25" s="130"/>
      <c r="G25" s="131">
        <f>Resumo!G9</f>
        <v>240173.76</v>
      </c>
      <c r="H25" s="130"/>
      <c r="I25" s="116"/>
    </row>
    <row r="26" spans="1:9" x14ac:dyDescent="0.25">
      <c r="A26" s="122" t="s">
        <v>230</v>
      </c>
      <c r="B26" s="122"/>
      <c r="C26" s="122"/>
      <c r="D26" s="122"/>
      <c r="E26" s="122"/>
      <c r="F26" s="122"/>
      <c r="G26" s="122"/>
      <c r="H26" s="122"/>
    </row>
    <row r="28" spans="1:9" ht="15.75" x14ac:dyDescent="0.25">
      <c r="A28" s="123" t="s">
        <v>188</v>
      </c>
      <c r="B28" s="123"/>
      <c r="C28" s="123"/>
      <c r="D28" s="124" t="s">
        <v>189</v>
      </c>
      <c r="E28" s="124"/>
      <c r="F28" s="124"/>
      <c r="G28" s="124"/>
      <c r="H28" s="124"/>
    </row>
    <row r="30" spans="1:9" ht="30.75" customHeight="1" x14ac:dyDescent="0.25">
      <c r="A30" s="125" t="s">
        <v>190</v>
      </c>
      <c r="B30" s="125"/>
      <c r="C30" s="125"/>
      <c r="D30" s="125"/>
      <c r="E30" s="125"/>
      <c r="F30" s="125"/>
      <c r="G30" s="125"/>
      <c r="H30" s="125"/>
    </row>
    <row r="32" spans="1:9" ht="64.5" customHeight="1" x14ac:dyDescent="0.25">
      <c r="A32" s="126" t="s">
        <v>191</v>
      </c>
      <c r="B32" s="126"/>
      <c r="C32" s="126"/>
      <c r="D32" s="126"/>
      <c r="E32" s="126"/>
      <c r="F32" s="126"/>
      <c r="G32" s="126"/>
      <c r="H32" s="126"/>
    </row>
    <row r="34" spans="1:8" ht="52.5" customHeight="1" x14ac:dyDescent="0.25">
      <c r="A34" s="125" t="s">
        <v>192</v>
      </c>
      <c r="B34" s="125"/>
      <c r="C34" s="125"/>
      <c r="D34" s="125"/>
      <c r="E34" s="125"/>
      <c r="F34" s="125"/>
      <c r="G34" s="125"/>
      <c r="H34" s="125"/>
    </row>
    <row r="36" spans="1:8" ht="33" customHeight="1" x14ac:dyDescent="0.25">
      <c r="A36" s="125" t="s">
        <v>193</v>
      </c>
      <c r="B36" s="125"/>
      <c r="C36" s="125"/>
      <c r="D36" s="125"/>
      <c r="E36" s="125"/>
      <c r="F36" s="125"/>
      <c r="G36" s="125"/>
      <c r="H36" s="125"/>
    </row>
    <row r="38" spans="1:8" ht="33.75" customHeight="1" x14ac:dyDescent="0.25">
      <c r="A38" s="125" t="s">
        <v>194</v>
      </c>
      <c r="B38" s="125"/>
      <c r="C38" s="125"/>
      <c r="D38" s="125"/>
      <c r="E38" s="125"/>
      <c r="F38" s="125"/>
      <c r="G38" s="125"/>
      <c r="H38" s="125"/>
    </row>
    <row r="40" spans="1:8" ht="60.75" customHeight="1" x14ac:dyDescent="0.25">
      <c r="A40" s="126" t="s">
        <v>195</v>
      </c>
      <c r="B40" s="126"/>
      <c r="C40" s="126"/>
      <c r="D40" s="126"/>
      <c r="E40" s="126"/>
      <c r="F40" s="126"/>
      <c r="G40" s="126"/>
      <c r="H40" s="126"/>
    </row>
    <row r="42" spans="1:8" x14ac:dyDescent="0.25">
      <c r="A42" s="118" t="s">
        <v>196</v>
      </c>
      <c r="B42" s="118"/>
      <c r="C42" s="118"/>
      <c r="D42" s="118"/>
      <c r="E42" s="118"/>
      <c r="F42" s="118"/>
      <c r="G42" s="118"/>
      <c r="H42" s="118"/>
    </row>
    <row r="43" spans="1:8" x14ac:dyDescent="0.25">
      <c r="A43" s="113"/>
      <c r="B43" s="113"/>
      <c r="C43" s="113"/>
      <c r="D43" s="113"/>
      <c r="E43" s="113"/>
      <c r="F43" s="113"/>
      <c r="G43" s="113"/>
      <c r="H43" s="113"/>
    </row>
    <row r="44" spans="1:8" ht="28.5" customHeight="1" x14ac:dyDescent="0.25">
      <c r="A44" s="125" t="s">
        <v>197</v>
      </c>
      <c r="B44" s="125"/>
      <c r="C44" s="125"/>
      <c r="D44" s="125"/>
      <c r="E44" s="125"/>
      <c r="F44" s="125"/>
      <c r="G44" s="125"/>
      <c r="H44" s="125"/>
    </row>
    <row r="45" spans="1:8" x14ac:dyDescent="0.25">
      <c r="A45" s="113"/>
      <c r="B45" s="113"/>
      <c r="C45" s="113"/>
      <c r="D45" s="113"/>
      <c r="E45" s="113"/>
      <c r="F45" s="113"/>
      <c r="G45" s="113"/>
      <c r="H45" s="113"/>
    </row>
    <row r="47" spans="1:8" ht="15.75" x14ac:dyDescent="0.25">
      <c r="A47" s="121" t="s">
        <v>198</v>
      </c>
      <c r="B47" s="121"/>
      <c r="C47" s="121"/>
      <c r="D47" s="121"/>
      <c r="E47" s="121"/>
      <c r="F47" s="121"/>
      <c r="G47" s="121"/>
      <c r="H47" s="121"/>
    </row>
    <row r="48" spans="1:8" x14ac:dyDescent="0.25">
      <c r="A48" s="118" t="s">
        <v>199</v>
      </c>
      <c r="B48" s="118"/>
      <c r="C48" s="118"/>
      <c r="D48" s="118"/>
      <c r="E48" s="118"/>
      <c r="F48" s="118"/>
      <c r="G48" s="118"/>
      <c r="H48" s="118"/>
    </row>
    <row r="49" spans="1:8" x14ac:dyDescent="0.25">
      <c r="A49" s="118" t="s">
        <v>179</v>
      </c>
      <c r="B49" s="118"/>
      <c r="C49" s="118"/>
      <c r="D49" s="118"/>
      <c r="E49" s="118"/>
      <c r="F49" s="118"/>
      <c r="G49" s="118"/>
      <c r="H49" s="118"/>
    </row>
    <row r="50" spans="1:8" x14ac:dyDescent="0.25">
      <c r="A50" s="118" t="s">
        <v>200</v>
      </c>
      <c r="B50" s="118"/>
      <c r="C50" s="118"/>
      <c r="D50" s="118"/>
      <c r="E50" s="118"/>
      <c r="F50" s="118"/>
      <c r="G50" s="118"/>
      <c r="H50" s="118"/>
    </row>
    <row r="51" spans="1:8" x14ac:dyDescent="0.25">
      <c r="A51" s="118" t="s">
        <v>201</v>
      </c>
      <c r="B51" s="118"/>
      <c r="C51" s="118"/>
      <c r="D51" s="118"/>
      <c r="E51" s="118"/>
      <c r="F51" s="118"/>
      <c r="G51" s="118"/>
      <c r="H51" s="118"/>
    </row>
    <row r="52" spans="1:8" x14ac:dyDescent="0.25">
      <c r="A52" s="115" t="s">
        <v>202</v>
      </c>
      <c r="B52" s="115" t="s">
        <v>203</v>
      </c>
      <c r="C52" s="115"/>
      <c r="D52" s="115" t="s">
        <v>204</v>
      </c>
      <c r="E52" s="114" t="s">
        <v>205</v>
      </c>
      <c r="F52" s="115"/>
      <c r="G52" s="115" t="s">
        <v>206</v>
      </c>
      <c r="H52" s="114" t="s">
        <v>207</v>
      </c>
    </row>
    <row r="53" spans="1:8" x14ac:dyDescent="0.25">
      <c r="A53" s="118" t="s">
        <v>208</v>
      </c>
      <c r="B53" s="118"/>
      <c r="C53" s="115" t="s">
        <v>209</v>
      </c>
      <c r="D53" s="115"/>
      <c r="E53" s="115"/>
      <c r="F53" s="115"/>
      <c r="G53" s="115"/>
      <c r="H53" s="115"/>
    </row>
    <row r="54" spans="1:8" x14ac:dyDescent="0.25">
      <c r="A54" s="115"/>
      <c r="B54" s="115"/>
      <c r="C54" s="115"/>
      <c r="D54" s="115"/>
      <c r="E54" s="115"/>
      <c r="F54" s="115"/>
      <c r="G54" s="115"/>
      <c r="H54" s="115"/>
    </row>
    <row r="55" spans="1:8" ht="15.75" x14ac:dyDescent="0.25">
      <c r="A55" s="121" t="s">
        <v>210</v>
      </c>
      <c r="B55" s="121"/>
      <c r="C55" s="121"/>
      <c r="D55" s="121"/>
      <c r="E55" s="121"/>
      <c r="F55" s="121"/>
      <c r="G55" s="121"/>
      <c r="H55" s="121"/>
    </row>
    <row r="56" spans="1:8" x14ac:dyDescent="0.25">
      <c r="A56" s="118" t="s">
        <v>211</v>
      </c>
      <c r="B56" s="118"/>
      <c r="C56" s="118"/>
      <c r="D56" s="118"/>
      <c r="E56" s="118"/>
      <c r="F56" s="118"/>
      <c r="G56" s="118"/>
      <c r="H56" s="118"/>
    </row>
    <row r="57" spans="1:8" x14ac:dyDescent="0.25">
      <c r="A57" s="118" t="s">
        <v>212</v>
      </c>
      <c r="B57" s="118"/>
      <c r="C57" s="118"/>
      <c r="D57" s="118"/>
      <c r="E57" s="118"/>
      <c r="F57" s="118"/>
      <c r="G57" s="118"/>
      <c r="H57" s="118"/>
    </row>
    <row r="58" spans="1:8" x14ac:dyDescent="0.25">
      <c r="A58" s="118" t="s">
        <v>213</v>
      </c>
      <c r="B58" s="118"/>
      <c r="C58" s="118"/>
      <c r="D58" s="118"/>
      <c r="E58" s="118"/>
      <c r="F58" s="118"/>
      <c r="G58" s="118"/>
      <c r="H58" s="118"/>
    </row>
    <row r="59" spans="1:8" x14ac:dyDescent="0.25">
      <c r="A59" s="118" t="s">
        <v>214</v>
      </c>
      <c r="B59" s="118"/>
      <c r="C59" s="118"/>
      <c r="D59" s="118"/>
      <c r="E59" s="118"/>
      <c r="F59" s="118"/>
      <c r="G59" s="118"/>
      <c r="H59" s="118"/>
    </row>
    <row r="60" spans="1:8" x14ac:dyDescent="0.25">
      <c r="A60" s="118" t="s">
        <v>215</v>
      </c>
      <c r="B60" s="118"/>
      <c r="C60" s="118"/>
      <c r="D60" s="118"/>
      <c r="E60" s="118"/>
      <c r="F60" s="118"/>
      <c r="G60" s="118"/>
      <c r="H60" s="118"/>
    </row>
    <row r="61" spans="1:8" x14ac:dyDescent="0.25">
      <c r="A61" s="118" t="s">
        <v>216</v>
      </c>
      <c r="B61" s="118"/>
      <c r="C61" s="118"/>
      <c r="D61" s="118"/>
      <c r="E61" s="118"/>
      <c r="F61" s="118"/>
      <c r="G61" s="118"/>
      <c r="H61" s="118"/>
    </row>
    <row r="62" spans="1:8" x14ac:dyDescent="0.25">
      <c r="A62" s="118" t="s">
        <v>217</v>
      </c>
      <c r="B62" s="118"/>
      <c r="C62" s="118"/>
      <c r="D62" s="118"/>
      <c r="E62" s="118"/>
      <c r="F62" s="118"/>
      <c r="G62" s="118"/>
      <c r="H62" s="118"/>
    </row>
    <row r="63" spans="1:8" x14ac:dyDescent="0.25">
      <c r="A63" s="118" t="s">
        <v>218</v>
      </c>
      <c r="B63" s="118"/>
      <c r="C63" s="118"/>
      <c r="D63" s="118"/>
      <c r="E63" s="118"/>
      <c r="F63" s="118"/>
      <c r="G63" s="118"/>
      <c r="H63" s="118"/>
    </row>
    <row r="64" spans="1:8" x14ac:dyDescent="0.25">
      <c r="A64" s="115"/>
      <c r="B64" s="115"/>
      <c r="C64" s="115"/>
      <c r="D64" s="115"/>
      <c r="E64" s="115"/>
      <c r="F64" s="115"/>
      <c r="G64" s="115"/>
      <c r="H64" s="115"/>
    </row>
    <row r="65" spans="1:8" x14ac:dyDescent="0.25">
      <c r="A65" s="118" t="s">
        <v>219</v>
      </c>
      <c r="B65" s="118"/>
      <c r="C65" s="118"/>
      <c r="D65" s="118"/>
      <c r="E65" s="118"/>
      <c r="F65" s="118"/>
      <c r="G65" s="118"/>
      <c r="H65" s="118"/>
    </row>
    <row r="66" spans="1:8" x14ac:dyDescent="0.25">
      <c r="A66" s="115"/>
      <c r="B66" s="115"/>
      <c r="C66" s="115"/>
      <c r="D66" s="115"/>
      <c r="E66" s="115"/>
      <c r="F66" s="115"/>
      <c r="G66" s="115"/>
      <c r="H66" s="115"/>
    </row>
    <row r="67" spans="1:8" x14ac:dyDescent="0.25">
      <c r="A67" s="119" t="str">
        <f>A2</f>
        <v>Brasília-DF, 23 de março de 2021</v>
      </c>
      <c r="B67" s="119"/>
      <c r="C67" s="119"/>
      <c r="D67" s="119"/>
      <c r="E67" s="119"/>
      <c r="F67" s="119"/>
      <c r="G67" s="119"/>
      <c r="H67" s="119"/>
    </row>
    <row r="72" spans="1:8" x14ac:dyDescent="0.25">
      <c r="A72" s="120"/>
      <c r="B72" s="120"/>
      <c r="C72" s="120"/>
      <c r="D72" s="120"/>
      <c r="E72" s="120"/>
      <c r="F72" s="120"/>
      <c r="G72" s="120"/>
      <c r="H72" s="120"/>
    </row>
  </sheetData>
  <mergeCells count="47">
    <mergeCell ref="A20:H20"/>
    <mergeCell ref="A2:H2"/>
    <mergeCell ref="A5:H5"/>
    <mergeCell ref="A6:H6"/>
    <mergeCell ref="A8:B8"/>
    <mergeCell ref="A11:H11"/>
    <mergeCell ref="A13:H13"/>
    <mergeCell ref="A14:H14"/>
    <mergeCell ref="A15:H15"/>
    <mergeCell ref="A16:H16"/>
    <mergeCell ref="A17:H17"/>
    <mergeCell ref="A19:H19"/>
    <mergeCell ref="A22:H22"/>
    <mergeCell ref="A23:F23"/>
    <mergeCell ref="G23:H23"/>
    <mergeCell ref="A24:H24"/>
    <mergeCell ref="A25:F25"/>
    <mergeCell ref="G25:H25"/>
    <mergeCell ref="A47:H47"/>
    <mergeCell ref="A26:H26"/>
    <mergeCell ref="A28:C28"/>
    <mergeCell ref="D28:H28"/>
    <mergeCell ref="A30:H30"/>
    <mergeCell ref="A32:H32"/>
    <mergeCell ref="A34:H34"/>
    <mergeCell ref="A36:H36"/>
    <mergeCell ref="A38:H38"/>
    <mergeCell ref="A40:H40"/>
    <mergeCell ref="A42:H42"/>
    <mergeCell ref="A44:H44"/>
    <mergeCell ref="A61:H61"/>
    <mergeCell ref="A48:H48"/>
    <mergeCell ref="A49:H49"/>
    <mergeCell ref="A50:H50"/>
    <mergeCell ref="A51:H51"/>
    <mergeCell ref="A53:B53"/>
    <mergeCell ref="A55:H55"/>
    <mergeCell ref="A56:H56"/>
    <mergeCell ref="A57:H57"/>
    <mergeCell ref="A58:H58"/>
    <mergeCell ref="A59:H59"/>
    <mergeCell ref="A60:H60"/>
    <mergeCell ref="A62:H62"/>
    <mergeCell ref="A63:H63"/>
    <mergeCell ref="A65:H65"/>
    <mergeCell ref="A67:H67"/>
    <mergeCell ref="A72:H72"/>
  </mergeCells>
  <pageMargins left="0.51181102362204722" right="0.51181102362204722" top="1.5748031496062993" bottom="0.78740157480314965" header="0.31496062992125984" footer="0.31496062992125984"/>
  <pageSetup paperSize="9" scale="90" orientation="portrait" r:id="rId1"/>
  <headerFooter>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98D29-B428-4F8E-8E9C-9E77992CA086}">
  <dimension ref="A1:L30"/>
  <sheetViews>
    <sheetView view="pageBreakPreview" topLeftCell="A10" zoomScaleNormal="100" zoomScaleSheetLayoutView="100" workbookViewId="0">
      <selection activeCell="A11" sqref="A11:G11"/>
    </sheetView>
  </sheetViews>
  <sheetFormatPr defaultColWidth="25.28515625" defaultRowHeight="15" x14ac:dyDescent="0.25"/>
  <cols>
    <col min="1" max="1" width="32.7109375" customWidth="1"/>
    <col min="2" max="2" width="19.42578125" customWidth="1"/>
    <col min="3" max="3" width="18.42578125" customWidth="1"/>
    <col min="4" max="4" width="21.28515625" customWidth="1"/>
    <col min="5" max="5" width="18.5703125" customWidth="1"/>
    <col min="6" max="6" width="23.42578125" bestFit="1" customWidth="1"/>
    <col min="7" max="7" width="23.42578125" customWidth="1"/>
    <col min="8" max="8" width="17" hidden="1" customWidth="1"/>
    <col min="9" max="9" width="19.7109375" hidden="1" customWidth="1"/>
    <col min="10" max="10" width="4.7109375" hidden="1" customWidth="1"/>
    <col min="11" max="11" width="12" hidden="1" customWidth="1"/>
    <col min="12" max="13" width="0" hidden="1" customWidth="1"/>
  </cols>
  <sheetData>
    <row r="1" spans="1:12" x14ac:dyDescent="0.25">
      <c r="A1" s="120" t="s">
        <v>87</v>
      </c>
      <c r="B1" s="120"/>
      <c r="C1" s="120"/>
      <c r="D1" s="120"/>
      <c r="E1" s="120"/>
      <c r="F1" s="120"/>
      <c r="G1" s="120"/>
      <c r="H1" s="60"/>
      <c r="I1" s="60"/>
    </row>
    <row r="3" spans="1:12" ht="56.25" x14ac:dyDescent="0.25">
      <c r="A3" s="51" t="s">
        <v>88</v>
      </c>
      <c r="B3" s="51" t="s">
        <v>95</v>
      </c>
      <c r="C3" s="51" t="s">
        <v>96</v>
      </c>
      <c r="D3" s="51" t="s">
        <v>115</v>
      </c>
      <c r="E3" s="51" t="s">
        <v>116</v>
      </c>
      <c r="F3" s="51" t="s">
        <v>109</v>
      </c>
      <c r="G3" s="51" t="s">
        <v>107</v>
      </c>
    </row>
    <row r="4" spans="1:12" ht="18.75" x14ac:dyDescent="0.3">
      <c r="A4" s="52" t="s">
        <v>89</v>
      </c>
      <c r="B4" s="52" t="s">
        <v>91</v>
      </c>
      <c r="C4" s="52" t="s">
        <v>90</v>
      </c>
      <c r="D4" s="52" t="s">
        <v>92</v>
      </c>
      <c r="E4" s="52" t="s">
        <v>93</v>
      </c>
      <c r="F4" s="52" t="s">
        <v>94</v>
      </c>
      <c r="G4" s="52" t="s">
        <v>108</v>
      </c>
      <c r="H4" s="66" t="s">
        <v>101</v>
      </c>
      <c r="I4" s="65" t="s">
        <v>102</v>
      </c>
      <c r="K4" t="s">
        <v>119</v>
      </c>
    </row>
    <row r="5" spans="1:12" ht="34.5" x14ac:dyDescent="0.3">
      <c r="A5" s="88" t="s">
        <v>113</v>
      </c>
      <c r="B5" s="89">
        <f>ROUND('Sup Cont'!F119,2)</f>
        <v>23.75</v>
      </c>
      <c r="C5" s="61">
        <v>1</v>
      </c>
      <c r="D5" s="90">
        <f>ROUND(B5*C5,2)</f>
        <v>23.75</v>
      </c>
      <c r="E5" s="61">
        <v>125</v>
      </c>
      <c r="F5" s="90">
        <f>ROUND(D5*E5,2)</f>
        <v>2968.75</v>
      </c>
      <c r="G5" s="90">
        <f>ROUND(F5*12,2)</f>
        <v>35625</v>
      </c>
      <c r="H5" s="91">
        <v>4448.25</v>
      </c>
      <c r="I5" s="92">
        <f>H5-F5</f>
        <v>1479.5</v>
      </c>
      <c r="K5" s="93">
        <v>36525</v>
      </c>
      <c r="L5" s="1">
        <f>K5-G5</f>
        <v>900</v>
      </c>
    </row>
    <row r="6" spans="1:12" ht="17.25" x14ac:dyDescent="0.3">
      <c r="A6" s="88" t="s">
        <v>114</v>
      </c>
      <c r="B6" s="89">
        <f>ROUND('Sup Tec'!F118,2)</f>
        <v>5681.91</v>
      </c>
      <c r="C6" s="61">
        <v>1</v>
      </c>
      <c r="D6" s="90">
        <f t="shared" ref="D6" si="0">ROUND(B6*C6,2)</f>
        <v>5681.91</v>
      </c>
      <c r="E6" s="61">
        <v>3</v>
      </c>
      <c r="F6" s="90">
        <f t="shared" ref="F6" si="1">ROUND(D6*E6,2)</f>
        <v>17045.73</v>
      </c>
      <c r="G6" s="90">
        <f t="shared" ref="G6" si="2">ROUND(F6*12,2)</f>
        <v>204548.76</v>
      </c>
      <c r="H6" s="91">
        <v>23387.52</v>
      </c>
      <c r="I6" s="92">
        <f>H6-F6</f>
        <v>6341.7900000000009</v>
      </c>
      <c r="K6" s="93">
        <v>206572.32</v>
      </c>
      <c r="L6" s="1">
        <f>K6-G6</f>
        <v>2023.5599999999977</v>
      </c>
    </row>
    <row r="7" spans="1:12" ht="18.75" x14ac:dyDescent="0.3">
      <c r="A7" s="136" t="s">
        <v>99</v>
      </c>
      <c r="B7" s="137"/>
      <c r="C7" s="137"/>
      <c r="D7" s="138"/>
      <c r="E7" s="82"/>
      <c r="F7" s="83">
        <f>SUM(F5:F6)</f>
        <v>20014.48</v>
      </c>
      <c r="G7" s="79"/>
    </row>
    <row r="8" spans="1:12" ht="18.75" x14ac:dyDescent="0.3">
      <c r="A8" s="139"/>
      <c r="B8" s="139"/>
      <c r="C8" s="139"/>
      <c r="D8" s="139"/>
      <c r="E8" s="139"/>
      <c r="F8" s="139"/>
      <c r="G8" s="139"/>
    </row>
    <row r="9" spans="1:12" ht="18.75" x14ac:dyDescent="0.3">
      <c r="A9" s="139" t="s">
        <v>100</v>
      </c>
      <c r="B9" s="139"/>
      <c r="C9" s="139"/>
      <c r="D9" s="139"/>
      <c r="E9" s="139"/>
      <c r="F9" s="139"/>
      <c r="G9" s="84">
        <f>ROUND(F7*12,2)</f>
        <v>240173.76</v>
      </c>
    </row>
    <row r="10" spans="1:12" ht="18.75" x14ac:dyDescent="0.3">
      <c r="A10" s="80"/>
      <c r="B10" s="81"/>
      <c r="C10" s="81"/>
      <c r="D10" s="81"/>
      <c r="E10" s="81"/>
      <c r="F10" s="81"/>
      <c r="G10" s="81"/>
    </row>
    <row r="11" spans="1:12" ht="69.75" customHeight="1" x14ac:dyDescent="0.25">
      <c r="A11" s="140" t="s">
        <v>117</v>
      </c>
      <c r="B11" s="140"/>
      <c r="C11" s="140"/>
      <c r="D11" s="140"/>
      <c r="E11" s="140"/>
      <c r="F11" s="140"/>
      <c r="G11" s="140"/>
    </row>
    <row r="12" spans="1:12" ht="69" customHeight="1" x14ac:dyDescent="0.25">
      <c r="A12" s="140" t="s">
        <v>118</v>
      </c>
      <c r="B12" s="140"/>
      <c r="C12" s="140"/>
      <c r="D12" s="140"/>
      <c r="E12" s="140"/>
      <c r="F12" s="140"/>
      <c r="G12" s="140"/>
    </row>
    <row r="15" spans="1:12" x14ac:dyDescent="0.25">
      <c r="A15" s="133"/>
      <c r="B15" s="133"/>
      <c r="C15" s="133"/>
      <c r="D15" s="133"/>
      <c r="E15" s="133"/>
      <c r="F15" s="133"/>
      <c r="G15" s="63"/>
    </row>
    <row r="16" spans="1:12" x14ac:dyDescent="0.25">
      <c r="H16" s="77"/>
      <c r="I16" s="78"/>
    </row>
    <row r="17" spans="1:11" x14ac:dyDescent="0.25">
      <c r="H17" s="77"/>
      <c r="I17" s="78"/>
    </row>
    <row r="24" spans="1:11" x14ac:dyDescent="0.25">
      <c r="A24" s="120"/>
      <c r="B24" s="120"/>
      <c r="C24" s="120"/>
      <c r="D24" s="120"/>
      <c r="E24" s="120"/>
      <c r="F24" s="120"/>
      <c r="G24" s="64"/>
      <c r="K24" s="1"/>
    </row>
    <row r="25" spans="1:11" x14ac:dyDescent="0.25">
      <c r="A25" s="120"/>
      <c r="B25" s="120"/>
      <c r="C25" s="120"/>
      <c r="D25" s="120"/>
      <c r="E25" s="120"/>
      <c r="F25" s="120"/>
      <c r="G25" s="64"/>
    </row>
    <row r="29" spans="1:11" x14ac:dyDescent="0.25">
      <c r="F29" s="1"/>
      <c r="G29" s="1"/>
    </row>
    <row r="30" spans="1:11" x14ac:dyDescent="0.25">
      <c r="F30" s="1"/>
      <c r="G30" s="1"/>
    </row>
  </sheetData>
  <mergeCells count="9">
    <mergeCell ref="A1:G1"/>
    <mergeCell ref="A25:F25"/>
    <mergeCell ref="A7:D7"/>
    <mergeCell ref="A24:F24"/>
    <mergeCell ref="A15:F15"/>
    <mergeCell ref="A8:G8"/>
    <mergeCell ref="A9:F9"/>
    <mergeCell ref="A11:G11"/>
    <mergeCell ref="A12:G12"/>
  </mergeCells>
  <printOptions horizontalCentered="1"/>
  <pageMargins left="0.51181102362204722" right="0.51181102362204722" top="1.5748031496062993" bottom="0.78740157480314965"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B31B3-8A53-497D-886D-28DEF174FFE6}">
  <dimension ref="A1:T125"/>
  <sheetViews>
    <sheetView view="pageBreakPreview" zoomScale="80" zoomScaleNormal="100" zoomScaleSheetLayoutView="80" workbookViewId="0">
      <selection activeCell="X99" sqref="X99"/>
    </sheetView>
  </sheetViews>
  <sheetFormatPr defaultRowHeight="15" x14ac:dyDescent="0.25"/>
  <cols>
    <col min="1" max="1" width="5.5703125" style="2" customWidth="1"/>
    <col min="2" max="2" width="21.42578125" style="2" customWidth="1"/>
    <col min="3" max="3" width="19.28515625" style="2" customWidth="1"/>
    <col min="4" max="4" width="22.85546875" style="2" customWidth="1"/>
    <col min="5" max="5" width="19.42578125" style="2" customWidth="1"/>
    <col min="6" max="6" width="28.5703125" style="2" customWidth="1"/>
    <col min="7" max="8" width="13.28515625" style="2" hidden="1" customWidth="1"/>
    <col min="9" max="9" width="14.28515625" style="2" hidden="1" customWidth="1"/>
    <col min="10" max="10" width="13.28515625" style="2" hidden="1" customWidth="1"/>
    <col min="11" max="11" width="11.42578125" style="2" hidden="1" customWidth="1"/>
    <col min="12" max="19" width="0" style="2" hidden="1" customWidth="1"/>
    <col min="20" max="20" width="13.28515625" style="2" bestFit="1" customWidth="1"/>
    <col min="21" max="16384" width="9.140625" style="2"/>
  </cols>
  <sheetData>
    <row r="1" spans="1:6" x14ac:dyDescent="0.25">
      <c r="A1" s="161" t="s">
        <v>98</v>
      </c>
      <c r="B1" s="161"/>
      <c r="C1" s="161"/>
      <c r="D1" s="161"/>
      <c r="E1" s="161"/>
      <c r="F1" s="161"/>
    </row>
    <row r="2" spans="1:6" ht="15" customHeight="1" x14ac:dyDescent="0.25">
      <c r="A2" s="162" t="s">
        <v>0</v>
      </c>
      <c r="B2" s="163"/>
      <c r="C2" s="163"/>
      <c r="D2" s="163"/>
      <c r="E2" s="163"/>
      <c r="F2" s="164"/>
    </row>
    <row r="3" spans="1:6" ht="15" customHeight="1" x14ac:dyDescent="0.25">
      <c r="A3" s="3" t="s">
        <v>1</v>
      </c>
      <c r="B3" s="165" t="s">
        <v>2</v>
      </c>
      <c r="C3" s="166"/>
      <c r="D3" s="166"/>
      <c r="E3" s="167"/>
      <c r="F3" s="29">
        <v>44229</v>
      </c>
    </row>
    <row r="4" spans="1:6" x14ac:dyDescent="0.25">
      <c r="A4" s="4" t="s">
        <v>3</v>
      </c>
      <c r="B4" s="168" t="s">
        <v>4</v>
      </c>
      <c r="C4" s="169"/>
      <c r="D4" s="169"/>
      <c r="E4" s="170"/>
      <c r="F4" s="30" t="s">
        <v>78</v>
      </c>
    </row>
    <row r="5" spans="1:6" ht="15" customHeight="1" x14ac:dyDescent="0.25">
      <c r="A5" s="4" t="s">
        <v>5</v>
      </c>
      <c r="B5" s="168" t="s">
        <v>103</v>
      </c>
      <c r="C5" s="169"/>
      <c r="D5" s="169"/>
      <c r="E5" s="170"/>
      <c r="F5" s="31" t="s">
        <v>132</v>
      </c>
    </row>
    <row r="6" spans="1:6" ht="15" customHeight="1" x14ac:dyDescent="0.25">
      <c r="A6" s="5" t="s">
        <v>6</v>
      </c>
      <c r="B6" s="171" t="s">
        <v>7</v>
      </c>
      <c r="C6" s="172"/>
      <c r="D6" s="172"/>
      <c r="E6" s="173"/>
      <c r="F6" s="32">
        <v>12</v>
      </c>
    </row>
    <row r="7" spans="1:6" ht="15" customHeight="1" x14ac:dyDescent="0.25">
      <c r="A7" s="6" t="s">
        <v>22</v>
      </c>
      <c r="B7" s="174" t="s">
        <v>104</v>
      </c>
      <c r="C7" s="174"/>
      <c r="D7" s="174"/>
      <c r="E7" s="174"/>
      <c r="F7" s="31" t="s">
        <v>110</v>
      </c>
    </row>
    <row r="8" spans="1:6" x14ac:dyDescent="0.25">
      <c r="A8" s="181"/>
      <c r="B8" s="182"/>
      <c r="C8" s="182"/>
      <c r="D8" s="182"/>
      <c r="E8" s="182"/>
      <c r="F8" s="183"/>
    </row>
    <row r="9" spans="1:6" ht="15" customHeight="1" x14ac:dyDescent="0.25">
      <c r="A9" s="184" t="s">
        <v>8</v>
      </c>
      <c r="B9" s="185"/>
      <c r="C9" s="185"/>
      <c r="D9" s="185"/>
      <c r="E9" s="185"/>
      <c r="F9" s="186"/>
    </row>
    <row r="10" spans="1:6" x14ac:dyDescent="0.25">
      <c r="A10" s="7">
        <v>1</v>
      </c>
      <c r="B10" s="165" t="s">
        <v>9</v>
      </c>
      <c r="C10" s="166"/>
      <c r="D10" s="166"/>
      <c r="E10" s="167"/>
      <c r="F10" s="99" t="s">
        <v>133</v>
      </c>
    </row>
    <row r="11" spans="1:6" ht="15" customHeight="1" x14ac:dyDescent="0.25">
      <c r="A11" s="8">
        <v>2</v>
      </c>
      <c r="B11" s="168" t="s">
        <v>10</v>
      </c>
      <c r="C11" s="169"/>
      <c r="D11" s="169"/>
      <c r="E11" s="170"/>
      <c r="F11" s="30" t="s">
        <v>220</v>
      </c>
    </row>
    <row r="12" spans="1:6" ht="15" customHeight="1" x14ac:dyDescent="0.25">
      <c r="A12" s="8">
        <v>3</v>
      </c>
      <c r="B12" s="168" t="s">
        <v>11</v>
      </c>
      <c r="C12" s="169"/>
      <c r="D12" s="169"/>
      <c r="E12" s="170"/>
      <c r="F12" s="33">
        <v>2425</v>
      </c>
    </row>
    <row r="13" spans="1:6" x14ac:dyDescent="0.25">
      <c r="A13" s="7">
        <v>4</v>
      </c>
      <c r="B13" s="165" t="s">
        <v>12</v>
      </c>
      <c r="C13" s="166"/>
      <c r="D13" s="166"/>
      <c r="E13" s="167"/>
      <c r="F13" s="99" t="s">
        <v>167</v>
      </c>
    </row>
    <row r="14" spans="1:6" ht="15" customHeight="1" x14ac:dyDescent="0.25">
      <c r="A14" s="9">
        <v>5</v>
      </c>
      <c r="B14" s="168" t="s">
        <v>13</v>
      </c>
      <c r="C14" s="169"/>
      <c r="D14" s="169"/>
      <c r="E14" s="170"/>
      <c r="F14" s="34">
        <v>43586</v>
      </c>
    </row>
    <row r="15" spans="1:6" x14ac:dyDescent="0.25">
      <c r="A15" s="181"/>
      <c r="B15" s="182"/>
      <c r="C15" s="182"/>
      <c r="D15" s="182"/>
      <c r="E15" s="182"/>
      <c r="F15" s="183"/>
    </row>
    <row r="16" spans="1:6" ht="15" customHeight="1" x14ac:dyDescent="0.25">
      <c r="A16" s="175" t="s">
        <v>14</v>
      </c>
      <c r="B16" s="176"/>
      <c r="C16" s="176"/>
      <c r="D16" s="176"/>
      <c r="E16" s="176"/>
      <c r="F16" s="177"/>
    </row>
    <row r="17" spans="1:8" ht="15" customHeight="1" x14ac:dyDescent="0.25">
      <c r="A17" s="67">
        <v>1</v>
      </c>
      <c r="B17" s="144" t="s">
        <v>15</v>
      </c>
      <c r="C17" s="145"/>
      <c r="D17" s="146"/>
      <c r="E17" s="10" t="s">
        <v>16</v>
      </c>
      <c r="F17" s="10" t="s">
        <v>17</v>
      </c>
    </row>
    <row r="18" spans="1:8" x14ac:dyDescent="0.25">
      <c r="A18" s="22" t="s">
        <v>1</v>
      </c>
      <c r="B18" s="150" t="s">
        <v>18</v>
      </c>
      <c r="C18" s="151"/>
      <c r="D18" s="152"/>
      <c r="E18" s="11">
        <v>100</v>
      </c>
      <c r="F18" s="35">
        <f>F12</f>
        <v>2425</v>
      </c>
    </row>
    <row r="19" spans="1:8" x14ac:dyDescent="0.25">
      <c r="A19" s="22" t="s">
        <v>3</v>
      </c>
      <c r="B19" s="150" t="s">
        <v>19</v>
      </c>
      <c r="C19" s="151"/>
      <c r="D19" s="152"/>
      <c r="E19" s="12"/>
      <c r="F19" s="13"/>
    </row>
    <row r="20" spans="1:8" x14ac:dyDescent="0.25">
      <c r="A20" s="22" t="s">
        <v>5</v>
      </c>
      <c r="B20" s="150" t="s">
        <v>20</v>
      </c>
      <c r="C20" s="151"/>
      <c r="D20" s="152"/>
      <c r="E20" s="12"/>
      <c r="F20" s="13"/>
    </row>
    <row r="21" spans="1:8" x14ac:dyDescent="0.25">
      <c r="A21" s="22" t="s">
        <v>6</v>
      </c>
      <c r="B21" s="150" t="s">
        <v>21</v>
      </c>
      <c r="C21" s="151"/>
      <c r="D21" s="152"/>
      <c r="E21" s="12"/>
      <c r="F21" s="13"/>
    </row>
    <row r="22" spans="1:8" x14ac:dyDescent="0.25">
      <c r="A22" s="22" t="s">
        <v>22</v>
      </c>
      <c r="B22" s="150" t="s">
        <v>23</v>
      </c>
      <c r="C22" s="151"/>
      <c r="D22" s="152"/>
      <c r="E22" s="12"/>
      <c r="F22" s="13"/>
    </row>
    <row r="23" spans="1:8" x14ac:dyDescent="0.25">
      <c r="A23" s="22" t="s">
        <v>24</v>
      </c>
      <c r="B23" s="150" t="s">
        <v>25</v>
      </c>
      <c r="C23" s="151"/>
      <c r="D23" s="152"/>
      <c r="E23" s="12"/>
      <c r="F23" s="35"/>
    </row>
    <row r="24" spans="1:8" ht="15" customHeight="1" x14ac:dyDescent="0.25">
      <c r="A24" s="187" t="s">
        <v>26</v>
      </c>
      <c r="B24" s="188"/>
      <c r="C24" s="188"/>
      <c r="D24" s="188"/>
      <c r="E24" s="189"/>
      <c r="F24" s="53">
        <f>SUM(F18:F23)</f>
        <v>2425</v>
      </c>
    </row>
    <row r="25" spans="1:8" x14ac:dyDescent="0.25">
      <c r="A25" s="178" t="s">
        <v>27</v>
      </c>
      <c r="B25" s="179"/>
      <c r="C25" s="179"/>
      <c r="D25" s="179"/>
      <c r="E25" s="179"/>
      <c r="F25" s="180"/>
    </row>
    <row r="26" spans="1:8" ht="15" customHeight="1" x14ac:dyDescent="0.25">
      <c r="A26" s="175" t="s">
        <v>28</v>
      </c>
      <c r="B26" s="176"/>
      <c r="C26" s="176"/>
      <c r="D26" s="176"/>
      <c r="E26" s="176"/>
      <c r="F26" s="177"/>
    </row>
    <row r="27" spans="1:8" ht="15" customHeight="1" x14ac:dyDescent="0.25">
      <c r="A27" s="21" t="s">
        <v>81</v>
      </c>
      <c r="B27" s="144" t="s">
        <v>29</v>
      </c>
      <c r="C27" s="145"/>
      <c r="D27" s="146"/>
      <c r="E27" s="10" t="s">
        <v>16</v>
      </c>
      <c r="F27" s="10" t="s">
        <v>17</v>
      </c>
    </row>
    <row r="28" spans="1:8" ht="15" customHeight="1" x14ac:dyDescent="0.25">
      <c r="A28" s="22" t="s">
        <v>1</v>
      </c>
      <c r="B28" s="150" t="s">
        <v>30</v>
      </c>
      <c r="C28" s="151"/>
      <c r="D28" s="152"/>
      <c r="E28" s="36">
        <v>8.3299999999999999E-2</v>
      </c>
      <c r="F28" s="35">
        <f>ROUND($F$24*E28,4)</f>
        <v>202.0025</v>
      </c>
      <c r="H28" s="15"/>
    </row>
    <row r="29" spans="1:8" ht="15" customHeight="1" x14ac:dyDescent="0.25">
      <c r="A29" s="22" t="s">
        <v>3</v>
      </c>
      <c r="B29" s="150" t="s">
        <v>31</v>
      </c>
      <c r="C29" s="151"/>
      <c r="D29" s="152"/>
      <c r="E29" s="36">
        <v>0.121</v>
      </c>
      <c r="F29" s="35">
        <f>ROUND($F$24*E29,4)</f>
        <v>293.42500000000001</v>
      </c>
      <c r="G29" s="2" t="s">
        <v>134</v>
      </c>
      <c r="H29" s="15"/>
    </row>
    <row r="30" spans="1:8" ht="15" customHeight="1" x14ac:dyDescent="0.25">
      <c r="A30" s="147" t="s">
        <v>32</v>
      </c>
      <c r="B30" s="148"/>
      <c r="C30" s="148"/>
      <c r="D30" s="149"/>
      <c r="E30" s="54">
        <f>SUM(E28:E29)</f>
        <v>0.20429999999999998</v>
      </c>
      <c r="F30" s="55">
        <f>SUM(F28:F29)</f>
        <v>495.42750000000001</v>
      </c>
      <c r="H30" s="15">
        <f>F30/12</f>
        <v>41.285625000000003</v>
      </c>
    </row>
    <row r="31" spans="1:8" x14ac:dyDescent="0.25">
      <c r="A31" s="202"/>
      <c r="B31" s="203"/>
      <c r="C31" s="203"/>
      <c r="D31" s="203"/>
      <c r="E31" s="203"/>
      <c r="F31" s="204"/>
    </row>
    <row r="32" spans="1:8" ht="15" customHeight="1" x14ac:dyDescent="0.25">
      <c r="A32" s="21" t="s">
        <v>82</v>
      </c>
      <c r="B32" s="144" t="s">
        <v>33</v>
      </c>
      <c r="C32" s="145"/>
      <c r="D32" s="146"/>
      <c r="E32" s="10" t="s">
        <v>16</v>
      </c>
      <c r="F32" s="10" t="s">
        <v>17</v>
      </c>
    </row>
    <row r="33" spans="1:11" x14ac:dyDescent="0.25">
      <c r="A33" s="22" t="s">
        <v>1</v>
      </c>
      <c r="B33" s="193" t="s">
        <v>153</v>
      </c>
      <c r="C33" s="194"/>
      <c r="D33" s="195"/>
      <c r="E33" s="37">
        <v>0.2</v>
      </c>
      <c r="F33" s="35">
        <f>($F$24+$F$30)*E33</f>
        <v>584.08550000000002</v>
      </c>
      <c r="H33" s="15"/>
    </row>
    <row r="34" spans="1:11" x14ac:dyDescent="0.25">
      <c r="A34" s="22" t="s">
        <v>3</v>
      </c>
      <c r="B34" s="150" t="s">
        <v>147</v>
      </c>
      <c r="C34" s="151"/>
      <c r="D34" s="152"/>
      <c r="E34" s="37">
        <v>2.5000000000000001E-2</v>
      </c>
      <c r="F34" s="35">
        <f t="shared" ref="F34:F40" si="0">($F$24+$F$30)*E34</f>
        <v>73.010687500000003</v>
      </c>
    </row>
    <row r="35" spans="1:11" ht="15" customHeight="1" x14ac:dyDescent="0.25">
      <c r="A35" s="22" t="s">
        <v>5</v>
      </c>
      <c r="B35" s="150" t="s">
        <v>146</v>
      </c>
      <c r="C35" s="151"/>
      <c r="D35" s="152"/>
      <c r="E35" s="37">
        <v>0.01</v>
      </c>
      <c r="F35" s="35">
        <f t="shared" si="0"/>
        <v>29.204274999999999</v>
      </c>
      <c r="I35" s="15"/>
    </row>
    <row r="36" spans="1:11" x14ac:dyDescent="0.25">
      <c r="A36" s="22" t="s">
        <v>6</v>
      </c>
      <c r="B36" s="150" t="s">
        <v>152</v>
      </c>
      <c r="C36" s="151"/>
      <c r="D36" s="152"/>
      <c r="E36" s="37">
        <v>1.4999999999999999E-2</v>
      </c>
      <c r="F36" s="35">
        <f t="shared" si="0"/>
        <v>43.806412499999993</v>
      </c>
      <c r="I36" s="15"/>
    </row>
    <row r="37" spans="1:11" x14ac:dyDescent="0.25">
      <c r="A37" s="22" t="s">
        <v>22</v>
      </c>
      <c r="B37" s="150" t="s">
        <v>148</v>
      </c>
      <c r="C37" s="151"/>
      <c r="D37" s="152"/>
      <c r="E37" s="37">
        <v>0.01</v>
      </c>
      <c r="F37" s="35">
        <f t="shared" si="0"/>
        <v>29.204274999999999</v>
      </c>
    </row>
    <row r="38" spans="1:11" x14ac:dyDescent="0.25">
      <c r="A38" s="22" t="s">
        <v>24</v>
      </c>
      <c r="B38" s="150" t="s">
        <v>149</v>
      </c>
      <c r="C38" s="151"/>
      <c r="D38" s="152"/>
      <c r="E38" s="37">
        <v>6.0000000000000001E-3</v>
      </c>
      <c r="F38" s="35">
        <f t="shared" si="0"/>
        <v>17.522565</v>
      </c>
    </row>
    <row r="39" spans="1:11" x14ac:dyDescent="0.25">
      <c r="A39" s="22" t="s">
        <v>34</v>
      </c>
      <c r="B39" s="150" t="s">
        <v>150</v>
      </c>
      <c r="C39" s="151"/>
      <c r="D39" s="152"/>
      <c r="E39" s="37">
        <v>2E-3</v>
      </c>
      <c r="F39" s="35">
        <f t="shared" si="0"/>
        <v>5.8408549999999995</v>
      </c>
      <c r="H39" s="15"/>
    </row>
    <row r="40" spans="1:11" x14ac:dyDescent="0.25">
      <c r="A40" s="22" t="s">
        <v>35</v>
      </c>
      <c r="B40" s="196" t="s">
        <v>151</v>
      </c>
      <c r="C40" s="197"/>
      <c r="D40" s="198"/>
      <c r="E40" s="37">
        <v>0.08</v>
      </c>
      <c r="F40" s="35">
        <f t="shared" si="0"/>
        <v>233.63419999999999</v>
      </c>
      <c r="H40" s="15"/>
    </row>
    <row r="41" spans="1:11" ht="15" customHeight="1" x14ac:dyDescent="0.25">
      <c r="A41" s="147" t="s">
        <v>36</v>
      </c>
      <c r="B41" s="148"/>
      <c r="C41" s="148"/>
      <c r="D41" s="149"/>
      <c r="E41" s="54">
        <f>SUM(E33:E40)</f>
        <v>0.34800000000000003</v>
      </c>
      <c r="F41" s="55">
        <f>SUM(F33:F40)</f>
        <v>1016.3087700000001</v>
      </c>
      <c r="H41" s="15"/>
    </row>
    <row r="42" spans="1:11" x14ac:dyDescent="0.25">
      <c r="A42" s="205"/>
      <c r="B42" s="206"/>
      <c r="C42" s="206"/>
      <c r="D42" s="206"/>
      <c r="E42" s="206"/>
      <c r="F42" s="207"/>
      <c r="H42" s="16"/>
    </row>
    <row r="43" spans="1:11" ht="15" customHeight="1" x14ac:dyDescent="0.25">
      <c r="A43" s="69" t="s">
        <v>105</v>
      </c>
      <c r="B43" s="199" t="s">
        <v>37</v>
      </c>
      <c r="C43" s="200"/>
      <c r="D43" s="200"/>
      <c r="E43" s="201"/>
      <c r="F43" s="17" t="s">
        <v>17</v>
      </c>
    </row>
    <row r="44" spans="1:11" ht="15" customHeight="1" x14ac:dyDescent="0.25">
      <c r="A44" s="22" t="s">
        <v>1</v>
      </c>
      <c r="B44" s="190" t="s">
        <v>155</v>
      </c>
      <c r="C44" s="191"/>
      <c r="D44" s="192"/>
      <c r="E44" s="18"/>
      <c r="F44" s="35">
        <f>K44</f>
        <v>85.5</v>
      </c>
      <c r="G44" s="2">
        <v>11</v>
      </c>
      <c r="H44" s="2">
        <v>21</v>
      </c>
      <c r="I44" s="2">
        <f>H44*G44</f>
        <v>231</v>
      </c>
      <c r="J44" s="15">
        <f>F12*6%</f>
        <v>145.5</v>
      </c>
      <c r="K44" s="15">
        <f>I44-J44</f>
        <v>85.5</v>
      </c>
    </row>
    <row r="45" spans="1:11" ht="15" customHeight="1" x14ac:dyDescent="0.25">
      <c r="A45" s="68" t="s">
        <v>3</v>
      </c>
      <c r="B45" s="150" t="s">
        <v>156</v>
      </c>
      <c r="C45" s="151"/>
      <c r="D45" s="152"/>
      <c r="E45" s="19"/>
      <c r="F45" s="38">
        <f>I45</f>
        <v>462</v>
      </c>
      <c r="G45" s="2">
        <v>22</v>
      </c>
      <c r="H45" s="2">
        <v>21</v>
      </c>
      <c r="I45" s="2">
        <f>H45*G45</f>
        <v>462</v>
      </c>
    </row>
    <row r="46" spans="1:11" ht="15" customHeight="1" x14ac:dyDescent="0.25">
      <c r="A46" s="68" t="s">
        <v>5</v>
      </c>
      <c r="B46" s="193" t="s">
        <v>135</v>
      </c>
      <c r="C46" s="194"/>
      <c r="D46" s="195"/>
      <c r="E46" s="19"/>
      <c r="F46" s="100">
        <f>-(F45*5%)</f>
        <v>-23.1</v>
      </c>
      <c r="G46" s="2">
        <v>10.63</v>
      </c>
    </row>
    <row r="47" spans="1:11" x14ac:dyDescent="0.25">
      <c r="A47" s="22" t="s">
        <v>6</v>
      </c>
      <c r="B47" s="150" t="s">
        <v>157</v>
      </c>
      <c r="C47" s="151"/>
      <c r="D47" s="152"/>
      <c r="E47" s="13"/>
      <c r="F47" s="39">
        <v>0</v>
      </c>
      <c r="G47" s="2">
        <v>153.77000000000001</v>
      </c>
    </row>
    <row r="48" spans="1:11" x14ac:dyDescent="0.25">
      <c r="A48" s="22" t="s">
        <v>22</v>
      </c>
      <c r="B48" s="196" t="s">
        <v>158</v>
      </c>
      <c r="C48" s="197"/>
      <c r="D48" s="198"/>
      <c r="E48" s="20"/>
      <c r="F48" s="40">
        <v>0</v>
      </c>
      <c r="G48" s="2">
        <v>2</v>
      </c>
    </row>
    <row r="49" spans="1:11" x14ac:dyDescent="0.25">
      <c r="A49" s="144"/>
      <c r="B49" s="145"/>
      <c r="C49" s="145"/>
      <c r="D49" s="145"/>
      <c r="E49" s="145"/>
      <c r="F49" s="146"/>
    </row>
    <row r="50" spans="1:11" ht="15" customHeight="1" x14ac:dyDescent="0.25">
      <c r="A50" s="147" t="s">
        <v>38</v>
      </c>
      <c r="B50" s="148"/>
      <c r="C50" s="148"/>
      <c r="D50" s="148"/>
      <c r="E50" s="149"/>
      <c r="F50" s="56">
        <f>SUM(F44:F48)</f>
        <v>524.4</v>
      </c>
    </row>
    <row r="51" spans="1:11" x14ac:dyDescent="0.25">
      <c r="A51" s="160"/>
      <c r="B51" s="159"/>
      <c r="C51" s="159"/>
      <c r="D51" s="159"/>
      <c r="E51" s="159"/>
      <c r="F51" s="208"/>
    </row>
    <row r="52" spans="1:11" ht="15" customHeight="1" x14ac:dyDescent="0.25">
      <c r="A52" s="147" t="s">
        <v>39</v>
      </c>
      <c r="B52" s="148"/>
      <c r="C52" s="148"/>
      <c r="D52" s="148"/>
      <c r="E52" s="148"/>
      <c r="F52" s="149"/>
    </row>
    <row r="53" spans="1:11" ht="15" customHeight="1" x14ac:dyDescent="0.25">
      <c r="A53" s="144" t="s">
        <v>40</v>
      </c>
      <c r="B53" s="145"/>
      <c r="C53" s="145"/>
      <c r="D53" s="145"/>
      <c r="E53" s="146"/>
      <c r="F53" s="10" t="s">
        <v>17</v>
      </c>
    </row>
    <row r="54" spans="1:11" ht="15" customHeight="1" x14ac:dyDescent="0.25">
      <c r="A54" s="21" t="s">
        <v>81</v>
      </c>
      <c r="B54" s="150" t="s">
        <v>41</v>
      </c>
      <c r="C54" s="151"/>
      <c r="D54" s="151"/>
      <c r="E54" s="152"/>
      <c r="F54" s="35">
        <f>F30</f>
        <v>495.42750000000001</v>
      </c>
    </row>
    <row r="55" spans="1:11" ht="15" customHeight="1" x14ac:dyDescent="0.25">
      <c r="A55" s="21" t="s">
        <v>82</v>
      </c>
      <c r="B55" s="150" t="s">
        <v>42</v>
      </c>
      <c r="C55" s="151"/>
      <c r="D55" s="151"/>
      <c r="E55" s="152"/>
      <c r="F55" s="35">
        <f>F41</f>
        <v>1016.3087700000001</v>
      </c>
    </row>
    <row r="56" spans="1:11" ht="15" customHeight="1" x14ac:dyDescent="0.25">
      <c r="A56" s="21" t="s">
        <v>105</v>
      </c>
      <c r="B56" s="150" t="s">
        <v>43</v>
      </c>
      <c r="C56" s="151"/>
      <c r="D56" s="151"/>
      <c r="E56" s="152"/>
      <c r="F56" s="35">
        <f>F50</f>
        <v>524.4</v>
      </c>
    </row>
    <row r="57" spans="1:11" ht="15" customHeight="1" x14ac:dyDescent="0.25">
      <c r="A57" s="147" t="s">
        <v>44</v>
      </c>
      <c r="B57" s="148"/>
      <c r="C57" s="148"/>
      <c r="D57" s="148"/>
      <c r="E57" s="149"/>
      <c r="F57" s="56">
        <f>SUM(F54:F56)</f>
        <v>2036.13627</v>
      </c>
    </row>
    <row r="58" spans="1:11" x14ac:dyDescent="0.25">
      <c r="A58" s="160"/>
      <c r="B58" s="159"/>
      <c r="C58" s="159"/>
      <c r="D58" s="159"/>
      <c r="E58" s="159"/>
      <c r="F58" s="159"/>
    </row>
    <row r="59" spans="1:11" ht="15" customHeight="1" x14ac:dyDescent="0.25">
      <c r="A59" s="147" t="s">
        <v>45</v>
      </c>
      <c r="B59" s="148"/>
      <c r="C59" s="148"/>
      <c r="D59" s="148"/>
      <c r="E59" s="148"/>
      <c r="F59" s="149"/>
    </row>
    <row r="60" spans="1:11" x14ac:dyDescent="0.25">
      <c r="A60" s="67">
        <v>3</v>
      </c>
      <c r="B60" s="156" t="s">
        <v>46</v>
      </c>
      <c r="C60" s="157"/>
      <c r="D60" s="158"/>
      <c r="E60" s="10" t="s">
        <v>16</v>
      </c>
      <c r="F60" s="10" t="s">
        <v>17</v>
      </c>
    </row>
    <row r="61" spans="1:11" ht="26.25" customHeight="1" x14ac:dyDescent="0.25">
      <c r="A61" s="22" t="s">
        <v>1</v>
      </c>
      <c r="B61" s="150" t="s">
        <v>159</v>
      </c>
      <c r="C61" s="151"/>
      <c r="D61" s="152"/>
      <c r="E61" s="111">
        <v>4.1999999999999997E-3</v>
      </c>
      <c r="F61" s="35">
        <f>ROUND($F$24*E61,4)</f>
        <v>10.185</v>
      </c>
      <c r="K61" s="50">
        <f>0.5*0.08*0.9</f>
        <v>3.6000000000000004E-2</v>
      </c>
    </row>
    <row r="62" spans="1:11" ht="15" customHeight="1" x14ac:dyDescent="0.25">
      <c r="A62" s="22" t="s">
        <v>3</v>
      </c>
      <c r="B62" s="150" t="s">
        <v>139</v>
      </c>
      <c r="C62" s="151"/>
      <c r="D62" s="152"/>
      <c r="E62" s="111">
        <f>ROUND(E40*E61,4)</f>
        <v>2.9999999999999997E-4</v>
      </c>
      <c r="F62" s="35">
        <f t="shared" ref="F62:F66" si="1">ROUND($F$24*E62,4)</f>
        <v>0.72750000000000004</v>
      </c>
      <c r="H62" s="2">
        <f>(100+0.0733+0.833+0.277)</f>
        <v>101.1833</v>
      </c>
      <c r="I62" s="2">
        <f>H62*0.5*0.08*0.9*0.5</f>
        <v>1.8212994</v>
      </c>
    </row>
    <row r="63" spans="1:11" ht="25.5" customHeight="1" x14ac:dyDescent="0.25">
      <c r="A63" s="22" t="s">
        <v>5</v>
      </c>
      <c r="B63" s="150" t="s">
        <v>168</v>
      </c>
      <c r="C63" s="151"/>
      <c r="D63" s="152"/>
      <c r="E63" s="111">
        <f>0.08*0.4*0.9*(1+1/12+1/12+(1/3*1/12))</f>
        <v>3.4399999999999993E-2</v>
      </c>
      <c r="F63" s="35">
        <f t="shared" si="1"/>
        <v>83.42</v>
      </c>
      <c r="H63" s="2" t="s">
        <v>85</v>
      </c>
    </row>
    <row r="64" spans="1:11" ht="24.75" customHeight="1" x14ac:dyDescent="0.25">
      <c r="A64" s="22" t="s">
        <v>6</v>
      </c>
      <c r="B64" s="150" t="s">
        <v>140</v>
      </c>
      <c r="C64" s="151"/>
      <c r="D64" s="152"/>
      <c r="E64" s="111">
        <v>4.0000000000000002E-4</v>
      </c>
      <c r="F64" s="35">
        <f t="shared" si="1"/>
        <v>0.97</v>
      </c>
      <c r="H64" s="15"/>
      <c r="J64" s="15"/>
    </row>
    <row r="65" spans="1:13" ht="15" customHeight="1" x14ac:dyDescent="0.25">
      <c r="A65" s="22" t="s">
        <v>22</v>
      </c>
      <c r="B65" s="150" t="s">
        <v>47</v>
      </c>
      <c r="C65" s="151"/>
      <c r="D65" s="152"/>
      <c r="E65" s="111">
        <f>ROUND(E41*E64,4)</f>
        <v>1E-4</v>
      </c>
      <c r="F65" s="35">
        <f t="shared" si="1"/>
        <v>0.24249999999999999</v>
      </c>
      <c r="J65" s="15"/>
      <c r="M65" s="50">
        <f>0.4*0.08*0.9</f>
        <v>2.8800000000000003E-2</v>
      </c>
    </row>
    <row r="66" spans="1:13" ht="24.75" customHeight="1" x14ac:dyDescent="0.25">
      <c r="A66" s="22" t="s">
        <v>24</v>
      </c>
      <c r="B66" s="150" t="s">
        <v>169</v>
      </c>
      <c r="C66" s="151"/>
      <c r="D66" s="152"/>
      <c r="E66" s="112">
        <f>(0.04*0.08)*0.4</f>
        <v>1.2800000000000001E-3</v>
      </c>
      <c r="F66" s="35">
        <f t="shared" si="1"/>
        <v>3.1040000000000001</v>
      </c>
      <c r="H66" s="2" t="s">
        <v>86</v>
      </c>
      <c r="J66" s="15"/>
      <c r="K66" s="50">
        <f>0.08*0.4*0.09</f>
        <v>2.8799999999999997E-3</v>
      </c>
    </row>
    <row r="67" spans="1:13" ht="15" customHeight="1" x14ac:dyDescent="0.25">
      <c r="A67" s="187" t="s">
        <v>48</v>
      </c>
      <c r="B67" s="188"/>
      <c r="C67" s="188"/>
      <c r="D67" s="189"/>
      <c r="E67" s="57">
        <f>SUM(E61:E66)</f>
        <v>4.0679999999999994E-2</v>
      </c>
      <c r="F67" s="55">
        <f>SUM(F61:F66)</f>
        <v>98.649000000000015</v>
      </c>
      <c r="H67" s="15"/>
    </row>
    <row r="68" spans="1:13" x14ac:dyDescent="0.25">
      <c r="A68" s="181"/>
      <c r="B68" s="182"/>
      <c r="C68" s="182"/>
      <c r="D68" s="182"/>
      <c r="E68" s="182"/>
      <c r="F68" s="183"/>
    </row>
    <row r="69" spans="1:13" ht="15" customHeight="1" x14ac:dyDescent="0.25">
      <c r="A69" s="153" t="s">
        <v>49</v>
      </c>
      <c r="B69" s="154"/>
      <c r="C69" s="154"/>
      <c r="D69" s="154"/>
      <c r="E69" s="154"/>
      <c r="F69" s="155"/>
    </row>
    <row r="70" spans="1:13" ht="15" customHeight="1" x14ac:dyDescent="0.25">
      <c r="A70" s="21" t="s">
        <v>83</v>
      </c>
      <c r="B70" s="209" t="s">
        <v>50</v>
      </c>
      <c r="C70" s="210"/>
      <c r="D70" s="211"/>
      <c r="E70" s="22" t="s">
        <v>16</v>
      </c>
      <c r="F70" s="22" t="s">
        <v>17</v>
      </c>
    </row>
    <row r="71" spans="1:13" ht="28.5" customHeight="1" x14ac:dyDescent="0.25">
      <c r="A71" s="22" t="s">
        <v>1</v>
      </c>
      <c r="B71" s="150" t="s">
        <v>160</v>
      </c>
      <c r="C71" s="151"/>
      <c r="D71" s="152"/>
      <c r="E71" s="41">
        <v>9.1999999999999998E-3</v>
      </c>
      <c r="F71" s="35">
        <f>ROUND($F$24*E71,4)</f>
        <v>22.31</v>
      </c>
    </row>
    <row r="72" spans="1:13" ht="27" customHeight="1" x14ac:dyDescent="0.25">
      <c r="A72" s="22" t="s">
        <v>3</v>
      </c>
      <c r="B72" s="150" t="s">
        <v>164</v>
      </c>
      <c r="C72" s="151"/>
      <c r="D72" s="152"/>
      <c r="E72" s="41">
        <v>8.0000000000000004E-4</v>
      </c>
      <c r="F72" s="35">
        <f t="shared" ref="F72:F76" si="2">ROUND($F$24*E72,4)</f>
        <v>1.94</v>
      </c>
    </row>
    <row r="73" spans="1:13" x14ac:dyDescent="0.25">
      <c r="A73" s="22" t="s">
        <v>5</v>
      </c>
      <c r="B73" s="150" t="s">
        <v>161</v>
      </c>
      <c r="C73" s="151"/>
      <c r="D73" s="152"/>
      <c r="E73" s="41">
        <v>2.0000000000000001E-4</v>
      </c>
      <c r="F73" s="35">
        <f t="shared" si="2"/>
        <v>0.48499999999999999</v>
      </c>
    </row>
    <row r="74" spans="1:13" ht="27" customHeight="1" x14ac:dyDescent="0.25">
      <c r="A74" s="22" t="s">
        <v>6</v>
      </c>
      <c r="B74" s="196" t="s">
        <v>162</v>
      </c>
      <c r="C74" s="197"/>
      <c r="D74" s="198"/>
      <c r="E74" s="42">
        <v>2.9999999999999997E-4</v>
      </c>
      <c r="F74" s="35">
        <f t="shared" si="2"/>
        <v>0.72750000000000004</v>
      </c>
    </row>
    <row r="75" spans="1:13" ht="24.75" customHeight="1" x14ac:dyDescent="0.25">
      <c r="A75" s="22" t="s">
        <v>22</v>
      </c>
      <c r="B75" s="196" t="s">
        <v>163</v>
      </c>
      <c r="C75" s="197"/>
      <c r="D75" s="198"/>
      <c r="E75" s="43">
        <v>2.0000000000000001E-4</v>
      </c>
      <c r="F75" s="35">
        <f t="shared" si="2"/>
        <v>0.48499999999999999</v>
      </c>
    </row>
    <row r="76" spans="1:13" x14ac:dyDescent="0.25">
      <c r="A76" s="22" t="s">
        <v>24</v>
      </c>
      <c r="B76" s="150" t="s">
        <v>97</v>
      </c>
      <c r="C76" s="151"/>
      <c r="D76" s="152"/>
      <c r="E76" s="41">
        <v>0</v>
      </c>
      <c r="F76" s="35">
        <f t="shared" si="2"/>
        <v>0</v>
      </c>
    </row>
    <row r="77" spans="1:13" ht="15" customHeight="1" x14ac:dyDescent="0.25">
      <c r="A77" s="147" t="s">
        <v>52</v>
      </c>
      <c r="B77" s="148"/>
      <c r="C77" s="148"/>
      <c r="D77" s="149"/>
      <c r="E77" s="58">
        <f>SUM(E71:E76)</f>
        <v>1.0700000000000001E-2</v>
      </c>
      <c r="F77" s="55">
        <f>SUM(F71:F76)</f>
        <v>25.947499999999998</v>
      </c>
      <c r="H77" s="15"/>
    </row>
    <row r="78" spans="1:13" x14ac:dyDescent="0.25">
      <c r="A78" s="202"/>
      <c r="B78" s="203"/>
      <c r="C78" s="203"/>
      <c r="D78" s="203"/>
      <c r="E78" s="203"/>
      <c r="F78" s="204"/>
    </row>
    <row r="79" spans="1:13" ht="15" customHeight="1" x14ac:dyDescent="0.25">
      <c r="A79" s="21" t="s">
        <v>106</v>
      </c>
      <c r="B79" s="156" t="s">
        <v>53</v>
      </c>
      <c r="C79" s="157"/>
      <c r="D79" s="158"/>
      <c r="E79" s="23"/>
      <c r="F79" s="10" t="s">
        <v>17</v>
      </c>
    </row>
    <row r="80" spans="1:13" ht="15" customHeight="1" x14ac:dyDescent="0.25">
      <c r="A80" s="22" t="s">
        <v>1</v>
      </c>
      <c r="B80" s="150" t="s">
        <v>54</v>
      </c>
      <c r="C80" s="151"/>
      <c r="D80" s="152"/>
      <c r="E80" s="24"/>
      <c r="F80" s="13">
        <v>0</v>
      </c>
      <c r="I80" s="62">
        <f>E30+E41+E67+E77</f>
        <v>0.60368000000000011</v>
      </c>
    </row>
    <row r="81" spans="1:9" ht="15" customHeight="1" x14ac:dyDescent="0.25">
      <c r="A81" s="187" t="s">
        <v>55</v>
      </c>
      <c r="B81" s="188"/>
      <c r="C81" s="188"/>
      <c r="D81" s="188"/>
      <c r="E81" s="189"/>
      <c r="F81" s="76">
        <f>SUM(F80)</f>
        <v>0</v>
      </c>
      <c r="H81" s="15">
        <f>F57-F56+F67+F77</f>
        <v>1636.33277</v>
      </c>
      <c r="I81" s="50">
        <f>H81/F24</f>
        <v>0.67477639999999994</v>
      </c>
    </row>
    <row r="82" spans="1:9" x14ac:dyDescent="0.25">
      <c r="A82" s="181"/>
      <c r="B82" s="182"/>
      <c r="C82" s="182"/>
      <c r="D82" s="182"/>
      <c r="E82" s="182"/>
      <c r="F82" s="183"/>
    </row>
    <row r="83" spans="1:9" ht="15" customHeight="1" x14ac:dyDescent="0.25">
      <c r="A83" s="153" t="s">
        <v>56</v>
      </c>
      <c r="B83" s="154"/>
      <c r="C83" s="154"/>
      <c r="D83" s="154"/>
      <c r="E83" s="154"/>
      <c r="F83" s="155"/>
    </row>
    <row r="84" spans="1:9" ht="15" customHeight="1" x14ac:dyDescent="0.25">
      <c r="A84" s="144" t="s">
        <v>57</v>
      </c>
      <c r="B84" s="145"/>
      <c r="C84" s="145"/>
      <c r="D84" s="145"/>
      <c r="E84" s="146"/>
      <c r="F84" s="10" t="s">
        <v>17</v>
      </c>
    </row>
    <row r="85" spans="1:9" x14ac:dyDescent="0.25">
      <c r="A85" s="21" t="s">
        <v>83</v>
      </c>
      <c r="B85" s="150" t="s">
        <v>51</v>
      </c>
      <c r="C85" s="151"/>
      <c r="D85" s="151"/>
      <c r="E85" s="152"/>
      <c r="F85" s="35">
        <f>F77</f>
        <v>25.947499999999998</v>
      </c>
    </row>
    <row r="86" spans="1:9" x14ac:dyDescent="0.25">
      <c r="A86" s="21" t="s">
        <v>106</v>
      </c>
      <c r="B86" s="150" t="s">
        <v>58</v>
      </c>
      <c r="C86" s="151"/>
      <c r="D86" s="151"/>
      <c r="E86" s="152"/>
      <c r="F86" s="39">
        <f>F81</f>
        <v>0</v>
      </c>
    </row>
    <row r="87" spans="1:9" ht="15" customHeight="1" x14ac:dyDescent="0.25">
      <c r="A87" s="187" t="s">
        <v>59</v>
      </c>
      <c r="B87" s="188"/>
      <c r="C87" s="188"/>
      <c r="D87" s="188"/>
      <c r="E87" s="189"/>
      <c r="F87" s="53">
        <f>SUM(F85:F86)</f>
        <v>25.947499999999998</v>
      </c>
    </row>
    <row r="88" spans="1:9" x14ac:dyDescent="0.25">
      <c r="A88" s="181"/>
      <c r="B88" s="182"/>
      <c r="C88" s="182"/>
      <c r="D88" s="182"/>
      <c r="E88" s="182"/>
      <c r="F88" s="183"/>
    </row>
    <row r="89" spans="1:9" ht="15" customHeight="1" x14ac:dyDescent="0.25">
      <c r="A89" s="153" t="s">
        <v>60</v>
      </c>
      <c r="B89" s="154"/>
      <c r="C89" s="154"/>
      <c r="D89" s="154"/>
      <c r="E89" s="154"/>
      <c r="F89" s="155"/>
    </row>
    <row r="90" spans="1:9" x14ac:dyDescent="0.25">
      <c r="A90" s="67">
        <v>5</v>
      </c>
      <c r="B90" s="156" t="s">
        <v>61</v>
      </c>
      <c r="C90" s="157"/>
      <c r="D90" s="157"/>
      <c r="E90" s="158"/>
      <c r="F90" s="10" t="s">
        <v>17</v>
      </c>
    </row>
    <row r="91" spans="1:9" x14ac:dyDescent="0.25">
      <c r="A91" s="22" t="s">
        <v>1</v>
      </c>
      <c r="B91" s="150" t="s">
        <v>141</v>
      </c>
      <c r="C91" s="151"/>
      <c r="D91" s="151"/>
      <c r="E91" s="152"/>
      <c r="F91" s="13">
        <f>Insumos!D10</f>
        <v>37.416666666666664</v>
      </c>
    </row>
    <row r="92" spans="1:9" x14ac:dyDescent="0.25">
      <c r="A92" s="22" t="s">
        <v>3</v>
      </c>
      <c r="B92" s="150" t="s">
        <v>84</v>
      </c>
      <c r="C92" s="151"/>
      <c r="D92" s="151"/>
      <c r="E92" s="152"/>
      <c r="F92" s="13"/>
    </row>
    <row r="93" spans="1:9" x14ac:dyDescent="0.25">
      <c r="A93" s="22" t="s">
        <v>5</v>
      </c>
      <c r="B93" s="150" t="s">
        <v>80</v>
      </c>
      <c r="C93" s="151"/>
      <c r="D93" s="151"/>
      <c r="E93" s="152"/>
      <c r="F93" s="13"/>
    </row>
    <row r="94" spans="1:9" ht="15" customHeight="1" x14ac:dyDescent="0.25">
      <c r="A94" s="22" t="s">
        <v>6</v>
      </c>
      <c r="B94" s="150" t="s">
        <v>142</v>
      </c>
      <c r="C94" s="151"/>
      <c r="D94" s="151"/>
      <c r="E94" s="152"/>
      <c r="F94" s="35">
        <v>0</v>
      </c>
    </row>
    <row r="95" spans="1:9" ht="15" customHeight="1" x14ac:dyDescent="0.25">
      <c r="A95" s="22" t="s">
        <v>22</v>
      </c>
      <c r="B95" s="150" t="s">
        <v>172</v>
      </c>
      <c r="C95" s="151"/>
      <c r="D95" s="151"/>
      <c r="E95" s="152"/>
      <c r="F95" s="35">
        <v>0</v>
      </c>
    </row>
    <row r="96" spans="1:9" ht="15" customHeight="1" x14ac:dyDescent="0.25">
      <c r="A96" s="147" t="s">
        <v>62</v>
      </c>
      <c r="B96" s="148"/>
      <c r="C96" s="148"/>
      <c r="D96" s="148"/>
      <c r="E96" s="149"/>
      <c r="F96" s="56">
        <f>SUM(F91:F95)</f>
        <v>37.416666666666664</v>
      </c>
    </row>
    <row r="97" spans="1:11" x14ac:dyDescent="0.25">
      <c r="A97" s="160"/>
      <c r="B97" s="159"/>
      <c r="C97" s="159"/>
      <c r="D97" s="159"/>
      <c r="E97" s="159"/>
      <c r="F97" s="159"/>
    </row>
    <row r="98" spans="1:11" ht="15" customHeight="1" x14ac:dyDescent="0.25">
      <c r="A98" s="147" t="s">
        <v>63</v>
      </c>
      <c r="B98" s="148"/>
      <c r="C98" s="148"/>
      <c r="D98" s="148"/>
      <c r="E98" s="148"/>
      <c r="F98" s="149"/>
      <c r="H98" s="70">
        <f>F24+F57+F67+F87+F96</f>
        <v>4623.1494366666675</v>
      </c>
      <c r="I98" s="71"/>
      <c r="J98" s="72"/>
      <c r="K98" s="72"/>
    </row>
    <row r="99" spans="1:11" ht="15" customHeight="1" x14ac:dyDescent="0.25">
      <c r="A99" s="67">
        <v>6</v>
      </c>
      <c r="B99" s="156" t="s">
        <v>64</v>
      </c>
      <c r="C99" s="157"/>
      <c r="D99" s="158"/>
      <c r="E99" s="25" t="s">
        <v>16</v>
      </c>
      <c r="F99" s="10" t="s">
        <v>17</v>
      </c>
      <c r="H99" s="73">
        <f>ROUND(H98*E100,4)</f>
        <v>74.663899999999998</v>
      </c>
      <c r="I99" s="72"/>
      <c r="J99" s="72"/>
      <c r="K99" s="72"/>
    </row>
    <row r="100" spans="1:11" x14ac:dyDescent="0.25">
      <c r="A100" s="22" t="s">
        <v>1</v>
      </c>
      <c r="B100" s="150" t="s">
        <v>65</v>
      </c>
      <c r="C100" s="151"/>
      <c r="D100" s="152"/>
      <c r="E100" s="41">
        <v>1.6150000000000001E-2</v>
      </c>
      <c r="F100" s="35">
        <f>H99</f>
        <v>74.663899999999998</v>
      </c>
      <c r="H100" s="70">
        <f>H98+H99</f>
        <v>4697.8133366666671</v>
      </c>
      <c r="I100" s="72"/>
      <c r="J100" s="72"/>
      <c r="K100" s="72"/>
    </row>
    <row r="101" spans="1:11" x14ac:dyDescent="0.25">
      <c r="A101" s="68" t="s">
        <v>3</v>
      </c>
      <c r="B101" s="150" t="s">
        <v>66</v>
      </c>
      <c r="C101" s="151"/>
      <c r="D101" s="152"/>
      <c r="E101" s="44">
        <v>1.6129999999999999E-2</v>
      </c>
      <c r="F101" s="45">
        <f>H101</f>
        <v>75.775700000000001</v>
      </c>
      <c r="H101" s="73">
        <f>ROUND(H100*E101,4)</f>
        <v>75.775700000000001</v>
      </c>
      <c r="I101" s="72"/>
      <c r="J101" s="72"/>
      <c r="K101" s="72"/>
    </row>
    <row r="102" spans="1:11" x14ac:dyDescent="0.25">
      <c r="A102" s="144"/>
      <c r="B102" s="145"/>
      <c r="C102" s="145"/>
      <c r="D102" s="145"/>
      <c r="E102" s="145"/>
      <c r="F102" s="146"/>
      <c r="H102" s="74">
        <f>100%</f>
        <v>1</v>
      </c>
      <c r="I102" s="75">
        <f>E104+E105+E106</f>
        <v>8.6499999999999994E-2</v>
      </c>
      <c r="J102" s="75">
        <f>H102-I102</f>
        <v>0.91349999999999998</v>
      </c>
      <c r="K102" s="72"/>
    </row>
    <row r="103" spans="1:11" ht="24" x14ac:dyDescent="0.25">
      <c r="A103" s="22" t="s">
        <v>5</v>
      </c>
      <c r="B103" s="22" t="s">
        <v>67</v>
      </c>
      <c r="C103" s="26" t="s">
        <v>68</v>
      </c>
      <c r="D103" s="46"/>
      <c r="E103" s="47" t="s">
        <v>69</v>
      </c>
      <c r="F103" s="48"/>
      <c r="H103" s="70">
        <f>(H100+H101)/J102</f>
        <v>5225.6037620872112</v>
      </c>
      <c r="I103" s="72"/>
      <c r="K103" s="72"/>
    </row>
    <row r="104" spans="1:11" x14ac:dyDescent="0.25">
      <c r="A104" s="14" t="s">
        <v>70</v>
      </c>
      <c r="B104" s="150" t="s">
        <v>143</v>
      </c>
      <c r="C104" s="151"/>
      <c r="D104" s="152"/>
      <c r="E104" s="41">
        <v>6.4999999999999997E-3</v>
      </c>
      <c r="F104" s="35">
        <f>H104</f>
        <v>33.9664</v>
      </c>
      <c r="H104" s="73">
        <f>ROUND(H103*E104,4)</f>
        <v>33.9664</v>
      </c>
      <c r="K104" s="72"/>
    </row>
    <row r="105" spans="1:11" x14ac:dyDescent="0.25">
      <c r="A105" s="14" t="s">
        <v>71</v>
      </c>
      <c r="B105" s="150" t="s">
        <v>144</v>
      </c>
      <c r="C105" s="151"/>
      <c r="D105" s="152"/>
      <c r="E105" s="41">
        <v>0.03</v>
      </c>
      <c r="F105" s="35">
        <f>H105</f>
        <v>156.7681</v>
      </c>
      <c r="H105" s="73">
        <f>ROUND(H103*E105,4)</f>
        <v>156.7681</v>
      </c>
      <c r="I105" s="72"/>
      <c r="J105" s="72"/>
      <c r="K105" s="72"/>
    </row>
    <row r="106" spans="1:11" x14ac:dyDescent="0.25">
      <c r="A106" s="14" t="s">
        <v>72</v>
      </c>
      <c r="B106" s="150" t="s">
        <v>145</v>
      </c>
      <c r="C106" s="151"/>
      <c r="D106" s="152"/>
      <c r="E106" s="41">
        <v>0.05</v>
      </c>
      <c r="F106" s="35">
        <f>H106</f>
        <v>261.28019999999998</v>
      </c>
      <c r="H106" s="73">
        <f>ROUND(H103*E106,4)</f>
        <v>261.28019999999998</v>
      </c>
      <c r="I106" s="72"/>
      <c r="J106" s="72"/>
      <c r="K106" s="72"/>
    </row>
    <row r="107" spans="1:11" ht="15" customHeight="1" x14ac:dyDescent="0.25">
      <c r="A107" s="144" t="s">
        <v>73</v>
      </c>
      <c r="B107" s="145"/>
      <c r="C107" s="145"/>
      <c r="D107" s="146"/>
      <c r="E107" s="49">
        <f>SUM(E104:E106)</f>
        <v>8.6499999999999994E-2</v>
      </c>
      <c r="F107" s="35">
        <f>F100+F101+F104+F105+F106</f>
        <v>602.45429999999988</v>
      </c>
    </row>
    <row r="108" spans="1:11" x14ac:dyDescent="0.25">
      <c r="A108" s="159"/>
      <c r="B108" s="159"/>
      <c r="C108" s="159"/>
      <c r="D108" s="159"/>
      <c r="E108" s="159"/>
      <c r="F108" s="159"/>
    </row>
    <row r="109" spans="1:11" ht="15" customHeight="1" x14ac:dyDescent="0.25">
      <c r="A109" s="147" t="s">
        <v>74</v>
      </c>
      <c r="B109" s="148"/>
      <c r="C109" s="148"/>
      <c r="D109" s="148"/>
      <c r="E109" s="148"/>
      <c r="F109" s="149"/>
    </row>
    <row r="110" spans="1:11" ht="15" customHeight="1" x14ac:dyDescent="0.25">
      <c r="A110" s="144" t="s">
        <v>75</v>
      </c>
      <c r="B110" s="145"/>
      <c r="C110" s="145"/>
      <c r="D110" s="145"/>
      <c r="E110" s="146"/>
      <c r="F110" s="27" t="s">
        <v>17</v>
      </c>
    </row>
    <row r="111" spans="1:11" ht="15" customHeight="1" x14ac:dyDescent="0.25">
      <c r="A111" s="28" t="s">
        <v>1</v>
      </c>
      <c r="B111" s="150" t="s">
        <v>14</v>
      </c>
      <c r="C111" s="151"/>
      <c r="D111" s="151"/>
      <c r="E111" s="152"/>
      <c r="F111" s="35">
        <f>F24</f>
        <v>2425</v>
      </c>
    </row>
    <row r="112" spans="1:11" ht="15" customHeight="1" x14ac:dyDescent="0.25">
      <c r="A112" s="28" t="s">
        <v>3</v>
      </c>
      <c r="B112" s="150" t="s">
        <v>28</v>
      </c>
      <c r="C112" s="151"/>
      <c r="D112" s="151"/>
      <c r="E112" s="152"/>
      <c r="F112" s="35">
        <f>F57</f>
        <v>2036.13627</v>
      </c>
    </row>
    <row r="113" spans="1:20" ht="15" customHeight="1" x14ac:dyDescent="0.25">
      <c r="A113" s="28" t="s">
        <v>5</v>
      </c>
      <c r="B113" s="150" t="s">
        <v>45</v>
      </c>
      <c r="C113" s="151"/>
      <c r="D113" s="151"/>
      <c r="E113" s="152"/>
      <c r="F113" s="35">
        <f>F67</f>
        <v>98.649000000000015</v>
      </c>
    </row>
    <row r="114" spans="1:20" ht="15" customHeight="1" x14ac:dyDescent="0.25">
      <c r="A114" s="28" t="s">
        <v>6</v>
      </c>
      <c r="B114" s="150" t="s">
        <v>49</v>
      </c>
      <c r="C114" s="151"/>
      <c r="D114" s="151"/>
      <c r="E114" s="152"/>
      <c r="F114" s="35">
        <f>F87</f>
        <v>25.947499999999998</v>
      </c>
    </row>
    <row r="115" spans="1:20" ht="15" customHeight="1" x14ac:dyDescent="0.25">
      <c r="A115" s="28" t="s">
        <v>22</v>
      </c>
      <c r="B115" s="150" t="s">
        <v>60</v>
      </c>
      <c r="C115" s="151"/>
      <c r="D115" s="151"/>
      <c r="E115" s="152"/>
      <c r="F115" s="35">
        <f>F96</f>
        <v>37.416666666666664</v>
      </c>
    </row>
    <row r="116" spans="1:20" ht="15" customHeight="1" x14ac:dyDescent="0.25">
      <c r="A116" s="147" t="s">
        <v>76</v>
      </c>
      <c r="B116" s="148"/>
      <c r="C116" s="148"/>
      <c r="D116" s="148"/>
      <c r="E116" s="149"/>
      <c r="F116" s="56">
        <f>SUM(F111:F115)</f>
        <v>4623.1494366666675</v>
      </c>
      <c r="H116" s="15"/>
    </row>
    <row r="117" spans="1:20" ht="15" customHeight="1" x14ac:dyDescent="0.25">
      <c r="A117" s="28" t="s">
        <v>24</v>
      </c>
      <c r="B117" s="150" t="s">
        <v>63</v>
      </c>
      <c r="C117" s="151"/>
      <c r="D117" s="151"/>
      <c r="E117" s="152"/>
      <c r="F117" s="35">
        <f>F107</f>
        <v>602.45429999999988</v>
      </c>
    </row>
    <row r="118" spans="1:20" x14ac:dyDescent="0.25">
      <c r="A118" s="59"/>
      <c r="B118" s="141" t="s">
        <v>77</v>
      </c>
      <c r="C118" s="142"/>
      <c r="D118" s="142"/>
      <c r="E118" s="143"/>
      <c r="F118" s="56">
        <f>F116+F117</f>
        <v>5225.6037366666678</v>
      </c>
      <c r="G118" s="94">
        <v>5356.5</v>
      </c>
      <c r="H118" s="15"/>
      <c r="T118" s="94">
        <v>5278.07</v>
      </c>
    </row>
    <row r="119" spans="1:20" x14ac:dyDescent="0.25">
      <c r="A119" s="59"/>
      <c r="B119" s="141" t="s">
        <v>111</v>
      </c>
      <c r="C119" s="142"/>
      <c r="D119" s="142"/>
      <c r="E119" s="143"/>
      <c r="F119" s="56">
        <f>ROUND(F118/220,2)</f>
        <v>23.75</v>
      </c>
      <c r="H119" s="15"/>
    </row>
    <row r="120" spans="1:20" x14ac:dyDescent="0.25">
      <c r="A120" s="59"/>
      <c r="B120" s="141" t="s">
        <v>112</v>
      </c>
      <c r="C120" s="142"/>
      <c r="D120" s="142"/>
      <c r="E120" s="143"/>
      <c r="F120" s="56">
        <f>ROUND(F119*125,2)</f>
        <v>2968.75</v>
      </c>
      <c r="G120" s="94">
        <v>3043.75</v>
      </c>
    </row>
    <row r="124" spans="1:20" x14ac:dyDescent="0.25">
      <c r="F124" s="15">
        <f>Resumo!F7</f>
        <v>20014.48</v>
      </c>
    </row>
    <row r="125" spans="1:20" x14ac:dyDescent="0.25">
      <c r="F125" s="15">
        <f>Resumo!G9</f>
        <v>240173.76</v>
      </c>
    </row>
  </sheetData>
  <mergeCells count="119">
    <mergeCell ref="A82:F82"/>
    <mergeCell ref="A88:F88"/>
    <mergeCell ref="A58:F58"/>
    <mergeCell ref="A51:F51"/>
    <mergeCell ref="A49:F49"/>
    <mergeCell ref="B62:D62"/>
    <mergeCell ref="B63:D63"/>
    <mergeCell ref="A81:E81"/>
    <mergeCell ref="B70:D70"/>
    <mergeCell ref="B71:D71"/>
    <mergeCell ref="B72:D72"/>
    <mergeCell ref="B73:D73"/>
    <mergeCell ref="B75:D75"/>
    <mergeCell ref="B79:D79"/>
    <mergeCell ref="B80:D80"/>
    <mergeCell ref="B76:D76"/>
    <mergeCell ref="A77:D77"/>
    <mergeCell ref="A78:F78"/>
    <mergeCell ref="A87:E87"/>
    <mergeCell ref="A83:F83"/>
    <mergeCell ref="A84:E84"/>
    <mergeCell ref="B85:E85"/>
    <mergeCell ref="B86:E86"/>
    <mergeCell ref="A68:F68"/>
    <mergeCell ref="B19:D19"/>
    <mergeCell ref="B20:D20"/>
    <mergeCell ref="B21:D21"/>
    <mergeCell ref="B23:D23"/>
    <mergeCell ref="B33:D33"/>
    <mergeCell ref="B34:D34"/>
    <mergeCell ref="B36:D36"/>
    <mergeCell ref="B43:E43"/>
    <mergeCell ref="B29:D29"/>
    <mergeCell ref="B22:D22"/>
    <mergeCell ref="A30:D30"/>
    <mergeCell ref="A31:F31"/>
    <mergeCell ref="B32:D32"/>
    <mergeCell ref="B35:D35"/>
    <mergeCell ref="B40:D40"/>
    <mergeCell ref="B37:D37"/>
    <mergeCell ref="B38:D38"/>
    <mergeCell ref="B39:D39"/>
    <mergeCell ref="A42:F42"/>
    <mergeCell ref="A69:F69"/>
    <mergeCell ref="B74:D74"/>
    <mergeCell ref="A53:E53"/>
    <mergeCell ref="A57:E57"/>
    <mergeCell ref="B64:D64"/>
    <mergeCell ref="B65:D65"/>
    <mergeCell ref="B66:D66"/>
    <mergeCell ref="A67:D67"/>
    <mergeCell ref="A59:F59"/>
    <mergeCell ref="B60:D60"/>
    <mergeCell ref="B61:D61"/>
    <mergeCell ref="A50:E50"/>
    <mergeCell ref="A52:F52"/>
    <mergeCell ref="B56:E56"/>
    <mergeCell ref="B54:E54"/>
    <mergeCell ref="B55:E55"/>
    <mergeCell ref="B44:D44"/>
    <mergeCell ref="B45:D45"/>
    <mergeCell ref="B46:D46"/>
    <mergeCell ref="B47:D47"/>
    <mergeCell ref="B48:D48"/>
    <mergeCell ref="A1:F1"/>
    <mergeCell ref="A2:F2"/>
    <mergeCell ref="B3:E3"/>
    <mergeCell ref="B5:E5"/>
    <mergeCell ref="B6:E6"/>
    <mergeCell ref="B7:E7"/>
    <mergeCell ref="B4:E4"/>
    <mergeCell ref="A41:D41"/>
    <mergeCell ref="A26:F26"/>
    <mergeCell ref="B27:D27"/>
    <mergeCell ref="B28:D28"/>
    <mergeCell ref="A25:F25"/>
    <mergeCell ref="A8:F8"/>
    <mergeCell ref="A9:F9"/>
    <mergeCell ref="B10:E10"/>
    <mergeCell ref="B11:E11"/>
    <mergeCell ref="B12:E12"/>
    <mergeCell ref="B13:E13"/>
    <mergeCell ref="B14:E14"/>
    <mergeCell ref="A15:F15"/>
    <mergeCell ref="A16:F16"/>
    <mergeCell ref="B17:D17"/>
    <mergeCell ref="A24:E24"/>
    <mergeCell ref="B18:D18"/>
    <mergeCell ref="A89:F89"/>
    <mergeCell ref="B94:E94"/>
    <mergeCell ref="B95:E95"/>
    <mergeCell ref="A96:E96"/>
    <mergeCell ref="B111:E111"/>
    <mergeCell ref="B112:E112"/>
    <mergeCell ref="B99:D99"/>
    <mergeCell ref="B100:D100"/>
    <mergeCell ref="B101:D101"/>
    <mergeCell ref="A102:F102"/>
    <mergeCell ref="B104:D104"/>
    <mergeCell ref="B105:D105"/>
    <mergeCell ref="B106:D106"/>
    <mergeCell ref="A107:D107"/>
    <mergeCell ref="A109:F109"/>
    <mergeCell ref="B91:E91"/>
    <mergeCell ref="B92:E92"/>
    <mergeCell ref="B90:E90"/>
    <mergeCell ref="A108:F108"/>
    <mergeCell ref="A97:F97"/>
    <mergeCell ref="B119:E119"/>
    <mergeCell ref="B120:E120"/>
    <mergeCell ref="A110:E110"/>
    <mergeCell ref="A98:F98"/>
    <mergeCell ref="B113:E113"/>
    <mergeCell ref="B93:E93"/>
    <mergeCell ref="B114:E114"/>
    <mergeCell ref="B115:E115"/>
    <mergeCell ref="A116:E116"/>
    <mergeCell ref="B117:E117"/>
    <mergeCell ref="B118:E118"/>
  </mergeCells>
  <printOptions horizontalCentered="1"/>
  <pageMargins left="0.51181102362204722" right="0.51181102362204722" top="1.5748031496062993" bottom="0.78740157480314965" header="0.31496062992125984" footer="0.31496062992125984"/>
  <pageSetup paperSize="9" scale="58" orientation="portrait" r:id="rId1"/>
  <rowBreaks count="1" manualBreakCount="1">
    <brk id="57"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3356-BF37-41BC-90C3-A3B695C64226}">
  <dimension ref="A1:N125"/>
  <sheetViews>
    <sheetView view="pageBreakPreview" topLeftCell="A89" zoomScale="80" zoomScaleNormal="100" zoomScaleSheetLayoutView="80" workbookViewId="0">
      <selection activeCell="X115" sqref="X115"/>
    </sheetView>
  </sheetViews>
  <sheetFormatPr defaultRowHeight="15" x14ac:dyDescent="0.25"/>
  <cols>
    <col min="1" max="1" width="5.5703125" style="2" customWidth="1"/>
    <col min="2" max="2" width="21.42578125" style="2" customWidth="1"/>
    <col min="3" max="3" width="19.28515625" style="2" customWidth="1"/>
    <col min="4" max="4" width="22.85546875" style="2" customWidth="1"/>
    <col min="5" max="5" width="19.42578125" style="2" customWidth="1"/>
    <col min="6" max="6" width="20.28515625" style="2" customWidth="1"/>
    <col min="7" max="8" width="13.28515625" style="2" hidden="1" customWidth="1"/>
    <col min="9" max="9" width="14.28515625" style="2" hidden="1" customWidth="1"/>
    <col min="10" max="10" width="13.28515625" style="2" hidden="1" customWidth="1"/>
    <col min="11" max="11" width="11.42578125" style="2" hidden="1" customWidth="1"/>
    <col min="12" max="13" width="0" style="2" hidden="1" customWidth="1"/>
    <col min="14" max="14" width="13.28515625" style="2" bestFit="1" customWidth="1"/>
    <col min="15" max="16384" width="9.140625" style="2"/>
  </cols>
  <sheetData>
    <row r="1" spans="1:6" x14ac:dyDescent="0.25">
      <c r="A1" s="161" t="s">
        <v>98</v>
      </c>
      <c r="B1" s="161"/>
      <c r="C1" s="161"/>
      <c r="D1" s="161"/>
      <c r="E1" s="161"/>
      <c r="F1" s="161"/>
    </row>
    <row r="2" spans="1:6" ht="15" customHeight="1" x14ac:dyDescent="0.25">
      <c r="A2" s="162" t="s">
        <v>0</v>
      </c>
      <c r="B2" s="163"/>
      <c r="C2" s="163"/>
      <c r="D2" s="163"/>
      <c r="E2" s="163"/>
      <c r="F2" s="164"/>
    </row>
    <row r="3" spans="1:6" ht="15" customHeight="1" x14ac:dyDescent="0.25">
      <c r="A3" s="87" t="s">
        <v>1</v>
      </c>
      <c r="B3" s="165" t="s">
        <v>2</v>
      </c>
      <c r="C3" s="166"/>
      <c r="D3" s="166"/>
      <c r="E3" s="167"/>
      <c r="F3" s="29">
        <v>44229</v>
      </c>
    </row>
    <row r="4" spans="1:6" x14ac:dyDescent="0.25">
      <c r="A4" s="85" t="s">
        <v>3</v>
      </c>
      <c r="B4" s="168" t="s">
        <v>4</v>
      </c>
      <c r="C4" s="169"/>
      <c r="D4" s="169"/>
      <c r="E4" s="170"/>
      <c r="F4" s="30" t="s">
        <v>78</v>
      </c>
    </row>
    <row r="5" spans="1:6" ht="15" customHeight="1" x14ac:dyDescent="0.25">
      <c r="A5" s="85" t="s">
        <v>5</v>
      </c>
      <c r="B5" s="168" t="s">
        <v>103</v>
      </c>
      <c r="C5" s="169"/>
      <c r="D5" s="169"/>
      <c r="E5" s="170"/>
      <c r="F5" s="31">
        <v>2020</v>
      </c>
    </row>
    <row r="6" spans="1:6" ht="15" customHeight="1" x14ac:dyDescent="0.25">
      <c r="A6" s="5" t="s">
        <v>6</v>
      </c>
      <c r="B6" s="171" t="s">
        <v>7</v>
      </c>
      <c r="C6" s="172"/>
      <c r="D6" s="172"/>
      <c r="E6" s="173"/>
      <c r="F6" s="32">
        <v>12</v>
      </c>
    </row>
    <row r="7" spans="1:6" ht="15" customHeight="1" x14ac:dyDescent="0.25">
      <c r="A7" s="6" t="s">
        <v>22</v>
      </c>
      <c r="B7" s="174" t="s">
        <v>104</v>
      </c>
      <c r="C7" s="174"/>
      <c r="D7" s="174"/>
      <c r="E7" s="174"/>
      <c r="F7" s="31" t="s">
        <v>79</v>
      </c>
    </row>
    <row r="8" spans="1:6" x14ac:dyDescent="0.25">
      <c r="A8" s="181"/>
      <c r="B8" s="182"/>
      <c r="C8" s="182"/>
      <c r="D8" s="182"/>
      <c r="E8" s="182"/>
      <c r="F8" s="183"/>
    </row>
    <row r="9" spans="1:6" ht="15" customHeight="1" x14ac:dyDescent="0.25">
      <c r="A9" s="184" t="s">
        <v>8</v>
      </c>
      <c r="B9" s="185"/>
      <c r="C9" s="185"/>
      <c r="D9" s="185"/>
      <c r="E9" s="185"/>
      <c r="F9" s="186"/>
    </row>
    <row r="10" spans="1:6" x14ac:dyDescent="0.25">
      <c r="A10" s="7">
        <v>1</v>
      </c>
      <c r="B10" s="165" t="s">
        <v>9</v>
      </c>
      <c r="C10" s="166"/>
      <c r="D10" s="166"/>
      <c r="E10" s="167"/>
      <c r="F10" s="101" t="s">
        <v>136</v>
      </c>
    </row>
    <row r="11" spans="1:6" ht="15" customHeight="1" x14ac:dyDescent="0.25">
      <c r="A11" s="8">
        <v>2</v>
      </c>
      <c r="B11" s="168" t="s">
        <v>10</v>
      </c>
      <c r="C11" s="169"/>
      <c r="D11" s="169"/>
      <c r="E11" s="170"/>
      <c r="F11" s="30">
        <v>410105</v>
      </c>
    </row>
    <row r="12" spans="1:6" ht="15" customHeight="1" x14ac:dyDescent="0.25">
      <c r="A12" s="8">
        <v>3</v>
      </c>
      <c r="B12" s="168" t="s">
        <v>11</v>
      </c>
      <c r="C12" s="169"/>
      <c r="D12" s="169"/>
      <c r="E12" s="170"/>
      <c r="F12" s="33">
        <v>2474.4699999999998</v>
      </c>
    </row>
    <row r="13" spans="1:6" x14ac:dyDescent="0.25">
      <c r="A13" s="7">
        <v>4</v>
      </c>
      <c r="B13" s="165" t="s">
        <v>12</v>
      </c>
      <c r="C13" s="166"/>
      <c r="D13" s="166"/>
      <c r="E13" s="167"/>
      <c r="F13" s="101" t="s">
        <v>137</v>
      </c>
    </row>
    <row r="14" spans="1:6" ht="15" customHeight="1" x14ac:dyDescent="0.25">
      <c r="A14" s="9">
        <v>5</v>
      </c>
      <c r="B14" s="168" t="s">
        <v>13</v>
      </c>
      <c r="C14" s="169"/>
      <c r="D14" s="169"/>
      <c r="E14" s="170"/>
      <c r="F14" s="34">
        <v>43831</v>
      </c>
    </row>
    <row r="15" spans="1:6" x14ac:dyDescent="0.25">
      <c r="A15" s="181"/>
      <c r="B15" s="182"/>
      <c r="C15" s="182"/>
      <c r="D15" s="182"/>
      <c r="E15" s="182"/>
      <c r="F15" s="183"/>
    </row>
    <row r="16" spans="1:6" ht="15" customHeight="1" x14ac:dyDescent="0.25">
      <c r="A16" s="175" t="s">
        <v>14</v>
      </c>
      <c r="B16" s="176"/>
      <c r="C16" s="176"/>
      <c r="D16" s="176"/>
      <c r="E16" s="176"/>
      <c r="F16" s="177"/>
    </row>
    <row r="17" spans="1:8" ht="15" customHeight="1" x14ac:dyDescent="0.25">
      <c r="A17" s="67">
        <v>1</v>
      </c>
      <c r="B17" s="144" t="s">
        <v>15</v>
      </c>
      <c r="C17" s="145"/>
      <c r="D17" s="146"/>
      <c r="E17" s="10" t="s">
        <v>16</v>
      </c>
      <c r="F17" s="10" t="s">
        <v>17</v>
      </c>
    </row>
    <row r="18" spans="1:8" x14ac:dyDescent="0.25">
      <c r="A18" s="22" t="s">
        <v>1</v>
      </c>
      <c r="B18" s="150" t="s">
        <v>18</v>
      </c>
      <c r="C18" s="151"/>
      <c r="D18" s="152"/>
      <c r="E18" s="11">
        <v>100</v>
      </c>
      <c r="F18" s="35">
        <f>F12</f>
        <v>2474.4699999999998</v>
      </c>
    </row>
    <row r="19" spans="1:8" x14ac:dyDescent="0.25">
      <c r="A19" s="22" t="s">
        <v>3</v>
      </c>
      <c r="B19" s="150" t="s">
        <v>19</v>
      </c>
      <c r="C19" s="151"/>
      <c r="D19" s="152"/>
      <c r="E19" s="12"/>
      <c r="F19" s="13"/>
    </row>
    <row r="20" spans="1:8" x14ac:dyDescent="0.25">
      <c r="A20" s="22" t="s">
        <v>5</v>
      </c>
      <c r="B20" s="150" t="s">
        <v>20</v>
      </c>
      <c r="C20" s="151"/>
      <c r="D20" s="152"/>
      <c r="E20" s="12"/>
      <c r="F20" s="13"/>
    </row>
    <row r="21" spans="1:8" x14ac:dyDescent="0.25">
      <c r="A21" s="22" t="s">
        <v>6</v>
      </c>
      <c r="B21" s="150" t="s">
        <v>21</v>
      </c>
      <c r="C21" s="151"/>
      <c r="D21" s="152"/>
      <c r="E21" s="12"/>
      <c r="F21" s="13"/>
    </row>
    <row r="22" spans="1:8" x14ac:dyDescent="0.25">
      <c r="A22" s="22" t="s">
        <v>22</v>
      </c>
      <c r="B22" s="150" t="s">
        <v>23</v>
      </c>
      <c r="C22" s="151"/>
      <c r="D22" s="152"/>
      <c r="E22" s="12"/>
      <c r="F22" s="13"/>
    </row>
    <row r="23" spans="1:8" x14ac:dyDescent="0.25">
      <c r="A23" s="22" t="s">
        <v>24</v>
      </c>
      <c r="B23" s="150" t="s">
        <v>25</v>
      </c>
      <c r="C23" s="151"/>
      <c r="D23" s="152"/>
      <c r="E23" s="12"/>
      <c r="F23" s="35"/>
    </row>
    <row r="24" spans="1:8" ht="15" customHeight="1" x14ac:dyDescent="0.25">
      <c r="A24" s="187" t="s">
        <v>26</v>
      </c>
      <c r="B24" s="188"/>
      <c r="C24" s="188"/>
      <c r="D24" s="188"/>
      <c r="E24" s="189"/>
      <c r="F24" s="53">
        <f>SUM(F18:F23)</f>
        <v>2474.4699999999998</v>
      </c>
    </row>
    <row r="25" spans="1:8" x14ac:dyDescent="0.25">
      <c r="A25" s="178" t="s">
        <v>27</v>
      </c>
      <c r="B25" s="179"/>
      <c r="C25" s="179"/>
      <c r="D25" s="179"/>
      <c r="E25" s="179"/>
      <c r="F25" s="180"/>
    </row>
    <row r="26" spans="1:8" ht="15" customHeight="1" x14ac:dyDescent="0.25">
      <c r="A26" s="175" t="s">
        <v>28</v>
      </c>
      <c r="B26" s="176"/>
      <c r="C26" s="176"/>
      <c r="D26" s="176"/>
      <c r="E26" s="176"/>
      <c r="F26" s="177"/>
    </row>
    <row r="27" spans="1:8" ht="15" customHeight="1" x14ac:dyDescent="0.25">
      <c r="A27" s="21" t="s">
        <v>81</v>
      </c>
      <c r="B27" s="144" t="s">
        <v>29</v>
      </c>
      <c r="C27" s="145"/>
      <c r="D27" s="146"/>
      <c r="E27" s="10" t="s">
        <v>16</v>
      </c>
      <c r="F27" s="10" t="s">
        <v>17</v>
      </c>
    </row>
    <row r="28" spans="1:8" ht="15" customHeight="1" x14ac:dyDescent="0.25">
      <c r="A28" s="22" t="s">
        <v>1</v>
      </c>
      <c r="B28" s="150" t="s">
        <v>30</v>
      </c>
      <c r="C28" s="151"/>
      <c r="D28" s="152"/>
      <c r="E28" s="36">
        <v>8.3299999999999999E-2</v>
      </c>
      <c r="F28" s="35">
        <f>ROUND($F$24*E28,4)</f>
        <v>206.1234</v>
      </c>
      <c r="H28" s="15"/>
    </row>
    <row r="29" spans="1:8" ht="15" customHeight="1" x14ac:dyDescent="0.25">
      <c r="A29" s="22" t="s">
        <v>3</v>
      </c>
      <c r="B29" s="150" t="s">
        <v>31</v>
      </c>
      <c r="C29" s="151"/>
      <c r="D29" s="152"/>
      <c r="E29" s="36">
        <v>0.121</v>
      </c>
      <c r="F29" s="35">
        <f>ROUND($F$24*E29,4)</f>
        <v>299.41090000000003</v>
      </c>
      <c r="H29" s="15"/>
    </row>
    <row r="30" spans="1:8" ht="15" customHeight="1" x14ac:dyDescent="0.25">
      <c r="A30" s="147" t="s">
        <v>32</v>
      </c>
      <c r="B30" s="148"/>
      <c r="C30" s="148"/>
      <c r="D30" s="149"/>
      <c r="E30" s="54">
        <f>SUM(E28:E29)</f>
        <v>0.20429999999999998</v>
      </c>
      <c r="F30" s="55">
        <f>SUM(F28:F29)</f>
        <v>505.53430000000003</v>
      </c>
    </row>
    <row r="31" spans="1:8" x14ac:dyDescent="0.25">
      <c r="A31" s="202"/>
      <c r="B31" s="203"/>
      <c r="C31" s="203"/>
      <c r="D31" s="203"/>
      <c r="E31" s="203"/>
      <c r="F31" s="204"/>
    </row>
    <row r="32" spans="1:8" ht="15" customHeight="1" x14ac:dyDescent="0.25">
      <c r="A32" s="21" t="s">
        <v>82</v>
      </c>
      <c r="B32" s="144" t="s">
        <v>33</v>
      </c>
      <c r="C32" s="145"/>
      <c r="D32" s="146"/>
      <c r="E32" s="10" t="s">
        <v>16</v>
      </c>
      <c r="F32" s="10" t="s">
        <v>17</v>
      </c>
    </row>
    <row r="33" spans="1:11" x14ac:dyDescent="0.25">
      <c r="A33" s="22" t="s">
        <v>1</v>
      </c>
      <c r="B33" s="150" t="s">
        <v>154</v>
      </c>
      <c r="C33" s="212"/>
      <c r="D33" s="213"/>
      <c r="E33" s="37">
        <v>0.2</v>
      </c>
      <c r="F33" s="35">
        <f>($F$24+$F$30)*E33</f>
        <v>596.00085999999999</v>
      </c>
      <c r="H33" s="15"/>
    </row>
    <row r="34" spans="1:11" x14ac:dyDescent="0.25">
      <c r="A34" s="22" t="s">
        <v>3</v>
      </c>
      <c r="B34" s="150" t="s">
        <v>147</v>
      </c>
      <c r="C34" s="151"/>
      <c r="D34" s="152"/>
      <c r="E34" s="37">
        <v>2.5000000000000001E-2</v>
      </c>
      <c r="F34" s="35">
        <f t="shared" ref="F34:F40" si="0">($F$24+$F$30)*E34</f>
        <v>74.500107499999999</v>
      </c>
    </row>
    <row r="35" spans="1:11" ht="15" customHeight="1" x14ac:dyDescent="0.25">
      <c r="A35" s="22" t="s">
        <v>5</v>
      </c>
      <c r="B35" s="150" t="s">
        <v>146</v>
      </c>
      <c r="C35" s="151"/>
      <c r="D35" s="152"/>
      <c r="E35" s="37">
        <v>0.01</v>
      </c>
      <c r="F35" s="35">
        <f t="shared" si="0"/>
        <v>29.800042999999995</v>
      </c>
      <c r="I35" s="15"/>
    </row>
    <row r="36" spans="1:11" x14ac:dyDescent="0.25">
      <c r="A36" s="22" t="s">
        <v>6</v>
      </c>
      <c r="B36" s="150" t="s">
        <v>152</v>
      </c>
      <c r="C36" s="151"/>
      <c r="D36" s="152"/>
      <c r="E36" s="37">
        <v>1.4999999999999999E-2</v>
      </c>
      <c r="F36" s="35">
        <f t="shared" si="0"/>
        <v>44.700064499999989</v>
      </c>
      <c r="I36" s="15"/>
    </row>
    <row r="37" spans="1:11" x14ac:dyDescent="0.25">
      <c r="A37" s="22" t="s">
        <v>22</v>
      </c>
      <c r="B37" s="150" t="s">
        <v>148</v>
      </c>
      <c r="C37" s="151"/>
      <c r="D37" s="152"/>
      <c r="E37" s="37">
        <v>0.01</v>
      </c>
      <c r="F37" s="35">
        <f t="shared" si="0"/>
        <v>29.800042999999995</v>
      </c>
    </row>
    <row r="38" spans="1:11" x14ac:dyDescent="0.25">
      <c r="A38" s="22" t="s">
        <v>24</v>
      </c>
      <c r="B38" s="150" t="s">
        <v>149</v>
      </c>
      <c r="C38" s="151"/>
      <c r="D38" s="152"/>
      <c r="E38" s="37">
        <v>6.0000000000000001E-3</v>
      </c>
      <c r="F38" s="35">
        <f t="shared" si="0"/>
        <v>17.880025799999999</v>
      </c>
    </row>
    <row r="39" spans="1:11" x14ac:dyDescent="0.25">
      <c r="A39" s="22" t="s">
        <v>34</v>
      </c>
      <c r="B39" s="150" t="s">
        <v>150</v>
      </c>
      <c r="C39" s="151"/>
      <c r="D39" s="152"/>
      <c r="E39" s="37">
        <v>2E-3</v>
      </c>
      <c r="F39" s="35">
        <f t="shared" si="0"/>
        <v>5.9600085999999992</v>
      </c>
      <c r="H39" s="15"/>
    </row>
    <row r="40" spans="1:11" x14ac:dyDescent="0.25">
      <c r="A40" s="22" t="s">
        <v>35</v>
      </c>
      <c r="B40" s="196" t="s">
        <v>151</v>
      </c>
      <c r="C40" s="197"/>
      <c r="D40" s="198"/>
      <c r="E40" s="37">
        <v>0.08</v>
      </c>
      <c r="F40" s="35">
        <f t="shared" si="0"/>
        <v>238.40034399999996</v>
      </c>
      <c r="H40" s="15"/>
    </row>
    <row r="41" spans="1:11" ht="15" customHeight="1" x14ac:dyDescent="0.25">
      <c r="A41" s="147" t="s">
        <v>36</v>
      </c>
      <c r="B41" s="148"/>
      <c r="C41" s="148"/>
      <c r="D41" s="149"/>
      <c r="E41" s="54">
        <f>SUM(E33:E40)</f>
        <v>0.34800000000000003</v>
      </c>
      <c r="F41" s="55">
        <f>SUM(F33:F40)</f>
        <v>1037.0414963999999</v>
      </c>
      <c r="H41" s="15"/>
    </row>
    <row r="42" spans="1:11" x14ac:dyDescent="0.25">
      <c r="A42" s="205"/>
      <c r="B42" s="206"/>
      <c r="C42" s="206"/>
      <c r="D42" s="206"/>
      <c r="E42" s="206"/>
      <c r="F42" s="207"/>
      <c r="H42" s="16"/>
    </row>
    <row r="43" spans="1:11" ht="15" customHeight="1" x14ac:dyDescent="0.25">
      <c r="A43" s="69" t="s">
        <v>105</v>
      </c>
      <c r="B43" s="199" t="s">
        <v>37</v>
      </c>
      <c r="C43" s="200"/>
      <c r="D43" s="200"/>
      <c r="E43" s="201"/>
      <c r="F43" s="86" t="s">
        <v>17</v>
      </c>
    </row>
    <row r="44" spans="1:11" ht="15" customHeight="1" x14ac:dyDescent="0.25">
      <c r="A44" s="22" t="s">
        <v>1</v>
      </c>
      <c r="B44" s="190" t="s">
        <v>155</v>
      </c>
      <c r="C44" s="191"/>
      <c r="D44" s="192"/>
      <c r="E44" s="18"/>
      <c r="F44" s="35">
        <f>K44</f>
        <v>82.531800000000004</v>
      </c>
      <c r="G44" s="2">
        <v>11</v>
      </c>
      <c r="H44" s="2">
        <v>21</v>
      </c>
      <c r="I44" s="2">
        <f>H44*G44</f>
        <v>231</v>
      </c>
      <c r="J44" s="15">
        <f>F12*6%</f>
        <v>148.4682</v>
      </c>
      <c r="K44" s="15">
        <f>I44-J44</f>
        <v>82.531800000000004</v>
      </c>
    </row>
    <row r="45" spans="1:11" ht="15" customHeight="1" x14ac:dyDescent="0.25">
      <c r="A45" s="68" t="s">
        <v>3</v>
      </c>
      <c r="B45" s="150" t="s">
        <v>165</v>
      </c>
      <c r="C45" s="151"/>
      <c r="D45" s="152"/>
      <c r="E45" s="19"/>
      <c r="F45" s="38">
        <f>I45</f>
        <v>706.02</v>
      </c>
      <c r="G45" s="2">
        <v>33.619999999999997</v>
      </c>
      <c r="H45" s="2">
        <v>21</v>
      </c>
      <c r="I45" s="2">
        <f>H45*G45</f>
        <v>706.02</v>
      </c>
    </row>
    <row r="46" spans="1:11" ht="15" customHeight="1" x14ac:dyDescent="0.25">
      <c r="A46" s="68" t="s">
        <v>5</v>
      </c>
      <c r="B46" s="150" t="s">
        <v>166</v>
      </c>
      <c r="C46" s="151"/>
      <c r="D46" s="152"/>
      <c r="E46" s="19"/>
      <c r="F46" s="38">
        <v>0</v>
      </c>
      <c r="G46" s="2">
        <v>10.63</v>
      </c>
    </row>
    <row r="47" spans="1:11" x14ac:dyDescent="0.25">
      <c r="A47" s="22" t="s">
        <v>6</v>
      </c>
      <c r="B47" s="150" t="s">
        <v>157</v>
      </c>
      <c r="C47" s="151"/>
      <c r="D47" s="152"/>
      <c r="E47" s="13"/>
      <c r="F47" s="39">
        <v>0</v>
      </c>
      <c r="G47" s="2">
        <v>153.77000000000001</v>
      </c>
    </row>
    <row r="48" spans="1:11" x14ac:dyDescent="0.25">
      <c r="A48" s="22" t="s">
        <v>22</v>
      </c>
      <c r="B48" s="196" t="s">
        <v>158</v>
      </c>
      <c r="C48" s="197"/>
      <c r="D48" s="198"/>
      <c r="E48" s="20"/>
      <c r="F48" s="40">
        <v>0</v>
      </c>
      <c r="G48" s="2">
        <v>2</v>
      </c>
    </row>
    <row r="49" spans="1:11" x14ac:dyDescent="0.25">
      <c r="A49" s="144"/>
      <c r="B49" s="145"/>
      <c r="C49" s="145"/>
      <c r="D49" s="145"/>
      <c r="E49" s="145"/>
      <c r="F49" s="146"/>
    </row>
    <row r="50" spans="1:11" ht="15" customHeight="1" x14ac:dyDescent="0.25">
      <c r="A50" s="147" t="s">
        <v>38</v>
      </c>
      <c r="B50" s="148"/>
      <c r="C50" s="148"/>
      <c r="D50" s="148"/>
      <c r="E50" s="149"/>
      <c r="F50" s="56">
        <f>SUM(F44:F48)</f>
        <v>788.55179999999996</v>
      </c>
    </row>
    <row r="51" spans="1:11" x14ac:dyDescent="0.25">
      <c r="A51" s="160"/>
      <c r="B51" s="159"/>
      <c r="C51" s="159"/>
      <c r="D51" s="159"/>
      <c r="E51" s="159"/>
      <c r="F51" s="208"/>
    </row>
    <row r="52" spans="1:11" ht="15" customHeight="1" x14ac:dyDescent="0.25">
      <c r="A52" s="147" t="s">
        <v>39</v>
      </c>
      <c r="B52" s="148"/>
      <c r="C52" s="148"/>
      <c r="D52" s="148"/>
      <c r="E52" s="148"/>
      <c r="F52" s="149"/>
    </row>
    <row r="53" spans="1:11" ht="15" customHeight="1" x14ac:dyDescent="0.25">
      <c r="A53" s="144" t="s">
        <v>40</v>
      </c>
      <c r="B53" s="145"/>
      <c r="C53" s="145"/>
      <c r="D53" s="145"/>
      <c r="E53" s="146"/>
      <c r="F53" s="10" t="s">
        <v>17</v>
      </c>
    </row>
    <row r="54" spans="1:11" ht="15" customHeight="1" x14ac:dyDescent="0.25">
      <c r="A54" s="21" t="s">
        <v>81</v>
      </c>
      <c r="B54" s="150" t="s">
        <v>41</v>
      </c>
      <c r="C54" s="151"/>
      <c r="D54" s="151"/>
      <c r="E54" s="152"/>
      <c r="F54" s="35">
        <f>F30</f>
        <v>505.53430000000003</v>
      </c>
    </row>
    <row r="55" spans="1:11" ht="15" customHeight="1" x14ac:dyDescent="0.25">
      <c r="A55" s="21" t="s">
        <v>82</v>
      </c>
      <c r="B55" s="150" t="s">
        <v>42</v>
      </c>
      <c r="C55" s="151"/>
      <c r="D55" s="151"/>
      <c r="E55" s="152"/>
      <c r="F55" s="35">
        <f>F41</f>
        <v>1037.0414963999999</v>
      </c>
    </row>
    <row r="56" spans="1:11" ht="15" customHeight="1" x14ac:dyDescent="0.25">
      <c r="A56" s="21" t="s">
        <v>105</v>
      </c>
      <c r="B56" s="150" t="s">
        <v>43</v>
      </c>
      <c r="C56" s="151"/>
      <c r="D56" s="151"/>
      <c r="E56" s="152"/>
      <c r="F56" s="35">
        <f>F50</f>
        <v>788.55179999999996</v>
      </c>
    </row>
    <row r="57" spans="1:11" ht="15" customHeight="1" x14ac:dyDescent="0.25">
      <c r="A57" s="147" t="s">
        <v>44</v>
      </c>
      <c r="B57" s="148"/>
      <c r="C57" s="148"/>
      <c r="D57" s="148"/>
      <c r="E57" s="149"/>
      <c r="F57" s="56">
        <f>SUM(F54:F56)</f>
        <v>2331.1275963999997</v>
      </c>
    </row>
    <row r="58" spans="1:11" x14ac:dyDescent="0.25">
      <c r="A58" s="160"/>
      <c r="B58" s="159"/>
      <c r="C58" s="159"/>
      <c r="D58" s="159"/>
      <c r="E58" s="159"/>
      <c r="F58" s="159"/>
    </row>
    <row r="59" spans="1:11" ht="15" customHeight="1" x14ac:dyDescent="0.25">
      <c r="A59" s="147" t="s">
        <v>45</v>
      </c>
      <c r="B59" s="148"/>
      <c r="C59" s="148"/>
      <c r="D59" s="148"/>
      <c r="E59" s="148"/>
      <c r="F59" s="149"/>
    </row>
    <row r="60" spans="1:11" x14ac:dyDescent="0.25">
      <c r="A60" s="67">
        <v>3</v>
      </c>
      <c r="B60" s="156" t="s">
        <v>46</v>
      </c>
      <c r="C60" s="157"/>
      <c r="D60" s="158"/>
      <c r="E60" s="10" t="s">
        <v>16</v>
      </c>
      <c r="F60" s="10" t="s">
        <v>17</v>
      </c>
    </row>
    <row r="61" spans="1:11" ht="26.25" customHeight="1" x14ac:dyDescent="0.25">
      <c r="A61" s="22" t="s">
        <v>1</v>
      </c>
      <c r="B61" s="150" t="s">
        <v>159</v>
      </c>
      <c r="C61" s="151"/>
      <c r="D61" s="152"/>
      <c r="E61" s="111">
        <v>4.1999999999999997E-3</v>
      </c>
      <c r="F61" s="35">
        <f>ROUND($F$24*E61,4)</f>
        <v>10.392799999999999</v>
      </c>
      <c r="K61" s="50">
        <f>0.5*0.08*0.9</f>
        <v>3.6000000000000004E-2</v>
      </c>
    </row>
    <row r="62" spans="1:11" ht="15" customHeight="1" x14ac:dyDescent="0.25">
      <c r="A62" s="22" t="s">
        <v>3</v>
      </c>
      <c r="B62" s="150" t="s">
        <v>139</v>
      </c>
      <c r="C62" s="151"/>
      <c r="D62" s="152"/>
      <c r="E62" s="111">
        <f>ROUND(E40*E61,4)</f>
        <v>2.9999999999999997E-4</v>
      </c>
      <c r="F62" s="35">
        <f t="shared" ref="F62:F66" si="1">ROUND($F$24*E62,4)</f>
        <v>0.74229999999999996</v>
      </c>
      <c r="H62" s="2">
        <f>(100+0.0733+0.833+0.277)</f>
        <v>101.1833</v>
      </c>
      <c r="I62" s="2">
        <f>H62*0.5*0.08*0.9*0.5</f>
        <v>1.8212994</v>
      </c>
    </row>
    <row r="63" spans="1:11" ht="25.5" customHeight="1" x14ac:dyDescent="0.25">
      <c r="A63" s="22" t="s">
        <v>5</v>
      </c>
      <c r="B63" s="150" t="s">
        <v>170</v>
      </c>
      <c r="C63" s="151"/>
      <c r="D63" s="152"/>
      <c r="E63" s="111">
        <f>0.08*0.4*0.9*(1+1/12+1/12+(1/3*1/12))</f>
        <v>3.4399999999999993E-2</v>
      </c>
      <c r="F63" s="35">
        <f t="shared" si="1"/>
        <v>85.121799999999993</v>
      </c>
      <c r="H63" s="2" t="s">
        <v>85</v>
      </c>
    </row>
    <row r="64" spans="1:11" ht="24.75" customHeight="1" x14ac:dyDescent="0.25">
      <c r="A64" s="22" t="s">
        <v>6</v>
      </c>
      <c r="B64" s="150" t="s">
        <v>140</v>
      </c>
      <c r="C64" s="151"/>
      <c r="D64" s="152"/>
      <c r="E64" s="111">
        <v>4.0000000000000002E-4</v>
      </c>
      <c r="F64" s="35">
        <f t="shared" si="1"/>
        <v>0.98980000000000001</v>
      </c>
      <c r="H64" s="15"/>
      <c r="J64" s="15"/>
    </row>
    <row r="65" spans="1:13" ht="15" customHeight="1" x14ac:dyDescent="0.25">
      <c r="A65" s="22" t="s">
        <v>22</v>
      </c>
      <c r="B65" s="150" t="s">
        <v>47</v>
      </c>
      <c r="C65" s="151"/>
      <c r="D65" s="152"/>
      <c r="E65" s="111">
        <f>ROUND(E41*E64,4)</f>
        <v>1E-4</v>
      </c>
      <c r="F65" s="35">
        <f t="shared" si="1"/>
        <v>0.24740000000000001</v>
      </c>
      <c r="J65" s="15"/>
      <c r="M65" s="50">
        <f>0.4*0.08*0.9</f>
        <v>2.8800000000000003E-2</v>
      </c>
    </row>
    <row r="66" spans="1:13" ht="24.75" customHeight="1" x14ac:dyDescent="0.25">
      <c r="A66" s="22" t="s">
        <v>24</v>
      </c>
      <c r="B66" s="150" t="s">
        <v>171</v>
      </c>
      <c r="C66" s="151"/>
      <c r="D66" s="152"/>
      <c r="E66" s="112">
        <f>(0.04*0.08)*0.4</f>
        <v>1.2800000000000001E-3</v>
      </c>
      <c r="F66" s="35">
        <f t="shared" si="1"/>
        <v>3.1673</v>
      </c>
      <c r="H66" s="2" t="s">
        <v>86</v>
      </c>
      <c r="J66" s="15"/>
      <c r="K66" s="50">
        <f>0.08*0.4*0.09</f>
        <v>2.8799999999999997E-3</v>
      </c>
    </row>
    <row r="67" spans="1:13" ht="15" customHeight="1" x14ac:dyDescent="0.25">
      <c r="A67" s="187" t="s">
        <v>48</v>
      </c>
      <c r="B67" s="188"/>
      <c r="C67" s="188"/>
      <c r="D67" s="189"/>
      <c r="E67" s="57">
        <f>SUM(E61:E66)</f>
        <v>4.0679999999999994E-2</v>
      </c>
      <c r="F67" s="55">
        <f>SUM(F61:F66)</f>
        <v>100.66139999999999</v>
      </c>
      <c r="H67" s="15"/>
    </row>
    <row r="68" spans="1:13" x14ac:dyDescent="0.25">
      <c r="A68" s="181"/>
      <c r="B68" s="182"/>
      <c r="C68" s="182"/>
      <c r="D68" s="182"/>
      <c r="E68" s="182"/>
      <c r="F68" s="183"/>
      <c r="I68" s="2">
        <f>0.08*0.4</f>
        <v>3.2000000000000001E-2</v>
      </c>
    </row>
    <row r="69" spans="1:13" ht="15" customHeight="1" x14ac:dyDescent="0.25">
      <c r="A69" s="153" t="s">
        <v>49</v>
      </c>
      <c r="B69" s="154"/>
      <c r="C69" s="154"/>
      <c r="D69" s="154"/>
      <c r="E69" s="154"/>
      <c r="F69" s="155"/>
    </row>
    <row r="70" spans="1:13" ht="15" customHeight="1" x14ac:dyDescent="0.25">
      <c r="A70" s="21" t="s">
        <v>83</v>
      </c>
      <c r="B70" s="209" t="s">
        <v>50</v>
      </c>
      <c r="C70" s="210"/>
      <c r="D70" s="211"/>
      <c r="E70" s="22" t="s">
        <v>16</v>
      </c>
      <c r="F70" s="22" t="s">
        <v>17</v>
      </c>
    </row>
    <row r="71" spans="1:13" ht="27" customHeight="1" x14ac:dyDescent="0.25">
      <c r="A71" s="22" t="s">
        <v>1</v>
      </c>
      <c r="B71" s="150" t="s">
        <v>160</v>
      </c>
      <c r="C71" s="151"/>
      <c r="D71" s="152"/>
      <c r="E71" s="41">
        <v>9.1999999999999998E-3</v>
      </c>
      <c r="F71" s="35">
        <f>ROUND($F$24*E71,4)</f>
        <v>22.7651</v>
      </c>
    </row>
    <row r="72" spans="1:13" ht="24.75" customHeight="1" x14ac:dyDescent="0.25">
      <c r="A72" s="22" t="s">
        <v>3</v>
      </c>
      <c r="B72" s="150" t="s">
        <v>164</v>
      </c>
      <c r="C72" s="151"/>
      <c r="D72" s="152"/>
      <c r="E72" s="41">
        <v>8.0000000000000004E-4</v>
      </c>
      <c r="F72" s="35">
        <f t="shared" ref="F72:F76" si="2">ROUND($F$24*E72,4)</f>
        <v>1.9796</v>
      </c>
    </row>
    <row r="73" spans="1:13" ht="26.25" customHeight="1" x14ac:dyDescent="0.25">
      <c r="A73" s="22" t="s">
        <v>5</v>
      </c>
      <c r="B73" s="150" t="s">
        <v>161</v>
      </c>
      <c r="C73" s="151"/>
      <c r="D73" s="152"/>
      <c r="E73" s="41">
        <v>2.0000000000000001E-4</v>
      </c>
      <c r="F73" s="35">
        <f t="shared" si="2"/>
        <v>0.49490000000000001</v>
      </c>
    </row>
    <row r="74" spans="1:13" ht="27.75" customHeight="1" x14ac:dyDescent="0.25">
      <c r="A74" s="22" t="s">
        <v>6</v>
      </c>
      <c r="B74" s="196" t="s">
        <v>162</v>
      </c>
      <c r="C74" s="197"/>
      <c r="D74" s="198"/>
      <c r="E74" s="42">
        <v>2.9999999999999997E-4</v>
      </c>
      <c r="F74" s="35">
        <f t="shared" si="2"/>
        <v>0.74229999999999996</v>
      </c>
    </row>
    <row r="75" spans="1:13" ht="33" customHeight="1" x14ac:dyDescent="0.25">
      <c r="A75" s="22" t="s">
        <v>22</v>
      </c>
      <c r="B75" s="196" t="s">
        <v>163</v>
      </c>
      <c r="C75" s="197"/>
      <c r="D75" s="198"/>
      <c r="E75" s="43">
        <v>2.0000000000000001E-4</v>
      </c>
      <c r="F75" s="35">
        <f t="shared" si="2"/>
        <v>0.49490000000000001</v>
      </c>
    </row>
    <row r="76" spans="1:13" x14ac:dyDescent="0.25">
      <c r="A76" s="22" t="s">
        <v>24</v>
      </c>
      <c r="B76" s="150" t="s">
        <v>97</v>
      </c>
      <c r="C76" s="151"/>
      <c r="D76" s="152"/>
      <c r="E76" s="41">
        <v>0</v>
      </c>
      <c r="F76" s="35">
        <f t="shared" si="2"/>
        <v>0</v>
      </c>
    </row>
    <row r="77" spans="1:13" ht="15" customHeight="1" x14ac:dyDescent="0.25">
      <c r="A77" s="147" t="s">
        <v>52</v>
      </c>
      <c r="B77" s="148"/>
      <c r="C77" s="148"/>
      <c r="D77" s="149"/>
      <c r="E77" s="58">
        <f>SUM(E71:E76)</f>
        <v>1.0700000000000001E-2</v>
      </c>
      <c r="F77" s="55">
        <f>SUM(F71:F76)</f>
        <v>26.476800000000004</v>
      </c>
      <c r="H77" s="15"/>
    </row>
    <row r="78" spans="1:13" x14ac:dyDescent="0.25">
      <c r="A78" s="202"/>
      <c r="B78" s="203"/>
      <c r="C78" s="203"/>
      <c r="D78" s="203"/>
      <c r="E78" s="203"/>
      <c r="F78" s="204"/>
    </row>
    <row r="79" spans="1:13" ht="15" customHeight="1" x14ac:dyDescent="0.25">
      <c r="A79" s="21" t="s">
        <v>106</v>
      </c>
      <c r="B79" s="156" t="s">
        <v>53</v>
      </c>
      <c r="C79" s="157"/>
      <c r="D79" s="158"/>
      <c r="E79" s="23"/>
      <c r="F79" s="10" t="s">
        <v>17</v>
      </c>
    </row>
    <row r="80" spans="1:13" ht="15" customHeight="1" x14ac:dyDescent="0.25">
      <c r="A80" s="22" t="s">
        <v>1</v>
      </c>
      <c r="B80" s="150" t="s">
        <v>54</v>
      </c>
      <c r="C80" s="151"/>
      <c r="D80" s="152"/>
      <c r="E80" s="24"/>
      <c r="F80" s="13">
        <v>0</v>
      </c>
      <c r="I80" s="62">
        <f>E30+E41+E67+E77</f>
        <v>0.60368000000000011</v>
      </c>
    </row>
    <row r="81" spans="1:9" ht="15" customHeight="1" x14ac:dyDescent="0.25">
      <c r="A81" s="187" t="s">
        <v>55</v>
      </c>
      <c r="B81" s="188"/>
      <c r="C81" s="188"/>
      <c r="D81" s="188"/>
      <c r="E81" s="189"/>
      <c r="F81" s="76">
        <f>SUM(F80)</f>
        <v>0</v>
      </c>
      <c r="H81" s="15">
        <f>F57-F56+F67+F77</f>
        <v>1669.7139963999996</v>
      </c>
      <c r="I81" s="50">
        <f>H81/F24</f>
        <v>0.67477641531317811</v>
      </c>
    </row>
    <row r="82" spans="1:9" x14ac:dyDescent="0.25">
      <c r="A82" s="181"/>
      <c r="B82" s="182"/>
      <c r="C82" s="182"/>
      <c r="D82" s="182"/>
      <c r="E82" s="182"/>
      <c r="F82" s="183"/>
    </row>
    <row r="83" spans="1:9" ht="15" customHeight="1" x14ac:dyDescent="0.25">
      <c r="A83" s="153" t="s">
        <v>56</v>
      </c>
      <c r="B83" s="154"/>
      <c r="C83" s="154"/>
      <c r="D83" s="154"/>
      <c r="E83" s="154"/>
      <c r="F83" s="155"/>
    </row>
    <row r="84" spans="1:9" ht="15" customHeight="1" x14ac:dyDescent="0.25">
      <c r="A84" s="144" t="s">
        <v>57</v>
      </c>
      <c r="B84" s="145"/>
      <c r="C84" s="145"/>
      <c r="D84" s="145"/>
      <c r="E84" s="146"/>
      <c r="F84" s="10" t="s">
        <v>17</v>
      </c>
    </row>
    <row r="85" spans="1:9" x14ac:dyDescent="0.25">
      <c r="A85" s="21" t="s">
        <v>83</v>
      </c>
      <c r="B85" s="150" t="s">
        <v>51</v>
      </c>
      <c r="C85" s="151"/>
      <c r="D85" s="151"/>
      <c r="E85" s="152"/>
      <c r="F85" s="35">
        <f>F77</f>
        <v>26.476800000000004</v>
      </c>
    </row>
    <row r="86" spans="1:9" x14ac:dyDescent="0.25">
      <c r="A86" s="21" t="s">
        <v>106</v>
      </c>
      <c r="B86" s="150" t="s">
        <v>58</v>
      </c>
      <c r="C86" s="151"/>
      <c r="D86" s="151"/>
      <c r="E86" s="152"/>
      <c r="F86" s="39">
        <f>F81</f>
        <v>0</v>
      </c>
    </row>
    <row r="87" spans="1:9" ht="15" customHeight="1" x14ac:dyDescent="0.25">
      <c r="A87" s="187" t="s">
        <v>59</v>
      </c>
      <c r="B87" s="188"/>
      <c r="C87" s="188"/>
      <c r="D87" s="188"/>
      <c r="E87" s="189"/>
      <c r="F87" s="53">
        <f>SUM(F85:F86)</f>
        <v>26.476800000000004</v>
      </c>
    </row>
    <row r="88" spans="1:9" x14ac:dyDescent="0.25">
      <c r="A88" s="181"/>
      <c r="B88" s="182"/>
      <c r="C88" s="182"/>
      <c r="D88" s="182"/>
      <c r="E88" s="182"/>
      <c r="F88" s="183"/>
    </row>
    <row r="89" spans="1:9" ht="15" customHeight="1" x14ac:dyDescent="0.25">
      <c r="A89" s="153" t="s">
        <v>60</v>
      </c>
      <c r="B89" s="154"/>
      <c r="C89" s="154"/>
      <c r="D89" s="154"/>
      <c r="E89" s="154"/>
      <c r="F89" s="155"/>
    </row>
    <row r="90" spans="1:9" x14ac:dyDescent="0.25">
      <c r="A90" s="67">
        <v>5</v>
      </c>
      <c r="B90" s="156" t="s">
        <v>61</v>
      </c>
      <c r="C90" s="157"/>
      <c r="D90" s="157"/>
      <c r="E90" s="158"/>
      <c r="F90" s="10" t="s">
        <v>17</v>
      </c>
    </row>
    <row r="91" spans="1:9" x14ac:dyDescent="0.25">
      <c r="A91" s="22" t="s">
        <v>1</v>
      </c>
      <c r="B91" s="150" t="s">
        <v>141</v>
      </c>
      <c r="C91" s="151"/>
      <c r="D91" s="151"/>
      <c r="E91" s="152"/>
      <c r="F91" s="13">
        <f>Insumos!D10</f>
        <v>37.416666666666664</v>
      </c>
    </row>
    <row r="92" spans="1:9" x14ac:dyDescent="0.25">
      <c r="A92" s="22" t="s">
        <v>3</v>
      </c>
      <c r="B92" s="150" t="s">
        <v>84</v>
      </c>
      <c r="C92" s="151"/>
      <c r="D92" s="151"/>
      <c r="E92" s="152"/>
      <c r="F92" s="13"/>
    </row>
    <row r="93" spans="1:9" x14ac:dyDescent="0.25">
      <c r="A93" s="22" t="s">
        <v>5</v>
      </c>
      <c r="B93" s="150" t="s">
        <v>80</v>
      </c>
      <c r="C93" s="151"/>
      <c r="D93" s="151"/>
      <c r="E93" s="152"/>
      <c r="F93" s="13"/>
    </row>
    <row r="94" spans="1:9" ht="15" customHeight="1" x14ac:dyDescent="0.25">
      <c r="A94" s="22" t="s">
        <v>6</v>
      </c>
      <c r="B94" s="150" t="s">
        <v>142</v>
      </c>
      <c r="C94" s="151"/>
      <c r="D94" s="151"/>
      <c r="E94" s="152"/>
      <c r="F94" s="35">
        <f>Insumos!D16</f>
        <v>6.6000000000000005</v>
      </c>
    </row>
    <row r="95" spans="1:9" ht="15" customHeight="1" x14ac:dyDescent="0.25">
      <c r="A95" s="22" t="s">
        <v>22</v>
      </c>
      <c r="B95" s="150" t="s">
        <v>227</v>
      </c>
      <c r="C95" s="151"/>
      <c r="D95" s="151"/>
      <c r="E95" s="152"/>
      <c r="F95" s="35">
        <v>50</v>
      </c>
    </row>
    <row r="96" spans="1:9" ht="15" customHeight="1" x14ac:dyDescent="0.25">
      <c r="A96" s="147" t="s">
        <v>62</v>
      </c>
      <c r="B96" s="148"/>
      <c r="C96" s="148"/>
      <c r="D96" s="148"/>
      <c r="E96" s="149"/>
      <c r="F96" s="56">
        <f>SUM(F91:F95)</f>
        <v>94.016666666666666</v>
      </c>
    </row>
    <row r="97" spans="1:11" x14ac:dyDescent="0.25">
      <c r="A97" s="160"/>
      <c r="B97" s="159"/>
      <c r="C97" s="159"/>
      <c r="D97" s="159"/>
      <c r="E97" s="159"/>
      <c r="F97" s="159"/>
    </row>
    <row r="98" spans="1:11" ht="15" customHeight="1" x14ac:dyDescent="0.25">
      <c r="A98" s="147" t="s">
        <v>63</v>
      </c>
      <c r="B98" s="148"/>
      <c r="C98" s="148"/>
      <c r="D98" s="148"/>
      <c r="E98" s="148"/>
      <c r="F98" s="149"/>
      <c r="H98" s="70">
        <f>F24+F57+F67+F87+F96</f>
        <v>5026.7524630666658</v>
      </c>
      <c r="I98" s="71"/>
      <c r="J98" s="72"/>
      <c r="K98" s="72"/>
    </row>
    <row r="99" spans="1:11" ht="15" customHeight="1" x14ac:dyDescent="0.25">
      <c r="A99" s="67">
        <v>6</v>
      </c>
      <c r="B99" s="156" t="s">
        <v>64</v>
      </c>
      <c r="C99" s="157"/>
      <c r="D99" s="158"/>
      <c r="E99" s="25" t="s">
        <v>16</v>
      </c>
      <c r="F99" s="10" t="s">
        <v>17</v>
      </c>
      <c r="H99" s="73">
        <f>ROUND(H98*E100,4)</f>
        <v>81.433400000000006</v>
      </c>
      <c r="I99" s="72"/>
      <c r="J99" s="72"/>
      <c r="K99" s="72"/>
    </row>
    <row r="100" spans="1:11" x14ac:dyDescent="0.25">
      <c r="A100" s="22" t="s">
        <v>1</v>
      </c>
      <c r="B100" s="150" t="s">
        <v>65</v>
      </c>
      <c r="C100" s="151"/>
      <c r="D100" s="152"/>
      <c r="E100" s="41">
        <v>1.6199999999999999E-2</v>
      </c>
      <c r="F100" s="35">
        <f>H99</f>
        <v>81.433400000000006</v>
      </c>
      <c r="H100" s="70">
        <f>H98+H99</f>
        <v>5108.1858630666657</v>
      </c>
      <c r="I100" s="72"/>
      <c r="J100" s="72"/>
      <c r="K100" s="72"/>
    </row>
    <row r="101" spans="1:11" x14ac:dyDescent="0.25">
      <c r="A101" s="68" t="s">
        <v>3</v>
      </c>
      <c r="B101" s="150" t="s">
        <v>66</v>
      </c>
      <c r="C101" s="151"/>
      <c r="D101" s="152"/>
      <c r="E101" s="44">
        <v>1.61E-2</v>
      </c>
      <c r="F101" s="45">
        <f>H101</f>
        <v>82.241799999999998</v>
      </c>
      <c r="H101" s="73">
        <f>ROUND(H100*E101,4)</f>
        <v>82.241799999999998</v>
      </c>
      <c r="I101" s="72"/>
      <c r="J101" s="72"/>
      <c r="K101" s="72"/>
    </row>
    <row r="102" spans="1:11" x14ac:dyDescent="0.25">
      <c r="A102" s="144"/>
      <c r="B102" s="145"/>
      <c r="C102" s="145"/>
      <c r="D102" s="145"/>
      <c r="E102" s="145"/>
      <c r="F102" s="146"/>
      <c r="H102" s="74">
        <f>100%</f>
        <v>1</v>
      </c>
      <c r="I102" s="75">
        <f>E104+E105+E106</f>
        <v>8.6499999999999994E-2</v>
      </c>
      <c r="J102" s="75">
        <f>H102-I102</f>
        <v>0.91349999999999998</v>
      </c>
      <c r="K102" s="72"/>
    </row>
    <row r="103" spans="1:11" ht="24" x14ac:dyDescent="0.25">
      <c r="A103" s="22" t="s">
        <v>5</v>
      </c>
      <c r="B103" s="22" t="s">
        <v>67</v>
      </c>
      <c r="C103" s="26" t="s">
        <v>68</v>
      </c>
      <c r="D103" s="46"/>
      <c r="E103" s="47" t="s">
        <v>69</v>
      </c>
      <c r="F103" s="48"/>
      <c r="H103" s="70">
        <f>(H100+H101)/J102</f>
        <v>5681.9131505929563</v>
      </c>
      <c r="I103" s="72"/>
      <c r="K103" s="72"/>
    </row>
    <row r="104" spans="1:11" x14ac:dyDescent="0.25">
      <c r="A104" s="14" t="s">
        <v>70</v>
      </c>
      <c r="B104" s="150" t="s">
        <v>143</v>
      </c>
      <c r="C104" s="151"/>
      <c r="D104" s="152"/>
      <c r="E104" s="41">
        <v>6.4999999999999997E-3</v>
      </c>
      <c r="F104" s="35">
        <f>H104</f>
        <v>36.932400000000001</v>
      </c>
      <c r="H104" s="73">
        <f>ROUND(H103*E104,4)</f>
        <v>36.932400000000001</v>
      </c>
      <c r="K104" s="72"/>
    </row>
    <row r="105" spans="1:11" x14ac:dyDescent="0.25">
      <c r="A105" s="14" t="s">
        <v>71</v>
      </c>
      <c r="B105" s="150" t="s">
        <v>144</v>
      </c>
      <c r="C105" s="151"/>
      <c r="D105" s="152"/>
      <c r="E105" s="41">
        <v>0.03</v>
      </c>
      <c r="F105" s="35">
        <f>H105</f>
        <v>170.45740000000001</v>
      </c>
      <c r="H105" s="73">
        <f>ROUND(H103*E105,4)</f>
        <v>170.45740000000001</v>
      </c>
      <c r="I105" s="72"/>
      <c r="J105" s="72"/>
      <c r="K105" s="72"/>
    </row>
    <row r="106" spans="1:11" x14ac:dyDescent="0.25">
      <c r="A106" s="14" t="s">
        <v>72</v>
      </c>
      <c r="B106" s="150" t="s">
        <v>145</v>
      </c>
      <c r="C106" s="151"/>
      <c r="D106" s="152"/>
      <c r="E106" s="41">
        <v>0.05</v>
      </c>
      <c r="F106" s="35">
        <f>H106</f>
        <v>284.09570000000002</v>
      </c>
      <c r="H106" s="73">
        <f>ROUND(H103*E106,4)</f>
        <v>284.09570000000002</v>
      </c>
      <c r="I106" s="72"/>
      <c r="J106" s="72"/>
      <c r="K106" s="72"/>
    </row>
    <row r="107" spans="1:11" ht="15" customHeight="1" x14ac:dyDescent="0.25">
      <c r="A107" s="144" t="s">
        <v>73</v>
      </c>
      <c r="B107" s="145"/>
      <c r="C107" s="145"/>
      <c r="D107" s="146"/>
      <c r="E107" s="49">
        <f>SUM(E104:E106)</f>
        <v>8.6499999999999994E-2</v>
      </c>
      <c r="F107" s="35">
        <f>F100+F101+F104+F105+F106</f>
        <v>655.16070000000013</v>
      </c>
    </row>
    <row r="108" spans="1:11" x14ac:dyDescent="0.25">
      <c r="A108" s="159"/>
      <c r="B108" s="159"/>
      <c r="C108" s="159"/>
      <c r="D108" s="159"/>
      <c r="E108" s="159"/>
      <c r="F108" s="159"/>
    </row>
    <row r="109" spans="1:11" ht="15" customHeight="1" x14ac:dyDescent="0.25">
      <c r="A109" s="147" t="s">
        <v>74</v>
      </c>
      <c r="B109" s="148"/>
      <c r="C109" s="148"/>
      <c r="D109" s="148"/>
      <c r="E109" s="148"/>
      <c r="F109" s="149"/>
    </row>
    <row r="110" spans="1:11" ht="15" customHeight="1" x14ac:dyDescent="0.25">
      <c r="A110" s="144" t="s">
        <v>75</v>
      </c>
      <c r="B110" s="145"/>
      <c r="C110" s="145"/>
      <c r="D110" s="145"/>
      <c r="E110" s="146"/>
      <c r="F110" s="27" t="s">
        <v>17</v>
      </c>
    </row>
    <row r="111" spans="1:11" ht="15" customHeight="1" x14ac:dyDescent="0.25">
      <c r="A111" s="28" t="s">
        <v>1</v>
      </c>
      <c r="B111" s="150" t="s">
        <v>14</v>
      </c>
      <c r="C111" s="151"/>
      <c r="D111" s="151"/>
      <c r="E111" s="152"/>
      <c r="F111" s="35">
        <f>F24</f>
        <v>2474.4699999999998</v>
      </c>
    </row>
    <row r="112" spans="1:11" ht="15" customHeight="1" x14ac:dyDescent="0.25">
      <c r="A112" s="28" t="s">
        <v>3</v>
      </c>
      <c r="B112" s="150" t="s">
        <v>28</v>
      </c>
      <c r="C112" s="151"/>
      <c r="D112" s="151"/>
      <c r="E112" s="152"/>
      <c r="F112" s="35">
        <f>F57</f>
        <v>2331.1275963999997</v>
      </c>
    </row>
    <row r="113" spans="1:14" ht="15" customHeight="1" x14ac:dyDescent="0.25">
      <c r="A113" s="28" t="s">
        <v>5</v>
      </c>
      <c r="B113" s="150" t="s">
        <v>45</v>
      </c>
      <c r="C113" s="151"/>
      <c r="D113" s="151"/>
      <c r="E113" s="152"/>
      <c r="F113" s="35">
        <f>F67</f>
        <v>100.66139999999999</v>
      </c>
    </row>
    <row r="114" spans="1:14" ht="15" customHeight="1" x14ac:dyDescent="0.25">
      <c r="A114" s="28" t="s">
        <v>6</v>
      </c>
      <c r="B114" s="150" t="s">
        <v>49</v>
      </c>
      <c r="C114" s="151"/>
      <c r="D114" s="151"/>
      <c r="E114" s="152"/>
      <c r="F114" s="35">
        <f>F87</f>
        <v>26.476800000000004</v>
      </c>
    </row>
    <row r="115" spans="1:14" ht="15" customHeight="1" x14ac:dyDescent="0.25">
      <c r="A115" s="28" t="s">
        <v>22</v>
      </c>
      <c r="B115" s="150" t="s">
        <v>60</v>
      </c>
      <c r="C115" s="151"/>
      <c r="D115" s="151"/>
      <c r="E115" s="152"/>
      <c r="F115" s="35">
        <f>F96</f>
        <v>94.016666666666666</v>
      </c>
      <c r="I115" s="15"/>
    </row>
    <row r="116" spans="1:14" ht="15" customHeight="1" x14ac:dyDescent="0.25">
      <c r="A116" s="147" t="s">
        <v>76</v>
      </c>
      <c r="B116" s="148"/>
      <c r="C116" s="148"/>
      <c r="D116" s="148"/>
      <c r="E116" s="149"/>
      <c r="F116" s="56">
        <f>SUM(F111:F115)</f>
        <v>5026.7524630666658</v>
      </c>
      <c r="G116" s="94">
        <v>5158.8999999999996</v>
      </c>
      <c r="H116" s="15"/>
      <c r="N116" s="2">
        <v>4976.75</v>
      </c>
    </row>
    <row r="117" spans="1:14" ht="15" customHeight="1" x14ac:dyDescent="0.25">
      <c r="A117" s="28" t="s">
        <v>24</v>
      </c>
      <c r="B117" s="150" t="s">
        <v>63</v>
      </c>
      <c r="C117" s="151"/>
      <c r="D117" s="151"/>
      <c r="E117" s="152"/>
      <c r="F117" s="35">
        <f>F107</f>
        <v>655.16070000000013</v>
      </c>
    </row>
    <row r="118" spans="1:14" x14ac:dyDescent="0.25">
      <c r="A118" s="59"/>
      <c r="B118" s="141" t="s">
        <v>77</v>
      </c>
      <c r="C118" s="142"/>
      <c r="D118" s="142"/>
      <c r="E118" s="143"/>
      <c r="F118" s="56">
        <f>F116+F117</f>
        <v>5681.9131630666661</v>
      </c>
      <c r="G118" s="94">
        <v>5738.12</v>
      </c>
      <c r="H118" s="15"/>
      <c r="N118" s="94">
        <v>5673.66</v>
      </c>
    </row>
    <row r="124" spans="1:14" x14ac:dyDescent="0.25">
      <c r="F124" s="15">
        <f>Resumo!F7</f>
        <v>20014.48</v>
      </c>
    </row>
    <row r="125" spans="1:14" x14ac:dyDescent="0.25">
      <c r="F125" s="15">
        <f>Resumo!G9</f>
        <v>240173.76</v>
      </c>
    </row>
  </sheetData>
  <mergeCells count="117">
    <mergeCell ref="B7:E7"/>
    <mergeCell ref="A8:F8"/>
    <mergeCell ref="A9:F9"/>
    <mergeCell ref="B10:E10"/>
    <mergeCell ref="B11:E11"/>
    <mergeCell ref="B12:E12"/>
    <mergeCell ref="A1:F1"/>
    <mergeCell ref="A2:F2"/>
    <mergeCell ref="B3:E3"/>
    <mergeCell ref="B4:E4"/>
    <mergeCell ref="B5:E5"/>
    <mergeCell ref="B6:E6"/>
    <mergeCell ref="B19:D19"/>
    <mergeCell ref="B20:D20"/>
    <mergeCell ref="B21:D21"/>
    <mergeCell ref="B22:D22"/>
    <mergeCell ref="B23:D23"/>
    <mergeCell ref="A24:E24"/>
    <mergeCell ref="B13:E13"/>
    <mergeCell ref="B14:E14"/>
    <mergeCell ref="A15:F15"/>
    <mergeCell ref="A16:F16"/>
    <mergeCell ref="B17:D17"/>
    <mergeCell ref="B18:D18"/>
    <mergeCell ref="A31:F31"/>
    <mergeCell ref="B32:D32"/>
    <mergeCell ref="B33:D33"/>
    <mergeCell ref="B34:D34"/>
    <mergeCell ref="B35:D35"/>
    <mergeCell ref="B36:D36"/>
    <mergeCell ref="A25:F25"/>
    <mergeCell ref="A26:F26"/>
    <mergeCell ref="B27:D27"/>
    <mergeCell ref="B28:D28"/>
    <mergeCell ref="B29:D29"/>
    <mergeCell ref="A30:D30"/>
    <mergeCell ref="B43:E43"/>
    <mergeCell ref="B44:D44"/>
    <mergeCell ref="B45:D45"/>
    <mergeCell ref="B46:D46"/>
    <mergeCell ref="B47:D47"/>
    <mergeCell ref="B48:D48"/>
    <mergeCell ref="B37:D37"/>
    <mergeCell ref="B38:D38"/>
    <mergeCell ref="B39:D39"/>
    <mergeCell ref="B40:D40"/>
    <mergeCell ref="A41:D41"/>
    <mergeCell ref="A42:F42"/>
    <mergeCell ref="B55:E55"/>
    <mergeCell ref="B56:E56"/>
    <mergeCell ref="A57:E57"/>
    <mergeCell ref="A58:F58"/>
    <mergeCell ref="A59:F59"/>
    <mergeCell ref="B60:D60"/>
    <mergeCell ref="A49:F49"/>
    <mergeCell ref="A50:E50"/>
    <mergeCell ref="A51:F51"/>
    <mergeCell ref="A52:F52"/>
    <mergeCell ref="A53:E53"/>
    <mergeCell ref="B54:E54"/>
    <mergeCell ref="A67:D67"/>
    <mergeCell ref="A68:F68"/>
    <mergeCell ref="A69:F69"/>
    <mergeCell ref="B70:D70"/>
    <mergeCell ref="B71:D71"/>
    <mergeCell ref="B72:D72"/>
    <mergeCell ref="B61:D61"/>
    <mergeCell ref="B62:D62"/>
    <mergeCell ref="B63:D63"/>
    <mergeCell ref="B64:D64"/>
    <mergeCell ref="B65:D65"/>
    <mergeCell ref="B66:D66"/>
    <mergeCell ref="B79:D79"/>
    <mergeCell ref="B80:D80"/>
    <mergeCell ref="A81:E81"/>
    <mergeCell ref="A82:F82"/>
    <mergeCell ref="A83:F83"/>
    <mergeCell ref="A84:E84"/>
    <mergeCell ref="B73:D73"/>
    <mergeCell ref="B74:D74"/>
    <mergeCell ref="B75:D75"/>
    <mergeCell ref="B76:D76"/>
    <mergeCell ref="A77:D77"/>
    <mergeCell ref="A78:F78"/>
    <mergeCell ref="B91:E91"/>
    <mergeCell ref="B92:E92"/>
    <mergeCell ref="B93:E93"/>
    <mergeCell ref="B94:E94"/>
    <mergeCell ref="B95:E95"/>
    <mergeCell ref="A96:E96"/>
    <mergeCell ref="B85:E85"/>
    <mergeCell ref="B86:E86"/>
    <mergeCell ref="A87:E87"/>
    <mergeCell ref="A88:F88"/>
    <mergeCell ref="A89:F89"/>
    <mergeCell ref="B90:E90"/>
    <mergeCell ref="B104:D104"/>
    <mergeCell ref="B105:D105"/>
    <mergeCell ref="B106:D106"/>
    <mergeCell ref="A107:D107"/>
    <mergeCell ref="A108:F108"/>
    <mergeCell ref="A109:F109"/>
    <mergeCell ref="A97:F97"/>
    <mergeCell ref="A98:F98"/>
    <mergeCell ref="B99:D99"/>
    <mergeCell ref="B100:D100"/>
    <mergeCell ref="B101:D101"/>
    <mergeCell ref="A102:F102"/>
    <mergeCell ref="A116:E116"/>
    <mergeCell ref="B117:E117"/>
    <mergeCell ref="B118:E118"/>
    <mergeCell ref="A110:E110"/>
    <mergeCell ref="B111:E111"/>
    <mergeCell ref="B112:E112"/>
    <mergeCell ref="B113:E113"/>
    <mergeCell ref="B114:E114"/>
    <mergeCell ref="B115:E115"/>
  </mergeCells>
  <printOptions horizontalCentered="1"/>
  <pageMargins left="0.51181102362204722" right="0.51181102362204722" top="1.5748031496062993" bottom="0.78740157480314965" header="0.31496062992125984" footer="0.31496062992125984"/>
  <pageSetup paperSize="9" scale="58" orientation="portrait" r:id="rId1"/>
  <rowBreaks count="1" manualBreakCount="1">
    <brk id="57" max="5"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1DB0-F693-4CFD-A908-78CFD95211D0}">
  <dimension ref="A1:D22"/>
  <sheetViews>
    <sheetView topLeftCell="A13" workbookViewId="0">
      <selection activeCell="H12" sqref="H12"/>
    </sheetView>
  </sheetViews>
  <sheetFormatPr defaultRowHeight="15" x14ac:dyDescent="0.25"/>
  <cols>
    <col min="1" max="1" width="19.140625" customWidth="1"/>
    <col min="2" max="2" width="17" customWidth="1"/>
    <col min="3" max="3" width="22.140625" customWidth="1"/>
    <col min="4" max="4" width="18.85546875" customWidth="1"/>
  </cols>
  <sheetData>
    <row r="1" spans="1:4" ht="30" customHeight="1" x14ac:dyDescent="0.25">
      <c r="A1" s="220" t="s">
        <v>120</v>
      </c>
      <c r="B1" s="221"/>
      <c r="C1" s="221"/>
      <c r="D1" s="222"/>
    </row>
    <row r="2" spans="1:4" x14ac:dyDescent="0.25">
      <c r="A2" s="102"/>
      <c r="B2" s="95"/>
      <c r="C2" s="95"/>
      <c r="D2" s="103"/>
    </row>
    <row r="3" spans="1:4" ht="30" x14ac:dyDescent="0.25">
      <c r="A3" s="104" t="s">
        <v>40</v>
      </c>
      <c r="B3" s="97" t="s">
        <v>122</v>
      </c>
      <c r="C3" s="96" t="s">
        <v>121</v>
      </c>
      <c r="D3" s="105" t="s">
        <v>123</v>
      </c>
    </row>
    <row r="4" spans="1:4" x14ac:dyDescent="0.25">
      <c r="A4" s="102" t="s">
        <v>124</v>
      </c>
      <c r="B4" s="96">
        <v>2</v>
      </c>
      <c r="C4" s="98">
        <v>55</v>
      </c>
      <c r="D4" s="106">
        <f>B4*C4</f>
        <v>110</v>
      </c>
    </row>
    <row r="5" spans="1:4" x14ac:dyDescent="0.25">
      <c r="A5" s="102" t="s">
        <v>125</v>
      </c>
      <c r="B5" s="96">
        <v>4</v>
      </c>
      <c r="C5" s="98">
        <v>30</v>
      </c>
      <c r="D5" s="106">
        <f t="shared" ref="D5:D8" si="0">B5*C5</f>
        <v>120</v>
      </c>
    </row>
    <row r="6" spans="1:4" x14ac:dyDescent="0.25">
      <c r="A6" s="102" t="s">
        <v>126</v>
      </c>
      <c r="B6" s="96">
        <v>4</v>
      </c>
      <c r="C6" s="98">
        <v>30</v>
      </c>
      <c r="D6" s="106">
        <f t="shared" si="0"/>
        <v>120</v>
      </c>
    </row>
    <row r="7" spans="1:4" x14ac:dyDescent="0.25">
      <c r="A7" s="102" t="s">
        <v>127</v>
      </c>
      <c r="B7" s="96">
        <v>2</v>
      </c>
      <c r="C7" s="98">
        <v>45</v>
      </c>
      <c r="D7" s="106">
        <f t="shared" si="0"/>
        <v>90</v>
      </c>
    </row>
    <row r="8" spans="1:4" x14ac:dyDescent="0.25">
      <c r="A8" s="102" t="s">
        <v>130</v>
      </c>
      <c r="B8" s="96">
        <v>3</v>
      </c>
      <c r="C8" s="98">
        <v>3</v>
      </c>
      <c r="D8" s="106">
        <f t="shared" si="0"/>
        <v>9</v>
      </c>
    </row>
    <row r="9" spans="1:4" ht="22.5" customHeight="1" x14ac:dyDescent="0.25">
      <c r="A9" s="223" t="s">
        <v>128</v>
      </c>
      <c r="B9" s="224"/>
      <c r="C9" s="224"/>
      <c r="D9" s="109">
        <f>SUM(D4:D8)</f>
        <v>449</v>
      </c>
    </row>
    <row r="10" spans="1:4" ht="21" customHeight="1" x14ac:dyDescent="0.25">
      <c r="A10" s="223" t="s">
        <v>129</v>
      </c>
      <c r="B10" s="224"/>
      <c r="C10" s="224"/>
      <c r="D10" s="109">
        <f>D9/12</f>
        <v>37.416666666666664</v>
      </c>
    </row>
    <row r="11" spans="1:4" x14ac:dyDescent="0.25">
      <c r="A11" s="107"/>
      <c r="B11" s="77"/>
      <c r="C11" s="77"/>
      <c r="D11" s="108"/>
    </row>
    <row r="12" spans="1:4" x14ac:dyDescent="0.25">
      <c r="A12" s="214" t="s">
        <v>138</v>
      </c>
      <c r="B12" s="215"/>
      <c r="C12" s="215"/>
      <c r="D12" s="216"/>
    </row>
    <row r="13" spans="1:4" x14ac:dyDescent="0.25">
      <c r="A13" s="102"/>
      <c r="B13" s="95"/>
      <c r="C13" s="95"/>
      <c r="D13" s="103"/>
    </row>
    <row r="14" spans="1:4" ht="36" customHeight="1" x14ac:dyDescent="0.25">
      <c r="A14" s="104" t="s">
        <v>40</v>
      </c>
      <c r="B14" s="97" t="s">
        <v>122</v>
      </c>
      <c r="C14" s="96" t="s">
        <v>121</v>
      </c>
      <c r="D14" s="105" t="s">
        <v>123</v>
      </c>
    </row>
    <row r="15" spans="1:4" ht="27" customHeight="1" x14ac:dyDescent="0.25">
      <c r="A15" s="102" t="s">
        <v>131</v>
      </c>
      <c r="B15" s="96">
        <v>3</v>
      </c>
      <c r="C15" s="98">
        <v>495</v>
      </c>
      <c r="D15" s="106">
        <f>B15*C15</f>
        <v>1485</v>
      </c>
    </row>
    <row r="16" spans="1:4" ht="26.25" customHeight="1" thickBot="1" x14ac:dyDescent="0.3">
      <c r="A16" s="217" t="s">
        <v>221</v>
      </c>
      <c r="B16" s="218"/>
      <c r="C16" s="219"/>
      <c r="D16" s="110">
        <f>(D15/60/3)*0.8</f>
        <v>6.6000000000000005</v>
      </c>
    </row>
    <row r="17" spans="1:4" x14ac:dyDescent="0.25">
      <c r="A17" s="107"/>
      <c r="B17" s="77"/>
      <c r="C17" s="77"/>
      <c r="D17" s="108"/>
    </row>
    <row r="18" spans="1:4" x14ac:dyDescent="0.25">
      <c r="A18" s="214" t="s">
        <v>222</v>
      </c>
      <c r="B18" s="215"/>
      <c r="C18" s="215"/>
      <c r="D18" s="216"/>
    </row>
    <row r="19" spans="1:4" x14ac:dyDescent="0.25">
      <c r="A19" s="102"/>
      <c r="B19" s="95"/>
      <c r="C19" s="95"/>
      <c r="D19" s="103"/>
    </row>
    <row r="20" spans="1:4" x14ac:dyDescent="0.25">
      <c r="A20" s="104" t="s">
        <v>40</v>
      </c>
      <c r="B20" s="97" t="s">
        <v>223</v>
      </c>
      <c r="C20" s="96" t="s">
        <v>224</v>
      </c>
      <c r="D20" s="105" t="s">
        <v>123</v>
      </c>
    </row>
    <row r="21" spans="1:4" ht="48.75" customHeight="1" x14ac:dyDescent="0.25">
      <c r="A21" s="117" t="s">
        <v>225</v>
      </c>
      <c r="B21" s="96">
        <v>300</v>
      </c>
      <c r="C21" s="98">
        <v>0.5</v>
      </c>
      <c r="D21" s="106">
        <f>B21*C21</f>
        <v>150</v>
      </c>
    </row>
    <row r="22" spans="1:4" ht="15.75" thickBot="1" x14ac:dyDescent="0.3">
      <c r="A22" s="217" t="s">
        <v>226</v>
      </c>
      <c r="B22" s="218"/>
      <c r="C22" s="219"/>
      <c r="D22" s="110">
        <f>D21/3</f>
        <v>50</v>
      </c>
    </row>
  </sheetData>
  <mergeCells count="7">
    <mergeCell ref="A18:D18"/>
    <mergeCell ref="A22:C22"/>
    <mergeCell ref="A1:D1"/>
    <mergeCell ref="A9:C9"/>
    <mergeCell ref="A10:C10"/>
    <mergeCell ref="A12:D12"/>
    <mergeCell ref="A16:C16"/>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Rosto</vt:lpstr>
      <vt:lpstr>Resumo</vt:lpstr>
      <vt:lpstr>Sup Cont</vt:lpstr>
      <vt:lpstr>Sup Tec</vt:lpstr>
      <vt:lpstr>Insumos</vt:lpstr>
      <vt:lpstr>Resumo!Area_de_impressao</vt:lpstr>
      <vt:lpstr>Rosto!Area_de_impressao</vt:lpstr>
      <vt:lpstr>'Sup Cont'!Area_de_impressao</vt:lpstr>
      <vt:lpstr>'Sup Tec'!Area_de_impressao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Dereck Barbosa</dc:creator>
  <cp:lastModifiedBy>refpa</cp:lastModifiedBy>
  <cp:lastPrinted>2021-02-26T20:37:54Z</cp:lastPrinted>
  <dcterms:created xsi:type="dcterms:W3CDTF">2020-04-11T14:25:39Z</dcterms:created>
  <dcterms:modified xsi:type="dcterms:W3CDTF">2021-03-23T19:28:34Z</dcterms:modified>
</cp:coreProperties>
</file>