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RESPONDÊNCIAS\2018\NOTA TÉCNICA\Nota Técnica - Elaboração de projetos com recurso do convênio\Planilha Orçamentária - para publicar no site\"/>
    </mc:Choice>
  </mc:AlternateContent>
  <bookViews>
    <workbookView xWindow="0" yWindow="0" windowWidth="17970" windowHeight="6030" firstSheet="4" activeTab="4"/>
  </bookViews>
  <sheets>
    <sheet name="RTP 1.000 hab" sheetId="3" state="hidden" r:id="rId1"/>
    <sheet name="RTP 5.000 hab" sheetId="11" state="hidden" r:id="rId2"/>
    <sheet name="RTP 20.000 hab" sheetId="12" state="hidden" r:id="rId3"/>
    <sheet name="RTP 50.000 hab" sheetId="13" state="hidden" r:id="rId4"/>
    <sheet name="DADOS A INSERIR" sheetId="161" r:id="rId5"/>
    <sheet name="PLANILHA ORÇAMENTÁRIA" sheetId="157" r:id="rId6"/>
    <sheet name="Composições-Topografia" sheetId="93" r:id="rId7"/>
    <sheet name="Composições-Geotecnia" sheetId="94" r:id="rId8"/>
    <sheet name="Composições-Projetos" sheetId="162" r:id="rId9"/>
    <sheet name="Composições-BDI" sheetId="160" r:id="rId10"/>
    <sheet name="Composições-Encargos Soc." sheetId="15" r:id="rId11"/>
    <sheet name="EIA" sheetId="130" state="hidden" r:id="rId12"/>
    <sheet name="PCA_RCA" sheetId="131" state="hidden" r:id="rId13"/>
  </sheets>
  <definedNames>
    <definedName name="_xlnm._FilterDatabase" localSheetId="6" hidden="1">'Composições-Topografia'!$A$3:$Q$26</definedName>
    <definedName name="_xlnm._FilterDatabase" localSheetId="5" hidden="1">'PLANILHA ORÇAMENTÁRIA'!$A$10:$H$145</definedName>
    <definedName name="_xlnm.Print_Area" localSheetId="10">'Composições-Encargos Soc.'!$A$1:$F$52</definedName>
    <definedName name="_xlnm.Print_Area" localSheetId="7">'Composições-Geotecnia'!#REF!</definedName>
    <definedName name="_xlnm.Print_Area" localSheetId="6">'Composições-Topografia'!$A$3:$H$224</definedName>
  </definedNames>
  <calcPr calcId="162913"/>
</workbook>
</file>

<file path=xl/calcChain.xml><?xml version="1.0" encoding="utf-8"?>
<calcChain xmlns="http://schemas.openxmlformats.org/spreadsheetml/2006/main">
  <c r="H29" i="160" l="1"/>
  <c r="G29" i="160"/>
  <c r="F10" i="162" l="1"/>
  <c r="E9" i="162"/>
  <c r="D9" i="162"/>
  <c r="F8" i="162"/>
  <c r="F7" i="162"/>
  <c r="J6" i="162"/>
  <c r="I6" i="162"/>
  <c r="H6" i="162"/>
  <c r="F6" i="162"/>
  <c r="E6" i="162"/>
  <c r="D6" i="162"/>
  <c r="E8" i="162" l="1"/>
  <c r="E7" i="162"/>
  <c r="D7" i="162" l="1"/>
  <c r="D5" i="162"/>
  <c r="D126" i="157" l="1"/>
  <c r="D112" i="157"/>
  <c r="D99" i="157"/>
  <c r="D91" i="157"/>
  <c r="D90" i="157"/>
  <c r="G90" i="157"/>
  <c r="E90" i="157"/>
  <c r="D84" i="157"/>
  <c r="D76" i="157"/>
  <c r="D75" i="157"/>
  <c r="G75" i="157"/>
  <c r="E75" i="157"/>
  <c r="D67" i="157"/>
  <c r="D62" i="157"/>
  <c r="D61" i="157"/>
  <c r="D52" i="157"/>
  <c r="D38" i="157"/>
  <c r="E30" i="157"/>
  <c r="E10" i="162"/>
  <c r="D118" i="157" s="1"/>
  <c r="D10" i="162"/>
  <c r="D117" i="157" s="1"/>
  <c r="D4" i="162"/>
  <c r="D30" i="157" s="1"/>
  <c r="D43" i="157"/>
  <c r="D58" i="157"/>
  <c r="D63" i="157"/>
  <c r="D60" i="157"/>
  <c r="D59" i="157"/>
  <c r="F5" i="162"/>
  <c r="D45" i="157" s="1"/>
  <c r="E5" i="162"/>
  <c r="D44" i="157" s="1"/>
  <c r="J4" i="162"/>
  <c r="D34" i="157" s="1"/>
  <c r="I4" i="162"/>
  <c r="D33" i="157" s="1"/>
  <c r="H4" i="162"/>
  <c r="D32" i="157" s="1"/>
  <c r="F90" i="157" l="1"/>
  <c r="H90" i="157"/>
  <c r="F75" i="157"/>
  <c r="H75" i="157"/>
  <c r="E4" i="162"/>
  <c r="D31" i="157" s="1"/>
  <c r="J10" i="162"/>
  <c r="D122" i="157" s="1"/>
  <c r="I10" i="162"/>
  <c r="D121" i="157" s="1"/>
  <c r="H10" i="162"/>
  <c r="D120" i="157" s="1"/>
  <c r="D119" i="157"/>
  <c r="G128" i="157"/>
  <c r="H128" i="157" s="1"/>
  <c r="E128" i="157"/>
  <c r="F128" i="157" s="1"/>
  <c r="G127" i="157"/>
  <c r="H127" i="157" s="1"/>
  <c r="E127" i="157"/>
  <c r="F127" i="157" s="1"/>
  <c r="G126" i="157"/>
  <c r="H126" i="157" s="1"/>
  <c r="E126" i="157"/>
  <c r="F126" i="157" s="1"/>
  <c r="G125" i="157"/>
  <c r="H125" i="157" s="1"/>
  <c r="E125" i="157"/>
  <c r="F125" i="157" s="1"/>
  <c r="G124" i="157"/>
  <c r="H124" i="157" s="1"/>
  <c r="E124" i="157"/>
  <c r="F124" i="157" s="1"/>
  <c r="G123" i="157"/>
  <c r="H123" i="157" s="1"/>
  <c r="E123" i="157"/>
  <c r="F123" i="157" s="1"/>
  <c r="G122" i="157"/>
  <c r="H122" i="157" s="1"/>
  <c r="E122" i="157"/>
  <c r="F122" i="157" s="1"/>
  <c r="G121" i="157"/>
  <c r="E121" i="157"/>
  <c r="G120" i="157"/>
  <c r="H120" i="157" s="1"/>
  <c r="E120" i="157"/>
  <c r="F120" i="157" s="1"/>
  <c r="G119" i="157"/>
  <c r="E119" i="157"/>
  <c r="G118" i="157"/>
  <c r="H118" i="157" s="1"/>
  <c r="E118" i="157"/>
  <c r="F118" i="157" s="1"/>
  <c r="G117" i="157"/>
  <c r="H117" i="157" s="1"/>
  <c r="E117" i="157"/>
  <c r="F117" i="157" s="1"/>
  <c r="F119" i="157" l="1"/>
  <c r="H119" i="157"/>
  <c r="F121" i="157"/>
  <c r="H121" i="157"/>
  <c r="H129" i="157" l="1"/>
  <c r="F129" i="157"/>
  <c r="F30" i="157"/>
  <c r="G30" i="157"/>
  <c r="H30" i="157" s="1"/>
  <c r="E31" i="157"/>
  <c r="F31" i="157" s="1"/>
  <c r="G31" i="157"/>
  <c r="H31" i="157" s="1"/>
  <c r="E32" i="157"/>
  <c r="F32" i="157" s="1"/>
  <c r="G32" i="157"/>
  <c r="H32" i="157" s="1"/>
  <c r="E33" i="157"/>
  <c r="F33" i="157" s="1"/>
  <c r="G33" i="157"/>
  <c r="H33" i="157" s="1"/>
  <c r="E34" i="157"/>
  <c r="F34" i="157" s="1"/>
  <c r="G34" i="157"/>
  <c r="H34" i="157" s="1"/>
  <c r="E35" i="157"/>
  <c r="F35" i="157" s="1"/>
  <c r="G35" i="157"/>
  <c r="H35" i="157" s="1"/>
  <c r="E36" i="157"/>
  <c r="F36" i="157" s="1"/>
  <c r="G36" i="157"/>
  <c r="H36" i="157" s="1"/>
  <c r="E37" i="157"/>
  <c r="F37" i="157" s="1"/>
  <c r="G37" i="157"/>
  <c r="H37" i="157" s="1"/>
  <c r="E38" i="157"/>
  <c r="F38" i="157" s="1"/>
  <c r="G38" i="157"/>
  <c r="H38" i="157" s="1"/>
  <c r="E39" i="157"/>
  <c r="F39" i="157" s="1"/>
  <c r="G39" i="157"/>
  <c r="H39" i="157" s="1"/>
  <c r="E40" i="157"/>
  <c r="F40" i="157" s="1"/>
  <c r="G40" i="157"/>
  <c r="H40" i="157" s="1"/>
  <c r="H41" i="157" l="1"/>
  <c r="F41" i="157"/>
  <c r="L15" i="93"/>
  <c r="C15" i="93"/>
  <c r="G134" i="157"/>
  <c r="E134" i="157"/>
  <c r="E24" i="157" l="1"/>
  <c r="J5" i="162" l="1"/>
  <c r="D48" i="157" s="1"/>
  <c r="I5" i="162"/>
  <c r="D47" i="157" s="1"/>
  <c r="H5" i="162"/>
  <c r="D46" i="157" s="1"/>
  <c r="J7" i="162" l="1"/>
  <c r="D80" i="157" s="1"/>
  <c r="J8" i="162"/>
  <c r="D95" i="157" s="1"/>
  <c r="J9" i="162"/>
  <c r="D108" i="157" s="1"/>
  <c r="I7" i="162"/>
  <c r="D79" i="157" s="1"/>
  <c r="I8" i="162"/>
  <c r="D94" i="157" s="1"/>
  <c r="I9" i="162"/>
  <c r="D107" i="157" s="1"/>
  <c r="H7" i="162"/>
  <c r="D78" i="157" s="1"/>
  <c r="H8" i="162"/>
  <c r="D93" i="157" s="1"/>
  <c r="H9" i="162"/>
  <c r="D106" i="157" s="1"/>
  <c r="G8" i="162"/>
  <c r="D92" i="157" s="1"/>
  <c r="G7" i="162"/>
  <c r="D77" i="157" s="1"/>
  <c r="F9" i="162"/>
  <c r="D105" i="157" s="1"/>
  <c r="D74" i="157"/>
  <c r="D8" i="162"/>
  <c r="D89" i="157" s="1"/>
  <c r="D104" i="157"/>
  <c r="F40" i="15" l="1"/>
  <c r="G40" i="15"/>
  <c r="H40" i="15"/>
  <c r="I40" i="15"/>
  <c r="G32" i="15"/>
  <c r="H32" i="15"/>
  <c r="I32" i="15"/>
  <c r="F32" i="15"/>
  <c r="G19" i="15"/>
  <c r="G43" i="15" s="1"/>
  <c r="H19" i="15"/>
  <c r="H44" i="15" s="1"/>
  <c r="I19" i="15"/>
  <c r="I44" i="15" s="1"/>
  <c r="F19" i="15"/>
  <c r="F44" i="15" s="1"/>
  <c r="L279" i="93"/>
  <c r="L280" i="93"/>
  <c r="L281" i="93"/>
  <c r="L278" i="93"/>
  <c r="C279" i="93"/>
  <c r="C280" i="93"/>
  <c r="C281" i="93"/>
  <c r="C278" i="93"/>
  <c r="L244" i="93"/>
  <c r="L245" i="93"/>
  <c r="L246" i="93"/>
  <c r="L243" i="93"/>
  <c r="C244" i="93"/>
  <c r="C245" i="93"/>
  <c r="C246" i="93"/>
  <c r="C243" i="93"/>
  <c r="L209" i="93"/>
  <c r="L210" i="93"/>
  <c r="L211" i="93"/>
  <c r="L208" i="93"/>
  <c r="C209" i="93"/>
  <c r="C210" i="93"/>
  <c r="C211" i="93"/>
  <c r="C208" i="93"/>
  <c r="L179" i="93"/>
  <c r="L180" i="93"/>
  <c r="L181" i="93"/>
  <c r="L178" i="93"/>
  <c r="C179" i="93"/>
  <c r="C180" i="93"/>
  <c r="C181" i="93"/>
  <c r="C178" i="93"/>
  <c r="L146" i="93"/>
  <c r="L145" i="93"/>
  <c r="L144" i="93"/>
  <c r="L143" i="93"/>
  <c r="C146" i="93"/>
  <c r="C145" i="93"/>
  <c r="C144" i="93"/>
  <c r="C143" i="93"/>
  <c r="L109" i="93"/>
  <c r="L108" i="93"/>
  <c r="L111" i="93"/>
  <c r="C111" i="93"/>
  <c r="C109" i="93"/>
  <c r="C108" i="93"/>
  <c r="L73" i="93"/>
  <c r="L74" i="93"/>
  <c r="L75" i="93"/>
  <c r="L72" i="93"/>
  <c r="C73" i="93"/>
  <c r="C74" i="93"/>
  <c r="C75" i="93"/>
  <c r="C72" i="93"/>
  <c r="L38" i="93"/>
  <c r="L39" i="93"/>
  <c r="L40" i="93"/>
  <c r="L37" i="93"/>
  <c r="G44" i="15" l="1"/>
  <c r="G45" i="15" s="1"/>
  <c r="G47" i="15" s="1"/>
  <c r="F43" i="15"/>
  <c r="F45" i="15" s="1"/>
  <c r="F47" i="15" s="1"/>
  <c r="I43" i="15"/>
  <c r="I45" i="15" s="1"/>
  <c r="I47" i="15" s="1"/>
  <c r="H43" i="15"/>
  <c r="H45" i="15" s="1"/>
  <c r="H47" i="15" s="1"/>
  <c r="D23" i="157"/>
  <c r="P110" i="93"/>
  <c r="P145" i="93"/>
  <c r="G110" i="93"/>
  <c r="G145" i="93"/>
  <c r="P40" i="93"/>
  <c r="G40" i="93"/>
  <c r="E58" i="157" l="1"/>
  <c r="F58" i="157" s="1"/>
  <c r="G54" i="157" l="1"/>
  <c r="H54" i="157" s="1"/>
  <c r="E54" i="157"/>
  <c r="F54" i="157" s="1"/>
  <c r="G53" i="157"/>
  <c r="H53" i="157" s="1"/>
  <c r="E53" i="157"/>
  <c r="F53" i="157" s="1"/>
  <c r="G52" i="157"/>
  <c r="H52" i="157" s="1"/>
  <c r="E52" i="157"/>
  <c r="F52" i="157" s="1"/>
  <c r="G51" i="157"/>
  <c r="H51" i="157" s="1"/>
  <c r="E51" i="157"/>
  <c r="F51" i="157" s="1"/>
  <c r="G50" i="157"/>
  <c r="H50" i="157" s="1"/>
  <c r="E50" i="157"/>
  <c r="F50" i="157" s="1"/>
  <c r="G49" i="157"/>
  <c r="H49" i="157" s="1"/>
  <c r="E49" i="157"/>
  <c r="F49" i="157" s="1"/>
  <c r="G69" i="157"/>
  <c r="H69" i="157" s="1"/>
  <c r="E69" i="157"/>
  <c r="F69" i="157" s="1"/>
  <c r="G68" i="157"/>
  <c r="H68" i="157" s="1"/>
  <c r="E68" i="157"/>
  <c r="F68" i="157" s="1"/>
  <c r="G67" i="157"/>
  <c r="H67" i="157" s="1"/>
  <c r="E67" i="157"/>
  <c r="F67" i="157" s="1"/>
  <c r="G66" i="157"/>
  <c r="H66" i="157" s="1"/>
  <c r="E66" i="157"/>
  <c r="F66" i="157" s="1"/>
  <c r="G65" i="157"/>
  <c r="H65" i="157" s="1"/>
  <c r="E65" i="157"/>
  <c r="F65" i="157" s="1"/>
  <c r="G64" i="157"/>
  <c r="H64" i="157" s="1"/>
  <c r="E64" i="157"/>
  <c r="F64" i="157" s="1"/>
  <c r="G77" i="157"/>
  <c r="H77" i="157" s="1"/>
  <c r="E77" i="157"/>
  <c r="F77" i="157" s="1"/>
  <c r="G92" i="157"/>
  <c r="H92" i="157" s="1"/>
  <c r="E92" i="157"/>
  <c r="F92" i="157" s="1"/>
  <c r="G143" i="157"/>
  <c r="H143" i="157" s="1"/>
  <c r="E143" i="157"/>
  <c r="F143" i="157" s="1"/>
  <c r="G142" i="157"/>
  <c r="H142" i="157" s="1"/>
  <c r="E142" i="157"/>
  <c r="F142" i="157" s="1"/>
  <c r="G141" i="157"/>
  <c r="H141" i="157" s="1"/>
  <c r="E141" i="157"/>
  <c r="F141" i="157" s="1"/>
  <c r="G140" i="157"/>
  <c r="H140" i="157" s="1"/>
  <c r="E140" i="157"/>
  <c r="F140" i="157" s="1"/>
  <c r="G139" i="157"/>
  <c r="H139" i="157" s="1"/>
  <c r="E139" i="157"/>
  <c r="F139" i="157" s="1"/>
  <c r="G138" i="157"/>
  <c r="H138" i="157" s="1"/>
  <c r="E138" i="157"/>
  <c r="F138" i="157" s="1"/>
  <c r="G114" i="157"/>
  <c r="H114" i="157" s="1"/>
  <c r="E114" i="157"/>
  <c r="F114" i="157" s="1"/>
  <c r="G113" i="157"/>
  <c r="H113" i="157" s="1"/>
  <c r="E113" i="157"/>
  <c r="F113" i="157" s="1"/>
  <c r="G112" i="157"/>
  <c r="H112" i="157" s="1"/>
  <c r="E112" i="157"/>
  <c r="F112" i="157" s="1"/>
  <c r="G111" i="157"/>
  <c r="H111" i="157" s="1"/>
  <c r="E111" i="157"/>
  <c r="F111" i="157" s="1"/>
  <c r="G110" i="157"/>
  <c r="H110" i="157" s="1"/>
  <c r="E110" i="157"/>
  <c r="F110" i="157" s="1"/>
  <c r="G109" i="157"/>
  <c r="H109" i="157" s="1"/>
  <c r="E109" i="157"/>
  <c r="F109" i="157" s="1"/>
  <c r="G101" i="157"/>
  <c r="H101" i="157" s="1"/>
  <c r="E101" i="157"/>
  <c r="F101" i="157" s="1"/>
  <c r="G100" i="157"/>
  <c r="H100" i="157" s="1"/>
  <c r="E100" i="157"/>
  <c r="F100" i="157" s="1"/>
  <c r="G99" i="157"/>
  <c r="H99" i="157" s="1"/>
  <c r="E99" i="157"/>
  <c r="F99" i="157" s="1"/>
  <c r="G98" i="157"/>
  <c r="H98" i="157" s="1"/>
  <c r="E98" i="157"/>
  <c r="F98" i="157" s="1"/>
  <c r="G97" i="157"/>
  <c r="H97" i="157" s="1"/>
  <c r="E97" i="157"/>
  <c r="F97" i="157" s="1"/>
  <c r="G96" i="157"/>
  <c r="H96" i="157" s="1"/>
  <c r="E96" i="157"/>
  <c r="F96" i="157" s="1"/>
  <c r="G86" i="157"/>
  <c r="H86" i="157" s="1"/>
  <c r="E86" i="157"/>
  <c r="F86" i="157" s="1"/>
  <c r="G85" i="157"/>
  <c r="H85" i="157" s="1"/>
  <c r="E85" i="157"/>
  <c r="F85" i="157" s="1"/>
  <c r="G84" i="157"/>
  <c r="H84" i="157" s="1"/>
  <c r="E84" i="157"/>
  <c r="F84" i="157" s="1"/>
  <c r="G83" i="157"/>
  <c r="H83" i="157" s="1"/>
  <c r="E83" i="157"/>
  <c r="F83" i="157" s="1"/>
  <c r="G82" i="157"/>
  <c r="H82" i="157" s="1"/>
  <c r="E82" i="157"/>
  <c r="F82" i="157" s="1"/>
  <c r="G81" i="157"/>
  <c r="H81" i="157" s="1"/>
  <c r="E81" i="157"/>
  <c r="F81" i="157" s="1"/>
  <c r="G137" i="157"/>
  <c r="H137" i="157" s="1"/>
  <c r="E137" i="157"/>
  <c r="F137" i="157" s="1"/>
  <c r="G108" i="157"/>
  <c r="H108" i="157" s="1"/>
  <c r="E108" i="157"/>
  <c r="F108" i="157" s="1"/>
  <c r="G95" i="157"/>
  <c r="H95" i="157" s="1"/>
  <c r="E95" i="157"/>
  <c r="F95" i="157" s="1"/>
  <c r="G80" i="157"/>
  <c r="H80" i="157" s="1"/>
  <c r="E80" i="157"/>
  <c r="F80" i="157" s="1"/>
  <c r="G63" i="157"/>
  <c r="H63" i="157" s="1"/>
  <c r="E63" i="157"/>
  <c r="F63" i="157" s="1"/>
  <c r="G48" i="157"/>
  <c r="H48" i="157" s="1"/>
  <c r="E48" i="157"/>
  <c r="F48" i="157" s="1"/>
  <c r="G136" i="157"/>
  <c r="H136" i="157" s="1"/>
  <c r="E136" i="157"/>
  <c r="F136" i="157" s="1"/>
  <c r="G107" i="157"/>
  <c r="H107" i="157" s="1"/>
  <c r="E107" i="157"/>
  <c r="F107" i="157" s="1"/>
  <c r="G94" i="157"/>
  <c r="H94" i="157" s="1"/>
  <c r="E94" i="157"/>
  <c r="F94" i="157" s="1"/>
  <c r="G79" i="157"/>
  <c r="H79" i="157" s="1"/>
  <c r="E79" i="157"/>
  <c r="F79" i="157" s="1"/>
  <c r="G62" i="157"/>
  <c r="H62" i="157" s="1"/>
  <c r="E62" i="157"/>
  <c r="F62" i="157" s="1"/>
  <c r="G47" i="157"/>
  <c r="H47" i="157" s="1"/>
  <c r="E47" i="157"/>
  <c r="F47" i="157" s="1"/>
  <c r="G135" i="157"/>
  <c r="H135" i="157" s="1"/>
  <c r="G106" i="157"/>
  <c r="H106" i="157" s="1"/>
  <c r="G93" i="157"/>
  <c r="H93" i="157" s="1"/>
  <c r="G78" i="157"/>
  <c r="H78" i="157" s="1"/>
  <c r="G61" i="157"/>
  <c r="H61" i="157" s="1"/>
  <c r="G46" i="157"/>
  <c r="H46" i="157" s="1"/>
  <c r="E135" i="157"/>
  <c r="F135" i="157" s="1"/>
  <c r="E106" i="157"/>
  <c r="F106" i="157" s="1"/>
  <c r="E93" i="157"/>
  <c r="F93" i="157" s="1"/>
  <c r="E78" i="157"/>
  <c r="F78" i="157" s="1"/>
  <c r="E61" i="157"/>
  <c r="F61" i="157" s="1"/>
  <c r="E46" i="157"/>
  <c r="F46" i="157" s="1"/>
  <c r="H134" i="157"/>
  <c r="F134" i="157"/>
  <c r="G133" i="157"/>
  <c r="H133" i="157" s="1"/>
  <c r="G105" i="157"/>
  <c r="H105" i="157" s="1"/>
  <c r="G91" i="157"/>
  <c r="H91" i="157" s="1"/>
  <c r="G76" i="157"/>
  <c r="H76" i="157" s="1"/>
  <c r="G60" i="157"/>
  <c r="H60" i="157" s="1"/>
  <c r="G45" i="157"/>
  <c r="H45" i="157" s="1"/>
  <c r="E133" i="157"/>
  <c r="F133" i="157" s="1"/>
  <c r="E105" i="157"/>
  <c r="F105" i="157" s="1"/>
  <c r="E91" i="157"/>
  <c r="F91" i="157" s="1"/>
  <c r="E76" i="157"/>
  <c r="F76" i="157" s="1"/>
  <c r="E60" i="157"/>
  <c r="F60" i="157" s="1"/>
  <c r="E45" i="157"/>
  <c r="F45" i="157" s="1"/>
  <c r="G132" i="157"/>
  <c r="H132" i="157" s="1"/>
  <c r="G59" i="157"/>
  <c r="H59" i="157" s="1"/>
  <c r="G44" i="157"/>
  <c r="H44" i="157" s="1"/>
  <c r="E132" i="157"/>
  <c r="F132" i="157" s="1"/>
  <c r="E59" i="157"/>
  <c r="F59" i="157" s="1"/>
  <c r="E44" i="157"/>
  <c r="F44" i="157" s="1"/>
  <c r="G131" i="157"/>
  <c r="H131" i="157" s="1"/>
  <c r="G104" i="157"/>
  <c r="H104" i="157" s="1"/>
  <c r="G89" i="157"/>
  <c r="H89" i="157" s="1"/>
  <c r="G74" i="157"/>
  <c r="H74" i="157" s="1"/>
  <c r="G58" i="157"/>
  <c r="H58" i="157" s="1"/>
  <c r="G43" i="157"/>
  <c r="H43" i="157" s="1"/>
  <c r="E131" i="157"/>
  <c r="F131" i="157" s="1"/>
  <c r="E104" i="157"/>
  <c r="F104" i="157" s="1"/>
  <c r="E89" i="157"/>
  <c r="F89" i="157" s="1"/>
  <c r="E74" i="157"/>
  <c r="F74" i="157" s="1"/>
  <c r="E43" i="157"/>
  <c r="F43" i="157" s="1"/>
  <c r="F55" i="157" l="1"/>
  <c r="H55" i="157"/>
  <c r="F70" i="157"/>
  <c r="F144" i="157"/>
  <c r="H144" i="157"/>
  <c r="H70" i="157"/>
  <c r="F102" i="157"/>
  <c r="F87" i="157"/>
  <c r="H115" i="157"/>
  <c r="H87" i="157"/>
  <c r="F115" i="157"/>
  <c r="H102" i="157"/>
  <c r="P56" i="93"/>
  <c r="P57" i="93"/>
  <c r="P92" i="93" s="1"/>
  <c r="Q92" i="93" s="1"/>
  <c r="G57" i="93"/>
  <c r="H57" i="93" s="1"/>
  <c r="G56" i="93"/>
  <c r="G91" i="93" s="1"/>
  <c r="P298" i="93" l="1"/>
  <c r="Q298" i="93" s="1"/>
  <c r="G298" i="93"/>
  <c r="H298" i="93" s="1"/>
  <c r="G263" i="93"/>
  <c r="H263" i="93" s="1"/>
  <c r="P263" i="93"/>
  <c r="Q263" i="93" s="1"/>
  <c r="P228" i="93"/>
  <c r="Q228" i="93" s="1"/>
  <c r="G228" i="93"/>
  <c r="H228" i="93" s="1"/>
  <c r="P163" i="93"/>
  <c r="Q163" i="93" s="1"/>
  <c r="G163" i="93"/>
  <c r="H163" i="93" s="1"/>
  <c r="P128" i="93"/>
  <c r="Q128" i="93" s="1"/>
  <c r="G128" i="93"/>
  <c r="H128" i="93" s="1"/>
  <c r="G92" i="93"/>
  <c r="H92" i="93" s="1"/>
  <c r="G25" i="157" l="1"/>
  <c r="E25" i="157"/>
  <c r="F25" i="157" s="1"/>
  <c r="G24" i="157"/>
  <c r="P17" i="94"/>
  <c r="Q17" i="94" s="1"/>
  <c r="P14" i="94"/>
  <c r="Q14" i="94" s="1"/>
  <c r="P13" i="94"/>
  <c r="Q13" i="94" s="1"/>
  <c r="F24" i="157"/>
  <c r="D13" i="157"/>
  <c r="G13" i="94"/>
  <c r="H13" i="94" s="1"/>
  <c r="G17" i="94"/>
  <c r="H17" i="94" s="1"/>
  <c r="H18" i="94" s="1"/>
  <c r="G14" i="94"/>
  <c r="H14" i="94" s="1"/>
  <c r="H15" i="94" l="1"/>
  <c r="G20" i="94" s="1"/>
  <c r="Q18" i="94"/>
  <c r="Q15" i="94"/>
  <c r="P20" i="94" l="1"/>
  <c r="P58" i="93"/>
  <c r="G58" i="93"/>
  <c r="G53" i="93"/>
  <c r="P264" i="93" l="1"/>
  <c r="Q264" i="93" s="1"/>
  <c r="P299" i="93"/>
  <c r="Q299" i="93" s="1"/>
  <c r="G264" i="93"/>
  <c r="H264" i="93" s="1"/>
  <c r="G299" i="93"/>
  <c r="H299" i="93" s="1"/>
  <c r="G164" i="93"/>
  <c r="H164" i="93" s="1"/>
  <c r="G229" i="93"/>
  <c r="H229" i="93" s="1"/>
  <c r="P164" i="93"/>
  <c r="Q164" i="93" s="1"/>
  <c r="P229" i="93"/>
  <c r="Q229" i="93" s="1"/>
  <c r="P129" i="93"/>
  <c r="Q129" i="93" s="1"/>
  <c r="G129" i="93"/>
  <c r="H129" i="93" s="1"/>
  <c r="P53" i="93"/>
  <c r="P52" i="93"/>
  <c r="P18" i="93" s="1"/>
  <c r="Q18" i="93" s="1"/>
  <c r="P51" i="93"/>
  <c r="P47" i="93"/>
  <c r="P23" i="93" s="1"/>
  <c r="Q23" i="93" s="1"/>
  <c r="P24" i="93" s="1"/>
  <c r="P44" i="93"/>
  <c r="P20" i="93" s="1"/>
  <c r="Q20" i="93" s="1"/>
  <c r="P43" i="93"/>
  <c r="P19" i="93" s="1"/>
  <c r="Q19" i="93" s="1"/>
  <c r="P39" i="93"/>
  <c r="P15" i="93" s="1"/>
  <c r="Q15" i="93" s="1"/>
  <c r="P38" i="93"/>
  <c r="P14" i="93" s="1"/>
  <c r="Q14" i="93" s="1"/>
  <c r="P37" i="93"/>
  <c r="P13" i="93" s="1"/>
  <c r="Q13" i="93" s="1"/>
  <c r="G52" i="93"/>
  <c r="G18" i="93" s="1"/>
  <c r="H18" i="93" s="1"/>
  <c r="G51" i="93"/>
  <c r="G47" i="93"/>
  <c r="G23" i="93" s="1"/>
  <c r="H23" i="93" s="1"/>
  <c r="G24" i="93" s="1"/>
  <c r="G44" i="93"/>
  <c r="G20" i="93" s="1"/>
  <c r="H20" i="93" s="1"/>
  <c r="G43" i="93"/>
  <c r="G19" i="93" s="1"/>
  <c r="H19" i="93" s="1"/>
  <c r="G39" i="93"/>
  <c r="G15" i="93" s="1"/>
  <c r="H15" i="93" s="1"/>
  <c r="G38" i="93"/>
  <c r="G14" i="93" s="1"/>
  <c r="H14" i="93" s="1"/>
  <c r="G37" i="93"/>
  <c r="G13" i="93" s="1"/>
  <c r="H13" i="93" s="1"/>
  <c r="P21" i="93" l="1"/>
  <c r="G21" i="93"/>
  <c r="G16" i="93"/>
  <c r="P16" i="93"/>
  <c r="G23" i="157"/>
  <c r="H23" i="157" s="1"/>
  <c r="H8" i="157"/>
  <c r="G26" i="93" l="1"/>
  <c r="P26" i="93"/>
  <c r="P244" i="93"/>
  <c r="Q244" i="93" s="1"/>
  <c r="P280" i="93"/>
  <c r="Q280" i="93" s="1"/>
  <c r="P246" i="93"/>
  <c r="Q246" i="93" s="1"/>
  <c r="P278" i="93"/>
  <c r="Q278" i="93" s="1"/>
  <c r="P297" i="93"/>
  <c r="Q297" i="93" s="1"/>
  <c r="P300" i="93" s="1"/>
  <c r="P294" i="93"/>
  <c r="O294" i="93"/>
  <c r="P292" i="93"/>
  <c r="Q292" i="93" s="1"/>
  <c r="P288" i="93"/>
  <c r="Q288" i="93" s="1"/>
  <c r="P289" i="93" s="1"/>
  <c r="P285" i="93"/>
  <c r="Q285" i="93" s="1"/>
  <c r="P284" i="93"/>
  <c r="Q284" i="93" s="1"/>
  <c r="P262" i="93"/>
  <c r="Q262" i="93" s="1"/>
  <c r="P265" i="93" s="1"/>
  <c r="P259" i="93"/>
  <c r="O259" i="93"/>
  <c r="P257" i="93"/>
  <c r="Q257" i="93" s="1"/>
  <c r="P253" i="93"/>
  <c r="Q253" i="93" s="1"/>
  <c r="P254" i="93" s="1"/>
  <c r="P250" i="93"/>
  <c r="Q250" i="93" s="1"/>
  <c r="P249" i="93"/>
  <c r="Q249" i="93" s="1"/>
  <c r="P227" i="93"/>
  <c r="Q227" i="93" s="1"/>
  <c r="P230" i="93" s="1"/>
  <c r="P224" i="93"/>
  <c r="O224" i="93"/>
  <c r="P222" i="93"/>
  <c r="Q222" i="93" s="1"/>
  <c r="P218" i="93"/>
  <c r="Q218" i="93" s="1"/>
  <c r="P219" i="93" s="1"/>
  <c r="P215" i="93"/>
  <c r="Q215" i="93" s="1"/>
  <c r="P214" i="93"/>
  <c r="Q214" i="93" s="1"/>
  <c r="P194" i="93"/>
  <c r="O194" i="93"/>
  <c r="P192" i="93"/>
  <c r="Q192" i="93" s="1"/>
  <c r="P188" i="93"/>
  <c r="Q188" i="93" s="1"/>
  <c r="P189" i="93" s="1"/>
  <c r="P185" i="93"/>
  <c r="Q185" i="93" s="1"/>
  <c r="P184" i="93"/>
  <c r="Q184" i="93" s="1"/>
  <c r="P162" i="93"/>
  <c r="Q162" i="93" s="1"/>
  <c r="P165" i="93" s="1"/>
  <c r="P159" i="93"/>
  <c r="O159" i="93"/>
  <c r="P157" i="93"/>
  <c r="Q157" i="93" s="1"/>
  <c r="P153" i="93"/>
  <c r="Q153" i="93" s="1"/>
  <c r="P154" i="93" s="1"/>
  <c r="P150" i="93"/>
  <c r="Q150" i="93" s="1"/>
  <c r="P149" i="93"/>
  <c r="Q149" i="93" s="1"/>
  <c r="P127" i="93"/>
  <c r="Q127" i="93" s="1"/>
  <c r="P130" i="93" s="1"/>
  <c r="P124" i="93"/>
  <c r="O124" i="93"/>
  <c r="P122" i="93"/>
  <c r="Q122" i="93" s="1"/>
  <c r="P118" i="93"/>
  <c r="Q118" i="93" s="1"/>
  <c r="P119" i="93" s="1"/>
  <c r="P115" i="93"/>
  <c r="Q115" i="93" s="1"/>
  <c r="P114" i="93"/>
  <c r="Q114" i="93" s="1"/>
  <c r="P93" i="93"/>
  <c r="Q93" i="93" s="1"/>
  <c r="P91" i="93"/>
  <c r="Q91" i="93" s="1"/>
  <c r="P88" i="93"/>
  <c r="O88" i="93"/>
  <c r="P86" i="93"/>
  <c r="Q86" i="93" s="1"/>
  <c r="P82" i="93"/>
  <c r="Q82" i="93" s="1"/>
  <c r="P83" i="93" s="1"/>
  <c r="P79" i="93"/>
  <c r="Q79" i="93" s="1"/>
  <c r="P78" i="93"/>
  <c r="Q78" i="93" s="1"/>
  <c r="Q58" i="93"/>
  <c r="Q56" i="93"/>
  <c r="O53" i="93"/>
  <c r="Q53" i="93" s="1"/>
  <c r="Q51" i="93"/>
  <c r="Q47" i="93"/>
  <c r="P48" i="93" s="1"/>
  <c r="Q44" i="93"/>
  <c r="Q43" i="93"/>
  <c r="G294" i="93"/>
  <c r="F294" i="93"/>
  <c r="G259" i="93"/>
  <c r="F259" i="93"/>
  <c r="G224" i="93"/>
  <c r="F224" i="93"/>
  <c r="G194" i="93"/>
  <c r="F194" i="93"/>
  <c r="G159" i="93"/>
  <c r="F159" i="93"/>
  <c r="F53" i="93"/>
  <c r="H53" i="93" s="1"/>
  <c r="G124" i="93"/>
  <c r="F124" i="93"/>
  <c r="G88" i="93"/>
  <c r="F88" i="93"/>
  <c r="G292" i="93"/>
  <c r="G257" i="93"/>
  <c r="G222" i="93"/>
  <c r="G192" i="93"/>
  <c r="G157" i="93"/>
  <c r="G122" i="93"/>
  <c r="G86" i="93"/>
  <c r="G288" i="93"/>
  <c r="G253" i="93"/>
  <c r="G218" i="93"/>
  <c r="G188" i="93"/>
  <c r="G153" i="93"/>
  <c r="G118" i="93"/>
  <c r="G82" i="93"/>
  <c r="H51" i="93"/>
  <c r="H25" i="157"/>
  <c r="H24" i="157"/>
  <c r="H47" i="93"/>
  <c r="G48" i="93" s="1"/>
  <c r="F8" i="157" l="1"/>
  <c r="P59" i="93"/>
  <c r="P94" i="93"/>
  <c r="P45" i="93"/>
  <c r="P116" i="93"/>
  <c r="Q88" i="93"/>
  <c r="Q294" i="93"/>
  <c r="P251" i="93"/>
  <c r="Q124" i="93"/>
  <c r="P151" i="93"/>
  <c r="Q224" i="93"/>
  <c r="Q194" i="93"/>
  <c r="Q259" i="93"/>
  <c r="H124" i="93"/>
  <c r="P286" i="93"/>
  <c r="Q159" i="93"/>
  <c r="P216" i="93"/>
  <c r="Q37" i="93"/>
  <c r="Q39" i="93"/>
  <c r="P80" i="93"/>
  <c r="P186" i="93"/>
  <c r="Q38" i="93"/>
  <c r="Q40" i="93"/>
  <c r="P72" i="93"/>
  <c r="Q72" i="93" s="1"/>
  <c r="P74" i="93"/>
  <c r="Q74" i="93" s="1"/>
  <c r="P108" i="93"/>
  <c r="Q108" i="93" s="1"/>
  <c r="Q110" i="93"/>
  <c r="P144" i="93"/>
  <c r="Q144" i="93" s="1"/>
  <c r="P146" i="93"/>
  <c r="Q146" i="93" s="1"/>
  <c r="P178" i="93"/>
  <c r="Q178" i="93" s="1"/>
  <c r="P180" i="93"/>
  <c r="Q180" i="93" s="1"/>
  <c r="P209" i="93"/>
  <c r="Q209" i="93" s="1"/>
  <c r="P211" i="93"/>
  <c r="Q211" i="93" s="1"/>
  <c r="P243" i="93"/>
  <c r="Q243" i="93" s="1"/>
  <c r="P245" i="93"/>
  <c r="Q245" i="93" s="1"/>
  <c r="P279" i="93"/>
  <c r="Q279" i="93" s="1"/>
  <c r="P281" i="93"/>
  <c r="Q281" i="93" s="1"/>
  <c r="P73" i="93"/>
  <c r="Q73" i="93" s="1"/>
  <c r="P75" i="93"/>
  <c r="Q75" i="93" s="1"/>
  <c r="P109" i="93"/>
  <c r="Q109" i="93" s="1"/>
  <c r="P111" i="93"/>
  <c r="Q111" i="93" s="1"/>
  <c r="P143" i="93"/>
  <c r="Q143" i="93" s="1"/>
  <c r="Q145" i="93"/>
  <c r="P179" i="93"/>
  <c r="Q179" i="93" s="1"/>
  <c r="P181" i="93"/>
  <c r="Q181" i="93" s="1"/>
  <c r="P208" i="93"/>
  <c r="Q208" i="93" s="1"/>
  <c r="P210" i="93"/>
  <c r="Q210" i="93" s="1"/>
  <c r="E23" i="157" l="1"/>
  <c r="F23" i="157" s="1"/>
  <c r="P293" i="93"/>
  <c r="Q293" i="93" s="1"/>
  <c r="P295" i="93" s="1"/>
  <c r="Q52" i="93"/>
  <c r="P54" i="93" s="1"/>
  <c r="P247" i="93"/>
  <c r="P123" i="93"/>
  <c r="Q123" i="93" s="1"/>
  <c r="P125" i="93" s="1"/>
  <c r="P258" i="93"/>
  <c r="Q258" i="93" s="1"/>
  <c r="P260" i="93" s="1"/>
  <c r="P87" i="93"/>
  <c r="Q87" i="93" s="1"/>
  <c r="P89" i="93" s="1"/>
  <c r="P182" i="93"/>
  <c r="P112" i="93"/>
  <c r="P76" i="93"/>
  <c r="P282" i="93"/>
  <c r="P41" i="93"/>
  <c r="P158" i="93"/>
  <c r="Q158" i="93" s="1"/>
  <c r="P160" i="93" s="1"/>
  <c r="P193" i="93"/>
  <c r="Q193" i="93" s="1"/>
  <c r="P195" i="93" s="1"/>
  <c r="P223" i="93"/>
  <c r="Q223" i="93" s="1"/>
  <c r="P225" i="93" s="1"/>
  <c r="P212" i="93"/>
  <c r="P147" i="93"/>
  <c r="P302" i="93" l="1"/>
  <c r="G17" i="157" s="1"/>
  <c r="H17" i="157" s="1"/>
  <c r="P267" i="93"/>
  <c r="G16" i="157" s="1"/>
  <c r="H16" i="157" s="1"/>
  <c r="G13" i="157"/>
  <c r="H13" i="157" s="1"/>
  <c r="P232" i="93"/>
  <c r="G18" i="157" s="1"/>
  <c r="H18" i="157" s="1"/>
  <c r="P197" i="93"/>
  <c r="G21" i="157" s="1"/>
  <c r="H21" i="157" s="1"/>
  <c r="P61" i="93"/>
  <c r="G14" i="157" s="1"/>
  <c r="H14" i="157" s="1"/>
  <c r="P167" i="93"/>
  <c r="G20" i="157" s="1"/>
  <c r="H20" i="157" s="1"/>
  <c r="P132" i="93"/>
  <c r="G19" i="157" s="1"/>
  <c r="H19" i="157" s="1"/>
  <c r="P96" i="93"/>
  <c r="G15" i="157" s="1"/>
  <c r="H15" i="157" s="1"/>
  <c r="H26" i="157" l="1"/>
  <c r="H145" i="157" s="1"/>
  <c r="H147" i="157" s="1"/>
  <c r="G297" i="93"/>
  <c r="G262" i="93"/>
  <c r="G227" i="93"/>
  <c r="G162" i="93"/>
  <c r="G127" i="93"/>
  <c r="G93" i="93"/>
  <c r="G285" i="93"/>
  <c r="G284" i="93"/>
  <c r="G250" i="93"/>
  <c r="G249" i="93"/>
  <c r="G215" i="93"/>
  <c r="G214" i="93"/>
  <c r="G185" i="93"/>
  <c r="G184" i="93"/>
  <c r="G150" i="93"/>
  <c r="G149" i="93"/>
  <c r="G115" i="93"/>
  <c r="G114" i="93"/>
  <c r="G79" i="93"/>
  <c r="G78" i="93"/>
  <c r="G281" i="93"/>
  <c r="H52" i="93" l="1"/>
  <c r="G54" i="93" s="1"/>
  <c r="G245" i="93"/>
  <c r="G279" i="93"/>
  <c r="G75" i="93"/>
  <c r="G111" i="93"/>
  <c r="G181" i="93"/>
  <c r="G246" i="93"/>
  <c r="G146" i="93"/>
  <c r="G211" i="93"/>
  <c r="G180" i="93"/>
  <c r="G280" i="93"/>
  <c r="G74" i="93"/>
  <c r="G210" i="93"/>
  <c r="G73" i="93"/>
  <c r="G109" i="93"/>
  <c r="G179" i="93"/>
  <c r="G244" i="93"/>
  <c r="G144" i="93"/>
  <c r="G209" i="93"/>
  <c r="G72" i="93"/>
  <c r="G108" i="93"/>
  <c r="G178" i="93"/>
  <c r="G208" i="93"/>
  <c r="G243" i="93"/>
  <c r="G278" i="93"/>
  <c r="G143" i="93"/>
  <c r="F36" i="131"/>
  <c r="E32" i="131"/>
  <c r="F32" i="131" s="1"/>
  <c r="E31" i="131"/>
  <c r="F31" i="131" s="1"/>
  <c r="E28" i="131"/>
  <c r="E27" i="131"/>
  <c r="E26" i="131"/>
  <c r="F36" i="130"/>
  <c r="E32" i="130"/>
  <c r="E31" i="130"/>
  <c r="F31" i="130" s="1"/>
  <c r="E28" i="130"/>
  <c r="E27" i="130"/>
  <c r="E26" i="130"/>
  <c r="F29" i="13"/>
  <c r="E25" i="13"/>
  <c r="E24" i="13"/>
  <c r="E21" i="13"/>
  <c r="E20" i="13"/>
  <c r="E19" i="13"/>
  <c r="F29" i="12"/>
  <c r="E25" i="12"/>
  <c r="E24" i="12"/>
  <c r="E21" i="12"/>
  <c r="E20" i="12"/>
  <c r="E19" i="12"/>
  <c r="F29" i="11"/>
  <c r="E25" i="11"/>
  <c r="E24" i="11"/>
  <c r="E21" i="11"/>
  <c r="E20" i="11"/>
  <c r="E19" i="11"/>
  <c r="F29" i="3"/>
  <c r="E25" i="3"/>
  <c r="E24" i="3"/>
  <c r="E21" i="3"/>
  <c r="E20" i="3"/>
  <c r="E19" i="3"/>
  <c r="E18" i="131"/>
  <c r="E21" i="131"/>
  <c r="E20" i="131"/>
  <c r="E19" i="131"/>
  <c r="E17" i="131"/>
  <c r="F17" i="131" s="1"/>
  <c r="E16" i="131"/>
  <c r="E15" i="131"/>
  <c r="E14" i="131"/>
  <c r="E13" i="131"/>
  <c r="E12" i="131"/>
  <c r="E11" i="131"/>
  <c r="E10" i="131"/>
  <c r="E9" i="131"/>
  <c r="F9" i="131" s="1"/>
  <c r="E18" i="130"/>
  <c r="E17" i="130"/>
  <c r="E16" i="130"/>
  <c r="E13" i="130"/>
  <c r="E21" i="130"/>
  <c r="E20" i="130"/>
  <c r="E19" i="130"/>
  <c r="E15" i="130"/>
  <c r="E14" i="130"/>
  <c r="E12" i="130"/>
  <c r="E11" i="130"/>
  <c r="E10" i="130"/>
  <c r="E9" i="130"/>
  <c r="F9" i="130" s="1"/>
  <c r="E14" i="3"/>
  <c r="E13" i="3"/>
  <c r="E12" i="3"/>
  <c r="E11" i="3"/>
  <c r="E10" i="3"/>
  <c r="E9" i="3"/>
  <c r="D11" i="131"/>
  <c r="D16" i="131" s="1"/>
  <c r="D10" i="131"/>
  <c r="D21" i="131" s="1"/>
  <c r="F32" i="130"/>
  <c r="D11" i="130"/>
  <c r="D17" i="130" s="1"/>
  <c r="D10" i="130"/>
  <c r="D21" i="130" s="1"/>
  <c r="H149" i="157" l="1"/>
  <c r="F21" i="131"/>
  <c r="G193" i="93"/>
  <c r="G293" i="93"/>
  <c r="F17" i="130"/>
  <c r="G158" i="93"/>
  <c r="G87" i="93"/>
  <c r="G223" i="93"/>
  <c r="G123" i="93"/>
  <c r="G258" i="93"/>
  <c r="F33" i="130"/>
  <c r="F33" i="131"/>
  <c r="F16" i="131"/>
  <c r="F21" i="130"/>
  <c r="F11" i="131"/>
  <c r="D13" i="131"/>
  <c r="F13" i="131" s="1"/>
  <c r="D15" i="131"/>
  <c r="F15" i="131" s="1"/>
  <c r="D18" i="131"/>
  <c r="F18" i="131" s="1"/>
  <c r="D20" i="131"/>
  <c r="F20" i="131" s="1"/>
  <c r="F10" i="131"/>
  <c r="D12" i="131"/>
  <c r="F12" i="131" s="1"/>
  <c r="D14" i="131"/>
  <c r="F14" i="131" s="1"/>
  <c r="D19" i="131"/>
  <c r="F19" i="131" s="1"/>
  <c r="F10" i="130"/>
  <c r="D12" i="130"/>
  <c r="F12" i="130" s="1"/>
  <c r="D14" i="130"/>
  <c r="F14" i="130" s="1"/>
  <c r="D16" i="130"/>
  <c r="F16" i="130" s="1"/>
  <c r="D18" i="130"/>
  <c r="F18" i="130" s="1"/>
  <c r="D20" i="130"/>
  <c r="F20" i="130" s="1"/>
  <c r="F11" i="130"/>
  <c r="D13" i="130"/>
  <c r="F13" i="130" s="1"/>
  <c r="D15" i="130"/>
  <c r="F15" i="130" s="1"/>
  <c r="D19" i="130"/>
  <c r="F19" i="130" s="1"/>
  <c r="F22" i="130" l="1"/>
  <c r="F22" i="131"/>
  <c r="D26" i="131"/>
  <c r="D26" i="130"/>
  <c r="E13" i="157" l="1"/>
  <c r="F13" i="157" s="1"/>
  <c r="F26" i="131"/>
  <c r="D28" i="131"/>
  <c r="F28" i="131" s="1"/>
  <c r="D27" i="131"/>
  <c r="F27" i="131" s="1"/>
  <c r="F26" i="130"/>
  <c r="D28" i="130"/>
  <c r="F28" i="130" s="1"/>
  <c r="D27" i="130"/>
  <c r="F27" i="130" s="1"/>
  <c r="F29" i="131" l="1"/>
  <c r="F29" i="130"/>
  <c r="H297" i="93" l="1"/>
  <c r="G300" i="93" s="1"/>
  <c r="H294" i="93"/>
  <c r="H293" i="93"/>
  <c r="H292" i="93"/>
  <c r="H288" i="93"/>
  <c r="G289" i="93" s="1"/>
  <c r="H285" i="93"/>
  <c r="H284" i="93"/>
  <c r="H281" i="93"/>
  <c r="H280" i="93"/>
  <c r="H279" i="93"/>
  <c r="H278" i="93"/>
  <c r="H262" i="93"/>
  <c r="G265" i="93" s="1"/>
  <c r="H259" i="93"/>
  <c r="H258" i="93"/>
  <c r="H257" i="93"/>
  <c r="H253" i="93"/>
  <c r="G254" i="93" s="1"/>
  <c r="H250" i="93"/>
  <c r="H249" i="93"/>
  <c r="H246" i="93"/>
  <c r="H245" i="93"/>
  <c r="H244" i="93"/>
  <c r="H243" i="93"/>
  <c r="H227" i="93"/>
  <c r="G230" i="93" s="1"/>
  <c r="H224" i="93"/>
  <c r="H223" i="93"/>
  <c r="H222" i="93"/>
  <c r="H218" i="93"/>
  <c r="G219" i="93" s="1"/>
  <c r="H215" i="93"/>
  <c r="H214" i="93"/>
  <c r="H211" i="93"/>
  <c r="H210" i="93"/>
  <c r="H209" i="93"/>
  <c r="H208" i="93"/>
  <c r="H194" i="93"/>
  <c r="H193" i="93"/>
  <c r="H192" i="93"/>
  <c r="H188" i="93"/>
  <c r="G189" i="93" s="1"/>
  <c r="H185" i="93"/>
  <c r="H184" i="93"/>
  <c r="H181" i="93"/>
  <c r="H180" i="93"/>
  <c r="H179" i="93"/>
  <c r="H178" i="93"/>
  <c r="H162" i="93"/>
  <c r="G165" i="93" s="1"/>
  <c r="H159" i="93"/>
  <c r="H158" i="93"/>
  <c r="H157" i="93"/>
  <c r="H153" i="93"/>
  <c r="G154" i="93" s="1"/>
  <c r="H150" i="93"/>
  <c r="H149" i="93"/>
  <c r="H146" i="93"/>
  <c r="H145" i="93"/>
  <c r="H144" i="93"/>
  <c r="H143" i="93"/>
  <c r="H127" i="93"/>
  <c r="G130" i="93" s="1"/>
  <c r="H123" i="93"/>
  <c r="H122" i="93"/>
  <c r="H118" i="93"/>
  <c r="G119" i="93" s="1"/>
  <c r="H115" i="93"/>
  <c r="H114" i="93"/>
  <c r="H111" i="93"/>
  <c r="H110" i="93"/>
  <c r="H109" i="93"/>
  <c r="H108" i="93"/>
  <c r="H93" i="93"/>
  <c r="H91" i="93"/>
  <c r="H88" i="93"/>
  <c r="H87" i="93"/>
  <c r="H86" i="93"/>
  <c r="H82" i="93"/>
  <c r="G83" i="93" s="1"/>
  <c r="H79" i="93"/>
  <c r="H78" i="93"/>
  <c r="H75" i="93"/>
  <c r="H74" i="93"/>
  <c r="H73" i="93"/>
  <c r="H72" i="93"/>
  <c r="H58" i="93"/>
  <c r="H56" i="93"/>
  <c r="H44" i="93"/>
  <c r="H43" i="93"/>
  <c r="H40" i="93"/>
  <c r="H39" i="93"/>
  <c r="H38" i="93"/>
  <c r="H37" i="93"/>
  <c r="E14" i="12"/>
  <c r="E12" i="13"/>
  <c r="E10" i="11"/>
  <c r="E9" i="13"/>
  <c r="G94" i="93" l="1"/>
  <c r="G59" i="93"/>
  <c r="G41" i="93"/>
  <c r="G45" i="93"/>
  <c r="G89" i="93"/>
  <c r="G125" i="93"/>
  <c r="G195" i="93"/>
  <c r="G225" i="93"/>
  <c r="G295" i="93"/>
  <c r="G260" i="93"/>
  <c r="G160" i="93"/>
  <c r="E12" i="11"/>
  <c r="E10" i="12"/>
  <c r="E10" i="13"/>
  <c r="E14" i="13"/>
  <c r="E14" i="11"/>
  <c r="E12" i="12"/>
  <c r="E13" i="13"/>
  <c r="E13" i="12"/>
  <c r="E13" i="11"/>
  <c r="E11" i="13"/>
  <c r="E11" i="12"/>
  <c r="E11" i="11"/>
  <c r="E9" i="11"/>
  <c r="E9" i="12"/>
  <c r="G76" i="93"/>
  <c r="G80" i="93"/>
  <c r="G112" i="93"/>
  <c r="G116" i="93"/>
  <c r="G147" i="93"/>
  <c r="G151" i="93"/>
  <c r="G182" i="93"/>
  <c r="G186" i="93"/>
  <c r="G212" i="93"/>
  <c r="G216" i="93"/>
  <c r="G247" i="93"/>
  <c r="G251" i="93"/>
  <c r="G282" i="93"/>
  <c r="G286" i="93"/>
  <c r="G302" i="93" l="1"/>
  <c r="E17" i="157" s="1"/>
  <c r="F17" i="157" s="1"/>
  <c r="G267" i="93"/>
  <c r="E16" i="157" s="1"/>
  <c r="F16" i="157" s="1"/>
  <c r="G232" i="93"/>
  <c r="E18" i="157" s="1"/>
  <c r="F18" i="157" s="1"/>
  <c r="G197" i="93"/>
  <c r="E21" i="157" s="1"/>
  <c r="F21" i="157" s="1"/>
  <c r="G167" i="93"/>
  <c r="E20" i="157" s="1"/>
  <c r="F20" i="157" s="1"/>
  <c r="G132" i="93"/>
  <c r="G96" i="93"/>
  <c r="E15" i="157" s="1"/>
  <c r="F15" i="157" s="1"/>
  <c r="G61" i="93"/>
  <c r="E14" i="157" s="1"/>
  <c r="F14" i="157" s="1"/>
  <c r="F25" i="13"/>
  <c r="F24" i="13"/>
  <c r="F21" i="13"/>
  <c r="F20" i="13"/>
  <c r="F19" i="13"/>
  <c r="F14" i="13"/>
  <c r="F13" i="13"/>
  <c r="F12" i="13"/>
  <c r="F11" i="13"/>
  <c r="F10" i="13"/>
  <c r="F9" i="13"/>
  <c r="F25" i="12"/>
  <c r="F24" i="12"/>
  <c r="F21" i="12"/>
  <c r="F20" i="12"/>
  <c r="F19" i="12"/>
  <c r="F14" i="12"/>
  <c r="F13" i="12"/>
  <c r="F12" i="12"/>
  <c r="F11" i="12"/>
  <c r="F10" i="12"/>
  <c r="F9" i="12"/>
  <c r="F25" i="11"/>
  <c r="F24" i="11"/>
  <c r="F21" i="11"/>
  <c r="F20" i="11"/>
  <c r="F19" i="11"/>
  <c r="F14" i="11"/>
  <c r="F13" i="11"/>
  <c r="F12" i="11"/>
  <c r="F11" i="11"/>
  <c r="F10" i="11"/>
  <c r="F9" i="11"/>
  <c r="F26" i="12" l="1"/>
  <c r="F26" i="13"/>
  <c r="F15" i="13"/>
  <c r="F15" i="11"/>
  <c r="F15" i="12"/>
  <c r="F26" i="11"/>
  <c r="E19" i="157"/>
  <c r="F19" i="157" s="1"/>
  <c r="F22" i="11"/>
  <c r="F22" i="12"/>
  <c r="F22" i="13"/>
  <c r="F26" i="157" l="1"/>
  <c r="F145" i="157" s="1"/>
  <c r="F25" i="3"/>
  <c r="F24" i="3"/>
  <c r="F21" i="3"/>
  <c r="F20" i="3"/>
  <c r="F19" i="3"/>
  <c r="F14" i="3"/>
  <c r="F13" i="3"/>
  <c r="F12" i="3"/>
  <c r="F11" i="3"/>
  <c r="F10" i="3"/>
  <c r="F9" i="3"/>
  <c r="F147" i="157" l="1"/>
  <c r="F149" i="157" s="1"/>
  <c r="F26" i="3"/>
  <c r="F15" i="3"/>
  <c r="F22" i="3"/>
  <c r="E23" i="131" l="1"/>
  <c r="F23" i="131" s="1"/>
  <c r="F24" i="131" s="1"/>
  <c r="F34" i="131" s="1"/>
  <c r="F38" i="131" s="1"/>
  <c r="E23" i="130"/>
  <c r="F23" i="130" s="1"/>
  <c r="F24" i="130" s="1"/>
  <c r="F34" i="130" s="1"/>
  <c r="F38" i="130" s="1"/>
  <c r="E16" i="12"/>
  <c r="F16" i="12" s="1"/>
  <c r="F17" i="12" s="1"/>
  <c r="F27" i="12" s="1"/>
  <c r="F31" i="12" s="1"/>
  <c r="E16" i="3"/>
  <c r="F16" i="3" s="1"/>
  <c r="F17" i="3" s="1"/>
  <c r="F27" i="3" s="1"/>
  <c r="F31" i="3" s="1"/>
  <c r="E16" i="13"/>
  <c r="F16" i="13" s="1"/>
  <c r="F17" i="13" s="1"/>
  <c r="F27" i="13" s="1"/>
  <c r="F31" i="13" s="1"/>
  <c r="E16" i="11"/>
  <c r="F16" i="11" s="1"/>
  <c r="F17" i="11" s="1"/>
  <c r="F27" i="11" s="1"/>
  <c r="F31" i="11" s="1"/>
</calcChain>
</file>

<file path=xl/sharedStrings.xml><?xml version="1.0" encoding="utf-8"?>
<sst xmlns="http://schemas.openxmlformats.org/spreadsheetml/2006/main" count="2603" uniqueCount="506">
  <si>
    <t>OBJETO:</t>
  </si>
  <si>
    <t>DISCRIMINAÇÃO DO SERVIÇO</t>
  </si>
  <si>
    <t>01</t>
  </si>
  <si>
    <t>02</t>
  </si>
  <si>
    <t>SERVIÇO DE CAMPO</t>
  </si>
  <si>
    <t>Levantamento planialtimétrico semicadastral em áreas urbanizadas</t>
  </si>
  <si>
    <t>ITEM</t>
  </si>
  <si>
    <t>SERVIÇOS TOPOGRÁFICOS</t>
  </si>
  <si>
    <t>SERVIÇOS GEOTECNICOS</t>
  </si>
  <si>
    <t>und</t>
  </si>
  <si>
    <t>m</t>
  </si>
  <si>
    <t>OBJETO</t>
  </si>
  <si>
    <t>CONTRATANTE</t>
  </si>
  <si>
    <t>FUNDAÇÃO NACIONAL DE SAÚDE</t>
  </si>
  <si>
    <t>UNIDADE</t>
  </si>
  <si>
    <t>QUANTIDADE</t>
  </si>
  <si>
    <t>Descrição</t>
  </si>
  <si>
    <t>Coordenador</t>
  </si>
  <si>
    <t>Digitador</t>
  </si>
  <si>
    <t>Unidade</t>
  </si>
  <si>
    <t>Preço Total</t>
  </si>
  <si>
    <t>Subtotal  A</t>
  </si>
  <si>
    <t>Subtotal C</t>
  </si>
  <si>
    <t>Subtotal D</t>
  </si>
  <si>
    <t>Especialista Consultor</t>
  </si>
  <si>
    <t>Técnico Nível Médio</t>
  </si>
  <si>
    <t>Desenhista/Projetista</t>
  </si>
  <si>
    <t>Engenheiro Projetista Pleno 
(experiência de pelo menos 5 anos em projetos de SAA)</t>
  </si>
  <si>
    <t>Quantidade</t>
  </si>
  <si>
    <t>Preço Unitário</t>
  </si>
  <si>
    <t>Preço - R$</t>
  </si>
  <si>
    <t>Dia</t>
  </si>
  <si>
    <t>Litro</t>
  </si>
  <si>
    <t>Hora</t>
  </si>
  <si>
    <t>A</t>
  </si>
  <si>
    <t>A.1</t>
  </si>
  <si>
    <t>A.2</t>
  </si>
  <si>
    <t>A.3</t>
  </si>
  <si>
    <t>A.4</t>
  </si>
  <si>
    <t>A.5</t>
  </si>
  <si>
    <t>A.6</t>
  </si>
  <si>
    <t>EQUIPE TÉCNICA</t>
  </si>
  <si>
    <t>B</t>
  </si>
  <si>
    <t>C</t>
  </si>
  <si>
    <t>ENCARGOS SOCIAIS</t>
  </si>
  <si>
    <t>DESPESAS COM VIAGEM</t>
  </si>
  <si>
    <t>C.1</t>
  </si>
  <si>
    <t>C.2</t>
  </si>
  <si>
    <t>C.3</t>
  </si>
  <si>
    <t>Combustível</t>
  </si>
  <si>
    <t>Diárias</t>
  </si>
  <si>
    <t>Locação de Veículos</t>
  </si>
  <si>
    <t>D</t>
  </si>
  <si>
    <t>D.1</t>
  </si>
  <si>
    <t>D.2</t>
  </si>
  <si>
    <t>SERVIÇOS GRÁFICOS</t>
  </si>
  <si>
    <t>Relatórios Impressos</t>
  </si>
  <si>
    <t>Relatórios Digitais</t>
  </si>
  <si>
    <t>BDI</t>
  </si>
  <si>
    <t>Subtotal A+Encargos</t>
  </si>
  <si>
    <t>TOTAL sem BDI</t>
  </si>
  <si>
    <t>DIAGNÓSTICO/CONCEPÇÃO - RTP - População até 1.000 hab.</t>
  </si>
  <si>
    <t>A1</t>
  </si>
  <si>
    <t>DISCRIMINAÇÃO</t>
  </si>
  <si>
    <t>Seconci</t>
  </si>
  <si>
    <t>A2</t>
  </si>
  <si>
    <t>INSS</t>
  </si>
  <si>
    <t>A3</t>
  </si>
  <si>
    <t>FGTS</t>
  </si>
  <si>
    <t>A4</t>
  </si>
  <si>
    <t>Incra</t>
  </si>
  <si>
    <t>A5</t>
  </si>
  <si>
    <t>Sebrae</t>
  </si>
  <si>
    <t>A7</t>
  </si>
  <si>
    <t>A8</t>
  </si>
  <si>
    <t>Senai</t>
  </si>
  <si>
    <t>A9</t>
  </si>
  <si>
    <t>Sesi</t>
  </si>
  <si>
    <t>SUBTOTAL DE "A"</t>
  </si>
  <si>
    <t>B1</t>
  </si>
  <si>
    <t>SUBTOTAL DE  "B"</t>
  </si>
  <si>
    <t>C1</t>
  </si>
  <si>
    <t>C2</t>
  </si>
  <si>
    <t>SUBTOTAL DE "C"</t>
  </si>
  <si>
    <t>D1</t>
  </si>
  <si>
    <t>Reincidência de "A" sobre "B"</t>
  </si>
  <si>
    <t>SUBTOTAL DE "D"</t>
  </si>
  <si>
    <t>TOTAIS DE ENCARGOS SOCIAIS</t>
  </si>
  <si>
    <t>Geólogo, Eng. Geólogo ou Eng. De Minas</t>
  </si>
  <si>
    <t>h</t>
  </si>
  <si>
    <t>D.3</t>
  </si>
  <si>
    <t>Encadernação</t>
  </si>
  <si>
    <t>E</t>
  </si>
  <si>
    <t>E.1</t>
  </si>
  <si>
    <t>Anotação de responsabilidade técnica</t>
  </si>
  <si>
    <t>F</t>
  </si>
  <si>
    <t>G</t>
  </si>
  <si>
    <t>km²</t>
  </si>
  <si>
    <t xml:space="preserve">Levantamento de áreas especiais, inclusive travessias, com avaliação preliminar do valor comercial do imóvel - área até 1.000m² </t>
  </si>
  <si>
    <t>Levantamento planialtimétrico semicadastral em áreas de expansão</t>
  </si>
  <si>
    <t>km</t>
  </si>
  <si>
    <t>Levantamento de áreas especiais, inclusive travessias, com avaliação preliminar do valor comercial do imóvel - área de 1.000 a 5.000m²</t>
  </si>
  <si>
    <t>Plano de Controle Ambiental (PCA)</t>
  </si>
  <si>
    <t>Estudo e Relatório de Impacto Ambiental (EIA/RIMA)</t>
  </si>
  <si>
    <t>ELABORAÇÃO DE PROJETOS PARA SISTEMAS DE ABASTECIMENTO DE ÁGUA</t>
  </si>
  <si>
    <t xml:space="preserve">ESTADO:                                                       </t>
  </si>
  <si>
    <t>MESORREGIÃO:</t>
  </si>
  <si>
    <t>PLANILHA DE PREÇOS UNITÁRIOS</t>
  </si>
  <si>
    <t>DIAGNÓSTICO/CONCEPÇÃO - RTP - População acima de 5000 e até 20.000 hab.</t>
  </si>
  <si>
    <t>DIAGNÓSTICO/CONCEPÇÃO - RTP - População acima de 20000 e até 50.000 hab.</t>
  </si>
  <si>
    <t>CUSTO TOTAL DOS SERVIÇOS (TOTAL + BDI)</t>
  </si>
  <si>
    <t>LOTE:</t>
  </si>
  <si>
    <t>ETAPA/ITEM</t>
  </si>
  <si>
    <t>Serviços Topográficos</t>
  </si>
  <si>
    <r>
      <rPr>
        <b/>
        <sz val="11"/>
        <color indexed="8"/>
        <rFont val="Calibri"/>
        <family val="2"/>
      </rPr>
      <t>Serviço:</t>
    </r>
    <r>
      <rPr>
        <b/>
        <sz val="11"/>
        <color indexed="8"/>
        <rFont val="Calibri"/>
        <family val="2"/>
      </rPr>
      <t xml:space="preserve"> Levantamento planialtimétrico semicadastral em áreas urbanizadas.</t>
    </r>
  </si>
  <si>
    <r>
      <rPr>
        <b/>
        <sz val="11"/>
        <color indexed="8"/>
        <rFont val="Calibri"/>
        <family val="2"/>
      </rPr>
      <t xml:space="preserve">Unidade </t>
    </r>
    <r>
      <rPr>
        <sz val="11"/>
        <color theme="1"/>
        <rFont val="Calibri"/>
        <family val="2"/>
        <scheme val="minor"/>
      </rPr>
      <t>: Km²</t>
    </r>
  </si>
  <si>
    <r>
      <rPr>
        <b/>
        <sz val="11"/>
        <color indexed="8"/>
        <rFont val="Calibri"/>
        <family val="2"/>
      </rPr>
      <t>Obra:</t>
    </r>
    <r>
      <rPr>
        <i/>
        <sz val="11"/>
        <color indexed="8"/>
        <rFont val="Calibri"/>
        <family val="2"/>
      </rPr>
      <t xml:space="preserve"> </t>
    </r>
  </si>
  <si>
    <t>Local:</t>
  </si>
  <si>
    <t>Item</t>
  </si>
  <si>
    <t>Custo - R$</t>
  </si>
  <si>
    <t>Custo Unitário</t>
  </si>
  <si>
    <t>Custo Total</t>
  </si>
  <si>
    <t>Topógrafo</t>
  </si>
  <si>
    <t>Auxiliar de topografia</t>
  </si>
  <si>
    <t>Ajudante</t>
  </si>
  <si>
    <t>Desenhista projetista</t>
  </si>
  <si>
    <t>Subtotal (A)</t>
  </si>
  <si>
    <t>Subtotal (B)</t>
  </si>
  <si>
    <t>EQUIPAMENTO</t>
  </si>
  <si>
    <t>Subtotal (C)</t>
  </si>
  <si>
    <t>TRANSPORTE</t>
  </si>
  <si>
    <t>Subtotal (D)</t>
  </si>
  <si>
    <t>MATERIAIS</t>
  </si>
  <si>
    <t>E.2</t>
  </si>
  <si>
    <t>und.</t>
  </si>
  <si>
    <t>Subtotal (E)</t>
  </si>
  <si>
    <t xml:space="preserve">RELATÓRIO </t>
  </si>
  <si>
    <t>Subtotal (F)</t>
  </si>
  <si>
    <r>
      <rPr>
        <b/>
        <sz val="11"/>
        <color indexed="8"/>
        <rFont val="Calibri"/>
        <family val="2"/>
      </rPr>
      <t>Serviço:</t>
    </r>
    <r>
      <rPr>
        <b/>
        <sz val="11"/>
        <color indexed="8"/>
        <rFont val="Calibri"/>
        <family val="2"/>
      </rPr>
      <t xml:space="preserve"> Serviço:Levantamento planialtimétrico semicadastral em áreas de expansão.</t>
    </r>
  </si>
  <si>
    <r>
      <rPr>
        <b/>
        <sz val="11"/>
        <color indexed="8"/>
        <rFont val="Calibri"/>
        <family val="2"/>
      </rPr>
      <t>Obra:</t>
    </r>
    <r>
      <rPr>
        <i/>
        <sz val="11"/>
        <color indexed="8"/>
        <rFont val="Calibri"/>
        <family val="2"/>
      </rPr>
      <t/>
    </r>
  </si>
  <si>
    <r>
      <rPr>
        <b/>
        <sz val="11"/>
        <color indexed="8"/>
        <rFont val="Calibri"/>
        <family val="2"/>
      </rPr>
      <t xml:space="preserve">Unidade </t>
    </r>
    <r>
      <rPr>
        <sz val="11"/>
        <color theme="1"/>
        <rFont val="Calibri"/>
        <family val="2"/>
        <scheme val="minor"/>
      </rPr>
      <t>: km</t>
    </r>
  </si>
  <si>
    <t>Serviço: Levantamento de áreas especiais, inclusive travessias, com avaliação preliminar do valor comercial do imóvel - área até 1.000m²</t>
  </si>
  <si>
    <r>
      <t xml:space="preserve">Unidade </t>
    </r>
    <r>
      <rPr>
        <b/>
        <sz val="11"/>
        <color indexed="8"/>
        <rFont val="Calibri"/>
        <family val="2"/>
      </rPr>
      <t xml:space="preserve">: </t>
    </r>
    <r>
      <rPr>
        <sz val="11"/>
        <color indexed="8"/>
        <rFont val="Calibri"/>
        <family val="2"/>
      </rPr>
      <t>Und.</t>
    </r>
  </si>
  <si>
    <t>Coef.</t>
  </si>
  <si>
    <t>Desenhista detalhista</t>
  </si>
  <si>
    <t>Serviço: Levantamento de áreas especiais, inclusive travessias, com avaliação preliminar do valor comercial do imóvel - área pelo que exceder a 5.000m²</t>
  </si>
  <si>
    <r>
      <rPr>
        <b/>
        <sz val="11"/>
        <color indexed="8"/>
        <rFont val="Calibri"/>
        <family val="2"/>
      </rPr>
      <t>Serviço:</t>
    </r>
    <r>
      <rPr>
        <b/>
        <sz val="11"/>
        <color indexed="8"/>
        <rFont val="Calibri"/>
        <family val="2"/>
      </rPr>
      <t xml:space="preserve"> Levantamento de faixa de exploração para implantação de interceptor/emissário e locação de nivelamento de eixo - faixa 20,00m</t>
    </r>
  </si>
  <si>
    <r>
      <rPr>
        <b/>
        <sz val="11"/>
        <color indexed="8"/>
        <rFont val="Calibri"/>
        <family val="2"/>
      </rPr>
      <t>Serviço:</t>
    </r>
    <r>
      <rPr>
        <b/>
        <sz val="11"/>
        <color indexed="8"/>
        <rFont val="Calibri"/>
        <family val="2"/>
      </rPr>
      <t xml:space="preserve"> nivelamento de eixo com levantamento de normais em áreas urbanizadas.</t>
    </r>
  </si>
  <si>
    <r>
      <rPr>
        <b/>
        <sz val="11"/>
        <color indexed="8"/>
        <rFont val="Calibri"/>
        <family val="2"/>
      </rPr>
      <t>Serviço:</t>
    </r>
    <r>
      <rPr>
        <b/>
        <sz val="11"/>
        <color indexed="8"/>
        <rFont val="Calibri"/>
        <family val="2"/>
      </rPr>
      <t xml:space="preserve"> nivelamento de eixo com levantamento de normais em áreas de ocupação não planejada (urbanização precária).</t>
    </r>
  </si>
  <si>
    <t>Salário Educação</t>
  </si>
  <si>
    <t>Seguro contra acidente de trabalhos</t>
  </si>
  <si>
    <t>B2</t>
  </si>
  <si>
    <t>Feriados</t>
  </si>
  <si>
    <t>B3</t>
  </si>
  <si>
    <t>B4</t>
  </si>
  <si>
    <t>B5</t>
  </si>
  <si>
    <t>13° Salário</t>
  </si>
  <si>
    <t>B6</t>
  </si>
  <si>
    <t>B7</t>
  </si>
  <si>
    <t>Depósito rescisão sem justa causa</t>
  </si>
  <si>
    <t>Serviço: Levantamento de áreas especiais, inclusive travessias, com avaliação preliminar do valor comercial do imóvel - área de 1.000 a 5.000m²</t>
  </si>
  <si>
    <r>
      <rPr>
        <b/>
        <sz val="11"/>
        <color indexed="8"/>
        <rFont val="Calibri"/>
        <family val="2"/>
      </rPr>
      <t xml:space="preserve">Unidade </t>
    </r>
    <r>
      <rPr>
        <sz val="11"/>
        <color theme="1"/>
        <rFont val="Calibri"/>
        <family val="2"/>
        <scheme val="minor"/>
      </rPr>
      <t>: m²</t>
    </r>
  </si>
  <si>
    <t>Código SINAPI</t>
  </si>
  <si>
    <t xml:space="preserve">PLANILHA DE CUSTO UNITÁRIO   </t>
  </si>
  <si>
    <t>B.1</t>
  </si>
  <si>
    <t>B.2</t>
  </si>
  <si>
    <t xml:space="preserve">PLANILHA DE CUSTO UNITÁRIO </t>
  </si>
  <si>
    <t>PLANILHA DE CUSTO UNITÁRIO</t>
  </si>
  <si>
    <t>ELABORAÇÃO DE PROJETOS DE SISTEMA DE ABASTECIMENTO DE ÁGUA</t>
  </si>
  <si>
    <t>Engenheiro Coordenador - Engenheiro Sanitarista ou Civil com no mínimo 10 anos de experiência em projetos de Saneamento</t>
  </si>
  <si>
    <t>Engenheiro Sanitarista/Civil Projetista Pleno 
(experiência de pelo menos 5 anos em projetos de SAA)</t>
  </si>
  <si>
    <t>A.3.1</t>
  </si>
  <si>
    <t>Especialista Consultor Sócio-Ambiental (Pedagodo(a), Assistente Social ou Sociólogo)</t>
  </si>
  <si>
    <t>A.3.2</t>
  </si>
  <si>
    <t>Especialista Consultor Ambiental - Biologo(a)</t>
  </si>
  <si>
    <t>A.3.3</t>
  </si>
  <si>
    <t>Especialista Consultor Ambiental - Geologo(a)</t>
  </si>
  <si>
    <t>A.3.4</t>
  </si>
  <si>
    <t>Especialista Consultor Ambiental - Geografo(a)</t>
  </si>
  <si>
    <t>A.3.5</t>
  </si>
  <si>
    <t>Especialista Consultor Ambiental - Engenheiro Sanitarista e/ou Ambiental</t>
  </si>
  <si>
    <t>A.3.6</t>
  </si>
  <si>
    <t>Especialista Consultor Ambiental - Especialista em Recursos Hídricos</t>
  </si>
  <si>
    <t>A.3.7</t>
  </si>
  <si>
    <t>Especialista Consultor Ambiental - Zoologo(a)</t>
  </si>
  <si>
    <t>A.3.8</t>
  </si>
  <si>
    <t>Especialista Consultor Ambiental - Turismólogo(a) ou afim</t>
  </si>
  <si>
    <t>DIAGNÓSTICO/CONCEPÇÃO - RTP - População acima de 1.000 e até 5.000 hab.</t>
  </si>
  <si>
    <t>Serviço: Mobilização e desmobilização da equipe topográfica</t>
  </si>
  <si>
    <t>B.3</t>
  </si>
  <si>
    <t>B.4</t>
  </si>
  <si>
    <t xml:space="preserve">CHP </t>
  </si>
  <si>
    <t>Mobilização e desmobilização da equipe topográfica</t>
  </si>
  <si>
    <t>chp</t>
  </si>
  <si>
    <t>Serviços Geotécnicos</t>
  </si>
  <si>
    <t xml:space="preserve"> Mobilização e desmobilização da equipe geotécnica</t>
  </si>
  <si>
    <t>01.01</t>
  </si>
  <si>
    <t>01.01.01</t>
  </si>
  <si>
    <t>01.01.02</t>
  </si>
  <si>
    <t>01.01.03</t>
  </si>
  <si>
    <t>01.01.04</t>
  </si>
  <si>
    <t>01.01.05</t>
  </si>
  <si>
    <t>01.01.06</t>
  </si>
  <si>
    <t>01.01.07</t>
  </si>
  <si>
    <t>01.01.08</t>
  </si>
  <si>
    <t>01.02</t>
  </si>
  <si>
    <t>01.02.01</t>
  </si>
  <si>
    <t>01.02.02</t>
  </si>
  <si>
    <t>02.01</t>
  </si>
  <si>
    <t>02.02</t>
  </si>
  <si>
    <t>02.01.01</t>
  </si>
  <si>
    <t>02.01.02</t>
  </si>
  <si>
    <t>02.02.01</t>
  </si>
  <si>
    <t>02.02.02</t>
  </si>
  <si>
    <t>02.03</t>
  </si>
  <si>
    <t>02.03.01</t>
  </si>
  <si>
    <t>02.03.02</t>
  </si>
  <si>
    <t>02.03.03</t>
  </si>
  <si>
    <t>02.03.04</t>
  </si>
  <si>
    <t>Sem desoneração</t>
  </si>
  <si>
    <t>Com desoneração</t>
  </si>
  <si>
    <t>Composições SEM DESONERAÇÃO</t>
  </si>
  <si>
    <t>Composições COM DESONERAÇÃO</t>
  </si>
  <si>
    <t>Código SICRO</t>
  </si>
  <si>
    <t>Horista (%)</t>
  </si>
  <si>
    <t>Mensalista (%)</t>
  </si>
  <si>
    <t>GRUPO A</t>
  </si>
  <si>
    <t>GURPO B</t>
  </si>
  <si>
    <t>-</t>
  </si>
  <si>
    <t>Licença paternidade</t>
  </si>
  <si>
    <t>Faltas justificada</t>
  </si>
  <si>
    <t>Dias de chuva</t>
  </si>
  <si>
    <t>B8</t>
  </si>
  <si>
    <t>B9</t>
  </si>
  <si>
    <t>Férias gozadas</t>
  </si>
  <si>
    <t>B10</t>
  </si>
  <si>
    <t>Salario maternidade</t>
  </si>
  <si>
    <t>GRUPO C</t>
  </si>
  <si>
    <t>Aviso pévio indenizado</t>
  </si>
  <si>
    <t>Aviso prévio trabalhoado</t>
  </si>
  <si>
    <t>C3</t>
  </si>
  <si>
    <t>Férias indnizadas</t>
  </si>
  <si>
    <t>C4</t>
  </si>
  <si>
    <t>C5</t>
  </si>
  <si>
    <t>Indenização adicional</t>
  </si>
  <si>
    <t>GRUPO D</t>
  </si>
  <si>
    <t>D2</t>
  </si>
  <si>
    <t>Reinidência de "A" sobre aviso prévio trabalhado e reincidência do FGTS sobre aviso previo indenizado</t>
  </si>
  <si>
    <t>P9836</t>
  </si>
  <si>
    <t>E.3</t>
  </si>
  <si>
    <t>ESTADO:</t>
  </si>
  <si>
    <t>MUNICÍPIO:</t>
  </si>
  <si>
    <t>LOCALIDADE:</t>
  </si>
  <si>
    <t>Planilha de Referência para Contratação do Projeto de Engenharia</t>
  </si>
  <si>
    <t>PROJETO DE ENGENHARIA (inclui: desenho detalhado, especificações de obra, memorial descritivo, memória de cálculo e planilha orçamentária)</t>
  </si>
  <si>
    <t>PROJETOS COMPLEMENTARES (inclui: desenho detalhado, especificações de obra, memorial descritivo, memória de cálculo e planilha orçamentária)</t>
  </si>
  <si>
    <t>01.02.03</t>
  </si>
  <si>
    <t>03</t>
  </si>
  <si>
    <t>03.01</t>
  </si>
  <si>
    <t>03.02</t>
  </si>
  <si>
    <t>03.03</t>
  </si>
  <si>
    <t>03.04</t>
  </si>
  <si>
    <r>
      <t xml:space="preserve">CUSTO UNITÁRIO </t>
    </r>
    <r>
      <rPr>
        <b/>
        <sz val="11"/>
        <color theme="1"/>
        <rFont val="Times New Roman"/>
        <family val="1"/>
      </rPr>
      <t>SEM DESONERAÇÃO</t>
    </r>
  </si>
  <si>
    <r>
      <t xml:space="preserve">CUSTO TOTAL </t>
    </r>
    <r>
      <rPr>
        <b/>
        <sz val="11"/>
        <color theme="1"/>
        <rFont val="Times New Roman"/>
        <family val="1"/>
      </rPr>
      <t>SEM DESONERAÇÃO</t>
    </r>
  </si>
  <si>
    <r>
      <t xml:space="preserve">CUSTO UNITÁRIO </t>
    </r>
    <r>
      <rPr>
        <b/>
        <sz val="11"/>
        <color theme="1"/>
        <rFont val="Times New Roman"/>
        <family val="1"/>
      </rPr>
      <t>COM DESONERAÇÃO</t>
    </r>
  </si>
  <si>
    <r>
      <t xml:space="preserve">CUSTO TOTAL </t>
    </r>
    <r>
      <rPr>
        <b/>
        <sz val="11"/>
        <color theme="1"/>
        <rFont val="Times New Roman"/>
        <family val="1"/>
      </rPr>
      <t>COM DESONERAÇÃO</t>
    </r>
  </si>
  <si>
    <t>MÊS/ANO DE REFERÊNCIA:</t>
  </si>
  <si>
    <t xml:space="preserve">BDI DESONERADO = </t>
  </si>
  <si>
    <t>Engenheiro Sanitarista</t>
  </si>
  <si>
    <t>Engenheiro Civil</t>
  </si>
  <si>
    <t>Consultor Especialista</t>
  </si>
  <si>
    <t>Técnico</t>
  </si>
  <si>
    <t>03.01.01</t>
  </si>
  <si>
    <t>03.01.02</t>
  </si>
  <si>
    <t>03.01.03</t>
  </si>
  <si>
    <t>03.01.04</t>
  </si>
  <si>
    <t>03.01.05</t>
  </si>
  <si>
    <t>03.01.06</t>
  </si>
  <si>
    <t>03.01.07</t>
  </si>
  <si>
    <t>03.01.08</t>
  </si>
  <si>
    <t>03.01.09</t>
  </si>
  <si>
    <t>03.02.01</t>
  </si>
  <si>
    <t>03.02.02</t>
  </si>
  <si>
    <t>03.02.03</t>
  </si>
  <si>
    <t>03.02.04</t>
  </si>
  <si>
    <t>03.02.05</t>
  </si>
  <si>
    <t>03.02.06</t>
  </si>
  <si>
    <t>03.02.07</t>
  </si>
  <si>
    <t>03.02.08</t>
  </si>
  <si>
    <t>03.02.09</t>
  </si>
  <si>
    <t>03.03.01</t>
  </si>
  <si>
    <t>03.03.02</t>
  </si>
  <si>
    <t>03.03.03</t>
  </si>
  <si>
    <t>03.03.04</t>
  </si>
  <si>
    <t>03.03.05</t>
  </si>
  <si>
    <t>03.03.06</t>
  </si>
  <si>
    <t>03.03.07</t>
  </si>
  <si>
    <t>03.03.08</t>
  </si>
  <si>
    <t>03.03.09</t>
  </si>
  <si>
    <t>03.04.01</t>
  </si>
  <si>
    <t>03.04.02</t>
  </si>
  <si>
    <t>03.04.03</t>
  </si>
  <si>
    <t>03.04.05</t>
  </si>
  <si>
    <t>03.04.06</t>
  </si>
  <si>
    <t>03.04.07</t>
  </si>
  <si>
    <t>03.04.08</t>
  </si>
  <si>
    <t>03.04.09</t>
  </si>
  <si>
    <t>DESCRIÇÃO</t>
  </si>
  <si>
    <t>Nível ótico c/ precisão +/- 0,7mm tipo wild na-2 ou equivalente</t>
  </si>
  <si>
    <t>Teodolito c/ precisão +/- 6 segundos, inclusive tripé tipo wild t-1 ou equivalente</t>
  </si>
  <si>
    <t>Peça de madeira nativa/regional 2,5 x 7,0 cm (sarrafo-p/forma)</t>
  </si>
  <si>
    <t>Peça de madeira 3a/4a nativa/regional 5 x 5 cm</t>
  </si>
  <si>
    <t>Engenheiro Eletricista</t>
  </si>
  <si>
    <t>KM</t>
  </si>
  <si>
    <t>Custo Unitário DESONERADO</t>
  </si>
  <si>
    <t xml:space="preserve">Material consumo e acess.topog.(preço h topógrafo)   </t>
  </si>
  <si>
    <t>Peça de madeira 3a/4a nativa/regional 5 X 5 cm</t>
  </si>
  <si>
    <t>Conjunto de equipamentos complementares p/ topografia (trena, baliza, mira, piquete...)(preço h topografo)</t>
  </si>
  <si>
    <t>Pesquisa local</t>
  </si>
  <si>
    <t xml:space="preserve">Ajudante </t>
  </si>
  <si>
    <t>Caminhão carroceria aberta, em madeira, toco, 170CV - 11T (VU=6ANOS) - custo horário de produção diurna</t>
  </si>
  <si>
    <r>
      <rPr>
        <b/>
        <sz val="11"/>
        <color indexed="8"/>
        <rFont val="Calibri"/>
        <family val="2"/>
        <scheme val="minor"/>
      </rPr>
      <t>Obra:</t>
    </r>
    <r>
      <rPr>
        <i/>
        <sz val="11"/>
        <color indexed="8"/>
        <rFont val="Calibri"/>
        <family val="2"/>
        <scheme val="minor"/>
      </rPr>
      <t xml:space="preserve"> </t>
    </r>
  </si>
  <si>
    <r>
      <rPr>
        <b/>
        <sz val="11"/>
        <color indexed="8"/>
        <rFont val="Calibri"/>
        <family val="2"/>
        <scheme val="minor"/>
      </rPr>
      <t xml:space="preserve">Unidade </t>
    </r>
    <r>
      <rPr>
        <sz val="11"/>
        <color theme="1"/>
        <rFont val="Calibri"/>
        <family val="2"/>
        <scheme val="minor"/>
      </rPr>
      <t>: Km</t>
    </r>
  </si>
  <si>
    <t>Serviço: Mobilização de desmobilização de Equipe Geotécnica</t>
  </si>
  <si>
    <t>Sondagem à percussão com SPT Ø2.1/2" - Perfuração e retirada de amostras</t>
  </si>
  <si>
    <t>Sondagem a trado manual Ø4" - Perfuração e retirada de amostras</t>
  </si>
  <si>
    <t>fls.</t>
  </si>
  <si>
    <t>Mídia digital</t>
  </si>
  <si>
    <t>Mídia Digital</t>
  </si>
  <si>
    <t>Impressão A4</t>
  </si>
  <si>
    <t>PLANILHA DE CUSTO UNITÁRIO - DESONERADA</t>
  </si>
  <si>
    <t>EQUIPAMENTO/TRANSPORTE</t>
  </si>
  <si>
    <t>mês</t>
  </si>
  <si>
    <t>Digitador (Auxiliar de escritório)</t>
  </si>
  <si>
    <t>Auxiliar de topografo</t>
  </si>
  <si>
    <t>Técnico (Desenhista técnico auxiliar)</t>
  </si>
  <si>
    <t>Plotagem planta A1</t>
  </si>
  <si>
    <t>03.04.10</t>
  </si>
  <si>
    <t>03.04.11</t>
  </si>
  <si>
    <t>03.04.12</t>
  </si>
  <si>
    <t>03.04.13</t>
  </si>
  <si>
    <t>03.03.10</t>
  </si>
  <si>
    <t>03.03.11</t>
  </si>
  <si>
    <t>03.02.10</t>
  </si>
  <si>
    <t>03.02.11</t>
  </si>
  <si>
    <t>03.02.12</t>
  </si>
  <si>
    <t>03.01.10</t>
  </si>
  <si>
    <t>03.01.11</t>
  </si>
  <si>
    <t>03.01.12</t>
  </si>
  <si>
    <t>Nivel optico, com precisão de 0,7 mm, aumento de 32X</t>
  </si>
  <si>
    <t>Teodolito eletrônico, precisão angular de 5 a 7 segundos, inclusive tripé</t>
  </si>
  <si>
    <t>Caminhão toco, PBT 16.000 kg, carga útil mãx. 10.685 kg, dist. entre eixos 4,8 m, potência 189 cv, inclusive carroceria fixa aberta de madeira p/ transporte geral de carga seca, dimen. Aprox. 2,5 X 7,00 X 0,50 m</t>
  </si>
  <si>
    <t>Custo Unitário SEM DESONERAÇÃO</t>
  </si>
  <si>
    <t>E9093</t>
  </si>
  <si>
    <t>Veículo leve</t>
  </si>
  <si>
    <t>cph</t>
  </si>
  <si>
    <t>Técnico em sondagem</t>
  </si>
  <si>
    <t>Desenhista projetista (mês)</t>
  </si>
  <si>
    <t>Desenhista projetista (h)</t>
  </si>
  <si>
    <t>SERVIÇOS</t>
  </si>
  <si>
    <t>Camionete disel cabine dupla 4x4</t>
  </si>
  <si>
    <t>Coordenador (SINAPI-Eng. Civil Senior)</t>
  </si>
  <si>
    <t>Engenheiro Civil (SINAPI-Eng. Civil de obra junior)</t>
  </si>
  <si>
    <t>Consultor Especialista (SINAPI-Eng. Civil de obra junior)</t>
  </si>
  <si>
    <t>Engenheiro Sanitarista (SINAPI-Eng. Civil de obra junior)</t>
  </si>
  <si>
    <t>Engenheiro Eletricista  (SINAPI-Eng. Civil de obra pleno)</t>
  </si>
  <si>
    <t xml:space="preserve"> ENCARGOS SOCIAIS SOBRE MÃO DE OBRA</t>
  </si>
  <si>
    <t>Auxílio - Enfermidade</t>
  </si>
  <si>
    <t>Repouso semanal remunerado</t>
  </si>
  <si>
    <t>Auxílio acidente de trabalho</t>
  </si>
  <si>
    <t xml:space="preserve">BDI  SEM DESONERAÇÃO = </t>
  </si>
  <si>
    <t>Item da Planilha Orçamentária</t>
  </si>
  <si>
    <t>Estimativa de quntidade de profissional(h) por quantidade de  prancha A1</t>
  </si>
  <si>
    <t>Coordenador
(h)</t>
  </si>
  <si>
    <t>Eng. Sanitarista
(h)</t>
  </si>
  <si>
    <t>Eng. Civil
(h)</t>
  </si>
  <si>
    <t>Eng. Eletricista
(h)</t>
  </si>
  <si>
    <t>Técnico
(h)</t>
  </si>
  <si>
    <t>Desenhista Projetista
(h)</t>
  </si>
  <si>
    <t>Digitador
(h)</t>
  </si>
  <si>
    <t>Tipo de Projeto</t>
  </si>
  <si>
    <t>LEGENDA</t>
  </si>
  <si>
    <t>Valores a serem inseridos de acordo com informações dos encargos para o estado em questão. Dados devem ser obtidos no SINAPI.</t>
  </si>
  <si>
    <t>Valores a inserir</t>
  </si>
  <si>
    <t>Plotagem de planta A1</t>
  </si>
  <si>
    <t>DISTÂNCIA</t>
  </si>
  <si>
    <t>Mobilização e desmobilização para realização de serviços de campo de topografia, geotecnia e hidrogeologia (Considerar distância da capital até a sede do município e da sede até a(s) localidade(s) objeto do projeto.</t>
  </si>
  <si>
    <t>02.01.03</t>
  </si>
  <si>
    <t>02.01.04</t>
  </si>
  <si>
    <t>02.01.05</t>
  </si>
  <si>
    <t>02.01.06</t>
  </si>
  <si>
    <t>02.01.07</t>
  </si>
  <si>
    <t>02.01.08</t>
  </si>
  <si>
    <t>02.01.09</t>
  </si>
  <si>
    <t>02.01.10</t>
  </si>
  <si>
    <t>02.01.11</t>
  </si>
  <si>
    <t>02.02.03</t>
  </si>
  <si>
    <t>02.02.04</t>
  </si>
  <si>
    <t>02.02.05</t>
  </si>
  <si>
    <t>02.02.06</t>
  </si>
  <si>
    <t>02.02.07</t>
  </si>
  <si>
    <t>02.02.08</t>
  </si>
  <si>
    <t>02.02.09</t>
  </si>
  <si>
    <t>02.02.10</t>
  </si>
  <si>
    <t>02.02.11</t>
  </si>
  <si>
    <t>02.02.12</t>
  </si>
  <si>
    <t>02.03.05</t>
  </si>
  <si>
    <t>02.03.06</t>
  </si>
  <si>
    <t>02.03.07</t>
  </si>
  <si>
    <t>02.03.08</t>
  </si>
  <si>
    <t>02.03.09</t>
  </si>
  <si>
    <t>02.03.10</t>
  </si>
  <si>
    <t>02.03.11</t>
  </si>
  <si>
    <t>02.03.12</t>
  </si>
  <si>
    <t>Custo subtotal - 01 SERVIÇOS DE CAMPO</t>
  </si>
  <si>
    <t>Custo subtotal - 03.01 PROJETO ELÉTRICO</t>
  </si>
  <si>
    <t>Custo subtotal - 03.02 POJETO DE AUTOMAÇÃO</t>
  </si>
  <si>
    <t>PROJETO DE AUTOMAÇÃO E CONTROLE, REDES DE CABEAMENTO ESTRUTURADO E TELEFONE</t>
  </si>
  <si>
    <t>DEMAIS PROJETOS COMPLEMENTARES DE ACORDO COM MANUAL ESPECÍFICO DA FUNASA</t>
  </si>
  <si>
    <t>Custo subtotal - 03.03 PROJETO ESTRUTURAL</t>
  </si>
  <si>
    <t>Min.</t>
  </si>
  <si>
    <t>Med.</t>
  </si>
  <si>
    <t>Max.</t>
  </si>
  <si>
    <t xml:space="preserve">CUSTO TOTAL DO SERVIÇO </t>
  </si>
  <si>
    <t>CUSTO DIRETO TOTAL</t>
  </si>
  <si>
    <t>CUSTO INDIRETO TOTAL (BDI)</t>
  </si>
  <si>
    <t>VALOR GLOBAL (CUSTOS DIRETOS + INDIRETOS)</t>
  </si>
  <si>
    <t>Referência: Acórdão 325/2007 - TCU Plenário;</t>
  </si>
  <si>
    <t>Quantidade de pranchas A1 estimada 
(unid.)</t>
  </si>
  <si>
    <t>Nivelamento de eixo com levantamento de normais em áreas urbanizadas</t>
  </si>
  <si>
    <t>Nivelamento de eixo com levantamento de normais em áreas de ocupação não planejadas (urbanização precária)</t>
  </si>
  <si>
    <t xml:space="preserve">Levantamento de faixa de exploração p/ implantação de interceptor / emissário e locação e nivelamento de eixo - Faixa de 20m </t>
  </si>
  <si>
    <t xml:space="preserve"> Levantamento de áreas especiais, inclusive travessias, com avaliação preliminar do valor comercial do imóvel - área pelo que exceder a 5.000m²</t>
  </si>
  <si>
    <t>m²</t>
  </si>
  <si>
    <t>01.01.09</t>
  </si>
  <si>
    <t xml:space="preserve"> de estabilização ou reatores, filtros e leito de secagem ou outra)</t>
  </si>
  <si>
    <t>Custo subtotal - 02.03 PROJETO ETE</t>
  </si>
  <si>
    <t>Custo subtotal - 02.02 PROJETO EEE</t>
  </si>
  <si>
    <t>Custo subtotal - 02.01 PROJETO DE REDE</t>
  </si>
  <si>
    <t>Serviço: Nivelamento de eixo com levantamento de normais em áreas urbanizadas.</t>
  </si>
  <si>
    <t>PROJETO ESTAÇÃO DE TRATAMENTO DE ESGOTO - ETE</t>
  </si>
  <si>
    <t>PROJETO DE ESTAÇÃO ELEVATÓRIA DE ESGOTO - EEE</t>
  </si>
  <si>
    <t>PROJETO DE REDE</t>
  </si>
  <si>
    <t>PROJETO ELÉTRICO</t>
  </si>
  <si>
    <t>PROJETO DE AUTOMAÇÃO</t>
  </si>
  <si>
    <t>PROJETO ESTRUTURAL</t>
  </si>
  <si>
    <t>PROJETO DE TRAVESSIA DE REDE DE ESGOTO SOB RODOVIAS OU FERROVIAS</t>
  </si>
  <si>
    <t>Custo subtotal - 03.04  PROJETO TRAVESSIA</t>
  </si>
  <si>
    <t>03.05</t>
  </si>
  <si>
    <t>03.05.01</t>
  </si>
  <si>
    <t>03.05.02</t>
  </si>
  <si>
    <t>03.05.03</t>
  </si>
  <si>
    <t>03.05.04</t>
  </si>
  <si>
    <t>03.05.05</t>
  </si>
  <si>
    <t>03.05.06</t>
  </si>
  <si>
    <t>03.05.07</t>
  </si>
  <si>
    <t>03.05.08</t>
  </si>
  <si>
    <t>03.05.09</t>
  </si>
  <si>
    <t>03.05.10</t>
  </si>
  <si>
    <t>03.05.11</t>
  </si>
  <si>
    <t>03.05.12</t>
  </si>
  <si>
    <t>03.05.13</t>
  </si>
  <si>
    <t>Custo subtotal - 03.05 DEMAIS PROJETOS COMPLEMENTARES</t>
  </si>
  <si>
    <t>PROJETO DE TRAVESSIA</t>
  </si>
  <si>
    <t>03.01.13</t>
  </si>
  <si>
    <t>03.02.13</t>
  </si>
  <si>
    <t>Custos unitários a serem inseridos de acordo com o código SINAPI, SICRO ou pesquisa de preço local (mínimo de 3 cotações)</t>
  </si>
  <si>
    <t>Quantidade a ser inserida</t>
  </si>
  <si>
    <t>OBS: O quantitativo de horas de pessoal no item 02 foi estimado e pode ser alterado conforme a necessidade e conveniência.</t>
  </si>
  <si>
    <t>O quantitativo de horas de pessoal dos itens 02 e 03 foi estimado com base na experiência da Funasa e pode ser alterado conforme a conveniência.</t>
  </si>
  <si>
    <t>OBS: O quantitativo de horas de pessoal no item 03 foi estimado e pode ser alterado conforme a necessidade e conveniência.</t>
  </si>
  <si>
    <t>PROJETO DE REDE (coletora, interceptora, emissário e/ou adutora de recalque - planta e perfil)</t>
  </si>
  <si>
    <t>PROJETO DE ESTAÇÃO ELEVATÓRIA DE ESGOTO - EEE (hidráulico, urbanístico, geotécnico e terraplenagem)</t>
  </si>
  <si>
    <t>PROJETO ESTAÇÃO DE TRATAMENTO DE ESGOTO - ETE (hidráulico, urbanístico, geotécnico, terraplenagem, drenagem, instalações hidráulico-sanitárias; alternativa de sistema com lagoas</t>
  </si>
  <si>
    <t xml:space="preserve">PROJETO ELÉTRICO DE ALIMENTAÇÃO, DISTRIBUIÇÃO, AUTOMATIZAÇÃO, COMANDO E PROTEÇÃO DE MOTORES </t>
  </si>
  <si>
    <t>Equação considerada para o cálculo do BDI do Acórdão 325/2007 (iten 7, pg 23)</t>
  </si>
  <si>
    <t>Itens</t>
  </si>
  <si>
    <t>Sigla</t>
  </si>
  <si>
    <t>Valores adotados
(SEM DESONERAÇÃO)</t>
  </si>
  <si>
    <t>Valores adotados
(COM DESONERAÇÃO)</t>
  </si>
  <si>
    <t>Garatia</t>
  </si>
  <si>
    <t>R</t>
  </si>
  <si>
    <t>Risco</t>
  </si>
  <si>
    <t>Despesas Financeiras</t>
  </si>
  <si>
    <t>DF</t>
  </si>
  <si>
    <t>Administação Cental</t>
  </si>
  <si>
    <t>AC</t>
  </si>
  <si>
    <t>Lucro</t>
  </si>
  <si>
    <t>L</t>
  </si>
  <si>
    <t>Tributos</t>
  </si>
  <si>
    <t>COFINS</t>
  </si>
  <si>
    <t>I</t>
  </si>
  <si>
    <t>Imposto instituído pela Lei Complementar nº 70/91</t>
  </si>
  <si>
    <t>PIS</t>
  </si>
  <si>
    <t>Imposto instiuído pela Lei Complemenar nº  07/70</t>
  </si>
  <si>
    <t>ISS</t>
  </si>
  <si>
    <t>Imposto instiuído pela Lei Complemenar nº  116/03 cujo valor é determinado por lei municipal específica</t>
  </si>
  <si>
    <t>CPRB(Desoneração)</t>
  </si>
  <si>
    <t>Imposto instiuído pela Lei nº  12.546/11 para casos específicos de desoneração da folha de pagamento</t>
  </si>
  <si>
    <t>DBI resultante</t>
  </si>
  <si>
    <t>OBS: Os valores dos itens apresentados e o BDI calculado são apenas um exemplo.</t>
  </si>
  <si>
    <t>Valor fixo determinado por lei</t>
  </si>
  <si>
    <t>O valor da garantida definido no edital ou termo de referência (Lei nº 8.666/93);</t>
  </si>
  <si>
    <t>* No Acórdão 325/2007 - TCU Plenário estava previsto a CPMF, imposto que foi extinto, mas houve a criação da CPRB (4,5%), por isso o BDI com desoneração ultrapassa o intervalo adimitido nesse acórdão.</t>
  </si>
  <si>
    <t>Estado:</t>
  </si>
  <si>
    <t>Vigencia a partir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</si>
</sst>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General_)"/>
    <numFmt numFmtId="167" formatCode="0_);\(0\)"/>
    <numFmt numFmtId="168" formatCode="0.000000"/>
    <numFmt numFmtId="169" formatCode="#,##0.0000"/>
    <numFmt numFmtId="170" formatCode="0.00000000"/>
    <numFmt numFmtId="171" formatCode="_-* #,##0.00_-;\-* #,##0.00_-;_-* &quot;-&quot;??????_-;_-@_-"/>
  </numFmts>
  <fonts count="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8"/>
      <name val="Colibri"/>
    </font>
    <font>
      <sz val="11"/>
      <color theme="1"/>
      <name val="Colibri"/>
    </font>
    <font>
      <b/>
      <sz val="11"/>
      <color theme="1"/>
      <name val="Colibri"/>
    </font>
    <font>
      <b/>
      <sz val="11"/>
      <name val="Colibri"/>
    </font>
    <font>
      <sz val="11"/>
      <name val="Colibri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9">
    <xf numFmtId="0" fontId="0" fillId="0" borderId="0"/>
    <xf numFmtId="164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4" fillId="0" borderId="0" applyFill="0" applyBorder="0" applyAlignment="0" applyProtection="0"/>
    <xf numFmtId="165" fontId="9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4" fillId="0" borderId="0"/>
  </cellStyleXfs>
  <cellXfs count="519">
    <xf numFmtId="0" fontId="0" fillId="0" borderId="0" xfId="0"/>
    <xf numFmtId="0" fontId="0" fillId="0" borderId="0" xfId="0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/>
    <xf numFmtId="49" fontId="11" fillId="0" borderId="0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2" fontId="11" fillId="0" borderId="1" xfId="0" applyNumberFormat="1" applyFont="1" applyBorder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4" fontId="11" fillId="0" borderId="1" xfId="0" applyNumberFormat="1" applyFont="1" applyBorder="1"/>
    <xf numFmtId="4" fontId="11" fillId="0" borderId="18" xfId="0" applyNumberFormat="1" applyFont="1" applyBorder="1"/>
    <xf numFmtId="4" fontId="11" fillId="0" borderId="1" xfId="0" applyNumberFormat="1" applyFont="1" applyBorder="1" applyAlignment="1">
      <alignment horizontal="right"/>
    </xf>
    <xf numFmtId="10" fontId="11" fillId="0" borderId="1" xfId="0" applyNumberFormat="1" applyFont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0" borderId="18" xfId="0" applyFont="1" applyBorder="1"/>
    <xf numFmtId="165" fontId="11" fillId="0" borderId="18" xfId="13" applyFont="1" applyBorder="1"/>
    <xf numFmtId="10" fontId="11" fillId="0" borderId="18" xfId="0" applyNumberFormat="1" applyFont="1" applyBorder="1"/>
    <xf numFmtId="0" fontId="11" fillId="0" borderId="22" xfId="0" applyFont="1" applyBorder="1" applyAlignment="1">
      <alignment horizontal="center"/>
    </xf>
    <xf numFmtId="0" fontId="11" fillId="0" borderId="23" xfId="0" applyFont="1" applyBorder="1"/>
    <xf numFmtId="2" fontId="11" fillId="0" borderId="23" xfId="0" applyNumberFormat="1" applyFont="1" applyBorder="1"/>
    <xf numFmtId="165" fontId="12" fillId="0" borderId="24" xfId="13" applyFont="1" applyBorder="1"/>
    <xf numFmtId="0" fontId="11" fillId="0" borderId="1" xfId="0" applyFont="1" applyBorder="1" applyAlignment="1">
      <alignment horizontal="left"/>
    </xf>
    <xf numFmtId="0" fontId="5" fillId="0" borderId="8" xfId="11" applyFont="1" applyBorder="1" applyAlignment="1">
      <alignment vertical="center"/>
    </xf>
    <xf numFmtId="0" fontId="11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165" fontId="11" fillId="0" borderId="18" xfId="17" applyFont="1" applyBorder="1"/>
    <xf numFmtId="165" fontId="12" fillId="0" borderId="24" xfId="17" applyFont="1" applyBorder="1"/>
    <xf numFmtId="0" fontId="17" fillId="0" borderId="0" xfId="0" applyFont="1" applyAlignment="1">
      <alignment horizontal="left"/>
    </xf>
    <xf numFmtId="0" fontId="0" fillId="0" borderId="0" xfId="0" applyFill="1"/>
    <xf numFmtId="0" fontId="11" fillId="0" borderId="0" xfId="0" applyFont="1"/>
    <xf numFmtId="0" fontId="0" fillId="0" borderId="0" xfId="0"/>
    <xf numFmtId="0" fontId="0" fillId="0" borderId="1" xfId="0" applyFill="1" applyBorder="1" applyAlignment="1">
      <alignment horizontal="right" wrapText="1"/>
    </xf>
    <xf numFmtId="0" fontId="0" fillId="0" borderId="21" xfId="0" applyFill="1" applyBorder="1" applyAlignment="1">
      <alignment horizontal="center" wrapText="1"/>
    </xf>
    <xf numFmtId="0" fontId="0" fillId="0" borderId="2" xfId="0" applyFill="1" applyBorder="1" applyAlignment="1">
      <alignment horizontal="right" wrapText="1"/>
    </xf>
    <xf numFmtId="4" fontId="0" fillId="0" borderId="2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horizontal="right" wrapText="1"/>
    </xf>
    <xf numFmtId="168" fontId="0" fillId="0" borderId="1" xfId="0" applyNumberFormat="1" applyFill="1" applyBorder="1" applyAlignment="1">
      <alignment wrapText="1"/>
    </xf>
    <xf numFmtId="4" fontId="0" fillId="0" borderId="2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18" fillId="0" borderId="1" xfId="11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18" fillId="0" borderId="1" xfId="11" applyFont="1" applyFill="1" applyBorder="1" applyAlignment="1">
      <alignment horizontal="center" vertical="center"/>
    </xf>
    <xf numFmtId="165" fontId="18" fillId="0" borderId="1" xfId="13" applyFont="1" applyFill="1" applyBorder="1" applyAlignment="1">
      <alignment vertical="center" wrapText="1"/>
    </xf>
    <xf numFmtId="171" fontId="18" fillId="0" borderId="1" xfId="11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11" applyFont="1" applyFill="1" applyBorder="1" applyAlignment="1">
      <alignment vertical="center" wrapText="1"/>
    </xf>
    <xf numFmtId="165" fontId="18" fillId="0" borderId="1" xfId="13" applyFont="1" applyFill="1" applyBorder="1" applyAlignment="1">
      <alignment vertical="center"/>
    </xf>
    <xf numFmtId="0" fontId="0" fillId="0" borderId="21" xfId="0" applyFill="1" applyBorder="1" applyAlignment="1">
      <alignment horizontal="right" wrapText="1"/>
    </xf>
    <xf numFmtId="0" fontId="0" fillId="0" borderId="21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0" fontId="23" fillId="0" borderId="0" xfId="11" applyFont="1" applyAlignment="1">
      <alignment vertical="center"/>
    </xf>
    <xf numFmtId="0" fontId="23" fillId="0" borderId="0" xfId="11" applyFont="1" applyFill="1" applyAlignment="1">
      <alignment horizontal="left" vertical="center"/>
    </xf>
    <xf numFmtId="0" fontId="23" fillId="0" borderId="8" xfId="11" applyFont="1" applyBorder="1" applyAlignment="1">
      <alignment horizontal="left" vertical="top"/>
    </xf>
    <xf numFmtId="0" fontId="23" fillId="0" borderId="0" xfId="11" applyFont="1" applyBorder="1" applyAlignment="1">
      <alignment horizontal="left" vertical="top"/>
    </xf>
    <xf numFmtId="0" fontId="27" fillId="0" borderId="0" xfId="11" applyFont="1" applyAlignment="1">
      <alignment vertical="center"/>
    </xf>
    <xf numFmtId="0" fontId="26" fillId="0" borderId="1" xfId="6" applyFont="1" applyBorder="1" applyAlignment="1">
      <alignment horizontal="center"/>
    </xf>
    <xf numFmtId="0" fontId="26" fillId="0" borderId="1" xfId="11" applyFont="1" applyBorder="1" applyAlignment="1">
      <alignment horizontal="center" vertical="center"/>
    </xf>
    <xf numFmtId="0" fontId="27" fillId="0" borderId="1" xfId="11" applyFont="1" applyBorder="1" applyAlignment="1">
      <alignment vertical="center"/>
    </xf>
    <xf numFmtId="0" fontId="27" fillId="0" borderId="7" xfId="11" applyFont="1" applyBorder="1" applyAlignment="1">
      <alignment horizontal="center" vertical="center"/>
    </xf>
    <xf numFmtId="0" fontId="26" fillId="0" borderId="2" xfId="11" applyFont="1" applyFill="1" applyBorder="1" applyAlignment="1">
      <alignment horizontal="right" vertical="center"/>
    </xf>
    <xf numFmtId="10" fontId="26" fillId="0" borderId="17" xfId="6" applyNumberFormat="1" applyFont="1" applyFill="1" applyBorder="1" applyAlignment="1">
      <alignment horizontal="center"/>
    </xf>
    <xf numFmtId="10" fontId="26" fillId="0" borderId="29" xfId="6" applyNumberFormat="1" applyFont="1" applyFill="1" applyBorder="1" applyAlignment="1">
      <alignment horizontal="center"/>
    </xf>
    <xf numFmtId="0" fontId="27" fillId="0" borderId="0" xfId="11" applyFont="1" applyFill="1" applyAlignment="1">
      <alignment vertical="center"/>
    </xf>
    <xf numFmtId="0" fontId="26" fillId="0" borderId="20" xfId="11" applyFont="1" applyBorder="1" applyAlignment="1">
      <alignment horizontal="center" vertical="center"/>
    </xf>
    <xf numFmtId="0" fontId="26" fillId="0" borderId="3" xfId="11" applyFont="1" applyBorder="1" applyAlignment="1">
      <alignment horizontal="center" vertical="center"/>
    </xf>
    <xf numFmtId="0" fontId="27" fillId="0" borderId="3" xfId="11" applyFont="1" applyBorder="1" applyAlignment="1">
      <alignment vertical="center"/>
    </xf>
    <xf numFmtId="0" fontId="27" fillId="0" borderId="4" xfId="11" applyFont="1" applyBorder="1" applyAlignment="1">
      <alignment vertical="center"/>
    </xf>
    <xf numFmtId="0" fontId="27" fillId="0" borderId="9" xfId="11" applyFont="1" applyBorder="1" applyAlignment="1">
      <alignment horizontal="center" vertical="center"/>
    </xf>
    <xf numFmtId="10" fontId="26" fillId="0" borderId="3" xfId="6" applyNumberFormat="1" applyFont="1" applyFill="1" applyBorder="1" applyAlignment="1">
      <alignment horizontal="center"/>
    </xf>
    <xf numFmtId="10" fontId="26" fillId="0" borderId="4" xfId="6" applyNumberFormat="1" applyFont="1" applyFill="1" applyBorder="1" applyAlignment="1">
      <alignment horizontal="center"/>
    </xf>
    <xf numFmtId="0" fontId="26" fillId="0" borderId="15" xfId="11" applyFont="1" applyBorder="1" applyAlignment="1">
      <alignment horizontal="center" vertical="center"/>
    </xf>
    <xf numFmtId="10" fontId="27" fillId="0" borderId="21" xfId="12" applyNumberFormat="1" applyFont="1" applyFill="1" applyBorder="1" applyAlignment="1">
      <alignment horizontal="right" indent="1"/>
    </xf>
    <xf numFmtId="0" fontId="23" fillId="0" borderId="0" xfId="11" applyFont="1" applyFill="1" applyAlignment="1">
      <alignment horizontal="left" vertical="center" wrapText="1"/>
    </xf>
    <xf numFmtId="0" fontId="27" fillId="0" borderId="11" xfId="6" applyFont="1" applyBorder="1" applyAlignment="1">
      <alignment horizontal="left" wrapText="1"/>
    </xf>
    <xf numFmtId="0" fontId="27" fillId="0" borderId="10" xfId="6" applyFont="1" applyBorder="1" applyAlignment="1">
      <alignment horizontal="left" wrapText="1"/>
    </xf>
    <xf numFmtId="0" fontId="26" fillId="0" borderId="17" xfId="11" applyFont="1" applyFill="1" applyBorder="1" applyAlignment="1">
      <alignment horizontal="right" vertical="center" wrapText="1"/>
    </xf>
    <xf numFmtId="0" fontId="27" fillId="0" borderId="0" xfId="11" applyFont="1" applyAlignment="1">
      <alignment vertical="center" wrapText="1"/>
    </xf>
    <xf numFmtId="0" fontId="24" fillId="0" borderId="0" xfId="0" applyFont="1" applyAlignment="1">
      <alignment wrapText="1"/>
    </xf>
    <xf numFmtId="0" fontId="27" fillId="0" borderId="9" xfId="6" applyFont="1" applyBorder="1" applyAlignment="1">
      <alignment horizontal="left" wrapText="1"/>
    </xf>
    <xf numFmtId="0" fontId="27" fillId="0" borderId="12" xfId="6" applyFont="1" applyBorder="1" applyAlignment="1">
      <alignment horizontal="left" wrapText="1"/>
    </xf>
    <xf numFmtId="0" fontId="26" fillId="0" borderId="3" xfId="11" applyFont="1" applyFill="1" applyBorder="1" applyAlignment="1">
      <alignment horizontal="right" vertical="center" wrapText="1"/>
    </xf>
    <xf numFmtId="0" fontId="23" fillId="0" borderId="0" xfId="11" applyFont="1" applyBorder="1" applyAlignment="1">
      <alignment horizontal="left" vertical="top" wrapText="1"/>
    </xf>
    <xf numFmtId="0" fontId="23" fillId="0" borderId="0" xfId="11" applyFont="1" applyAlignment="1">
      <alignment vertical="center" wrapText="1"/>
    </xf>
    <xf numFmtId="168" fontId="0" fillId="0" borderId="0" xfId="0" applyNumberFormat="1" applyFill="1" applyAlignment="1">
      <alignment wrapText="1"/>
    </xf>
    <xf numFmtId="0" fontId="10" fillId="0" borderId="3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2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wrapText="1"/>
    </xf>
    <xf numFmtId="0" fontId="0" fillId="0" borderId="2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43" fontId="0" fillId="0" borderId="0" xfId="0" applyNumberFormat="1" applyFill="1"/>
    <xf numFmtId="168" fontId="0" fillId="0" borderId="1" xfId="0" applyNumberFormat="1" applyFill="1" applyBorder="1" applyAlignment="1">
      <alignment horizontal="right" wrapText="1"/>
    </xf>
    <xf numFmtId="169" fontId="0" fillId="0" borderId="1" xfId="0" applyNumberFormat="1" applyFill="1" applyBorder="1" applyAlignment="1">
      <alignment wrapText="1"/>
    </xf>
    <xf numFmtId="165" fontId="0" fillId="0" borderId="1" xfId="13" applyFont="1" applyFill="1" applyBorder="1" applyAlignment="1">
      <alignment wrapText="1"/>
    </xf>
    <xf numFmtId="165" fontId="0" fillId="0" borderId="2" xfId="13" applyFont="1" applyFill="1" applyBorder="1" applyAlignment="1">
      <alignment horizontal="left" vertical="center" wrapText="1"/>
    </xf>
    <xf numFmtId="165" fontId="0" fillId="0" borderId="1" xfId="13" applyFont="1" applyFill="1" applyBorder="1" applyAlignment="1">
      <alignment vertical="center" wrapText="1"/>
    </xf>
    <xf numFmtId="165" fontId="0" fillId="0" borderId="1" xfId="13" applyFont="1" applyFill="1" applyBorder="1" applyAlignment="1">
      <alignment horizontal="left" wrapText="1"/>
    </xf>
    <xf numFmtId="0" fontId="3" fillId="0" borderId="0" xfId="11" applyFont="1" applyFill="1" applyAlignment="1">
      <alignment vertical="center"/>
    </xf>
    <xf numFmtId="171" fontId="18" fillId="0" borderId="1" xfId="11" applyNumberFormat="1" applyFont="1" applyFill="1" applyBorder="1" applyAlignment="1">
      <alignment vertical="center"/>
    </xf>
    <xf numFmtId="0" fontId="3" fillId="0" borderId="0" xfId="11" applyFont="1" applyFill="1" applyAlignment="1">
      <alignment vertical="center" wrapText="1"/>
    </xf>
    <xf numFmtId="0" fontId="0" fillId="0" borderId="1" xfId="0" applyFill="1" applyBorder="1"/>
    <xf numFmtId="0" fontId="25" fillId="5" borderId="3" xfId="0" applyFont="1" applyFill="1" applyBorder="1" applyAlignment="1">
      <alignment horizontal="center" wrapText="1"/>
    </xf>
    <xf numFmtId="0" fontId="25" fillId="5" borderId="4" xfId="0" applyFont="1" applyFill="1" applyBorder="1" applyAlignment="1">
      <alignment horizontal="center" wrapText="1"/>
    </xf>
    <xf numFmtId="10" fontId="26" fillId="0" borderId="19" xfId="12" applyNumberFormat="1" applyFont="1" applyFill="1" applyBorder="1" applyAlignment="1">
      <alignment horizontal="right" indent="1"/>
    </xf>
    <xf numFmtId="10" fontId="26" fillId="0" borderId="1" xfId="12" applyNumberFormat="1" applyFont="1" applyFill="1" applyBorder="1" applyAlignment="1">
      <alignment horizontal="right" indent="1"/>
    </xf>
    <xf numFmtId="10" fontId="26" fillId="5" borderId="1" xfId="12" applyNumberFormat="1" applyFont="1" applyFill="1" applyBorder="1" applyAlignment="1">
      <alignment horizontal="right" vertical="center" indent="1"/>
    </xf>
    <xf numFmtId="0" fontId="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/>
    </xf>
    <xf numFmtId="2" fontId="11" fillId="5" borderId="1" xfId="0" applyNumberFormat="1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4" fontId="0" fillId="9" borderId="21" xfId="0" applyNumberFormat="1" applyFill="1" applyBorder="1" applyAlignment="1" applyProtection="1">
      <alignment horizontal="right"/>
      <protection locked="0"/>
    </xf>
    <xf numFmtId="4" fontId="0" fillId="9" borderId="1" xfId="0" applyNumberFormat="1" applyFill="1" applyBorder="1" applyAlignment="1" applyProtection="1">
      <alignment horizontal="right"/>
      <protection locked="0"/>
    </xf>
    <xf numFmtId="4" fontId="0" fillId="9" borderId="2" xfId="0" applyNumberFormat="1" applyFill="1" applyBorder="1" applyAlignment="1" applyProtection="1">
      <alignment horizontal="right"/>
      <protection locked="0"/>
    </xf>
    <xf numFmtId="4" fontId="0" fillId="9" borderId="1" xfId="0" applyNumberFormat="1" applyFill="1" applyBorder="1" applyProtection="1">
      <protection locked="0"/>
    </xf>
    <xf numFmtId="1" fontId="11" fillId="9" borderId="1" xfId="0" applyNumberFormat="1" applyFont="1" applyFill="1" applyBorder="1" applyAlignment="1" applyProtection="1">
      <alignment horizontal="center" vertical="center"/>
      <protection locked="0"/>
    </xf>
    <xf numFmtId="1" fontId="11" fillId="9" borderId="1" xfId="0" applyNumberFormat="1" applyFont="1" applyFill="1" applyBorder="1" applyAlignment="1" applyProtection="1">
      <alignment horizontal="center"/>
      <protection locked="0"/>
    </xf>
    <xf numFmtId="1" fontId="11" fillId="10" borderId="21" xfId="0" applyNumberFormat="1" applyFont="1" applyFill="1" applyBorder="1" applyAlignment="1" applyProtection="1">
      <alignment horizontal="center"/>
      <protection locked="0"/>
    </xf>
    <xf numFmtId="1" fontId="11" fillId="10" borderId="1" xfId="0" applyNumberFormat="1" applyFont="1" applyFill="1" applyBorder="1" applyAlignment="1" applyProtection="1">
      <alignment horizontal="center"/>
      <protection locked="0"/>
    </xf>
    <xf numFmtId="10" fontId="27" fillId="9" borderId="21" xfId="12" applyNumberFormat="1" applyFont="1" applyFill="1" applyBorder="1" applyAlignment="1" applyProtection="1">
      <alignment horizontal="right" indent="1"/>
      <protection locked="0"/>
    </xf>
    <xf numFmtId="165" fontId="0" fillId="0" borderId="2" xfId="13" applyFont="1" applyFill="1" applyBorder="1" applyAlignment="1">
      <alignment horizontal="right" wrapText="1"/>
    </xf>
    <xf numFmtId="171" fontId="28" fillId="0" borderId="1" xfId="11" applyNumberFormat="1" applyFont="1" applyFill="1" applyBorder="1" applyAlignment="1">
      <alignment vertical="center" wrapText="1"/>
    </xf>
    <xf numFmtId="171" fontId="28" fillId="0" borderId="1" xfId="11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/>
    </xf>
    <xf numFmtId="0" fontId="11" fillId="0" borderId="0" xfId="0" applyFont="1" applyFill="1"/>
    <xf numFmtId="0" fontId="16" fillId="0" borderId="1" xfId="0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18" fillId="0" borderId="1" xfId="66" applyNumberFormat="1" applyFont="1" applyFill="1" applyBorder="1" applyAlignment="1" applyProtection="1">
      <alignment horizontal="center" vertical="center"/>
      <protection hidden="1"/>
    </xf>
    <xf numFmtId="0" fontId="0" fillId="0" borderId="33" xfId="0" applyBorder="1"/>
    <xf numFmtId="2" fontId="18" fillId="0" borderId="33" xfId="66" applyNumberFormat="1" applyFont="1" applyFill="1" applyBorder="1" applyAlignment="1" applyProtection="1">
      <alignment horizontal="center" vertical="center"/>
      <protection hidden="1"/>
    </xf>
    <xf numFmtId="0" fontId="0" fillId="0" borderId="34" xfId="0" applyBorder="1"/>
    <xf numFmtId="2" fontId="18" fillId="0" borderId="29" xfId="66" applyNumberFormat="1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29" fillId="0" borderId="0" xfId="0" applyFont="1"/>
    <xf numFmtId="0" fontId="25" fillId="5" borderId="2" xfId="0" applyFont="1" applyFill="1" applyBorder="1" applyAlignment="1">
      <alignment horizontal="right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Protection="1"/>
    <xf numFmtId="4" fontId="0" fillId="0" borderId="0" xfId="0" applyNumberFormat="1" applyProtection="1"/>
    <xf numFmtId="0" fontId="0" fillId="9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10" fillId="6" borderId="2" xfId="0" applyFont="1" applyFill="1" applyBorder="1" applyAlignment="1" applyProtection="1">
      <alignment wrapText="1"/>
    </xf>
    <xf numFmtId="0" fontId="0" fillId="6" borderId="3" xfId="0" applyFill="1" applyBorder="1" applyAlignment="1" applyProtection="1">
      <alignment wrapText="1"/>
    </xf>
    <xf numFmtId="0" fontId="0" fillId="6" borderId="3" xfId="0" applyFill="1" applyBorder="1" applyAlignment="1" applyProtection="1"/>
    <xf numFmtId="4" fontId="0" fillId="6" borderId="3" xfId="0" applyNumberFormat="1" applyFill="1" applyBorder="1" applyAlignment="1" applyProtection="1"/>
    <xf numFmtId="4" fontId="0" fillId="6" borderId="4" xfId="0" applyNumberFormat="1" applyFill="1" applyBorder="1" applyAlignment="1" applyProtection="1"/>
    <xf numFmtId="0" fontId="10" fillId="3" borderId="1" xfId="0" applyFont="1" applyFill="1" applyBorder="1" applyAlignment="1" applyProtection="1">
      <alignment horizontal="center" vertical="center" wrapText="1"/>
    </xf>
    <xf numFmtId="4" fontId="10" fillId="3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wrapText="1"/>
    </xf>
    <xf numFmtId="0" fontId="0" fillId="0" borderId="21" xfId="0" applyFill="1" applyBorder="1" applyAlignment="1" applyProtection="1">
      <alignment wrapText="1"/>
    </xf>
    <xf numFmtId="0" fontId="0" fillId="0" borderId="21" xfId="0" applyFill="1" applyBorder="1" applyProtection="1"/>
    <xf numFmtId="0" fontId="0" fillId="0" borderId="1" xfId="0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horizontal="right"/>
    </xf>
    <xf numFmtId="0" fontId="0" fillId="0" borderId="1" xfId="0" applyFill="1" applyBorder="1" applyProtection="1"/>
    <xf numFmtId="0" fontId="0" fillId="0" borderId="21" xfId="0" applyFill="1" applyBorder="1" applyAlignment="1" applyProtection="1">
      <alignment horizontal="center"/>
    </xf>
    <xf numFmtId="4" fontId="0" fillId="0" borderId="36" xfId="0" applyNumberForma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4" fontId="0" fillId="0" borderId="0" xfId="0" applyNumberFormat="1" applyBorder="1" applyProtection="1"/>
    <xf numFmtId="0" fontId="0" fillId="0" borderId="0" xfId="0" applyBorder="1" applyProtection="1"/>
    <xf numFmtId="0" fontId="0" fillId="0" borderId="30" xfId="0" applyFill="1" applyBorder="1" applyAlignment="1" applyProtection="1">
      <alignment horizontal="right" wrapText="1"/>
    </xf>
    <xf numFmtId="0" fontId="0" fillId="0" borderId="4" xfId="0" applyFill="1" applyBorder="1" applyAlignment="1" applyProtection="1">
      <alignment horizontal="right" wrapText="1"/>
    </xf>
    <xf numFmtId="0" fontId="0" fillId="0" borderId="1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right" wrapText="1"/>
    </xf>
    <xf numFmtId="0" fontId="0" fillId="0" borderId="21" xfId="0" applyFill="1" applyBorder="1" applyAlignment="1" applyProtection="1">
      <alignment horizontal="center" wrapText="1"/>
    </xf>
    <xf numFmtId="0" fontId="0" fillId="0" borderId="2" xfId="0" applyFill="1" applyBorder="1" applyAlignment="1" applyProtection="1">
      <alignment horizontal="right" wrapText="1"/>
    </xf>
    <xf numFmtId="0" fontId="0" fillId="0" borderId="1" xfId="0" applyFill="1" applyBorder="1" applyAlignment="1" applyProtection="1">
      <alignment horizontal="right" wrapText="1"/>
    </xf>
    <xf numFmtId="0" fontId="0" fillId="0" borderId="0" xfId="0" applyFill="1" applyProtection="1"/>
    <xf numFmtId="0" fontId="0" fillId="0" borderId="25" xfId="0" applyFill="1" applyBorder="1" applyAlignment="1" applyProtection="1">
      <alignment horizontal="left" wrapText="1"/>
    </xf>
    <xf numFmtId="0" fontId="0" fillId="0" borderId="3" xfId="0" applyFill="1" applyBorder="1" applyAlignment="1" applyProtection="1">
      <alignment horizontal="left" wrapText="1"/>
    </xf>
    <xf numFmtId="0" fontId="0" fillId="0" borderId="1" xfId="0" applyFill="1" applyBorder="1" applyAlignment="1" applyProtection="1">
      <alignment horizontal="left" wrapText="1"/>
    </xf>
    <xf numFmtId="0" fontId="0" fillId="7" borderId="0" xfId="0" applyFill="1" applyBorder="1" applyAlignment="1" applyProtection="1">
      <alignment horizontal="left" wrapText="1"/>
    </xf>
    <xf numFmtId="0" fontId="0" fillId="0" borderId="0" xfId="0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4" fontId="0" fillId="0" borderId="0" xfId="0" applyNumberFormat="1" applyFill="1" applyBorder="1" applyProtection="1"/>
    <xf numFmtId="0" fontId="10" fillId="6" borderId="1" xfId="0" applyFont="1" applyFill="1" applyBorder="1" applyAlignment="1" applyProtection="1">
      <alignment wrapText="1"/>
    </xf>
    <xf numFmtId="0" fontId="0" fillId="6" borderId="1" xfId="0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vertical="center" wrapText="1"/>
    </xf>
    <xf numFmtId="49" fontId="11" fillId="0" borderId="3" xfId="0" applyNumberFormat="1" applyFont="1" applyBorder="1" applyAlignment="1" applyProtection="1">
      <alignment vertical="center" wrapText="1"/>
    </xf>
    <xf numFmtId="49" fontId="11" fillId="0" borderId="4" xfId="0" applyNumberFormat="1" applyFont="1" applyBorder="1" applyAlignment="1" applyProtection="1">
      <alignment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34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49" fontId="11" fillId="0" borderId="3" xfId="0" applyNumberFormat="1" applyFont="1" applyBorder="1" applyAlignment="1" applyProtection="1">
      <alignment horizontal="center" vertical="center" wrapText="1"/>
    </xf>
    <xf numFmtId="0" fontId="11" fillId="0" borderId="32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49" fontId="12" fillId="6" borderId="13" xfId="0" applyNumberFormat="1" applyFont="1" applyFill="1" applyBorder="1" applyAlignment="1" applyProtection="1">
      <alignment horizontal="center"/>
    </xf>
    <xf numFmtId="0" fontId="12" fillId="6" borderId="2" xfId="0" applyFont="1" applyFill="1" applyBorder="1" applyAlignment="1" applyProtection="1"/>
    <xf numFmtId="0" fontId="12" fillId="6" borderId="3" xfId="0" applyFont="1" applyFill="1" applyBorder="1" applyAlignment="1" applyProtection="1"/>
    <xf numFmtId="170" fontId="11" fillId="6" borderId="3" xfId="0" applyNumberFormat="1" applyFont="1" applyFill="1" applyBorder="1" applyAlignment="1" applyProtection="1">
      <alignment horizontal="center"/>
    </xf>
    <xf numFmtId="165" fontId="12" fillId="6" borderId="3" xfId="0" applyNumberFormat="1" applyFont="1" applyFill="1" applyBorder="1" applyAlignment="1" applyProtection="1"/>
    <xf numFmtId="43" fontId="11" fillId="6" borderId="4" xfId="0" applyNumberFormat="1" applyFont="1" applyFill="1" applyBorder="1" applyAlignment="1" applyProtection="1">
      <alignment horizontal="center"/>
    </xf>
    <xf numFmtId="49" fontId="12" fillId="3" borderId="13" xfId="0" applyNumberFormat="1" applyFont="1" applyFill="1" applyBorder="1" applyAlignment="1" applyProtection="1">
      <alignment horizontal="center"/>
    </xf>
    <xf numFmtId="0" fontId="12" fillId="3" borderId="2" xfId="0" applyFont="1" applyFill="1" applyBorder="1" applyProtection="1"/>
    <xf numFmtId="0" fontId="11" fillId="3" borderId="3" xfId="0" applyFont="1" applyFill="1" applyBorder="1" applyAlignment="1" applyProtection="1">
      <alignment horizontal="center"/>
    </xf>
    <xf numFmtId="170" fontId="11" fillId="3" borderId="3" xfId="0" applyNumberFormat="1" applyFont="1" applyFill="1" applyBorder="1" applyProtection="1"/>
    <xf numFmtId="165" fontId="11" fillId="3" borderId="3" xfId="13" applyNumberFormat="1" applyFont="1" applyFill="1" applyBorder="1" applyProtection="1"/>
    <xf numFmtId="43" fontId="11" fillId="3" borderId="4" xfId="0" applyNumberFormat="1" applyFont="1" applyFill="1" applyBorder="1" applyAlignment="1" applyProtection="1">
      <alignment horizontal="center"/>
    </xf>
    <xf numFmtId="49" fontId="11" fillId="0" borderId="5" xfId="0" applyNumberFormat="1" applyFont="1" applyBorder="1" applyAlignment="1" applyProtection="1">
      <alignment horizontal="center"/>
    </xf>
    <xf numFmtId="0" fontId="11" fillId="2" borderId="21" xfId="0" applyFont="1" applyFill="1" applyBorder="1" applyProtection="1"/>
    <xf numFmtId="0" fontId="11" fillId="2" borderId="21" xfId="0" applyFont="1" applyFill="1" applyBorder="1" applyAlignment="1" applyProtection="1">
      <alignment horizontal="center"/>
    </xf>
    <xf numFmtId="0" fontId="11" fillId="0" borderId="21" xfId="0" applyFont="1" applyFill="1" applyBorder="1" applyAlignment="1" applyProtection="1">
      <alignment horizontal="center"/>
    </xf>
    <xf numFmtId="165" fontId="11" fillId="0" borderId="21" xfId="13" applyNumberFormat="1" applyFont="1" applyFill="1" applyBorder="1" applyProtection="1"/>
    <xf numFmtId="43" fontId="11" fillId="0" borderId="21" xfId="0" applyNumberFormat="1" applyFont="1" applyFill="1" applyBorder="1" applyAlignment="1" applyProtection="1">
      <alignment horizontal="center"/>
    </xf>
    <xf numFmtId="43" fontId="11" fillId="0" borderId="2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165" fontId="11" fillId="0" borderId="1" xfId="17" applyNumberFormat="1" applyFont="1" applyFill="1" applyBorder="1" applyProtection="1"/>
    <xf numFmtId="0" fontId="19" fillId="0" borderId="21" xfId="0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vertical="center" wrapText="1"/>
    </xf>
    <xf numFmtId="49" fontId="11" fillId="5" borderId="34" xfId="0" applyNumberFormat="1" applyFont="1" applyFill="1" applyBorder="1" applyAlignment="1" applyProtection="1">
      <alignment horizontal="center" vertical="center" wrapText="1"/>
    </xf>
    <xf numFmtId="0" fontId="11" fillId="5" borderId="17" xfId="0" applyFont="1" applyFill="1" applyBorder="1" applyAlignment="1" applyProtection="1">
      <alignment wrapText="1"/>
    </xf>
    <xf numFmtId="0" fontId="11" fillId="5" borderId="17" xfId="0" applyFont="1" applyFill="1" applyBorder="1" applyAlignment="1" applyProtection="1">
      <alignment horizontal="center"/>
    </xf>
    <xf numFmtId="1" fontId="11" fillId="5" borderId="17" xfId="0" applyNumberFormat="1" applyFont="1" applyFill="1" applyBorder="1" applyAlignment="1" applyProtection="1">
      <alignment horizontal="center"/>
    </xf>
    <xf numFmtId="165" fontId="12" fillId="5" borderId="29" xfId="13" applyNumberFormat="1" applyFont="1" applyFill="1" applyBorder="1" applyAlignment="1" applyProtection="1">
      <alignment horizontal="right" vertical="center"/>
    </xf>
    <xf numFmtId="43" fontId="12" fillId="5" borderId="43" xfId="0" applyNumberFormat="1" applyFont="1" applyFill="1" applyBorder="1" applyAlignment="1" applyProtection="1">
      <alignment horizontal="center"/>
    </xf>
    <xf numFmtId="165" fontId="11" fillId="5" borderId="33" xfId="13" applyNumberFormat="1" applyFont="1" applyFill="1" applyBorder="1" applyProtection="1"/>
    <xf numFmtId="0" fontId="0" fillId="2" borderId="0" xfId="0" applyFill="1" applyProtection="1"/>
    <xf numFmtId="49" fontId="12" fillId="6" borderId="33" xfId="0" applyNumberFormat="1" applyFont="1" applyFill="1" applyBorder="1" applyAlignment="1" applyProtection="1">
      <alignment horizontal="center" vertical="center" wrapText="1"/>
    </xf>
    <xf numFmtId="0" fontId="12" fillId="6" borderId="34" xfId="0" applyFont="1" applyFill="1" applyBorder="1" applyAlignment="1" applyProtection="1">
      <alignment horizontal="left" vertical="center"/>
    </xf>
    <xf numFmtId="0" fontId="11" fillId="6" borderId="17" xfId="0" applyFont="1" applyFill="1" applyBorder="1" applyAlignment="1" applyProtection="1">
      <alignment vertical="center" wrapText="1"/>
    </xf>
    <xf numFmtId="165" fontId="11" fillId="6" borderId="17" xfId="0" applyNumberFormat="1" applyFont="1" applyFill="1" applyBorder="1" applyAlignment="1" applyProtection="1"/>
    <xf numFmtId="43" fontId="11" fillId="6" borderId="29" xfId="0" applyNumberFormat="1" applyFont="1" applyFill="1" applyBorder="1" applyAlignment="1" applyProtection="1">
      <alignment horizontal="center"/>
    </xf>
    <xf numFmtId="49" fontId="12" fillId="6" borderId="21" xfId="0" applyNumberFormat="1" applyFont="1" applyFill="1" applyBorder="1" applyAlignment="1" applyProtection="1">
      <alignment horizontal="center" vertical="center" wrapText="1"/>
    </xf>
    <xf numFmtId="0" fontId="12" fillId="6" borderId="32" xfId="0" applyFont="1" applyFill="1" applyBorder="1" applyAlignment="1" applyProtection="1">
      <alignment horizontal="left" vertical="center"/>
    </xf>
    <xf numFmtId="0" fontId="11" fillId="6" borderId="25" xfId="0" applyFont="1" applyFill="1" applyBorder="1" applyAlignment="1" applyProtection="1">
      <alignment vertical="center" wrapText="1"/>
    </xf>
    <xf numFmtId="0" fontId="11" fillId="6" borderId="30" xfId="0" applyFont="1" applyFill="1" applyBorder="1" applyAlignment="1" applyProtection="1">
      <alignment vertical="center" wrapText="1"/>
    </xf>
    <xf numFmtId="49" fontId="12" fillId="3" borderId="31" xfId="0" applyNumberFormat="1" applyFont="1" applyFill="1" applyBorder="1" applyAlignment="1" applyProtection="1">
      <alignment horizontal="center" vertical="center" wrapText="1"/>
    </xf>
    <xf numFmtId="0" fontId="12" fillId="3" borderId="32" xfId="0" applyFont="1" applyFill="1" applyBorder="1" applyAlignment="1" applyProtection="1">
      <alignment vertical="center"/>
    </xf>
    <xf numFmtId="0" fontId="11" fillId="3" borderId="25" xfId="0" applyFont="1" applyFill="1" applyBorder="1" applyAlignment="1" applyProtection="1"/>
    <xf numFmtId="1" fontId="11" fillId="3" borderId="25" xfId="0" applyNumberFormat="1" applyFont="1" applyFill="1" applyBorder="1" applyAlignment="1" applyProtection="1">
      <alignment horizontal="center"/>
    </xf>
    <xf numFmtId="165" fontId="11" fillId="3" borderId="25" xfId="0" applyNumberFormat="1" applyFont="1" applyFill="1" applyBorder="1" applyAlignment="1" applyProtection="1"/>
    <xf numFmtId="43" fontId="11" fillId="3" borderId="25" xfId="0" applyNumberFormat="1" applyFont="1" applyFill="1" applyBorder="1" applyAlignment="1" applyProtection="1">
      <alignment horizontal="center"/>
    </xf>
    <xf numFmtId="43" fontId="11" fillId="3" borderId="30" xfId="0" applyNumberFormat="1" applyFont="1" applyFill="1" applyBorder="1" applyAlignment="1" applyProtection="1">
      <alignment horizontal="center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wrapText="1"/>
    </xf>
    <xf numFmtId="0" fontId="11" fillId="2" borderId="1" xfId="0" applyFont="1" applyFill="1" applyBorder="1" applyAlignment="1" applyProtection="1">
      <alignment wrapText="1"/>
    </xf>
    <xf numFmtId="165" fontId="11" fillId="0" borderId="1" xfId="13" applyNumberFormat="1" applyFont="1" applyFill="1" applyBorder="1" applyProtection="1"/>
    <xf numFmtId="0" fontId="11" fillId="0" borderId="1" xfId="0" applyFont="1" applyFill="1" applyBorder="1" applyAlignment="1" applyProtection="1">
      <alignment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43" fontId="12" fillId="5" borderId="29" xfId="0" applyNumberFormat="1" applyFont="1" applyFill="1" applyBorder="1" applyAlignment="1" applyProtection="1">
      <alignment horizontal="center" vertical="center"/>
    </xf>
    <xf numFmtId="49" fontId="12" fillId="3" borderId="13" xfId="0" applyNumberFormat="1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vertical="center"/>
    </xf>
    <xf numFmtId="0" fontId="11" fillId="3" borderId="3" xfId="0" applyFont="1" applyFill="1" applyBorder="1" applyAlignment="1" applyProtection="1"/>
    <xf numFmtId="1" fontId="11" fillId="3" borderId="3" xfId="0" applyNumberFormat="1" applyFont="1" applyFill="1" applyBorder="1" applyAlignment="1" applyProtection="1">
      <alignment horizontal="center"/>
    </xf>
    <xf numFmtId="165" fontId="11" fillId="3" borderId="3" xfId="0" applyNumberFormat="1" applyFont="1" applyFill="1" applyBorder="1" applyAlignment="1" applyProtection="1"/>
    <xf numFmtId="43" fontId="11" fillId="3" borderId="3" xfId="0" applyNumberFormat="1" applyFont="1" applyFill="1" applyBorder="1" applyAlignment="1" applyProtection="1">
      <alignment horizontal="center"/>
    </xf>
    <xf numFmtId="43" fontId="11" fillId="0" borderId="21" xfId="0" applyNumberFormat="1" applyFont="1" applyFill="1" applyBorder="1" applyAlignment="1" applyProtection="1">
      <alignment horizontal="center" vertical="center"/>
    </xf>
    <xf numFmtId="165" fontId="12" fillId="5" borderId="33" xfId="13" applyNumberFormat="1" applyFont="1" applyFill="1" applyBorder="1" applyProtection="1"/>
    <xf numFmtId="49" fontId="12" fillId="3" borderId="34" xfId="0" applyNumberFormat="1" applyFont="1" applyFill="1" applyBorder="1" applyAlignment="1" applyProtection="1">
      <alignment horizontal="center" vertical="center" wrapText="1"/>
    </xf>
    <xf numFmtId="0" fontId="12" fillId="3" borderId="34" xfId="0" applyFont="1" applyFill="1" applyBorder="1" applyAlignment="1" applyProtection="1"/>
    <xf numFmtId="0" fontId="11" fillId="3" borderId="17" xfId="0" applyFont="1" applyFill="1" applyBorder="1" applyAlignment="1" applyProtection="1"/>
    <xf numFmtId="1" fontId="11" fillId="3" borderId="17" xfId="0" applyNumberFormat="1" applyFont="1" applyFill="1" applyBorder="1" applyAlignment="1" applyProtection="1">
      <alignment horizontal="center"/>
    </xf>
    <xf numFmtId="165" fontId="11" fillId="3" borderId="17" xfId="13" applyNumberFormat="1" applyFont="1" applyFill="1" applyBorder="1" applyProtection="1"/>
    <xf numFmtId="43" fontId="11" fillId="3" borderId="17" xfId="0" applyNumberFormat="1" applyFont="1" applyFill="1" applyBorder="1" applyAlignment="1" applyProtection="1">
      <alignment horizontal="center"/>
    </xf>
    <xf numFmtId="43" fontId="11" fillId="3" borderId="29" xfId="0" applyNumberFormat="1" applyFont="1" applyFill="1" applyBorder="1" applyAlignment="1" applyProtection="1">
      <alignment horizontal="center"/>
    </xf>
    <xf numFmtId="49" fontId="12" fillId="3" borderId="32" xfId="0" applyNumberFormat="1" applyFont="1" applyFill="1" applyBorder="1" applyAlignment="1" applyProtection="1">
      <alignment horizontal="center" vertical="center" wrapText="1"/>
    </xf>
    <xf numFmtId="0" fontId="12" fillId="3" borderId="32" xfId="0" applyFont="1" applyFill="1" applyBorder="1" applyAlignment="1" applyProtection="1"/>
    <xf numFmtId="165" fontId="11" fillId="3" borderId="25" xfId="13" applyNumberFormat="1" applyFont="1" applyFill="1" applyBorder="1" applyProtection="1"/>
    <xf numFmtId="49" fontId="11" fillId="2" borderId="21" xfId="0" applyNumberFormat="1" applyFont="1" applyFill="1" applyBorder="1" applyAlignment="1" applyProtection="1">
      <alignment horizontal="center" vertical="center" wrapText="1"/>
    </xf>
    <xf numFmtId="43" fontId="12" fillId="5" borderId="43" xfId="0" applyNumberFormat="1" applyFont="1" applyFill="1" applyBorder="1" applyAlignment="1" applyProtection="1">
      <alignment horizontal="center" vertical="center"/>
    </xf>
    <xf numFmtId="49" fontId="12" fillId="6" borderId="34" xfId="0" applyNumberFormat="1" applyFont="1" applyFill="1" applyBorder="1" applyAlignment="1" applyProtection="1">
      <alignment horizontal="center" vertical="center" wrapText="1"/>
    </xf>
    <xf numFmtId="0" fontId="12" fillId="6" borderId="34" xfId="0" applyFont="1" applyFill="1" applyBorder="1" applyAlignment="1" applyProtection="1">
      <alignment vertical="center"/>
    </xf>
    <xf numFmtId="0" fontId="11" fillId="6" borderId="29" xfId="0" applyFont="1" applyFill="1" applyBorder="1" applyAlignment="1" applyProtection="1">
      <alignment vertical="center" wrapText="1"/>
    </xf>
    <xf numFmtId="49" fontId="12" fillId="6" borderId="32" xfId="0" applyNumberFormat="1" applyFont="1" applyFill="1" applyBorder="1" applyAlignment="1" applyProtection="1">
      <alignment horizontal="center" vertical="center" wrapText="1"/>
    </xf>
    <xf numFmtId="0" fontId="11" fillId="6" borderId="25" xfId="0" applyFont="1" applyFill="1" applyBorder="1" applyAlignment="1" applyProtection="1">
      <alignment horizontal="center" vertical="center" wrapText="1"/>
    </xf>
    <xf numFmtId="0" fontId="11" fillId="6" borderId="30" xfId="0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wrapText="1"/>
    </xf>
    <xf numFmtId="0" fontId="11" fillId="5" borderId="3" xfId="0" applyFont="1" applyFill="1" applyBorder="1" applyAlignment="1" applyProtection="1">
      <alignment horizontal="center"/>
    </xf>
    <xf numFmtId="1" fontId="11" fillId="5" borderId="3" xfId="0" applyNumberFormat="1" applyFont="1" applyFill="1" applyBorder="1" applyAlignment="1" applyProtection="1">
      <alignment horizontal="center"/>
    </xf>
    <xf numFmtId="165" fontId="12" fillId="5" borderId="4" xfId="13" applyNumberFormat="1" applyFont="1" applyFill="1" applyBorder="1" applyAlignment="1" applyProtection="1">
      <alignment horizontal="right" vertical="center"/>
    </xf>
    <xf numFmtId="0" fontId="12" fillId="3" borderId="2" xfId="0" applyFont="1" applyFill="1" applyBorder="1" applyAlignment="1" applyProtection="1"/>
    <xf numFmtId="165" fontId="11" fillId="3" borderId="2" xfId="0" applyNumberFormat="1" applyFont="1" applyFill="1" applyBorder="1" applyAlignment="1" applyProtection="1"/>
    <xf numFmtId="0" fontId="12" fillId="3" borderId="2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horizontal="center"/>
    </xf>
    <xf numFmtId="164" fontId="12" fillId="3" borderId="33" xfId="1" applyNumberFormat="1" applyFont="1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43" fontId="0" fillId="0" borderId="3" xfId="0" applyNumberFormat="1" applyBorder="1" applyProtection="1"/>
    <xf numFmtId="165" fontId="0" fillId="0" borderId="3" xfId="13" applyFont="1" applyBorder="1" applyProtection="1"/>
    <xf numFmtId="0" fontId="0" fillId="0" borderId="4" xfId="0" applyBorder="1" applyProtection="1"/>
    <xf numFmtId="164" fontId="12" fillId="6" borderId="1" xfId="1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43" fontId="0" fillId="0" borderId="0" xfId="0" applyNumberFormat="1" applyProtection="1"/>
    <xf numFmtId="0" fontId="11" fillId="9" borderId="21" xfId="0" applyFont="1" applyFill="1" applyBorder="1" applyAlignment="1" applyProtection="1">
      <alignment horizontal="center"/>
      <protection locked="0"/>
    </xf>
    <xf numFmtId="2" fontId="11" fillId="0" borderId="3" xfId="0" applyNumberFormat="1" applyFont="1" applyBorder="1" applyAlignment="1" applyProtection="1">
      <alignment horizontal="left" vertical="center" wrapText="1"/>
    </xf>
    <xf numFmtId="2" fontId="11" fillId="0" borderId="4" xfId="0" applyNumberFormat="1" applyFont="1" applyBorder="1" applyAlignment="1" applyProtection="1">
      <alignment horizontal="left" vertical="center" wrapText="1"/>
    </xf>
    <xf numFmtId="2" fontId="18" fillId="11" borderId="1" xfId="66" applyNumberFormat="1" applyFont="1" applyFill="1" applyBorder="1" applyAlignment="1" applyProtection="1">
      <alignment horizontal="center" vertical="center"/>
      <protection locked="0" hidden="1"/>
    </xf>
    <xf numFmtId="2" fontId="18" fillId="12" borderId="1" xfId="66" applyNumberFormat="1" applyFont="1" applyFill="1" applyBorder="1" applyAlignment="1" applyProtection="1">
      <alignment horizontal="center" vertical="center"/>
      <protection locked="0" hidden="1"/>
    </xf>
    <xf numFmtId="2" fontId="18" fillId="12" borderId="33" xfId="66" applyNumberFormat="1" applyFont="1" applyFill="1" applyBorder="1" applyAlignment="1" applyProtection="1">
      <alignment horizontal="center" vertical="center"/>
      <protection locked="0" hidden="1"/>
    </xf>
    <xf numFmtId="2" fontId="10" fillId="0" borderId="46" xfId="0" applyNumberFormat="1" applyFont="1" applyFill="1" applyBorder="1" applyAlignment="1" applyProtection="1">
      <alignment horizontal="center"/>
    </xf>
    <xf numFmtId="0" fontId="25" fillId="9" borderId="3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49" fontId="13" fillId="4" borderId="26" xfId="0" applyNumberFormat="1" applyFont="1" applyFill="1" applyBorder="1" applyAlignment="1">
      <alignment horizontal="center"/>
    </xf>
    <xf numFmtId="49" fontId="13" fillId="4" borderId="27" xfId="0" applyNumberFormat="1" applyFont="1" applyFill="1" applyBorder="1" applyAlignment="1">
      <alignment horizontal="center"/>
    </xf>
    <xf numFmtId="49" fontId="13" fillId="4" borderId="28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12" fillId="0" borderId="1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0" fillId="10" borderId="1" xfId="0" applyFill="1" applyBorder="1" applyAlignment="1" applyProtection="1">
      <alignment horizontal="center" vertical="center" wrapText="1"/>
    </xf>
    <xf numFmtId="0" fontId="0" fillId="9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13" fillId="3" borderId="44" xfId="0" applyFont="1" applyFill="1" applyBorder="1" applyAlignment="1" applyProtection="1">
      <alignment horizontal="right"/>
    </xf>
    <xf numFmtId="0" fontId="13" fillId="3" borderId="0" xfId="0" applyFont="1" applyFill="1" applyBorder="1" applyAlignment="1" applyProtection="1">
      <alignment horizontal="right"/>
    </xf>
    <xf numFmtId="0" fontId="13" fillId="3" borderId="45" xfId="0" applyFont="1" applyFill="1" applyBorder="1" applyAlignment="1" applyProtection="1">
      <alignment horizontal="right"/>
    </xf>
    <xf numFmtId="0" fontId="13" fillId="6" borderId="2" xfId="0" applyFont="1" applyFill="1" applyBorder="1" applyAlignment="1" applyProtection="1">
      <alignment horizontal="right"/>
    </xf>
    <xf numFmtId="0" fontId="13" fillId="6" borderId="3" xfId="0" applyFont="1" applyFill="1" applyBorder="1" applyAlignment="1" applyProtection="1">
      <alignment horizontal="right"/>
    </xf>
    <xf numFmtId="0" fontId="13" fillId="6" borderId="4" xfId="0" applyFont="1" applyFill="1" applyBorder="1" applyAlignment="1" applyProtection="1">
      <alignment horizontal="right"/>
    </xf>
    <xf numFmtId="49" fontId="14" fillId="6" borderId="2" xfId="0" applyNumberFormat="1" applyFont="1" applyFill="1" applyBorder="1" applyAlignment="1" applyProtection="1">
      <alignment horizontal="center"/>
    </xf>
    <xf numFmtId="49" fontId="14" fillId="6" borderId="3" xfId="0" applyNumberFormat="1" applyFont="1" applyFill="1" applyBorder="1" applyAlignment="1" applyProtection="1">
      <alignment horizontal="center"/>
    </xf>
    <xf numFmtId="49" fontId="14" fillId="6" borderId="4" xfId="0" applyNumberFormat="1" applyFont="1" applyFill="1" applyBorder="1" applyAlignment="1" applyProtection="1">
      <alignment horizont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49" fontId="11" fillId="0" borderId="3" xfId="0" applyNumberFormat="1" applyFont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right"/>
    </xf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165" fontId="10" fillId="5" borderId="2" xfId="13" applyFont="1" applyFill="1" applyBorder="1" applyAlignment="1">
      <alignment horizontal="right" wrapText="1"/>
    </xf>
    <xf numFmtId="165" fontId="10" fillId="5" borderId="4" xfId="13" applyFont="1" applyFill="1" applyBorder="1" applyAlignment="1">
      <alignment horizontal="right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49" fontId="10" fillId="0" borderId="4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165" fontId="0" fillId="0" borderId="2" xfId="13" applyFont="1" applyFill="1" applyBorder="1" applyAlignment="1">
      <alignment horizontal="right" wrapText="1"/>
    </xf>
    <xf numFmtId="165" fontId="0" fillId="0" borderId="4" xfId="13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" fontId="10" fillId="0" borderId="4" xfId="0" applyNumberFormat="1" applyFont="1" applyFill="1" applyBorder="1" applyAlignment="1">
      <alignment horizontal="right" wrapText="1"/>
    </xf>
    <xf numFmtId="0" fontId="10" fillId="6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2" fontId="10" fillId="0" borderId="2" xfId="0" applyNumberFormat="1" applyFont="1" applyFill="1" applyBorder="1" applyAlignment="1">
      <alignment horizontal="right" wrapText="1"/>
    </xf>
    <xf numFmtId="2" fontId="10" fillId="0" borderId="4" xfId="0" applyNumberFormat="1" applyFont="1" applyFill="1" applyBorder="1" applyAlignment="1">
      <alignment horizontal="right" wrapText="1"/>
    </xf>
    <xf numFmtId="0" fontId="0" fillId="0" borderId="25" xfId="0" applyFill="1" applyBorder="1" applyAlignment="1">
      <alignment horizontal="center"/>
    </xf>
    <xf numFmtId="169" fontId="10" fillId="0" borderId="2" xfId="0" applyNumberFormat="1" applyFont="1" applyFill="1" applyBorder="1" applyAlignment="1">
      <alignment horizontal="right" wrapText="1"/>
    </xf>
    <xf numFmtId="169" fontId="10" fillId="0" borderId="4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168" fontId="10" fillId="0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/>
    </xf>
    <xf numFmtId="0" fontId="28" fillId="0" borderId="1" xfId="11" applyFont="1" applyFill="1" applyBorder="1" applyAlignment="1">
      <alignment horizontal="right" vertical="center"/>
    </xf>
    <xf numFmtId="165" fontId="10" fillId="5" borderId="1" xfId="13" applyFont="1" applyFill="1" applyBorder="1" applyAlignment="1">
      <alignment horizontal="right" wrapText="1"/>
    </xf>
    <xf numFmtId="0" fontId="20" fillId="0" borderId="2" xfId="0" applyFont="1" applyFill="1" applyBorder="1" applyAlignment="1">
      <alignment horizontal="left" wrapText="1"/>
    </xf>
    <xf numFmtId="0" fontId="20" fillId="0" borderId="3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left" wrapTex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0" fontId="0" fillId="0" borderId="33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3" xfId="0" applyFill="1" applyBorder="1" applyAlignment="1">
      <alignment horizontal="center" vertical="center"/>
    </xf>
    <xf numFmtId="0" fontId="26" fillId="5" borderId="2" xfId="11" applyNumberFormat="1" applyFont="1" applyFill="1" applyBorder="1" applyAlignment="1">
      <alignment horizontal="right" vertical="center"/>
    </xf>
    <xf numFmtId="0" fontId="26" fillId="5" borderId="35" xfId="11" applyNumberFormat="1" applyFont="1" applyFill="1" applyBorder="1" applyAlignment="1">
      <alignment horizontal="right" vertical="center"/>
    </xf>
    <xf numFmtId="0" fontId="26" fillId="0" borderId="9" xfId="11" applyFont="1" applyFill="1" applyBorder="1" applyAlignment="1">
      <alignment horizontal="right" vertical="center"/>
    </xf>
    <xf numFmtId="0" fontId="26" fillId="0" borderId="2" xfId="11" applyFont="1" applyBorder="1" applyAlignment="1">
      <alignment horizontal="left" vertical="center" wrapText="1"/>
    </xf>
    <xf numFmtId="0" fontId="26" fillId="0" borderId="3" xfId="11" applyFont="1" applyBorder="1" applyAlignment="1">
      <alignment horizontal="left" vertical="center" wrapText="1"/>
    </xf>
    <xf numFmtId="0" fontId="27" fillId="0" borderId="15" xfId="11" applyFont="1" applyBorder="1" applyAlignment="1">
      <alignment horizontal="left" vertical="center" wrapText="1"/>
    </xf>
    <xf numFmtId="0" fontId="27" fillId="0" borderId="20" xfId="11" applyFont="1" applyBorder="1" applyAlignment="1">
      <alignment horizontal="left" vertical="center" wrapText="1"/>
    </xf>
    <xf numFmtId="0" fontId="27" fillId="0" borderId="11" xfId="11" applyFont="1" applyBorder="1" applyAlignment="1">
      <alignment horizontal="left" vertical="center" wrapText="1"/>
    </xf>
    <xf numFmtId="0" fontId="27" fillId="0" borderId="10" xfId="11" applyFont="1" applyBorder="1" applyAlignment="1">
      <alignment horizontal="left" vertical="center" wrapText="1"/>
    </xf>
    <xf numFmtId="0" fontId="26" fillId="0" borderId="15" xfId="11" applyFont="1" applyBorder="1" applyAlignment="1">
      <alignment horizontal="left" vertical="center" wrapText="1"/>
    </xf>
    <xf numFmtId="0" fontId="26" fillId="0" borderId="20" xfId="11" applyFont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wrapText="1"/>
    </xf>
    <xf numFmtId="0" fontId="25" fillId="3" borderId="3" xfId="0" applyFont="1" applyFill="1" applyBorder="1" applyAlignment="1">
      <alignment horizontal="center" wrapText="1"/>
    </xf>
    <xf numFmtId="0" fontId="25" fillId="3" borderId="4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wrapText="1"/>
    </xf>
    <xf numFmtId="0" fontId="27" fillId="0" borderId="11" xfId="6" applyFont="1" applyBorder="1" applyAlignment="1">
      <alignment horizontal="left" wrapText="1"/>
    </xf>
    <xf numFmtId="0" fontId="27" fillId="0" borderId="10" xfId="6" applyFont="1" applyBorder="1" applyAlignment="1">
      <alignment horizontal="left" wrapText="1"/>
    </xf>
    <xf numFmtId="0" fontId="27" fillId="0" borderId="20" xfId="6" applyFont="1" applyBorder="1" applyAlignment="1">
      <alignment horizontal="left" wrapText="1"/>
    </xf>
    <xf numFmtId="0" fontId="27" fillId="0" borderId="14" xfId="6" applyFont="1" applyBorder="1" applyAlignment="1">
      <alignment horizontal="left" wrapText="1"/>
    </xf>
    <xf numFmtId="0" fontId="26" fillId="0" borderId="2" xfId="11" applyFont="1" applyBorder="1" applyAlignment="1">
      <alignment horizontal="center" vertical="center" wrapText="1"/>
    </xf>
    <xf numFmtId="0" fontId="26" fillId="0" borderId="4" xfId="11" applyFont="1" applyBorder="1" applyAlignment="1">
      <alignment horizontal="center" vertical="center" wrapText="1"/>
    </xf>
    <xf numFmtId="0" fontId="26" fillId="0" borderId="37" xfId="11" applyFont="1" applyBorder="1" applyAlignment="1">
      <alignment horizontal="center" vertical="center"/>
    </xf>
    <xf numFmtId="0" fontId="26" fillId="0" borderId="38" xfId="11" applyFont="1" applyBorder="1" applyAlignment="1">
      <alignment horizontal="center" vertical="center"/>
    </xf>
    <xf numFmtId="0" fontId="26" fillId="0" borderId="39" xfId="11" applyFont="1" applyBorder="1" applyAlignment="1">
      <alignment horizontal="center" vertical="center"/>
    </xf>
    <xf numFmtId="0" fontId="26" fillId="0" borderId="40" xfId="11" applyFont="1" applyBorder="1" applyAlignment="1">
      <alignment horizontal="center" vertical="center"/>
    </xf>
    <xf numFmtId="0" fontId="26" fillId="0" borderId="41" xfId="11" applyFont="1" applyBorder="1" applyAlignment="1">
      <alignment horizontal="center" vertical="center"/>
    </xf>
    <xf numFmtId="0" fontId="26" fillId="0" borderId="42" xfId="11" applyFont="1" applyBorder="1" applyAlignment="1">
      <alignment horizontal="center" vertical="center"/>
    </xf>
    <xf numFmtId="0" fontId="25" fillId="5" borderId="2" xfId="0" applyFont="1" applyFill="1" applyBorder="1" applyAlignment="1">
      <alignment horizontal="right"/>
    </xf>
    <xf numFmtId="0" fontId="25" fillId="5" borderId="3" xfId="0" applyFont="1" applyFill="1" applyBorder="1" applyAlignment="1">
      <alignment horizontal="right"/>
    </xf>
    <xf numFmtId="0" fontId="27" fillId="0" borderId="7" xfId="6" applyFont="1" applyBorder="1" applyAlignment="1">
      <alignment horizontal="left" wrapText="1"/>
    </xf>
    <xf numFmtId="0" fontId="27" fillId="0" borderId="15" xfId="6" applyFont="1" applyBorder="1" applyAlignment="1">
      <alignment horizontal="left" wrapText="1"/>
    </xf>
    <xf numFmtId="49" fontId="13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6" xfId="0" applyBorder="1"/>
    <xf numFmtId="0" fontId="15" fillId="0" borderId="13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49" fontId="11" fillId="9" borderId="3" xfId="0" applyNumberFormat="1" applyFont="1" applyFill="1" applyBorder="1" applyAlignment="1" applyProtection="1">
      <alignment vertical="center" wrapText="1"/>
      <protection locked="0"/>
    </xf>
    <xf numFmtId="49" fontId="11" fillId="9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9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29" xfId="0" applyNumberFormat="1" applyFont="1" applyFill="1" applyBorder="1" applyAlignment="1" applyProtection="1">
      <alignment horizontal="left" vertical="center" wrapText="1"/>
      <protection locked="0"/>
    </xf>
  </cellXfs>
  <cellStyles count="69">
    <cellStyle name="Moeda" xfId="1" builtinId="4"/>
    <cellStyle name="Moeda 2" xfId="2"/>
    <cellStyle name="Moeda 2 2" xfId="3"/>
    <cellStyle name="Moeda 3" xfId="4"/>
    <cellStyle name="Moeda 4" xfId="5"/>
    <cellStyle name="Normal" xfId="0" builtinId="0"/>
    <cellStyle name="Normal 2" xfId="6"/>
    <cellStyle name="Normal 2 2" xfId="7"/>
    <cellStyle name="Normal 2 2 2" xfId="8"/>
    <cellStyle name="Normal 2 3" xfId="67"/>
    <cellStyle name="Normal 2 4" xfId="68"/>
    <cellStyle name="Normal 3" xfId="9"/>
    <cellStyle name="Normal 4" xfId="10"/>
    <cellStyle name="Normal 5" xfId="19"/>
    <cellStyle name="Normal_PP-VI 2" xfId="11"/>
    <cellStyle name="Porcentagem" xfId="66" builtinId="5"/>
    <cellStyle name="Porcentagem 2" xfId="12"/>
    <cellStyle name="Separador de milhares 10" xfId="20"/>
    <cellStyle name="Separador de milhares 11" xfId="21"/>
    <cellStyle name="Separador de milhares 12" xfId="22"/>
    <cellStyle name="Separador de milhares 13" xfId="23"/>
    <cellStyle name="Separador de milhares 14" xfId="24"/>
    <cellStyle name="Separador de milhares 15" xfId="25"/>
    <cellStyle name="Separador de milhares 16" xfId="26"/>
    <cellStyle name="Separador de milhares 17" xfId="27"/>
    <cellStyle name="Separador de milhares 18" xfId="28"/>
    <cellStyle name="Separador de milhares 19" xfId="29"/>
    <cellStyle name="Separador de milhares 2" xfId="14"/>
    <cellStyle name="Separador de milhares 2 2" xfId="15"/>
    <cellStyle name="Separador de milhares 20" xfId="30"/>
    <cellStyle name="Separador de milhares 21" xfId="31"/>
    <cellStyle name="Separador de milhares 22" xfId="32"/>
    <cellStyle name="Separador de milhares 23" xfId="33"/>
    <cellStyle name="Separador de milhares 24" xfId="34"/>
    <cellStyle name="Separador de milhares 25" xfId="35"/>
    <cellStyle name="Separador de milhares 26" xfId="36"/>
    <cellStyle name="Separador de milhares 27" xfId="37"/>
    <cellStyle name="Separador de milhares 3" xfId="16"/>
    <cellStyle name="Separador de milhares 3 2" xfId="18"/>
    <cellStyle name="Separador de milhares 4" xfId="17"/>
    <cellStyle name="Separador de milhares 4 10" xfId="38"/>
    <cellStyle name="Separador de milhares 4 11" xfId="39"/>
    <cellStyle name="Separador de milhares 4 12" xfId="40"/>
    <cellStyle name="Separador de milhares 4 13" xfId="41"/>
    <cellStyle name="Separador de milhares 4 14" xfId="42"/>
    <cellStyle name="Separador de milhares 4 15" xfId="43"/>
    <cellStyle name="Separador de milhares 4 16" xfId="44"/>
    <cellStyle name="Separador de milhares 4 17" xfId="45"/>
    <cellStyle name="Separador de milhares 4 18" xfId="46"/>
    <cellStyle name="Separador de milhares 4 19" xfId="47"/>
    <cellStyle name="Separador de milhares 4 2" xfId="48"/>
    <cellStyle name="Separador de milhares 4 20" xfId="49"/>
    <cellStyle name="Separador de milhares 4 21" xfId="50"/>
    <cellStyle name="Separador de milhares 4 22" xfId="51"/>
    <cellStyle name="Separador de milhares 4 23" xfId="52"/>
    <cellStyle name="Separador de milhares 4 24" xfId="53"/>
    <cellStyle name="Separador de milhares 4 3" xfId="54"/>
    <cellStyle name="Separador de milhares 4 4" xfId="55"/>
    <cellStyle name="Separador de milhares 4 5" xfId="56"/>
    <cellStyle name="Separador de milhares 4 6" xfId="57"/>
    <cellStyle name="Separador de milhares 4 7" xfId="58"/>
    <cellStyle name="Separador de milhares 4 8" xfId="59"/>
    <cellStyle name="Separador de milhares 4 9" xfId="60"/>
    <cellStyle name="Separador de milhares 5" xfId="61"/>
    <cellStyle name="Separador de milhares 6" xfId="62"/>
    <cellStyle name="Separador de milhares 7" xfId="63"/>
    <cellStyle name="Separador de milhares 8" xfId="64"/>
    <cellStyle name="Separador de milhares 9" xfId="65"/>
    <cellStyle name="Vírgula" xfId="1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109</xdr:rowOff>
    </xdr:from>
    <xdr:to>
      <xdr:col>5</xdr:col>
      <xdr:colOff>224615</xdr:colOff>
      <xdr:row>12</xdr:row>
      <xdr:rowOff>86844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5084"/>
          <a:ext cx="4596590" cy="180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0"/>
  <sheetViews>
    <sheetView workbookViewId="0">
      <selection sqref="A1:F1"/>
    </sheetView>
  </sheetViews>
  <sheetFormatPr defaultRowHeight="15"/>
  <cols>
    <col min="1" max="1" width="18.57031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</cols>
  <sheetData>
    <row r="1" spans="1:6" ht="18.75">
      <c r="A1" s="338" t="s">
        <v>107</v>
      </c>
      <c r="B1" s="339"/>
      <c r="C1" s="339"/>
      <c r="D1" s="339"/>
      <c r="E1" s="339"/>
      <c r="F1" s="340"/>
    </row>
    <row r="2" spans="1:6" ht="15" customHeight="1">
      <c r="A2" s="5" t="s">
        <v>11</v>
      </c>
      <c r="B2" s="341" t="s">
        <v>104</v>
      </c>
      <c r="C2" s="342"/>
      <c r="D2" s="342"/>
      <c r="E2" s="342"/>
      <c r="F2" s="343"/>
    </row>
    <row r="3" spans="1:6" ht="15" customHeight="1">
      <c r="A3" s="11" t="s">
        <v>111</v>
      </c>
      <c r="B3" s="10" t="s">
        <v>105</v>
      </c>
      <c r="C3" s="344" t="s">
        <v>106</v>
      </c>
      <c r="D3" s="344"/>
      <c r="E3" s="344"/>
      <c r="F3" s="345"/>
    </row>
    <row r="4" spans="1:6" ht="18.75">
      <c r="A4" s="11" t="s">
        <v>12</v>
      </c>
      <c r="B4" s="346" t="s">
        <v>13</v>
      </c>
      <c r="C4" s="346"/>
      <c r="D4" s="346"/>
      <c r="E4" s="346"/>
      <c r="F4" s="347"/>
    </row>
    <row r="5" spans="1:6">
      <c r="A5" s="348" t="s">
        <v>61</v>
      </c>
      <c r="B5" s="349"/>
      <c r="C5" s="349"/>
      <c r="D5" s="349"/>
      <c r="E5" s="349"/>
      <c r="F5" s="350"/>
    </row>
    <row r="6" spans="1:6">
      <c r="A6" s="351" t="s">
        <v>6</v>
      </c>
      <c r="B6" s="352" t="s">
        <v>63</v>
      </c>
      <c r="C6" s="354" t="s">
        <v>19</v>
      </c>
      <c r="D6" s="354" t="s">
        <v>28</v>
      </c>
      <c r="E6" s="354" t="s">
        <v>30</v>
      </c>
      <c r="F6" s="355"/>
    </row>
    <row r="7" spans="1:6">
      <c r="A7" s="351"/>
      <c r="B7" s="353"/>
      <c r="C7" s="354"/>
      <c r="D7" s="354"/>
      <c r="E7" s="15" t="s">
        <v>29</v>
      </c>
      <c r="F7" s="16" t="s">
        <v>20</v>
      </c>
    </row>
    <row r="8" spans="1:6">
      <c r="A8" s="21" t="s">
        <v>34</v>
      </c>
      <c r="B8" s="329" t="s">
        <v>41</v>
      </c>
      <c r="C8" s="329"/>
      <c r="D8" s="329"/>
      <c r="E8" s="329"/>
      <c r="F8" s="330"/>
    </row>
    <row r="9" spans="1:6">
      <c r="A9" s="21" t="s">
        <v>35</v>
      </c>
      <c r="B9" s="31" t="s">
        <v>17</v>
      </c>
      <c r="C9" s="2" t="s">
        <v>33</v>
      </c>
      <c r="D9" s="13">
        <v>4</v>
      </c>
      <c r="E9" s="17" t="e">
        <f>#REF!</f>
        <v>#REF!</v>
      </c>
      <c r="F9" s="18" t="e">
        <f t="shared" ref="F9:F14" si="0">D9*E9</f>
        <v>#REF!</v>
      </c>
    </row>
    <row r="10" spans="1:6" ht="31.5" customHeight="1">
      <c r="A10" s="21" t="s">
        <v>36</v>
      </c>
      <c r="B10" s="22" t="s">
        <v>27</v>
      </c>
      <c r="C10" s="2" t="s">
        <v>33</v>
      </c>
      <c r="D10" s="13">
        <v>8</v>
      </c>
      <c r="E10" s="17" t="e">
        <f>#REF!</f>
        <v>#REF!</v>
      </c>
      <c r="F10" s="18" t="e">
        <f t="shared" si="0"/>
        <v>#REF!</v>
      </c>
    </row>
    <row r="11" spans="1:6">
      <c r="A11" s="21" t="s">
        <v>37</v>
      </c>
      <c r="B11" s="23" t="s">
        <v>24</v>
      </c>
      <c r="C11" s="2" t="s">
        <v>33</v>
      </c>
      <c r="D11" s="13">
        <v>0</v>
      </c>
      <c r="E11" s="17" t="e">
        <f>#REF!</f>
        <v>#REF!</v>
      </c>
      <c r="F11" s="18" t="e">
        <f t="shared" si="0"/>
        <v>#REF!</v>
      </c>
    </row>
    <row r="12" spans="1:6">
      <c r="A12" s="21" t="s">
        <v>38</v>
      </c>
      <c r="B12" s="31" t="s">
        <v>25</v>
      </c>
      <c r="C12" s="2" t="s">
        <v>33</v>
      </c>
      <c r="D12" s="13">
        <v>16</v>
      </c>
      <c r="E12" s="17" t="e">
        <f>#REF!</f>
        <v>#REF!</v>
      </c>
      <c r="F12" s="18" t="e">
        <f t="shared" si="0"/>
        <v>#REF!</v>
      </c>
    </row>
    <row r="13" spans="1:6">
      <c r="A13" s="21" t="s">
        <v>39</v>
      </c>
      <c r="B13" s="31" t="s">
        <v>26</v>
      </c>
      <c r="C13" s="2" t="s">
        <v>33</v>
      </c>
      <c r="D13" s="13">
        <v>8</v>
      </c>
      <c r="E13" s="17" t="e">
        <f>#REF!</f>
        <v>#REF!</v>
      </c>
      <c r="F13" s="18" t="e">
        <f t="shared" si="0"/>
        <v>#REF!</v>
      </c>
    </row>
    <row r="14" spans="1:6">
      <c r="A14" s="21" t="s">
        <v>40</v>
      </c>
      <c r="B14" s="31" t="s">
        <v>18</v>
      </c>
      <c r="C14" s="2" t="s">
        <v>33</v>
      </c>
      <c r="D14" s="13">
        <v>16</v>
      </c>
      <c r="E14" s="17" t="e">
        <f>#REF!</f>
        <v>#REF!</v>
      </c>
      <c r="F14" s="18" t="e">
        <f t="shared" si="0"/>
        <v>#REF!</v>
      </c>
    </row>
    <row r="15" spans="1:6">
      <c r="A15" s="21"/>
      <c r="B15" s="337" t="s">
        <v>21</v>
      </c>
      <c r="C15" s="337"/>
      <c r="D15" s="337"/>
      <c r="E15" s="19"/>
      <c r="F15" s="18" t="e">
        <f>ROUND(SUM(F9:F14),2)</f>
        <v>#REF!</v>
      </c>
    </row>
    <row r="16" spans="1:6">
      <c r="A16" s="21" t="s">
        <v>42</v>
      </c>
      <c r="B16" s="334" t="s">
        <v>44</v>
      </c>
      <c r="C16" s="335"/>
      <c r="D16" s="336"/>
      <c r="E16" s="20">
        <f>'Composições-Encargos Soc.'!F47</f>
        <v>0</v>
      </c>
      <c r="F16" s="18" t="e">
        <f>ROUND((F15*E16),2)</f>
        <v>#REF!</v>
      </c>
    </row>
    <row r="17" spans="1:6">
      <c r="A17" s="21"/>
      <c r="B17" s="331" t="s">
        <v>59</v>
      </c>
      <c r="C17" s="332"/>
      <c r="D17" s="333"/>
      <c r="E17" s="31"/>
      <c r="F17" s="18" t="e">
        <f>SUM(F15:F16)</f>
        <v>#REF!</v>
      </c>
    </row>
    <row r="18" spans="1:6">
      <c r="A18" s="21" t="s">
        <v>43</v>
      </c>
      <c r="B18" s="329" t="s">
        <v>45</v>
      </c>
      <c r="C18" s="329"/>
      <c r="D18" s="329"/>
      <c r="E18" s="329"/>
      <c r="F18" s="330"/>
    </row>
    <row r="19" spans="1:6">
      <c r="A19" s="21" t="s">
        <v>46</v>
      </c>
      <c r="B19" s="2" t="s">
        <v>51</v>
      </c>
      <c r="C19" s="2" t="s">
        <v>31</v>
      </c>
      <c r="D19" s="13">
        <v>2</v>
      </c>
      <c r="E19" s="17" t="e">
        <f>#REF!</f>
        <v>#REF!</v>
      </c>
      <c r="F19" s="18" t="e">
        <f>D19*E19</f>
        <v>#REF!</v>
      </c>
    </row>
    <row r="20" spans="1:6">
      <c r="A20" s="21" t="s">
        <v>47</v>
      </c>
      <c r="B20" s="2" t="s">
        <v>50</v>
      </c>
      <c r="C20" s="2" t="s">
        <v>31</v>
      </c>
      <c r="D20" s="13">
        <v>4</v>
      </c>
      <c r="E20" s="17" t="e">
        <f>#REF!</f>
        <v>#REF!</v>
      </c>
      <c r="F20" s="18" t="e">
        <f>D20*E20</f>
        <v>#REF!</v>
      </c>
    </row>
    <row r="21" spans="1:6">
      <c r="A21" s="21" t="s">
        <v>48</v>
      </c>
      <c r="B21" s="2" t="s">
        <v>49</v>
      </c>
      <c r="C21" s="2" t="s">
        <v>32</v>
      </c>
      <c r="D21" s="13">
        <v>20</v>
      </c>
      <c r="E21" s="17" t="e">
        <f>#REF!</f>
        <v>#REF!</v>
      </c>
      <c r="F21" s="18" t="e">
        <f>D21*E21</f>
        <v>#REF!</v>
      </c>
    </row>
    <row r="22" spans="1:6">
      <c r="A22" s="21"/>
      <c r="B22" s="358" t="s">
        <v>22</v>
      </c>
      <c r="C22" s="358"/>
      <c r="D22" s="358"/>
      <c r="E22" s="17"/>
      <c r="F22" s="18" t="e">
        <f>SUM(F19:F21)</f>
        <v>#REF!</v>
      </c>
    </row>
    <row r="23" spans="1:6">
      <c r="A23" s="21" t="s">
        <v>52</v>
      </c>
      <c r="B23" s="329" t="s">
        <v>55</v>
      </c>
      <c r="C23" s="329"/>
      <c r="D23" s="329"/>
      <c r="E23" s="329"/>
      <c r="F23" s="330"/>
    </row>
    <row r="24" spans="1:6">
      <c r="A24" s="21" t="s">
        <v>53</v>
      </c>
      <c r="B24" s="31" t="s">
        <v>56</v>
      </c>
      <c r="C24" s="2" t="s">
        <v>19</v>
      </c>
      <c r="D24" s="13">
        <v>2</v>
      </c>
      <c r="E24" s="13" t="e">
        <f>#REF!</f>
        <v>#REF!</v>
      </c>
      <c r="F24" s="24" t="e">
        <f>D24*E24</f>
        <v>#REF!</v>
      </c>
    </row>
    <row r="25" spans="1:6">
      <c r="A25" s="21" t="s">
        <v>54</v>
      </c>
      <c r="B25" s="31" t="s">
        <v>57</v>
      </c>
      <c r="C25" s="2" t="s">
        <v>19</v>
      </c>
      <c r="D25" s="13">
        <v>2</v>
      </c>
      <c r="E25" s="13" t="e">
        <f>#REF!</f>
        <v>#REF!</v>
      </c>
      <c r="F25" s="24" t="e">
        <f>D25*E25</f>
        <v>#REF!</v>
      </c>
    </row>
    <row r="26" spans="1:6">
      <c r="A26" s="21"/>
      <c r="B26" s="337" t="s">
        <v>23</v>
      </c>
      <c r="C26" s="337"/>
      <c r="D26" s="337"/>
      <c r="E26" s="13"/>
      <c r="F26" s="24" t="e">
        <f>SUM(F24:F25)</f>
        <v>#REF!</v>
      </c>
    </row>
    <row r="27" spans="1:6">
      <c r="A27" s="21" t="s">
        <v>92</v>
      </c>
      <c r="B27" s="2" t="s">
        <v>60</v>
      </c>
      <c r="C27" s="2"/>
      <c r="D27" s="13"/>
      <c r="E27" s="13"/>
      <c r="F27" s="25" t="e">
        <f>F17+F22+F26</f>
        <v>#REF!</v>
      </c>
    </row>
    <row r="28" spans="1:6">
      <c r="A28" s="21"/>
      <c r="B28" s="356"/>
      <c r="C28" s="356"/>
      <c r="D28" s="356"/>
      <c r="E28" s="356"/>
      <c r="F28" s="357"/>
    </row>
    <row r="29" spans="1:6">
      <c r="A29" s="21" t="s">
        <v>95</v>
      </c>
      <c r="B29" s="2" t="s">
        <v>58</v>
      </c>
      <c r="C29" s="2"/>
      <c r="D29" s="13"/>
      <c r="E29" s="13"/>
      <c r="F29" s="26">
        <f>'Composições-BDI'!G29</f>
        <v>27.630300620579963</v>
      </c>
    </row>
    <row r="30" spans="1:6">
      <c r="A30" s="21"/>
      <c r="B30" s="2"/>
      <c r="C30" s="2"/>
      <c r="D30" s="13"/>
      <c r="E30" s="13"/>
      <c r="F30" s="24"/>
    </row>
    <row r="31" spans="1:6" ht="15.75" thickBot="1">
      <c r="A31" s="27" t="s">
        <v>96</v>
      </c>
      <c r="B31" s="28" t="s">
        <v>110</v>
      </c>
      <c r="C31" s="28"/>
      <c r="D31" s="29"/>
      <c r="E31" s="29"/>
      <c r="F31" s="30" t="e">
        <f>ROUND((F27*F29)+F27,2)</f>
        <v>#REF!</v>
      </c>
    </row>
    <row r="32" spans="1:6">
      <c r="A32" s="14"/>
      <c r="B32" s="12"/>
      <c r="C32" s="12"/>
      <c r="D32" s="12"/>
      <c r="E32" s="12"/>
      <c r="F32" s="12"/>
    </row>
    <row r="33" spans="1:6">
      <c r="A33" s="32"/>
      <c r="B33" s="12"/>
      <c r="C33" s="12"/>
      <c r="D33" s="12"/>
      <c r="E33" s="12"/>
      <c r="F33" s="12"/>
    </row>
    <row r="34" spans="1:6">
      <c r="A34" s="14"/>
      <c r="B34" s="12"/>
      <c r="C34" s="12"/>
      <c r="D34" s="12"/>
      <c r="E34" s="12"/>
      <c r="F34" s="12"/>
    </row>
    <row r="35" spans="1:6">
      <c r="A35" s="14"/>
      <c r="B35" s="12"/>
      <c r="C35" s="12"/>
      <c r="D35" s="12"/>
      <c r="E35" s="12"/>
      <c r="F35" s="12"/>
    </row>
    <row r="36" spans="1:6">
      <c r="A36" s="14"/>
      <c r="B36" s="12"/>
      <c r="C36" s="12"/>
      <c r="D36" s="12"/>
      <c r="E36" s="12"/>
      <c r="F36" s="12"/>
    </row>
    <row r="37" spans="1:6">
      <c r="A37" s="14"/>
      <c r="B37" s="12"/>
      <c r="C37" s="12"/>
      <c r="D37" s="12"/>
      <c r="E37" s="12"/>
      <c r="F37" s="12"/>
    </row>
    <row r="38" spans="1:6">
      <c r="A38" s="14"/>
      <c r="B38" s="12"/>
      <c r="C38" s="12"/>
      <c r="D38" s="12"/>
      <c r="E38" s="12"/>
      <c r="F38" s="12"/>
    </row>
    <row r="39" spans="1:6">
      <c r="A39" s="14"/>
      <c r="B39" s="12"/>
      <c r="C39" s="12"/>
      <c r="D39" s="12"/>
      <c r="E39" s="12"/>
      <c r="F39" s="12"/>
    </row>
    <row r="40" spans="1:6">
      <c r="A40" s="14"/>
      <c r="B40" s="12"/>
      <c r="C40" s="12"/>
      <c r="D40" s="12"/>
      <c r="E40" s="12"/>
      <c r="F40" s="12"/>
    </row>
  </sheetData>
  <mergeCells count="19">
    <mergeCell ref="B28:F28"/>
    <mergeCell ref="B22:D22"/>
    <mergeCell ref="B26:D26"/>
    <mergeCell ref="B23:F23"/>
    <mergeCell ref="B18:F18"/>
    <mergeCell ref="B8:F8"/>
    <mergeCell ref="B17:D17"/>
    <mergeCell ref="B16:D16"/>
    <mergeCell ref="B15:D15"/>
    <mergeCell ref="A1:F1"/>
    <mergeCell ref="B2:F2"/>
    <mergeCell ref="C3:F3"/>
    <mergeCell ref="B4:F4"/>
    <mergeCell ref="A5:F5"/>
    <mergeCell ref="A6:A7"/>
    <mergeCell ref="B6:B7"/>
    <mergeCell ref="E6:F6"/>
    <mergeCell ref="C6:C7"/>
    <mergeCell ref="D6:D7"/>
  </mergeCells>
  <pageMargins left="0.51181102362204722" right="0.51181102362204722" top="0.78740157480314965" bottom="0.78740157480314965" header="0.31496062992125984" footer="0.31496062992125984"/>
  <pageSetup paperSize="9"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33"/>
  <sheetViews>
    <sheetView workbookViewId="0">
      <selection activeCell="H22" sqref="H22"/>
    </sheetView>
  </sheetViews>
  <sheetFormatPr defaultRowHeight="15"/>
  <cols>
    <col min="1" max="1" width="12" customWidth="1"/>
    <col min="2" max="2" width="18.7109375" style="43" bestFit="1" customWidth="1"/>
    <col min="3" max="3" width="10.85546875" customWidth="1"/>
    <col min="4" max="5" width="12" customWidth="1"/>
    <col min="6" max="6" width="12.85546875" customWidth="1"/>
    <col min="7" max="8" width="20.85546875" customWidth="1"/>
    <col min="9" max="9" width="5.7109375" bestFit="1" customWidth="1"/>
    <col min="10" max="10" width="17.85546875" style="43" customWidth="1"/>
    <col min="11" max="11" width="9.85546875" customWidth="1"/>
  </cols>
  <sheetData>
    <row r="1" spans="1:2" s="43" customFormat="1" ht="20.100000000000001" customHeight="1">
      <c r="A1" s="41" t="s">
        <v>427</v>
      </c>
      <c r="B1" s="41"/>
    </row>
    <row r="2" spans="1:2" s="43" customFormat="1" ht="20.100000000000001" customHeight="1">
      <c r="A2" s="43" t="s">
        <v>500</v>
      </c>
    </row>
    <row r="3" spans="1:2" s="43" customFormat="1" ht="20.100000000000001" customHeight="1">
      <c r="A3" s="43" t="s">
        <v>475</v>
      </c>
    </row>
    <row r="4" spans="1:2" s="43" customFormat="1"/>
    <row r="5" spans="1:2" s="43" customFormat="1"/>
    <row r="6" spans="1:2" s="43" customFormat="1"/>
    <row r="7" spans="1:2" s="43" customFormat="1"/>
    <row r="8" spans="1:2" s="43" customFormat="1"/>
    <row r="9" spans="1:2" s="43" customFormat="1"/>
    <row r="10" spans="1:2" s="43" customFormat="1"/>
    <row r="11" spans="1:2" s="43" customFormat="1"/>
    <row r="12" spans="1:2" s="43" customFormat="1"/>
    <row r="13" spans="1:2" s="43" customFormat="1"/>
    <row r="14" spans="1:2" s="43" customFormat="1"/>
    <row r="15" spans="1:2" s="43" customFormat="1">
      <c r="A15" s="460" t="s">
        <v>381</v>
      </c>
      <c r="B15" s="461"/>
    </row>
    <row r="16" spans="1:2" s="43" customFormat="1">
      <c r="A16" s="464" t="s">
        <v>383</v>
      </c>
      <c r="B16" s="465"/>
    </row>
    <row r="17" spans="1:9" s="43" customFormat="1">
      <c r="A17" s="462" t="s">
        <v>501</v>
      </c>
      <c r="B17" s="463"/>
    </row>
    <row r="18" spans="1:9" s="43" customFormat="1"/>
    <row r="19" spans="1:9" s="43" customFormat="1" ht="34.5" customHeight="1">
      <c r="A19" s="466" t="s">
        <v>476</v>
      </c>
      <c r="B19" s="466"/>
      <c r="C19" s="149" t="s">
        <v>477</v>
      </c>
      <c r="D19" s="149" t="s">
        <v>420</v>
      </c>
      <c r="E19" s="149" t="s">
        <v>422</v>
      </c>
      <c r="F19" s="149" t="s">
        <v>421</v>
      </c>
      <c r="G19" s="157" t="s">
        <v>478</v>
      </c>
      <c r="H19" s="157" t="s">
        <v>479</v>
      </c>
      <c r="I19" s="158"/>
    </row>
    <row r="20" spans="1:9" s="43" customFormat="1" ht="15.75">
      <c r="A20" s="467" t="s">
        <v>480</v>
      </c>
      <c r="B20" s="468"/>
      <c r="C20" s="469" t="s">
        <v>481</v>
      </c>
      <c r="D20" s="150">
        <v>0</v>
      </c>
      <c r="E20" s="150">
        <v>0.42</v>
      </c>
      <c r="F20" s="150">
        <v>0.21</v>
      </c>
      <c r="G20" s="324">
        <v>0.21</v>
      </c>
      <c r="H20" s="324">
        <v>0.21</v>
      </c>
      <c r="I20" s="158" t="s">
        <v>502</v>
      </c>
    </row>
    <row r="21" spans="1:9" s="43" customFormat="1" ht="15" customHeight="1">
      <c r="A21" s="467" t="s">
        <v>482</v>
      </c>
      <c r="B21" s="468"/>
      <c r="C21" s="470"/>
      <c r="D21" s="150">
        <v>0</v>
      </c>
      <c r="E21" s="150">
        <v>2.0499999999999998</v>
      </c>
      <c r="F21" s="150">
        <v>0.97</v>
      </c>
      <c r="G21" s="324">
        <v>0.5</v>
      </c>
      <c r="H21" s="324">
        <v>0.5</v>
      </c>
      <c r="I21" s="158"/>
    </row>
    <row r="22" spans="1:9" s="43" customFormat="1" ht="15.75">
      <c r="A22" s="467" t="s">
        <v>483</v>
      </c>
      <c r="B22" s="468"/>
      <c r="C22" s="148" t="s">
        <v>484</v>
      </c>
      <c r="D22" s="150">
        <v>0</v>
      </c>
      <c r="E22" s="150">
        <v>1.2</v>
      </c>
      <c r="F22" s="150">
        <v>0.59</v>
      </c>
      <c r="G22" s="324">
        <v>1.2</v>
      </c>
      <c r="H22" s="324">
        <v>1.2041932045995847</v>
      </c>
      <c r="I22" s="158"/>
    </row>
    <row r="23" spans="1:9" s="43" customFormat="1" ht="15.75">
      <c r="A23" s="467" t="s">
        <v>485</v>
      </c>
      <c r="B23" s="468"/>
      <c r="C23" s="148" t="s">
        <v>486</v>
      </c>
      <c r="D23" s="150">
        <v>0.11</v>
      </c>
      <c r="E23" s="150">
        <v>8.0299999999999994</v>
      </c>
      <c r="F23" s="150">
        <v>4.07</v>
      </c>
      <c r="G23" s="324">
        <v>8.0299999999999994</v>
      </c>
      <c r="H23" s="324">
        <v>8.0299999999999994</v>
      </c>
      <c r="I23" s="158"/>
    </row>
    <row r="24" spans="1:9" s="43" customFormat="1" ht="15.75">
      <c r="A24" s="467" t="s">
        <v>487</v>
      </c>
      <c r="B24" s="468"/>
      <c r="C24" s="148" t="s">
        <v>488</v>
      </c>
      <c r="D24" s="150">
        <v>3.83</v>
      </c>
      <c r="E24" s="150">
        <v>9.9600000000000009</v>
      </c>
      <c r="F24" s="150">
        <v>6.9</v>
      </c>
      <c r="G24" s="324">
        <v>9.3699999999999992</v>
      </c>
      <c r="H24" s="324">
        <v>9.3650000000000002</v>
      </c>
      <c r="I24" s="158"/>
    </row>
    <row r="25" spans="1:9" s="43" customFormat="1" ht="15.75">
      <c r="A25" s="472" t="s">
        <v>489</v>
      </c>
      <c r="B25" s="151" t="s">
        <v>490</v>
      </c>
      <c r="C25" s="469" t="s">
        <v>491</v>
      </c>
      <c r="D25" s="152">
        <v>3</v>
      </c>
      <c r="E25" s="152">
        <v>3</v>
      </c>
      <c r="F25" s="152">
        <v>3</v>
      </c>
      <c r="G25" s="325">
        <v>3</v>
      </c>
      <c r="H25" s="325">
        <v>3</v>
      </c>
      <c r="I25" s="158" t="s">
        <v>492</v>
      </c>
    </row>
    <row r="26" spans="1:9" s="43" customFormat="1" ht="15.75">
      <c r="A26" s="473"/>
      <c r="B26" s="153" t="s">
        <v>493</v>
      </c>
      <c r="C26" s="475"/>
      <c r="D26" s="154">
        <v>0.65</v>
      </c>
      <c r="E26" s="154">
        <v>0.65</v>
      </c>
      <c r="F26" s="154">
        <v>0.65</v>
      </c>
      <c r="G26" s="325">
        <v>0.65</v>
      </c>
      <c r="H26" s="325">
        <v>0.65</v>
      </c>
      <c r="I26" s="158" t="s">
        <v>494</v>
      </c>
    </row>
    <row r="27" spans="1:9" s="43" customFormat="1" ht="15.75">
      <c r="A27" s="473"/>
      <c r="B27" s="153" t="s">
        <v>495</v>
      </c>
      <c r="C27" s="475"/>
      <c r="D27" s="154">
        <v>2</v>
      </c>
      <c r="E27" s="154">
        <v>5</v>
      </c>
      <c r="F27" s="154">
        <v>2</v>
      </c>
      <c r="G27" s="324">
        <v>2</v>
      </c>
      <c r="H27" s="324">
        <v>2</v>
      </c>
      <c r="I27" s="158" t="s">
        <v>496</v>
      </c>
    </row>
    <row r="28" spans="1:9" s="43" customFormat="1" ht="16.5" thickBot="1">
      <c r="A28" s="474"/>
      <c r="B28" s="153" t="s">
        <v>497</v>
      </c>
      <c r="C28" s="470"/>
      <c r="D28" s="150">
        <v>0</v>
      </c>
      <c r="E28" s="150">
        <v>4.5</v>
      </c>
      <c r="F28" s="150">
        <v>0</v>
      </c>
      <c r="G28" s="326">
        <v>0</v>
      </c>
      <c r="H28" s="326">
        <v>4.5</v>
      </c>
      <c r="I28" s="158" t="s">
        <v>498</v>
      </c>
    </row>
    <row r="29" spans="1:9" s="43" customFormat="1" ht="15.75" thickBot="1">
      <c r="A29" s="471" t="s">
        <v>499</v>
      </c>
      <c r="B29" s="471"/>
      <c r="C29" s="471"/>
      <c r="D29" s="155">
        <v>16.36</v>
      </c>
      <c r="E29" s="155">
        <v>28.84</v>
      </c>
      <c r="F29" s="156">
        <v>22.61</v>
      </c>
      <c r="G29" s="327">
        <f>((((1+G23/100)*(1+G22/100)*(1+((G20+G21)/100))*(1+G24/100))/(1-(G25+G26+G27+G28)/100))-1)*100</f>
        <v>27.630300620579963</v>
      </c>
      <c r="H29" s="327">
        <f>((((1+H23/100)*(1+H22/100)*(1+((H20+H21)/100))*(1+H24/100))/(1-(H25+H26+H27+H28)/100))-1)*100</f>
        <v>34.021895188571527</v>
      </c>
    </row>
    <row r="30" spans="1:9" s="43" customFormat="1"/>
    <row r="31" spans="1:9" s="43" customFormat="1">
      <c r="A31" s="41" t="s">
        <v>503</v>
      </c>
    </row>
    <row r="32" spans="1:9" s="43" customFormat="1"/>
    <row r="33" spans="3:3" s="41" customFormat="1">
      <c r="C33" s="43"/>
    </row>
  </sheetData>
  <sheetProtection algorithmName="SHA-512" hashValue="ZHgTvpABMX1h48kdbDTZGB/mInJorvRhmRfMJyXnfK689pZHpBfJmtRZCUAYPx6iXoCykTC+rY1jlU6TDX9oWw==" saltValue="wogqxWupF0m4Nrxxq+wiRw==" spinCount="100000" sheet="1" objects="1" scenarios="1"/>
  <mergeCells count="13">
    <mergeCell ref="C20:C21"/>
    <mergeCell ref="A21:B21"/>
    <mergeCell ref="A29:C29"/>
    <mergeCell ref="A22:B22"/>
    <mergeCell ref="A23:B23"/>
    <mergeCell ref="A24:B24"/>
    <mergeCell ref="A25:A28"/>
    <mergeCell ref="C25:C28"/>
    <mergeCell ref="A15:B15"/>
    <mergeCell ref="A17:B17"/>
    <mergeCell ref="A16:B16"/>
    <mergeCell ref="A19:B19"/>
    <mergeCell ref="A20:B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53"/>
  <sheetViews>
    <sheetView workbookViewId="0">
      <selection activeCell="G11" sqref="G11"/>
    </sheetView>
  </sheetViews>
  <sheetFormatPr defaultRowHeight="15" customHeight="1"/>
  <cols>
    <col min="1" max="1" width="19" style="68" bestFit="1" customWidth="1"/>
    <col min="2" max="2" width="30.7109375" style="100" customWidth="1"/>
    <col min="3" max="3" width="14.7109375" style="100" customWidth="1"/>
    <col min="4" max="4" width="6.7109375" style="100" customWidth="1"/>
    <col min="5" max="5" width="7.7109375" style="100" customWidth="1"/>
    <col min="6" max="6" width="13.140625" style="68" customWidth="1"/>
    <col min="7" max="7" width="15.85546875" style="68" bestFit="1" customWidth="1"/>
    <col min="8" max="8" width="12.140625" style="68" bestFit="1" customWidth="1"/>
    <col min="9" max="9" width="15.85546875" style="68" bestFit="1" customWidth="1"/>
    <col min="10" max="11" width="9.140625" style="68"/>
    <col min="12" max="12" width="32" style="68" customWidth="1"/>
    <col min="13" max="16384" width="9.140625" style="68"/>
  </cols>
  <sheetData>
    <row r="1" spans="1:9" ht="15" customHeight="1">
      <c r="A1" s="69"/>
      <c r="B1" s="90"/>
      <c r="C1" s="90"/>
      <c r="D1" s="90"/>
      <c r="E1" s="90"/>
      <c r="F1" s="69"/>
      <c r="G1" s="69"/>
      <c r="H1" s="69"/>
      <c r="I1" s="69"/>
    </row>
    <row r="2" spans="1:9" ht="15" customHeight="1">
      <c r="A2" s="490" t="s">
        <v>381</v>
      </c>
      <c r="B2" s="490"/>
      <c r="C2" s="490"/>
      <c r="D2" s="490"/>
      <c r="E2" s="68"/>
    </row>
    <row r="3" spans="1:9" ht="30" customHeight="1">
      <c r="A3" s="491" t="s">
        <v>382</v>
      </c>
      <c r="B3" s="491"/>
      <c r="C3" s="491"/>
      <c r="D3" s="491"/>
      <c r="E3" s="68"/>
    </row>
    <row r="4" spans="1:9" ht="15" customHeight="1">
      <c r="A4" s="69"/>
      <c r="B4" s="90"/>
      <c r="C4" s="90"/>
      <c r="D4" s="90"/>
      <c r="E4" s="90"/>
      <c r="F4" s="69"/>
      <c r="G4" s="69"/>
      <c r="H4" s="69"/>
      <c r="I4" s="69"/>
    </row>
    <row r="5" spans="1:9" ht="15" customHeight="1">
      <c r="A5" s="487" t="s">
        <v>366</v>
      </c>
      <c r="B5" s="488"/>
      <c r="C5" s="488"/>
      <c r="D5" s="488"/>
      <c r="E5" s="488"/>
      <c r="F5" s="488"/>
      <c r="G5" s="488"/>
      <c r="H5" s="488"/>
      <c r="I5" s="489"/>
    </row>
    <row r="6" spans="1:9" ht="15" customHeight="1">
      <c r="A6" s="159" t="s">
        <v>504</v>
      </c>
      <c r="B6" s="328"/>
      <c r="C6" s="121"/>
      <c r="D6" s="121"/>
      <c r="E6" s="122"/>
      <c r="F6" s="504" t="s">
        <v>505</v>
      </c>
      <c r="G6" s="505"/>
      <c r="H6" s="328"/>
      <c r="I6" s="122"/>
    </row>
    <row r="7" spans="1:9" s="72" customFormat="1" ht="15" customHeight="1">
      <c r="A7" s="498" t="s">
        <v>63</v>
      </c>
      <c r="B7" s="499"/>
      <c r="C7" s="499"/>
      <c r="D7" s="499"/>
      <c r="E7" s="500"/>
      <c r="F7" s="496" t="s">
        <v>220</v>
      </c>
      <c r="G7" s="497"/>
      <c r="H7" s="496" t="s">
        <v>219</v>
      </c>
      <c r="I7" s="497"/>
    </row>
    <row r="8" spans="1:9" s="72" customFormat="1" ht="15" customHeight="1">
      <c r="A8" s="501"/>
      <c r="B8" s="502"/>
      <c r="C8" s="502"/>
      <c r="D8" s="502"/>
      <c r="E8" s="503"/>
      <c r="F8" s="73" t="s">
        <v>224</v>
      </c>
      <c r="G8" s="73" t="s">
        <v>225</v>
      </c>
      <c r="H8" s="73" t="s">
        <v>224</v>
      </c>
      <c r="I8" s="73" t="s">
        <v>225</v>
      </c>
    </row>
    <row r="9" spans="1:9" s="72" customFormat="1" ht="15" customHeight="1">
      <c r="A9" s="88" t="s">
        <v>34</v>
      </c>
      <c r="B9" s="485" t="s">
        <v>226</v>
      </c>
      <c r="C9" s="485"/>
      <c r="D9" s="485"/>
      <c r="E9" s="486"/>
      <c r="F9" s="74"/>
      <c r="G9" s="75"/>
      <c r="H9" s="75"/>
      <c r="I9" s="75"/>
    </row>
    <row r="10" spans="1:9" s="72" customFormat="1" ht="15" customHeight="1">
      <c r="A10" s="76" t="s">
        <v>62</v>
      </c>
      <c r="B10" s="91" t="s">
        <v>66</v>
      </c>
      <c r="C10" s="92"/>
      <c r="D10" s="92"/>
      <c r="E10" s="92"/>
      <c r="F10" s="140"/>
      <c r="G10" s="140"/>
      <c r="H10" s="140"/>
      <c r="I10" s="140"/>
    </row>
    <row r="11" spans="1:9" s="72" customFormat="1" ht="15" customHeight="1">
      <c r="A11" s="76" t="s">
        <v>65</v>
      </c>
      <c r="B11" s="91" t="s">
        <v>77</v>
      </c>
      <c r="C11" s="92"/>
      <c r="D11" s="92"/>
      <c r="E11" s="92"/>
      <c r="F11" s="140"/>
      <c r="G11" s="140"/>
      <c r="H11" s="140"/>
      <c r="I11" s="140"/>
    </row>
    <row r="12" spans="1:9" s="72" customFormat="1" ht="15" customHeight="1">
      <c r="A12" s="76" t="s">
        <v>67</v>
      </c>
      <c r="B12" s="91" t="s">
        <v>75</v>
      </c>
      <c r="C12" s="92"/>
      <c r="D12" s="92"/>
      <c r="E12" s="92"/>
      <c r="F12" s="140"/>
      <c r="G12" s="140"/>
      <c r="H12" s="140"/>
      <c r="I12" s="140"/>
    </row>
    <row r="13" spans="1:9" s="72" customFormat="1" ht="15" customHeight="1">
      <c r="A13" s="76" t="s">
        <v>69</v>
      </c>
      <c r="B13" s="91" t="s">
        <v>70</v>
      </c>
      <c r="C13" s="92"/>
      <c r="D13" s="92"/>
      <c r="E13" s="92"/>
      <c r="F13" s="140"/>
      <c r="G13" s="140"/>
      <c r="H13" s="140"/>
      <c r="I13" s="140"/>
    </row>
    <row r="14" spans="1:9" s="72" customFormat="1" ht="15" customHeight="1">
      <c r="A14" s="76" t="s">
        <v>71</v>
      </c>
      <c r="B14" s="91" t="s">
        <v>72</v>
      </c>
      <c r="C14" s="92"/>
      <c r="D14" s="92"/>
      <c r="E14" s="92"/>
      <c r="F14" s="140"/>
      <c r="G14" s="140"/>
      <c r="H14" s="140"/>
      <c r="I14" s="140"/>
    </row>
    <row r="15" spans="1:9" s="72" customFormat="1" ht="15" customHeight="1">
      <c r="A15" s="76" t="s">
        <v>71</v>
      </c>
      <c r="B15" s="91" t="s">
        <v>149</v>
      </c>
      <c r="C15" s="92"/>
      <c r="D15" s="92"/>
      <c r="E15" s="92"/>
      <c r="F15" s="140"/>
      <c r="G15" s="140"/>
      <c r="H15" s="140"/>
      <c r="I15" s="140"/>
    </row>
    <row r="16" spans="1:9" s="72" customFormat="1" ht="15" customHeight="1">
      <c r="A16" s="76" t="s">
        <v>73</v>
      </c>
      <c r="B16" s="91" t="s">
        <v>150</v>
      </c>
      <c r="C16" s="92"/>
      <c r="D16" s="92"/>
      <c r="E16" s="92"/>
      <c r="F16" s="140"/>
      <c r="G16" s="140"/>
      <c r="H16" s="140"/>
      <c r="I16" s="140"/>
    </row>
    <row r="17" spans="1:9" s="72" customFormat="1" ht="15" customHeight="1">
      <c r="A17" s="76" t="s">
        <v>74</v>
      </c>
      <c r="B17" s="91" t="s">
        <v>68</v>
      </c>
      <c r="C17" s="92"/>
      <c r="D17" s="92"/>
      <c r="E17" s="92"/>
      <c r="F17" s="140"/>
      <c r="G17" s="140"/>
      <c r="H17" s="140"/>
      <c r="I17" s="140"/>
    </row>
    <row r="18" spans="1:9" s="72" customFormat="1" ht="15" customHeight="1">
      <c r="A18" s="76" t="s">
        <v>76</v>
      </c>
      <c r="B18" s="91" t="s">
        <v>64</v>
      </c>
      <c r="C18" s="92"/>
      <c r="D18" s="92"/>
      <c r="E18" s="92"/>
      <c r="F18" s="140"/>
      <c r="G18" s="140"/>
      <c r="H18" s="140"/>
      <c r="I18" s="140"/>
    </row>
    <row r="19" spans="1:9" s="72" customFormat="1" ht="15" customHeight="1">
      <c r="A19" s="478" t="s">
        <v>78</v>
      </c>
      <c r="B19" s="478"/>
      <c r="C19" s="478"/>
      <c r="D19" s="478"/>
      <c r="E19" s="478"/>
      <c r="F19" s="123">
        <f>SUM(F10:F18)</f>
        <v>0</v>
      </c>
      <c r="G19" s="123">
        <f>SUM(G10:G18)</f>
        <v>0</v>
      </c>
      <c r="H19" s="123">
        <f>SUM(H10:H18)</f>
        <v>0</v>
      </c>
      <c r="I19" s="123">
        <f>SUM(I10:I18)</f>
        <v>0</v>
      </c>
    </row>
    <row r="20" spans="1:9" s="80" customFormat="1" ht="15" customHeight="1">
      <c r="A20" s="77"/>
      <c r="B20" s="93"/>
      <c r="C20" s="93"/>
      <c r="D20" s="93"/>
      <c r="E20" s="93"/>
      <c r="F20" s="78"/>
      <c r="G20" s="78"/>
      <c r="H20" s="78"/>
      <c r="I20" s="79"/>
    </row>
    <row r="21" spans="1:9" s="72" customFormat="1" ht="15" customHeight="1">
      <c r="A21" s="81" t="s">
        <v>42</v>
      </c>
      <c r="B21" s="479" t="s">
        <v>227</v>
      </c>
      <c r="C21" s="480"/>
      <c r="D21" s="480"/>
      <c r="E21" s="480"/>
      <c r="F21" s="82"/>
      <c r="G21" s="83"/>
      <c r="H21" s="83"/>
      <c r="I21" s="84"/>
    </row>
    <row r="22" spans="1:9" s="72" customFormat="1" ht="15" customHeight="1">
      <c r="A22" s="76" t="s">
        <v>79</v>
      </c>
      <c r="B22" s="494" t="s">
        <v>368</v>
      </c>
      <c r="C22" s="495"/>
      <c r="D22" s="495"/>
      <c r="E22" s="495"/>
      <c r="F22" s="140"/>
      <c r="G22" s="140"/>
      <c r="H22" s="140"/>
      <c r="I22" s="140"/>
    </row>
    <row r="23" spans="1:9" s="72" customFormat="1" ht="15" customHeight="1">
      <c r="A23" s="76" t="s">
        <v>151</v>
      </c>
      <c r="B23" s="492" t="s">
        <v>152</v>
      </c>
      <c r="C23" s="493"/>
      <c r="D23" s="493"/>
      <c r="E23" s="493"/>
      <c r="F23" s="140"/>
      <c r="G23" s="140"/>
      <c r="H23" s="140"/>
      <c r="I23" s="140"/>
    </row>
    <row r="24" spans="1:9" s="72" customFormat="1" ht="15" customHeight="1">
      <c r="A24" s="76" t="s">
        <v>153</v>
      </c>
      <c r="B24" s="492" t="s">
        <v>367</v>
      </c>
      <c r="C24" s="493"/>
      <c r="D24" s="493"/>
      <c r="E24" s="493"/>
      <c r="F24" s="140"/>
      <c r="G24" s="140"/>
      <c r="H24" s="140"/>
      <c r="I24" s="140"/>
    </row>
    <row r="25" spans="1:9" s="72" customFormat="1" ht="15" customHeight="1">
      <c r="A25" s="76" t="s">
        <v>154</v>
      </c>
      <c r="B25" s="492" t="s">
        <v>156</v>
      </c>
      <c r="C25" s="493"/>
      <c r="D25" s="493"/>
      <c r="E25" s="493"/>
      <c r="F25" s="140"/>
      <c r="G25" s="140"/>
      <c r="H25" s="140"/>
      <c r="I25" s="140"/>
    </row>
    <row r="26" spans="1:9" s="72" customFormat="1" ht="15" customHeight="1">
      <c r="A26" s="76" t="s">
        <v>155</v>
      </c>
      <c r="B26" s="492" t="s">
        <v>229</v>
      </c>
      <c r="C26" s="493"/>
      <c r="D26" s="493"/>
      <c r="E26" s="493"/>
      <c r="F26" s="140"/>
      <c r="G26" s="140"/>
      <c r="H26" s="140"/>
      <c r="I26" s="140"/>
    </row>
    <row r="27" spans="1:9" s="72" customFormat="1" ht="15" customHeight="1">
      <c r="A27" s="76" t="s">
        <v>157</v>
      </c>
      <c r="B27" s="492" t="s">
        <v>230</v>
      </c>
      <c r="C27" s="493"/>
      <c r="D27" s="493"/>
      <c r="E27" s="493"/>
      <c r="F27" s="140"/>
      <c r="G27" s="140"/>
      <c r="H27" s="140"/>
      <c r="I27" s="140"/>
    </row>
    <row r="28" spans="1:9" s="72" customFormat="1" ht="15" customHeight="1">
      <c r="A28" s="76" t="s">
        <v>158</v>
      </c>
      <c r="B28" s="94" t="s">
        <v>231</v>
      </c>
      <c r="C28" s="95"/>
      <c r="D28" s="95"/>
      <c r="E28" s="95"/>
      <c r="F28" s="140"/>
      <c r="G28" s="140"/>
      <c r="H28" s="140"/>
      <c r="I28" s="140"/>
    </row>
    <row r="29" spans="1:9" s="72" customFormat="1" ht="15" customHeight="1">
      <c r="A29" s="76" t="s">
        <v>232</v>
      </c>
      <c r="B29" s="91" t="s">
        <v>369</v>
      </c>
      <c r="C29" s="92"/>
      <c r="D29" s="92"/>
      <c r="E29" s="92"/>
      <c r="F29" s="140"/>
      <c r="G29" s="140"/>
      <c r="H29" s="140"/>
      <c r="I29" s="140"/>
    </row>
    <row r="30" spans="1:9" s="72" customFormat="1" ht="15" customHeight="1">
      <c r="A30" s="76" t="s">
        <v>233</v>
      </c>
      <c r="B30" s="96" t="s">
        <v>234</v>
      </c>
      <c r="C30" s="97"/>
      <c r="D30" s="97"/>
      <c r="E30" s="97"/>
      <c r="F30" s="140"/>
      <c r="G30" s="140"/>
      <c r="H30" s="140"/>
      <c r="I30" s="140"/>
    </row>
    <row r="31" spans="1:9" s="72" customFormat="1" ht="15" customHeight="1">
      <c r="A31" s="76" t="s">
        <v>235</v>
      </c>
      <c r="B31" s="96" t="s">
        <v>236</v>
      </c>
      <c r="C31" s="97"/>
      <c r="D31" s="97"/>
      <c r="E31" s="97"/>
      <c r="F31" s="140"/>
      <c r="G31" s="140"/>
      <c r="H31" s="140"/>
      <c r="I31" s="140"/>
    </row>
    <row r="32" spans="1:9" s="72" customFormat="1" ht="15" customHeight="1">
      <c r="A32" s="478" t="s">
        <v>80</v>
      </c>
      <c r="B32" s="478"/>
      <c r="C32" s="478"/>
      <c r="D32" s="478"/>
      <c r="E32" s="478"/>
      <c r="F32" s="123">
        <f>SUM(F22:F31)</f>
        <v>0</v>
      </c>
      <c r="G32" s="123">
        <f>SUM(G22:G31)</f>
        <v>0</v>
      </c>
      <c r="H32" s="123">
        <f>SUM(H22:H31)</f>
        <v>0</v>
      </c>
      <c r="I32" s="123">
        <f>SUM(I22:I31)</f>
        <v>0</v>
      </c>
    </row>
    <row r="33" spans="1:9" s="80" customFormat="1" ht="15" customHeight="1">
      <c r="A33" s="77"/>
      <c r="B33" s="93"/>
      <c r="C33" s="93"/>
      <c r="D33" s="93"/>
      <c r="E33" s="93"/>
      <c r="F33" s="78"/>
      <c r="G33" s="78"/>
      <c r="H33" s="78"/>
      <c r="I33" s="79"/>
    </row>
    <row r="34" spans="1:9" s="72" customFormat="1" ht="15" customHeight="1">
      <c r="A34" s="81" t="s">
        <v>43</v>
      </c>
      <c r="B34" s="479" t="s">
        <v>237</v>
      </c>
      <c r="C34" s="480"/>
      <c r="D34" s="480"/>
      <c r="E34" s="480"/>
      <c r="F34" s="82"/>
      <c r="G34" s="83"/>
      <c r="H34" s="83"/>
      <c r="I34" s="84"/>
    </row>
    <row r="35" spans="1:9" s="72" customFormat="1" ht="15" customHeight="1">
      <c r="A35" s="76" t="s">
        <v>81</v>
      </c>
      <c r="B35" s="507" t="s">
        <v>238</v>
      </c>
      <c r="C35" s="507"/>
      <c r="D35" s="507"/>
      <c r="E35" s="494"/>
      <c r="F35" s="140"/>
      <c r="G35" s="140"/>
      <c r="H35" s="140"/>
      <c r="I35" s="140"/>
    </row>
    <row r="36" spans="1:9" s="72" customFormat="1" ht="15" customHeight="1">
      <c r="A36" s="76" t="s">
        <v>82</v>
      </c>
      <c r="B36" s="506" t="s">
        <v>239</v>
      </c>
      <c r="C36" s="506"/>
      <c r="D36" s="506"/>
      <c r="E36" s="492"/>
      <c r="F36" s="140"/>
      <c r="G36" s="140"/>
      <c r="H36" s="140"/>
      <c r="I36" s="140"/>
    </row>
    <row r="37" spans="1:9" s="72" customFormat="1" ht="15" customHeight="1">
      <c r="A37" s="76" t="s">
        <v>240</v>
      </c>
      <c r="B37" s="506" t="s">
        <v>241</v>
      </c>
      <c r="C37" s="506"/>
      <c r="D37" s="506"/>
      <c r="E37" s="492"/>
      <c r="F37" s="140"/>
      <c r="G37" s="140"/>
      <c r="H37" s="140"/>
      <c r="I37" s="140"/>
    </row>
    <row r="38" spans="1:9" s="72" customFormat="1" ht="15" customHeight="1">
      <c r="A38" s="76" t="s">
        <v>242</v>
      </c>
      <c r="B38" s="506" t="s">
        <v>159</v>
      </c>
      <c r="C38" s="506"/>
      <c r="D38" s="506"/>
      <c r="E38" s="492"/>
      <c r="F38" s="140"/>
      <c r="G38" s="140"/>
      <c r="H38" s="140"/>
      <c r="I38" s="140"/>
    </row>
    <row r="39" spans="1:9" s="72" customFormat="1" ht="15" customHeight="1">
      <c r="A39" s="76" t="s">
        <v>243</v>
      </c>
      <c r="B39" s="506" t="s">
        <v>244</v>
      </c>
      <c r="C39" s="506"/>
      <c r="D39" s="506"/>
      <c r="E39" s="492"/>
      <c r="F39" s="140"/>
      <c r="G39" s="140"/>
      <c r="H39" s="140"/>
      <c r="I39" s="140"/>
    </row>
    <row r="40" spans="1:9" s="80" customFormat="1" ht="15" customHeight="1">
      <c r="A40" s="478" t="s">
        <v>83</v>
      </c>
      <c r="B40" s="478"/>
      <c r="C40" s="478"/>
      <c r="D40" s="478"/>
      <c r="E40" s="478"/>
      <c r="F40" s="124">
        <f>SUM(F35:F39)</f>
        <v>0</v>
      </c>
      <c r="G40" s="124">
        <f>SUM(G35:G39)</f>
        <v>0</v>
      </c>
      <c r="H40" s="124">
        <f>SUM(H35:H39)</f>
        <v>0</v>
      </c>
      <c r="I40" s="124">
        <f>SUM(I35:I39)</f>
        <v>0</v>
      </c>
    </row>
    <row r="41" spans="1:9" s="80" customFormat="1" ht="15" customHeight="1">
      <c r="A41" s="77"/>
      <c r="B41" s="93"/>
      <c r="C41" s="93"/>
      <c r="D41" s="93"/>
      <c r="E41" s="93"/>
      <c r="F41" s="78"/>
      <c r="G41" s="78"/>
      <c r="H41" s="78"/>
      <c r="I41" s="79"/>
    </row>
    <row r="42" spans="1:9" s="72" customFormat="1" ht="15" customHeight="1">
      <c r="A42" s="81" t="s">
        <v>52</v>
      </c>
      <c r="B42" s="479" t="s">
        <v>245</v>
      </c>
      <c r="C42" s="480"/>
      <c r="D42" s="480"/>
      <c r="E42" s="480"/>
      <c r="F42" s="82"/>
      <c r="G42" s="83"/>
      <c r="H42" s="83"/>
      <c r="I42" s="84"/>
    </row>
    <row r="43" spans="1:9" s="72" customFormat="1" ht="15" customHeight="1">
      <c r="A43" s="76" t="s">
        <v>84</v>
      </c>
      <c r="B43" s="481" t="s">
        <v>85</v>
      </c>
      <c r="C43" s="481"/>
      <c r="D43" s="481"/>
      <c r="E43" s="482"/>
      <c r="F43" s="89">
        <f>F19*F32</f>
        <v>0</v>
      </c>
      <c r="G43" s="89">
        <f>G19*G32</f>
        <v>0</v>
      </c>
      <c r="H43" s="89">
        <f>H19*H32</f>
        <v>0</v>
      </c>
      <c r="I43" s="89">
        <f>I19*I32</f>
        <v>0</v>
      </c>
    </row>
    <row r="44" spans="1:9" s="72" customFormat="1" ht="30" customHeight="1">
      <c r="A44" s="85" t="s">
        <v>246</v>
      </c>
      <c r="B44" s="483" t="s">
        <v>247</v>
      </c>
      <c r="C44" s="484"/>
      <c r="D44" s="484"/>
      <c r="E44" s="484"/>
      <c r="F44" s="89">
        <f>F19*F36+F17*F35</f>
        <v>0</v>
      </c>
      <c r="G44" s="89">
        <f>G19*G36+G17*G35</f>
        <v>0</v>
      </c>
      <c r="H44" s="89">
        <f>H19*H36+H17*H35</f>
        <v>0</v>
      </c>
      <c r="I44" s="89">
        <f>I19*I36+I17*I35</f>
        <v>0</v>
      </c>
    </row>
    <row r="45" spans="1:9" s="80" customFormat="1" ht="15" customHeight="1">
      <c r="A45" s="478" t="s">
        <v>86</v>
      </c>
      <c r="B45" s="478"/>
      <c r="C45" s="478"/>
      <c r="D45" s="478"/>
      <c r="E45" s="478"/>
      <c r="F45" s="124">
        <f>SUM(F43:F44)</f>
        <v>0</v>
      </c>
      <c r="G45" s="124">
        <f>SUM(G43:G44)</f>
        <v>0</v>
      </c>
      <c r="H45" s="124">
        <f>SUM(H43:H44)</f>
        <v>0</v>
      </c>
      <c r="I45" s="124">
        <f>SUM(I43:I44)</f>
        <v>0</v>
      </c>
    </row>
    <row r="46" spans="1:9" s="80" customFormat="1" ht="15" customHeight="1">
      <c r="A46" s="77"/>
      <c r="B46" s="98"/>
      <c r="C46" s="98"/>
      <c r="D46" s="98"/>
      <c r="E46" s="98"/>
      <c r="F46" s="86"/>
      <c r="G46" s="86"/>
      <c r="H46" s="86"/>
      <c r="I46" s="87"/>
    </row>
    <row r="47" spans="1:9" s="80" customFormat="1" ht="15" customHeight="1">
      <c r="A47" s="476" t="s">
        <v>87</v>
      </c>
      <c r="B47" s="477"/>
      <c r="C47" s="477"/>
      <c r="D47" s="477"/>
      <c r="E47" s="477"/>
      <c r="F47" s="125">
        <f>SUM(F45,F40,F32,F19)</f>
        <v>0</v>
      </c>
      <c r="G47" s="125">
        <f>SUM(G45,G40,G32,G19)</f>
        <v>0</v>
      </c>
      <c r="H47" s="125">
        <f>SUM(H45,H40,H32,H19)</f>
        <v>0</v>
      </c>
      <c r="I47" s="125">
        <f>SUM(I45,I40,I32,I19)</f>
        <v>0</v>
      </c>
    </row>
    <row r="48" spans="1:9" ht="15" customHeight="1">
      <c r="A48" s="70"/>
      <c r="B48" s="99"/>
      <c r="C48" s="99"/>
      <c r="D48" s="99"/>
      <c r="E48" s="99"/>
      <c r="F48" s="71"/>
    </row>
    <row r="49" spans="1:6" ht="15" customHeight="1">
      <c r="A49" s="70"/>
      <c r="B49" s="99"/>
      <c r="C49" s="99"/>
      <c r="D49" s="99"/>
      <c r="E49" s="99"/>
      <c r="F49" s="71"/>
    </row>
    <row r="50" spans="1:6" ht="15" customHeight="1">
      <c r="A50" s="70"/>
      <c r="B50" s="99"/>
      <c r="C50" s="99"/>
      <c r="D50" s="99"/>
      <c r="E50" s="99"/>
      <c r="F50" s="71"/>
    </row>
    <row r="51" spans="1:6" ht="15" customHeight="1">
      <c r="A51" s="70"/>
      <c r="B51" s="99"/>
      <c r="C51" s="99"/>
      <c r="D51" s="99"/>
      <c r="E51" s="99"/>
      <c r="F51" s="71"/>
    </row>
    <row r="52" spans="1:6" ht="15" customHeight="1">
      <c r="A52" s="70"/>
      <c r="B52" s="99"/>
      <c r="C52" s="99"/>
      <c r="D52" s="99"/>
      <c r="E52" s="99"/>
      <c r="F52" s="71"/>
    </row>
    <row r="53" spans="1:6" ht="15" customHeight="1">
      <c r="A53" s="70"/>
      <c r="B53" s="99"/>
      <c r="C53" s="99"/>
      <c r="D53" s="99"/>
      <c r="E53" s="99"/>
      <c r="F53" s="71"/>
    </row>
  </sheetData>
  <sheetProtection algorithmName="SHA-512" hashValue="p3nXFVWekZVuF407psLt8DAqVrRaUy0AMcGNTS5IwiNmTL/d+KRrDPBazHlqj3jSVC0d8nS9FY9jznXGzuFODw==" saltValue="/RCFJiFp1RP7EUz3++jk5Q==" spinCount="100000" sheet="1" objects="1" scenarios="1"/>
  <mergeCells count="29">
    <mergeCell ref="B37:E37"/>
    <mergeCell ref="B38:E38"/>
    <mergeCell ref="B39:E39"/>
    <mergeCell ref="B21:E21"/>
    <mergeCell ref="B36:E36"/>
    <mergeCell ref="B35:E35"/>
    <mergeCell ref="B34:E34"/>
    <mergeCell ref="A32:E32"/>
    <mergeCell ref="B9:E9"/>
    <mergeCell ref="A5:I5"/>
    <mergeCell ref="A2:D2"/>
    <mergeCell ref="A3:D3"/>
    <mergeCell ref="B27:E27"/>
    <mergeCell ref="B22:E22"/>
    <mergeCell ref="B23:E23"/>
    <mergeCell ref="B25:E25"/>
    <mergeCell ref="B26:E26"/>
    <mergeCell ref="B24:E24"/>
    <mergeCell ref="A19:E19"/>
    <mergeCell ref="H7:I7"/>
    <mergeCell ref="F7:G7"/>
    <mergeCell ref="A7:E8"/>
    <mergeCell ref="F6:G6"/>
    <mergeCell ref="A47:E47"/>
    <mergeCell ref="A45:E45"/>
    <mergeCell ref="A40:E40"/>
    <mergeCell ref="B42:E42"/>
    <mergeCell ref="B43:E43"/>
    <mergeCell ref="B44:E44"/>
  </mergeCells>
  <printOptions horizontalCentered="1"/>
  <pageMargins left="0.78749999999999998" right="0.39374999999999999" top="0.98402777777777783" bottom="0.39374999999999999" header="0.51180555555555562" footer="0.51180555555555562"/>
  <pageSetup paperSize="9" scale="98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45"/>
  <sheetViews>
    <sheetView workbookViewId="0">
      <selection sqref="A1:F1"/>
    </sheetView>
  </sheetViews>
  <sheetFormatPr defaultRowHeight="15"/>
  <cols>
    <col min="1" max="1" width="17.285156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  <col min="257" max="257" width="17.28515625" customWidth="1"/>
    <col min="258" max="258" width="49.85546875" customWidth="1"/>
    <col min="260" max="260" width="12" bestFit="1" customWidth="1"/>
    <col min="261" max="261" width="13.7109375" bestFit="1" customWidth="1"/>
    <col min="262" max="262" width="18" customWidth="1"/>
    <col min="513" max="513" width="17.28515625" customWidth="1"/>
    <col min="514" max="514" width="49.85546875" customWidth="1"/>
    <col min="516" max="516" width="12" bestFit="1" customWidth="1"/>
    <col min="517" max="517" width="13.7109375" bestFit="1" customWidth="1"/>
    <col min="518" max="518" width="18" customWidth="1"/>
    <col min="769" max="769" width="17.28515625" customWidth="1"/>
    <col min="770" max="770" width="49.85546875" customWidth="1"/>
    <col min="772" max="772" width="12" bestFit="1" customWidth="1"/>
    <col min="773" max="773" width="13.7109375" bestFit="1" customWidth="1"/>
    <col min="774" max="774" width="18" customWidth="1"/>
    <col min="1025" max="1025" width="17.28515625" customWidth="1"/>
    <col min="1026" max="1026" width="49.85546875" customWidth="1"/>
    <col min="1028" max="1028" width="12" bestFit="1" customWidth="1"/>
    <col min="1029" max="1029" width="13.7109375" bestFit="1" customWidth="1"/>
    <col min="1030" max="1030" width="18" customWidth="1"/>
    <col min="1281" max="1281" width="17.28515625" customWidth="1"/>
    <col min="1282" max="1282" width="49.85546875" customWidth="1"/>
    <col min="1284" max="1284" width="12" bestFit="1" customWidth="1"/>
    <col min="1285" max="1285" width="13.7109375" bestFit="1" customWidth="1"/>
    <col min="1286" max="1286" width="18" customWidth="1"/>
    <col min="1537" max="1537" width="17.28515625" customWidth="1"/>
    <col min="1538" max="1538" width="49.85546875" customWidth="1"/>
    <col min="1540" max="1540" width="12" bestFit="1" customWidth="1"/>
    <col min="1541" max="1541" width="13.7109375" bestFit="1" customWidth="1"/>
    <col min="1542" max="1542" width="18" customWidth="1"/>
    <col min="1793" max="1793" width="17.28515625" customWidth="1"/>
    <col min="1794" max="1794" width="49.85546875" customWidth="1"/>
    <col min="1796" max="1796" width="12" bestFit="1" customWidth="1"/>
    <col min="1797" max="1797" width="13.7109375" bestFit="1" customWidth="1"/>
    <col min="1798" max="1798" width="18" customWidth="1"/>
    <col min="2049" max="2049" width="17.28515625" customWidth="1"/>
    <col min="2050" max="2050" width="49.85546875" customWidth="1"/>
    <col min="2052" max="2052" width="12" bestFit="1" customWidth="1"/>
    <col min="2053" max="2053" width="13.7109375" bestFit="1" customWidth="1"/>
    <col min="2054" max="2054" width="18" customWidth="1"/>
    <col min="2305" max="2305" width="17.28515625" customWidth="1"/>
    <col min="2306" max="2306" width="49.85546875" customWidth="1"/>
    <col min="2308" max="2308" width="12" bestFit="1" customWidth="1"/>
    <col min="2309" max="2309" width="13.7109375" bestFit="1" customWidth="1"/>
    <col min="2310" max="2310" width="18" customWidth="1"/>
    <col min="2561" max="2561" width="17.28515625" customWidth="1"/>
    <col min="2562" max="2562" width="49.85546875" customWidth="1"/>
    <col min="2564" max="2564" width="12" bestFit="1" customWidth="1"/>
    <col min="2565" max="2565" width="13.7109375" bestFit="1" customWidth="1"/>
    <col min="2566" max="2566" width="18" customWidth="1"/>
    <col min="2817" max="2817" width="17.28515625" customWidth="1"/>
    <col min="2818" max="2818" width="49.85546875" customWidth="1"/>
    <col min="2820" max="2820" width="12" bestFit="1" customWidth="1"/>
    <col min="2821" max="2821" width="13.7109375" bestFit="1" customWidth="1"/>
    <col min="2822" max="2822" width="18" customWidth="1"/>
    <col min="3073" max="3073" width="17.28515625" customWidth="1"/>
    <col min="3074" max="3074" width="49.85546875" customWidth="1"/>
    <col min="3076" max="3076" width="12" bestFit="1" customWidth="1"/>
    <col min="3077" max="3077" width="13.7109375" bestFit="1" customWidth="1"/>
    <col min="3078" max="3078" width="18" customWidth="1"/>
    <col min="3329" max="3329" width="17.28515625" customWidth="1"/>
    <col min="3330" max="3330" width="49.85546875" customWidth="1"/>
    <col min="3332" max="3332" width="12" bestFit="1" customWidth="1"/>
    <col min="3333" max="3333" width="13.7109375" bestFit="1" customWidth="1"/>
    <col min="3334" max="3334" width="18" customWidth="1"/>
    <col min="3585" max="3585" width="17.28515625" customWidth="1"/>
    <col min="3586" max="3586" width="49.85546875" customWidth="1"/>
    <col min="3588" max="3588" width="12" bestFit="1" customWidth="1"/>
    <col min="3589" max="3589" width="13.7109375" bestFit="1" customWidth="1"/>
    <col min="3590" max="3590" width="18" customWidth="1"/>
    <col min="3841" max="3841" width="17.28515625" customWidth="1"/>
    <col min="3842" max="3842" width="49.85546875" customWidth="1"/>
    <col min="3844" max="3844" width="12" bestFit="1" customWidth="1"/>
    <col min="3845" max="3845" width="13.7109375" bestFit="1" customWidth="1"/>
    <col min="3846" max="3846" width="18" customWidth="1"/>
    <col min="4097" max="4097" width="17.28515625" customWidth="1"/>
    <col min="4098" max="4098" width="49.85546875" customWidth="1"/>
    <col min="4100" max="4100" width="12" bestFit="1" customWidth="1"/>
    <col min="4101" max="4101" width="13.7109375" bestFit="1" customWidth="1"/>
    <col min="4102" max="4102" width="18" customWidth="1"/>
    <col min="4353" max="4353" width="17.28515625" customWidth="1"/>
    <col min="4354" max="4354" width="49.85546875" customWidth="1"/>
    <col min="4356" max="4356" width="12" bestFit="1" customWidth="1"/>
    <col min="4357" max="4357" width="13.7109375" bestFit="1" customWidth="1"/>
    <col min="4358" max="4358" width="18" customWidth="1"/>
    <col min="4609" max="4609" width="17.28515625" customWidth="1"/>
    <col min="4610" max="4610" width="49.85546875" customWidth="1"/>
    <col min="4612" max="4612" width="12" bestFit="1" customWidth="1"/>
    <col min="4613" max="4613" width="13.7109375" bestFit="1" customWidth="1"/>
    <col min="4614" max="4614" width="18" customWidth="1"/>
    <col min="4865" max="4865" width="17.28515625" customWidth="1"/>
    <col min="4866" max="4866" width="49.85546875" customWidth="1"/>
    <col min="4868" max="4868" width="12" bestFit="1" customWidth="1"/>
    <col min="4869" max="4869" width="13.7109375" bestFit="1" customWidth="1"/>
    <col min="4870" max="4870" width="18" customWidth="1"/>
    <col min="5121" max="5121" width="17.28515625" customWidth="1"/>
    <col min="5122" max="5122" width="49.85546875" customWidth="1"/>
    <col min="5124" max="5124" width="12" bestFit="1" customWidth="1"/>
    <col min="5125" max="5125" width="13.7109375" bestFit="1" customWidth="1"/>
    <col min="5126" max="5126" width="18" customWidth="1"/>
    <col min="5377" max="5377" width="17.28515625" customWidth="1"/>
    <col min="5378" max="5378" width="49.85546875" customWidth="1"/>
    <col min="5380" max="5380" width="12" bestFit="1" customWidth="1"/>
    <col min="5381" max="5381" width="13.7109375" bestFit="1" customWidth="1"/>
    <col min="5382" max="5382" width="18" customWidth="1"/>
    <col min="5633" max="5633" width="17.28515625" customWidth="1"/>
    <col min="5634" max="5634" width="49.85546875" customWidth="1"/>
    <col min="5636" max="5636" width="12" bestFit="1" customWidth="1"/>
    <col min="5637" max="5637" width="13.7109375" bestFit="1" customWidth="1"/>
    <col min="5638" max="5638" width="18" customWidth="1"/>
    <col min="5889" max="5889" width="17.28515625" customWidth="1"/>
    <col min="5890" max="5890" width="49.85546875" customWidth="1"/>
    <col min="5892" max="5892" width="12" bestFit="1" customWidth="1"/>
    <col min="5893" max="5893" width="13.7109375" bestFit="1" customWidth="1"/>
    <col min="5894" max="5894" width="18" customWidth="1"/>
    <col min="6145" max="6145" width="17.28515625" customWidth="1"/>
    <col min="6146" max="6146" width="49.85546875" customWidth="1"/>
    <col min="6148" max="6148" width="12" bestFit="1" customWidth="1"/>
    <col min="6149" max="6149" width="13.7109375" bestFit="1" customWidth="1"/>
    <col min="6150" max="6150" width="18" customWidth="1"/>
    <col min="6401" max="6401" width="17.28515625" customWidth="1"/>
    <col min="6402" max="6402" width="49.85546875" customWidth="1"/>
    <col min="6404" max="6404" width="12" bestFit="1" customWidth="1"/>
    <col min="6405" max="6405" width="13.7109375" bestFit="1" customWidth="1"/>
    <col min="6406" max="6406" width="18" customWidth="1"/>
    <col min="6657" max="6657" width="17.28515625" customWidth="1"/>
    <col min="6658" max="6658" width="49.85546875" customWidth="1"/>
    <col min="6660" max="6660" width="12" bestFit="1" customWidth="1"/>
    <col min="6661" max="6661" width="13.7109375" bestFit="1" customWidth="1"/>
    <col min="6662" max="6662" width="18" customWidth="1"/>
    <col min="6913" max="6913" width="17.28515625" customWidth="1"/>
    <col min="6914" max="6914" width="49.85546875" customWidth="1"/>
    <col min="6916" max="6916" width="12" bestFit="1" customWidth="1"/>
    <col min="6917" max="6917" width="13.7109375" bestFit="1" customWidth="1"/>
    <col min="6918" max="6918" width="18" customWidth="1"/>
    <col min="7169" max="7169" width="17.28515625" customWidth="1"/>
    <col min="7170" max="7170" width="49.85546875" customWidth="1"/>
    <col min="7172" max="7172" width="12" bestFit="1" customWidth="1"/>
    <col min="7173" max="7173" width="13.7109375" bestFit="1" customWidth="1"/>
    <col min="7174" max="7174" width="18" customWidth="1"/>
    <col min="7425" max="7425" width="17.28515625" customWidth="1"/>
    <col min="7426" max="7426" width="49.85546875" customWidth="1"/>
    <col min="7428" max="7428" width="12" bestFit="1" customWidth="1"/>
    <col min="7429" max="7429" width="13.7109375" bestFit="1" customWidth="1"/>
    <col min="7430" max="7430" width="18" customWidth="1"/>
    <col min="7681" max="7681" width="17.28515625" customWidth="1"/>
    <col min="7682" max="7682" width="49.85546875" customWidth="1"/>
    <col min="7684" max="7684" width="12" bestFit="1" customWidth="1"/>
    <col min="7685" max="7685" width="13.7109375" bestFit="1" customWidth="1"/>
    <col min="7686" max="7686" width="18" customWidth="1"/>
    <col min="7937" max="7937" width="17.28515625" customWidth="1"/>
    <col min="7938" max="7938" width="49.85546875" customWidth="1"/>
    <col min="7940" max="7940" width="12" bestFit="1" customWidth="1"/>
    <col min="7941" max="7941" width="13.7109375" bestFit="1" customWidth="1"/>
    <col min="7942" max="7942" width="18" customWidth="1"/>
    <col min="8193" max="8193" width="17.28515625" customWidth="1"/>
    <col min="8194" max="8194" width="49.85546875" customWidth="1"/>
    <col min="8196" max="8196" width="12" bestFit="1" customWidth="1"/>
    <col min="8197" max="8197" width="13.7109375" bestFit="1" customWidth="1"/>
    <col min="8198" max="8198" width="18" customWidth="1"/>
    <col min="8449" max="8449" width="17.28515625" customWidth="1"/>
    <col min="8450" max="8450" width="49.85546875" customWidth="1"/>
    <col min="8452" max="8452" width="12" bestFit="1" customWidth="1"/>
    <col min="8453" max="8453" width="13.7109375" bestFit="1" customWidth="1"/>
    <col min="8454" max="8454" width="18" customWidth="1"/>
    <col min="8705" max="8705" width="17.28515625" customWidth="1"/>
    <col min="8706" max="8706" width="49.85546875" customWidth="1"/>
    <col min="8708" max="8708" width="12" bestFit="1" customWidth="1"/>
    <col min="8709" max="8709" width="13.7109375" bestFit="1" customWidth="1"/>
    <col min="8710" max="8710" width="18" customWidth="1"/>
    <col min="8961" max="8961" width="17.28515625" customWidth="1"/>
    <col min="8962" max="8962" width="49.85546875" customWidth="1"/>
    <col min="8964" max="8964" width="12" bestFit="1" customWidth="1"/>
    <col min="8965" max="8965" width="13.7109375" bestFit="1" customWidth="1"/>
    <col min="8966" max="8966" width="18" customWidth="1"/>
    <col min="9217" max="9217" width="17.28515625" customWidth="1"/>
    <col min="9218" max="9218" width="49.85546875" customWidth="1"/>
    <col min="9220" max="9220" width="12" bestFit="1" customWidth="1"/>
    <col min="9221" max="9221" width="13.7109375" bestFit="1" customWidth="1"/>
    <col min="9222" max="9222" width="18" customWidth="1"/>
    <col min="9473" max="9473" width="17.28515625" customWidth="1"/>
    <col min="9474" max="9474" width="49.85546875" customWidth="1"/>
    <col min="9476" max="9476" width="12" bestFit="1" customWidth="1"/>
    <col min="9477" max="9477" width="13.7109375" bestFit="1" customWidth="1"/>
    <col min="9478" max="9478" width="18" customWidth="1"/>
    <col min="9729" max="9729" width="17.28515625" customWidth="1"/>
    <col min="9730" max="9730" width="49.85546875" customWidth="1"/>
    <col min="9732" max="9732" width="12" bestFit="1" customWidth="1"/>
    <col min="9733" max="9733" width="13.7109375" bestFit="1" customWidth="1"/>
    <col min="9734" max="9734" width="18" customWidth="1"/>
    <col min="9985" max="9985" width="17.28515625" customWidth="1"/>
    <col min="9986" max="9986" width="49.85546875" customWidth="1"/>
    <col min="9988" max="9988" width="12" bestFit="1" customWidth="1"/>
    <col min="9989" max="9989" width="13.7109375" bestFit="1" customWidth="1"/>
    <col min="9990" max="9990" width="18" customWidth="1"/>
    <col min="10241" max="10241" width="17.28515625" customWidth="1"/>
    <col min="10242" max="10242" width="49.85546875" customWidth="1"/>
    <col min="10244" max="10244" width="12" bestFit="1" customWidth="1"/>
    <col min="10245" max="10245" width="13.7109375" bestFit="1" customWidth="1"/>
    <col min="10246" max="10246" width="18" customWidth="1"/>
    <col min="10497" max="10497" width="17.28515625" customWidth="1"/>
    <col min="10498" max="10498" width="49.85546875" customWidth="1"/>
    <col min="10500" max="10500" width="12" bestFit="1" customWidth="1"/>
    <col min="10501" max="10501" width="13.7109375" bestFit="1" customWidth="1"/>
    <col min="10502" max="10502" width="18" customWidth="1"/>
    <col min="10753" max="10753" width="17.28515625" customWidth="1"/>
    <col min="10754" max="10754" width="49.85546875" customWidth="1"/>
    <col min="10756" max="10756" width="12" bestFit="1" customWidth="1"/>
    <col min="10757" max="10757" width="13.7109375" bestFit="1" customWidth="1"/>
    <col min="10758" max="10758" width="18" customWidth="1"/>
    <col min="11009" max="11009" width="17.28515625" customWidth="1"/>
    <col min="11010" max="11010" width="49.85546875" customWidth="1"/>
    <col min="11012" max="11012" width="12" bestFit="1" customWidth="1"/>
    <col min="11013" max="11013" width="13.7109375" bestFit="1" customWidth="1"/>
    <col min="11014" max="11014" width="18" customWidth="1"/>
    <col min="11265" max="11265" width="17.28515625" customWidth="1"/>
    <col min="11266" max="11266" width="49.85546875" customWidth="1"/>
    <col min="11268" max="11268" width="12" bestFit="1" customWidth="1"/>
    <col min="11269" max="11269" width="13.7109375" bestFit="1" customWidth="1"/>
    <col min="11270" max="11270" width="18" customWidth="1"/>
    <col min="11521" max="11521" width="17.28515625" customWidth="1"/>
    <col min="11522" max="11522" width="49.85546875" customWidth="1"/>
    <col min="11524" max="11524" width="12" bestFit="1" customWidth="1"/>
    <col min="11525" max="11525" width="13.7109375" bestFit="1" customWidth="1"/>
    <col min="11526" max="11526" width="18" customWidth="1"/>
    <col min="11777" max="11777" width="17.28515625" customWidth="1"/>
    <col min="11778" max="11778" width="49.85546875" customWidth="1"/>
    <col min="11780" max="11780" width="12" bestFit="1" customWidth="1"/>
    <col min="11781" max="11781" width="13.7109375" bestFit="1" customWidth="1"/>
    <col min="11782" max="11782" width="18" customWidth="1"/>
    <col min="12033" max="12033" width="17.28515625" customWidth="1"/>
    <col min="12034" max="12034" width="49.85546875" customWidth="1"/>
    <col min="12036" max="12036" width="12" bestFit="1" customWidth="1"/>
    <col min="12037" max="12037" width="13.7109375" bestFit="1" customWidth="1"/>
    <col min="12038" max="12038" width="18" customWidth="1"/>
    <col min="12289" max="12289" width="17.28515625" customWidth="1"/>
    <col min="12290" max="12290" width="49.85546875" customWidth="1"/>
    <col min="12292" max="12292" width="12" bestFit="1" customWidth="1"/>
    <col min="12293" max="12293" width="13.7109375" bestFit="1" customWidth="1"/>
    <col min="12294" max="12294" width="18" customWidth="1"/>
    <col min="12545" max="12545" width="17.28515625" customWidth="1"/>
    <col min="12546" max="12546" width="49.85546875" customWidth="1"/>
    <col min="12548" max="12548" width="12" bestFit="1" customWidth="1"/>
    <col min="12549" max="12549" width="13.7109375" bestFit="1" customWidth="1"/>
    <col min="12550" max="12550" width="18" customWidth="1"/>
    <col min="12801" max="12801" width="17.28515625" customWidth="1"/>
    <col min="12802" max="12802" width="49.85546875" customWidth="1"/>
    <col min="12804" max="12804" width="12" bestFit="1" customWidth="1"/>
    <col min="12805" max="12805" width="13.7109375" bestFit="1" customWidth="1"/>
    <col min="12806" max="12806" width="18" customWidth="1"/>
    <col min="13057" max="13057" width="17.28515625" customWidth="1"/>
    <col min="13058" max="13058" width="49.85546875" customWidth="1"/>
    <col min="13060" max="13060" width="12" bestFit="1" customWidth="1"/>
    <col min="13061" max="13061" width="13.7109375" bestFit="1" customWidth="1"/>
    <col min="13062" max="13062" width="18" customWidth="1"/>
    <col min="13313" max="13313" width="17.28515625" customWidth="1"/>
    <col min="13314" max="13314" width="49.85546875" customWidth="1"/>
    <col min="13316" max="13316" width="12" bestFit="1" customWidth="1"/>
    <col min="13317" max="13317" width="13.7109375" bestFit="1" customWidth="1"/>
    <col min="13318" max="13318" width="18" customWidth="1"/>
    <col min="13569" max="13569" width="17.28515625" customWidth="1"/>
    <col min="13570" max="13570" width="49.85546875" customWidth="1"/>
    <col min="13572" max="13572" width="12" bestFit="1" customWidth="1"/>
    <col min="13573" max="13573" width="13.7109375" bestFit="1" customWidth="1"/>
    <col min="13574" max="13574" width="18" customWidth="1"/>
    <col min="13825" max="13825" width="17.28515625" customWidth="1"/>
    <col min="13826" max="13826" width="49.85546875" customWidth="1"/>
    <col min="13828" max="13828" width="12" bestFit="1" customWidth="1"/>
    <col min="13829" max="13829" width="13.7109375" bestFit="1" customWidth="1"/>
    <col min="13830" max="13830" width="18" customWidth="1"/>
    <col min="14081" max="14081" width="17.28515625" customWidth="1"/>
    <col min="14082" max="14082" width="49.85546875" customWidth="1"/>
    <col min="14084" max="14084" width="12" bestFit="1" customWidth="1"/>
    <col min="14085" max="14085" width="13.7109375" bestFit="1" customWidth="1"/>
    <col min="14086" max="14086" width="18" customWidth="1"/>
    <col min="14337" max="14337" width="17.28515625" customWidth="1"/>
    <col min="14338" max="14338" width="49.85546875" customWidth="1"/>
    <col min="14340" max="14340" width="12" bestFit="1" customWidth="1"/>
    <col min="14341" max="14341" width="13.7109375" bestFit="1" customWidth="1"/>
    <col min="14342" max="14342" width="18" customWidth="1"/>
    <col min="14593" max="14593" width="17.28515625" customWidth="1"/>
    <col min="14594" max="14594" width="49.85546875" customWidth="1"/>
    <col min="14596" max="14596" width="12" bestFit="1" customWidth="1"/>
    <col min="14597" max="14597" width="13.7109375" bestFit="1" customWidth="1"/>
    <col min="14598" max="14598" width="18" customWidth="1"/>
    <col min="14849" max="14849" width="17.28515625" customWidth="1"/>
    <col min="14850" max="14850" width="49.85546875" customWidth="1"/>
    <col min="14852" max="14852" width="12" bestFit="1" customWidth="1"/>
    <col min="14853" max="14853" width="13.7109375" bestFit="1" customWidth="1"/>
    <col min="14854" max="14854" width="18" customWidth="1"/>
    <col min="15105" max="15105" width="17.28515625" customWidth="1"/>
    <col min="15106" max="15106" width="49.85546875" customWidth="1"/>
    <col min="15108" max="15108" width="12" bestFit="1" customWidth="1"/>
    <col min="15109" max="15109" width="13.7109375" bestFit="1" customWidth="1"/>
    <col min="15110" max="15110" width="18" customWidth="1"/>
    <col min="15361" max="15361" width="17.28515625" customWidth="1"/>
    <col min="15362" max="15362" width="49.85546875" customWidth="1"/>
    <col min="15364" max="15364" width="12" bestFit="1" customWidth="1"/>
    <col min="15365" max="15365" width="13.7109375" bestFit="1" customWidth="1"/>
    <col min="15366" max="15366" width="18" customWidth="1"/>
    <col min="15617" max="15617" width="17.28515625" customWidth="1"/>
    <col min="15618" max="15618" width="49.85546875" customWidth="1"/>
    <col min="15620" max="15620" width="12" bestFit="1" customWidth="1"/>
    <col min="15621" max="15621" width="13.7109375" bestFit="1" customWidth="1"/>
    <col min="15622" max="15622" width="18" customWidth="1"/>
    <col min="15873" max="15873" width="17.28515625" customWidth="1"/>
    <col min="15874" max="15874" width="49.85546875" customWidth="1"/>
    <col min="15876" max="15876" width="12" bestFit="1" customWidth="1"/>
    <col min="15877" max="15877" width="13.7109375" bestFit="1" customWidth="1"/>
    <col min="15878" max="15878" width="18" customWidth="1"/>
    <col min="16129" max="16129" width="17.28515625" customWidth="1"/>
    <col min="16130" max="16130" width="49.85546875" customWidth="1"/>
    <col min="16132" max="16132" width="12" bestFit="1" customWidth="1"/>
    <col min="16133" max="16133" width="13.7109375" bestFit="1" customWidth="1"/>
    <col min="16134" max="16134" width="18" customWidth="1"/>
  </cols>
  <sheetData>
    <row r="1" spans="1:7" ht="18.75">
      <c r="A1" s="338" t="s">
        <v>107</v>
      </c>
      <c r="B1" s="339"/>
      <c r="C1" s="339"/>
      <c r="D1" s="339"/>
      <c r="E1" s="339"/>
      <c r="F1" s="340"/>
      <c r="G1" s="12"/>
    </row>
    <row r="2" spans="1:7">
      <c r="A2" s="5" t="s">
        <v>11</v>
      </c>
      <c r="B2" s="341" t="s">
        <v>104</v>
      </c>
      <c r="C2" s="342"/>
      <c r="D2" s="342"/>
      <c r="E2" s="342"/>
      <c r="F2" s="343"/>
      <c r="G2" s="12"/>
    </row>
    <row r="3" spans="1:7">
      <c r="A3" s="11" t="s">
        <v>111</v>
      </c>
      <c r="B3" s="10" t="s">
        <v>105</v>
      </c>
      <c r="C3" s="344" t="s">
        <v>106</v>
      </c>
      <c r="D3" s="344"/>
      <c r="E3" s="344"/>
      <c r="F3" s="345"/>
      <c r="G3" s="12"/>
    </row>
    <row r="4" spans="1:7" ht="23.25" customHeight="1">
      <c r="A4" s="11" t="s">
        <v>12</v>
      </c>
      <c r="B4" s="508" t="s">
        <v>13</v>
      </c>
      <c r="C4" s="509"/>
      <c r="D4" s="509"/>
      <c r="E4" s="509"/>
      <c r="F4" s="510"/>
      <c r="G4" s="12"/>
    </row>
    <row r="5" spans="1:7">
      <c r="A5" s="359" t="s">
        <v>103</v>
      </c>
      <c r="B5" s="360"/>
      <c r="C5" s="360"/>
      <c r="D5" s="360"/>
      <c r="E5" s="360"/>
      <c r="F5" s="361"/>
      <c r="G5" s="12"/>
    </row>
    <row r="6" spans="1:7">
      <c r="A6" s="362" t="s">
        <v>6</v>
      </c>
      <c r="B6" s="352" t="s">
        <v>63</v>
      </c>
      <c r="C6" s="354" t="s">
        <v>19</v>
      </c>
      <c r="D6" s="354" t="s">
        <v>28</v>
      </c>
      <c r="E6" s="354" t="s">
        <v>30</v>
      </c>
      <c r="F6" s="355"/>
      <c r="G6" s="12"/>
    </row>
    <row r="7" spans="1:7">
      <c r="A7" s="363"/>
      <c r="B7" s="353"/>
      <c r="C7" s="354"/>
      <c r="D7" s="354"/>
      <c r="E7" s="15" t="s">
        <v>29</v>
      </c>
      <c r="F7" s="16" t="s">
        <v>20</v>
      </c>
      <c r="G7" s="12"/>
    </row>
    <row r="8" spans="1:7">
      <c r="A8" s="21" t="s">
        <v>34</v>
      </c>
      <c r="B8" s="329" t="s">
        <v>41</v>
      </c>
      <c r="C8" s="329"/>
      <c r="D8" s="329"/>
      <c r="E8" s="329"/>
      <c r="F8" s="330"/>
      <c r="G8" s="12"/>
    </row>
    <row r="9" spans="1:7" ht="45">
      <c r="A9" s="34" t="s">
        <v>35</v>
      </c>
      <c r="B9" s="3" t="s">
        <v>169</v>
      </c>
      <c r="C9" s="15" t="s">
        <v>33</v>
      </c>
      <c r="D9" s="35">
        <v>8</v>
      </c>
      <c r="E9" s="36" t="e">
        <f>#REF!</f>
        <v>#REF!</v>
      </c>
      <c r="F9" s="37" t="e">
        <f t="shared" ref="F9:F21" si="0">ROUND(D9*E9,2)</f>
        <v>#REF!</v>
      </c>
      <c r="G9" s="12"/>
    </row>
    <row r="10" spans="1:7" ht="31.5" customHeight="1">
      <c r="A10" s="21" t="s">
        <v>36</v>
      </c>
      <c r="B10" s="22" t="s">
        <v>170</v>
      </c>
      <c r="C10" s="2" t="s">
        <v>33</v>
      </c>
      <c r="D10" s="13">
        <f>D9*2</f>
        <v>16</v>
      </c>
      <c r="E10" s="17" t="e">
        <f>#REF!</f>
        <v>#REF!</v>
      </c>
      <c r="F10" s="37" t="e">
        <f t="shared" si="0"/>
        <v>#REF!</v>
      </c>
      <c r="G10" s="12"/>
    </row>
    <row r="11" spans="1:7" ht="30">
      <c r="A11" s="34" t="s">
        <v>171</v>
      </c>
      <c r="B11" s="4" t="s">
        <v>172</v>
      </c>
      <c r="C11" s="15" t="s">
        <v>33</v>
      </c>
      <c r="D11" s="35">
        <f>D9*4</f>
        <v>32</v>
      </c>
      <c r="E11" s="36" t="e">
        <f>#REF!</f>
        <v>#REF!</v>
      </c>
      <c r="F11" s="37" t="e">
        <f t="shared" si="0"/>
        <v>#REF!</v>
      </c>
      <c r="G11" s="12"/>
    </row>
    <row r="12" spans="1:7">
      <c r="A12" s="34" t="s">
        <v>173</v>
      </c>
      <c r="B12" s="4" t="s">
        <v>174</v>
      </c>
      <c r="C12" s="15" t="s">
        <v>33</v>
      </c>
      <c r="D12" s="35">
        <f>ROUND($D$11*G12/2,0)</f>
        <v>16</v>
      </c>
      <c r="E12" s="36" t="e">
        <f>#REF!</f>
        <v>#REF!</v>
      </c>
      <c r="F12" s="37" t="e">
        <f t="shared" si="0"/>
        <v>#REF!</v>
      </c>
      <c r="G12" s="12">
        <v>1</v>
      </c>
    </row>
    <row r="13" spans="1:7">
      <c r="A13" s="34" t="s">
        <v>175</v>
      </c>
      <c r="B13" s="4" t="s">
        <v>176</v>
      </c>
      <c r="C13" s="15" t="s">
        <v>33</v>
      </c>
      <c r="D13" s="35">
        <f>ROUND($D$11*G13/2,0)</f>
        <v>16</v>
      </c>
      <c r="E13" s="36" t="e">
        <f>#REF!</f>
        <v>#REF!</v>
      </c>
      <c r="F13" s="37" t="e">
        <f t="shared" si="0"/>
        <v>#REF!</v>
      </c>
      <c r="G13" s="12">
        <v>1</v>
      </c>
    </row>
    <row r="14" spans="1:7">
      <c r="A14" s="34" t="s">
        <v>177</v>
      </c>
      <c r="B14" s="4" t="s">
        <v>178</v>
      </c>
      <c r="C14" s="15" t="s">
        <v>33</v>
      </c>
      <c r="D14" s="35">
        <f>ROUND($D$11*G14/2,0)</f>
        <v>13</v>
      </c>
      <c r="E14" s="36" t="e">
        <f>#REF!</f>
        <v>#REF!</v>
      </c>
      <c r="F14" s="37" t="e">
        <f t="shared" si="0"/>
        <v>#REF!</v>
      </c>
      <c r="G14" s="12">
        <v>0.8</v>
      </c>
    </row>
    <row r="15" spans="1:7" ht="30">
      <c r="A15" s="34" t="s">
        <v>179</v>
      </c>
      <c r="B15" s="4" t="s">
        <v>180</v>
      </c>
      <c r="C15" s="15" t="s">
        <v>33</v>
      </c>
      <c r="D15" s="35">
        <f>ROUND($D$11*G15,0)</f>
        <v>32</v>
      </c>
      <c r="E15" s="36" t="e">
        <f>#REF!</f>
        <v>#REF!</v>
      </c>
      <c r="F15" s="37" t="e">
        <f t="shared" si="0"/>
        <v>#REF!</v>
      </c>
      <c r="G15" s="12">
        <v>1</v>
      </c>
    </row>
    <row r="16" spans="1:7" ht="30">
      <c r="A16" s="34" t="s">
        <v>181</v>
      </c>
      <c r="B16" s="4" t="s">
        <v>182</v>
      </c>
      <c r="C16" s="15" t="s">
        <v>33</v>
      </c>
      <c r="D16" s="35">
        <f>ROUND($D$11*G16/2,0)</f>
        <v>16</v>
      </c>
      <c r="E16" s="36" t="e">
        <f>#REF!</f>
        <v>#REF!</v>
      </c>
      <c r="F16" s="37" t="e">
        <f t="shared" si="0"/>
        <v>#REF!</v>
      </c>
      <c r="G16" s="12">
        <v>1</v>
      </c>
    </row>
    <row r="17" spans="1:7">
      <c r="A17" s="34" t="s">
        <v>183</v>
      </c>
      <c r="B17" s="4" t="s">
        <v>184</v>
      </c>
      <c r="C17" s="15" t="s">
        <v>33</v>
      </c>
      <c r="D17" s="35">
        <f>ROUND($D$11*G17/3,0)</f>
        <v>11</v>
      </c>
      <c r="E17" s="36" t="e">
        <f>#REF!</f>
        <v>#REF!</v>
      </c>
      <c r="F17" s="37" t="e">
        <f t="shared" si="0"/>
        <v>#REF!</v>
      </c>
      <c r="G17" s="12">
        <v>1</v>
      </c>
    </row>
    <row r="18" spans="1:7" ht="21.75" customHeight="1">
      <c r="A18" s="34" t="s">
        <v>185</v>
      </c>
      <c r="B18" s="4" t="s">
        <v>186</v>
      </c>
      <c r="C18" s="15" t="s">
        <v>33</v>
      </c>
      <c r="D18" s="35">
        <f>ROUND($D$11*G18/2,0)</f>
        <v>14</v>
      </c>
      <c r="E18" s="36" t="e">
        <f>#REF!</f>
        <v>#REF!</v>
      </c>
      <c r="F18" s="37" t="e">
        <f t="shared" si="0"/>
        <v>#REF!</v>
      </c>
      <c r="G18" s="12">
        <v>0.85</v>
      </c>
    </row>
    <row r="19" spans="1:7">
      <c r="A19" s="21" t="s">
        <v>38</v>
      </c>
      <c r="B19" s="33" t="s">
        <v>25</v>
      </c>
      <c r="C19" s="2" t="s">
        <v>33</v>
      </c>
      <c r="D19" s="13">
        <f>D10/2</f>
        <v>8</v>
      </c>
      <c r="E19" s="17" t="e">
        <f>#REF!</f>
        <v>#REF!</v>
      </c>
      <c r="F19" s="37" t="e">
        <f t="shared" si="0"/>
        <v>#REF!</v>
      </c>
      <c r="G19" s="12"/>
    </row>
    <row r="20" spans="1:7">
      <c r="A20" s="21" t="s">
        <v>39</v>
      </c>
      <c r="B20" s="33" t="s">
        <v>26</v>
      </c>
      <c r="C20" s="2" t="s">
        <v>33</v>
      </c>
      <c r="D20" s="13">
        <f>D10*2</f>
        <v>32</v>
      </c>
      <c r="E20" s="17" t="e">
        <f>#REF!</f>
        <v>#REF!</v>
      </c>
      <c r="F20" s="37" t="e">
        <f t="shared" si="0"/>
        <v>#REF!</v>
      </c>
      <c r="G20" s="12"/>
    </row>
    <row r="21" spans="1:7">
      <c r="A21" s="21" t="s">
        <v>40</v>
      </c>
      <c r="B21" s="33" t="s">
        <v>18</v>
      </c>
      <c r="C21" s="2" t="s">
        <v>33</v>
      </c>
      <c r="D21" s="13">
        <f>D10*4</f>
        <v>64</v>
      </c>
      <c r="E21" s="17" t="e">
        <f>#REF!</f>
        <v>#REF!</v>
      </c>
      <c r="F21" s="37" t="e">
        <f t="shared" si="0"/>
        <v>#REF!</v>
      </c>
      <c r="G21" s="12"/>
    </row>
    <row r="22" spans="1:7">
      <c r="A22" s="21"/>
      <c r="B22" s="337" t="s">
        <v>21</v>
      </c>
      <c r="C22" s="337"/>
      <c r="D22" s="337"/>
      <c r="E22" s="19"/>
      <c r="F22" s="18" t="e">
        <f>SUM(F9:F21)</f>
        <v>#REF!</v>
      </c>
      <c r="G22" s="12"/>
    </row>
    <row r="23" spans="1:7">
      <c r="A23" s="21" t="s">
        <v>42</v>
      </c>
      <c r="B23" s="334" t="s">
        <v>44</v>
      </c>
      <c r="C23" s="335"/>
      <c r="D23" s="336"/>
      <c r="E23" s="20">
        <f>'Composições-Encargos Soc.'!F47</f>
        <v>0</v>
      </c>
      <c r="F23" s="18" t="e">
        <f>ROUND((F22*E23),2)</f>
        <v>#REF!</v>
      </c>
      <c r="G23" s="12"/>
    </row>
    <row r="24" spans="1:7">
      <c r="A24" s="21"/>
      <c r="B24" s="331" t="s">
        <v>59</v>
      </c>
      <c r="C24" s="332"/>
      <c r="D24" s="333"/>
      <c r="E24" s="33"/>
      <c r="F24" s="18" t="e">
        <f>SUM(F22:F23)</f>
        <v>#REF!</v>
      </c>
      <c r="G24" s="12"/>
    </row>
    <row r="25" spans="1:7">
      <c r="A25" s="21" t="s">
        <v>43</v>
      </c>
      <c r="B25" s="329" t="s">
        <v>45</v>
      </c>
      <c r="C25" s="329"/>
      <c r="D25" s="329"/>
      <c r="E25" s="329"/>
      <c r="F25" s="330"/>
      <c r="G25" s="12"/>
    </row>
    <row r="26" spans="1:7">
      <c r="A26" s="21" t="s">
        <v>46</v>
      </c>
      <c r="B26" s="2" t="s">
        <v>51</v>
      </c>
      <c r="C26" s="2" t="s">
        <v>31</v>
      </c>
      <c r="D26" s="13">
        <f>ROUND(SUM(D9:D18)/20,0)</f>
        <v>9</v>
      </c>
      <c r="E26" s="17" t="e">
        <f>#REF!</f>
        <v>#REF!</v>
      </c>
      <c r="F26" s="18" t="e">
        <f>D26*E26</f>
        <v>#REF!</v>
      </c>
      <c r="G26" s="12"/>
    </row>
    <row r="27" spans="1:7">
      <c r="A27" s="21" t="s">
        <v>47</v>
      </c>
      <c r="B27" s="2" t="s">
        <v>50</v>
      </c>
      <c r="C27" s="2" t="s">
        <v>31</v>
      </c>
      <c r="D27" s="13">
        <f>ROUND(D26*1.5,0)</f>
        <v>14</v>
      </c>
      <c r="E27" s="17" t="e">
        <f>#REF!</f>
        <v>#REF!</v>
      </c>
      <c r="F27" s="18" t="e">
        <f>D27*E27</f>
        <v>#REF!</v>
      </c>
      <c r="G27" s="12"/>
    </row>
    <row r="28" spans="1:7">
      <c r="A28" s="21" t="s">
        <v>48</v>
      </c>
      <c r="B28" s="2" t="s">
        <v>49</v>
      </c>
      <c r="C28" s="2" t="s">
        <v>32</v>
      </c>
      <c r="D28" s="13">
        <f>D26*10</f>
        <v>90</v>
      </c>
      <c r="E28" s="17" t="e">
        <f>#REF!</f>
        <v>#REF!</v>
      </c>
      <c r="F28" s="18" t="e">
        <f>D28*E28</f>
        <v>#REF!</v>
      </c>
      <c r="G28" s="12"/>
    </row>
    <row r="29" spans="1:7">
      <c r="A29" s="21"/>
      <c r="B29" s="358" t="s">
        <v>22</v>
      </c>
      <c r="C29" s="358"/>
      <c r="D29" s="358"/>
      <c r="E29" s="17"/>
      <c r="F29" s="18" t="e">
        <f>SUM(F26:F28)</f>
        <v>#REF!</v>
      </c>
      <c r="G29" s="12"/>
    </row>
    <row r="30" spans="1:7">
      <c r="A30" s="21" t="s">
        <v>52</v>
      </c>
      <c r="B30" s="329" t="s">
        <v>55</v>
      </c>
      <c r="C30" s="329"/>
      <c r="D30" s="329"/>
      <c r="E30" s="329"/>
      <c r="F30" s="330"/>
      <c r="G30" s="12"/>
    </row>
    <row r="31" spans="1:7">
      <c r="A31" s="21" t="s">
        <v>53</v>
      </c>
      <c r="B31" s="33" t="s">
        <v>56</v>
      </c>
      <c r="C31" s="2" t="s">
        <v>19</v>
      </c>
      <c r="D31" s="13">
        <v>2</v>
      </c>
      <c r="E31" s="13" t="e">
        <f>#REF!</f>
        <v>#REF!</v>
      </c>
      <c r="F31" s="24" t="e">
        <f>D31*E31</f>
        <v>#REF!</v>
      </c>
      <c r="G31" s="12"/>
    </row>
    <row r="32" spans="1:7">
      <c r="A32" s="21" t="s">
        <v>54</v>
      </c>
      <c r="B32" s="33" t="s">
        <v>57</v>
      </c>
      <c r="C32" s="2" t="s">
        <v>19</v>
      </c>
      <c r="D32" s="13">
        <v>2</v>
      </c>
      <c r="E32" s="13" t="e">
        <f>#REF!</f>
        <v>#REF!</v>
      </c>
      <c r="F32" s="24" t="e">
        <f>D32*E32</f>
        <v>#REF!</v>
      </c>
      <c r="G32" s="12"/>
    </row>
    <row r="33" spans="1:7">
      <c r="A33" s="21"/>
      <c r="B33" s="337" t="s">
        <v>23</v>
      </c>
      <c r="C33" s="337"/>
      <c r="D33" s="337"/>
      <c r="E33" s="13"/>
      <c r="F33" s="24" t="e">
        <f>SUM(F31:F32)</f>
        <v>#REF!</v>
      </c>
      <c r="G33" s="12"/>
    </row>
    <row r="34" spans="1:7">
      <c r="A34" s="21" t="s">
        <v>92</v>
      </c>
      <c r="B34" s="2" t="s">
        <v>60</v>
      </c>
      <c r="C34" s="2"/>
      <c r="D34" s="13"/>
      <c r="E34" s="13"/>
      <c r="F34" s="38" t="e">
        <f>F24+F29+F33</f>
        <v>#REF!</v>
      </c>
      <c r="G34" s="12"/>
    </row>
    <row r="35" spans="1:7">
      <c r="A35" s="21"/>
      <c r="B35" s="356"/>
      <c r="C35" s="356"/>
      <c r="D35" s="356"/>
      <c r="E35" s="356"/>
      <c r="F35" s="357"/>
      <c r="G35" s="12"/>
    </row>
    <row r="36" spans="1:7">
      <c r="A36" s="21" t="s">
        <v>95</v>
      </c>
      <c r="B36" s="2" t="s">
        <v>58</v>
      </c>
      <c r="C36" s="2"/>
      <c r="D36" s="13"/>
      <c r="E36" s="13"/>
      <c r="F36" s="26">
        <f>'Composições-BDI'!G29</f>
        <v>27.630300620579963</v>
      </c>
      <c r="G36" s="12"/>
    </row>
    <row r="37" spans="1:7">
      <c r="A37" s="21"/>
      <c r="B37" s="2"/>
      <c r="C37" s="2"/>
      <c r="D37" s="13"/>
      <c r="E37" s="13"/>
      <c r="F37" s="24"/>
      <c r="G37" s="12"/>
    </row>
    <row r="38" spans="1:7" ht="15.75" thickBot="1">
      <c r="A38" s="27" t="s">
        <v>96</v>
      </c>
      <c r="B38" s="28" t="s">
        <v>110</v>
      </c>
      <c r="C38" s="28"/>
      <c r="D38" s="29"/>
      <c r="E38" s="29"/>
      <c r="F38" s="39" t="e">
        <f>ROUND((F34*F36)+F34,2)</f>
        <v>#REF!</v>
      </c>
      <c r="G38" s="12"/>
    </row>
    <row r="39" spans="1:7">
      <c r="A39" s="14"/>
      <c r="B39" s="12"/>
      <c r="C39" s="12"/>
      <c r="D39" s="12"/>
      <c r="E39" s="12"/>
      <c r="F39" s="12"/>
      <c r="G39" s="12"/>
    </row>
    <row r="40" spans="1:7" ht="18.75">
      <c r="A40" s="40"/>
      <c r="B40" s="12"/>
      <c r="C40" s="12"/>
      <c r="D40" s="12"/>
      <c r="E40" s="12"/>
      <c r="F40" s="12"/>
      <c r="G40" s="12"/>
    </row>
    <row r="41" spans="1:7" ht="18.75">
      <c r="A41" s="40"/>
      <c r="B41" s="12"/>
      <c r="C41" s="12"/>
      <c r="D41" s="12"/>
      <c r="E41" s="12"/>
      <c r="F41" s="12"/>
      <c r="G41" s="12"/>
    </row>
    <row r="42" spans="1:7">
      <c r="A42" s="14"/>
      <c r="B42" s="12"/>
      <c r="C42" s="12"/>
      <c r="D42" s="12"/>
      <c r="E42" s="12"/>
      <c r="F42" s="12"/>
      <c r="G42" s="12"/>
    </row>
    <row r="43" spans="1:7">
      <c r="A43" s="14"/>
      <c r="B43" s="12"/>
      <c r="C43" s="12"/>
      <c r="D43" s="12"/>
      <c r="E43" s="12"/>
      <c r="F43" s="12"/>
      <c r="G43" s="12"/>
    </row>
    <row r="44" spans="1:7">
      <c r="A44" s="14"/>
      <c r="B44" s="12"/>
      <c r="C44" s="12"/>
      <c r="D44" s="12"/>
      <c r="E44" s="12"/>
      <c r="F44" s="12"/>
      <c r="G44" s="12"/>
    </row>
    <row r="45" spans="1:7">
      <c r="A45" s="14"/>
      <c r="B45" s="12"/>
      <c r="C45" s="12"/>
      <c r="D45" s="12"/>
      <c r="E45" s="12"/>
      <c r="F45" s="12"/>
      <c r="G45" s="12"/>
    </row>
  </sheetData>
  <mergeCells count="19">
    <mergeCell ref="A6:A7"/>
    <mergeCell ref="B6:B7"/>
    <mergeCell ref="C6:C7"/>
    <mergeCell ref="D6:D7"/>
    <mergeCell ref="E6:F6"/>
    <mergeCell ref="A1:F1"/>
    <mergeCell ref="B2:F2"/>
    <mergeCell ref="C3:F3"/>
    <mergeCell ref="B4:F4"/>
    <mergeCell ref="A5:F5"/>
    <mergeCell ref="B30:F30"/>
    <mergeCell ref="B33:D33"/>
    <mergeCell ref="B35:F35"/>
    <mergeCell ref="B8:F8"/>
    <mergeCell ref="B22:D22"/>
    <mergeCell ref="B23:D23"/>
    <mergeCell ref="B24:D24"/>
    <mergeCell ref="B25:F25"/>
    <mergeCell ref="B29:D29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45"/>
  <sheetViews>
    <sheetView workbookViewId="0">
      <selection sqref="A1:F1"/>
    </sheetView>
  </sheetViews>
  <sheetFormatPr defaultRowHeight="15"/>
  <cols>
    <col min="1" max="1" width="17.285156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  <col min="257" max="257" width="17.28515625" customWidth="1"/>
    <col min="258" max="258" width="49.85546875" customWidth="1"/>
    <col min="260" max="260" width="12" bestFit="1" customWidth="1"/>
    <col min="261" max="261" width="13.7109375" bestFit="1" customWidth="1"/>
    <col min="262" max="262" width="18" customWidth="1"/>
    <col min="513" max="513" width="17.28515625" customWidth="1"/>
    <col min="514" max="514" width="49.85546875" customWidth="1"/>
    <col min="516" max="516" width="12" bestFit="1" customWidth="1"/>
    <col min="517" max="517" width="13.7109375" bestFit="1" customWidth="1"/>
    <col min="518" max="518" width="18" customWidth="1"/>
    <col min="769" max="769" width="17.28515625" customWidth="1"/>
    <col min="770" max="770" width="49.85546875" customWidth="1"/>
    <col min="772" max="772" width="12" bestFit="1" customWidth="1"/>
    <col min="773" max="773" width="13.7109375" bestFit="1" customWidth="1"/>
    <col min="774" max="774" width="18" customWidth="1"/>
    <col min="1025" max="1025" width="17.28515625" customWidth="1"/>
    <col min="1026" max="1026" width="49.85546875" customWidth="1"/>
    <col min="1028" max="1028" width="12" bestFit="1" customWidth="1"/>
    <col min="1029" max="1029" width="13.7109375" bestFit="1" customWidth="1"/>
    <col min="1030" max="1030" width="18" customWidth="1"/>
    <col min="1281" max="1281" width="17.28515625" customWidth="1"/>
    <col min="1282" max="1282" width="49.85546875" customWidth="1"/>
    <col min="1284" max="1284" width="12" bestFit="1" customWidth="1"/>
    <col min="1285" max="1285" width="13.7109375" bestFit="1" customWidth="1"/>
    <col min="1286" max="1286" width="18" customWidth="1"/>
    <col min="1537" max="1537" width="17.28515625" customWidth="1"/>
    <col min="1538" max="1538" width="49.85546875" customWidth="1"/>
    <col min="1540" max="1540" width="12" bestFit="1" customWidth="1"/>
    <col min="1541" max="1541" width="13.7109375" bestFit="1" customWidth="1"/>
    <col min="1542" max="1542" width="18" customWidth="1"/>
    <col min="1793" max="1793" width="17.28515625" customWidth="1"/>
    <col min="1794" max="1794" width="49.85546875" customWidth="1"/>
    <col min="1796" max="1796" width="12" bestFit="1" customWidth="1"/>
    <col min="1797" max="1797" width="13.7109375" bestFit="1" customWidth="1"/>
    <col min="1798" max="1798" width="18" customWidth="1"/>
    <col min="2049" max="2049" width="17.28515625" customWidth="1"/>
    <col min="2050" max="2050" width="49.85546875" customWidth="1"/>
    <col min="2052" max="2052" width="12" bestFit="1" customWidth="1"/>
    <col min="2053" max="2053" width="13.7109375" bestFit="1" customWidth="1"/>
    <col min="2054" max="2054" width="18" customWidth="1"/>
    <col min="2305" max="2305" width="17.28515625" customWidth="1"/>
    <col min="2306" max="2306" width="49.85546875" customWidth="1"/>
    <col min="2308" max="2308" width="12" bestFit="1" customWidth="1"/>
    <col min="2309" max="2309" width="13.7109375" bestFit="1" customWidth="1"/>
    <col min="2310" max="2310" width="18" customWidth="1"/>
    <col min="2561" max="2561" width="17.28515625" customWidth="1"/>
    <col min="2562" max="2562" width="49.85546875" customWidth="1"/>
    <col min="2564" max="2564" width="12" bestFit="1" customWidth="1"/>
    <col min="2565" max="2565" width="13.7109375" bestFit="1" customWidth="1"/>
    <col min="2566" max="2566" width="18" customWidth="1"/>
    <col min="2817" max="2817" width="17.28515625" customWidth="1"/>
    <col min="2818" max="2818" width="49.85546875" customWidth="1"/>
    <col min="2820" max="2820" width="12" bestFit="1" customWidth="1"/>
    <col min="2821" max="2821" width="13.7109375" bestFit="1" customWidth="1"/>
    <col min="2822" max="2822" width="18" customWidth="1"/>
    <col min="3073" max="3073" width="17.28515625" customWidth="1"/>
    <col min="3074" max="3074" width="49.85546875" customWidth="1"/>
    <col min="3076" max="3076" width="12" bestFit="1" customWidth="1"/>
    <col min="3077" max="3077" width="13.7109375" bestFit="1" customWidth="1"/>
    <col min="3078" max="3078" width="18" customWidth="1"/>
    <col min="3329" max="3329" width="17.28515625" customWidth="1"/>
    <col min="3330" max="3330" width="49.85546875" customWidth="1"/>
    <col min="3332" max="3332" width="12" bestFit="1" customWidth="1"/>
    <col min="3333" max="3333" width="13.7109375" bestFit="1" customWidth="1"/>
    <col min="3334" max="3334" width="18" customWidth="1"/>
    <col min="3585" max="3585" width="17.28515625" customWidth="1"/>
    <col min="3586" max="3586" width="49.85546875" customWidth="1"/>
    <col min="3588" max="3588" width="12" bestFit="1" customWidth="1"/>
    <col min="3589" max="3589" width="13.7109375" bestFit="1" customWidth="1"/>
    <col min="3590" max="3590" width="18" customWidth="1"/>
    <col min="3841" max="3841" width="17.28515625" customWidth="1"/>
    <col min="3842" max="3842" width="49.85546875" customWidth="1"/>
    <col min="3844" max="3844" width="12" bestFit="1" customWidth="1"/>
    <col min="3845" max="3845" width="13.7109375" bestFit="1" customWidth="1"/>
    <col min="3846" max="3846" width="18" customWidth="1"/>
    <col min="4097" max="4097" width="17.28515625" customWidth="1"/>
    <col min="4098" max="4098" width="49.85546875" customWidth="1"/>
    <col min="4100" max="4100" width="12" bestFit="1" customWidth="1"/>
    <col min="4101" max="4101" width="13.7109375" bestFit="1" customWidth="1"/>
    <col min="4102" max="4102" width="18" customWidth="1"/>
    <col min="4353" max="4353" width="17.28515625" customWidth="1"/>
    <col min="4354" max="4354" width="49.85546875" customWidth="1"/>
    <col min="4356" max="4356" width="12" bestFit="1" customWidth="1"/>
    <col min="4357" max="4357" width="13.7109375" bestFit="1" customWidth="1"/>
    <col min="4358" max="4358" width="18" customWidth="1"/>
    <col min="4609" max="4609" width="17.28515625" customWidth="1"/>
    <col min="4610" max="4610" width="49.85546875" customWidth="1"/>
    <col min="4612" max="4612" width="12" bestFit="1" customWidth="1"/>
    <col min="4613" max="4613" width="13.7109375" bestFit="1" customWidth="1"/>
    <col min="4614" max="4614" width="18" customWidth="1"/>
    <col min="4865" max="4865" width="17.28515625" customWidth="1"/>
    <col min="4866" max="4866" width="49.85546875" customWidth="1"/>
    <col min="4868" max="4868" width="12" bestFit="1" customWidth="1"/>
    <col min="4869" max="4869" width="13.7109375" bestFit="1" customWidth="1"/>
    <col min="4870" max="4870" width="18" customWidth="1"/>
    <col min="5121" max="5121" width="17.28515625" customWidth="1"/>
    <col min="5122" max="5122" width="49.85546875" customWidth="1"/>
    <col min="5124" max="5124" width="12" bestFit="1" customWidth="1"/>
    <col min="5125" max="5125" width="13.7109375" bestFit="1" customWidth="1"/>
    <col min="5126" max="5126" width="18" customWidth="1"/>
    <col min="5377" max="5377" width="17.28515625" customWidth="1"/>
    <col min="5378" max="5378" width="49.85546875" customWidth="1"/>
    <col min="5380" max="5380" width="12" bestFit="1" customWidth="1"/>
    <col min="5381" max="5381" width="13.7109375" bestFit="1" customWidth="1"/>
    <col min="5382" max="5382" width="18" customWidth="1"/>
    <col min="5633" max="5633" width="17.28515625" customWidth="1"/>
    <col min="5634" max="5634" width="49.85546875" customWidth="1"/>
    <col min="5636" max="5636" width="12" bestFit="1" customWidth="1"/>
    <col min="5637" max="5637" width="13.7109375" bestFit="1" customWidth="1"/>
    <col min="5638" max="5638" width="18" customWidth="1"/>
    <col min="5889" max="5889" width="17.28515625" customWidth="1"/>
    <col min="5890" max="5890" width="49.85546875" customWidth="1"/>
    <col min="5892" max="5892" width="12" bestFit="1" customWidth="1"/>
    <col min="5893" max="5893" width="13.7109375" bestFit="1" customWidth="1"/>
    <col min="5894" max="5894" width="18" customWidth="1"/>
    <col min="6145" max="6145" width="17.28515625" customWidth="1"/>
    <col min="6146" max="6146" width="49.85546875" customWidth="1"/>
    <col min="6148" max="6148" width="12" bestFit="1" customWidth="1"/>
    <col min="6149" max="6149" width="13.7109375" bestFit="1" customWidth="1"/>
    <col min="6150" max="6150" width="18" customWidth="1"/>
    <col min="6401" max="6401" width="17.28515625" customWidth="1"/>
    <col min="6402" max="6402" width="49.85546875" customWidth="1"/>
    <col min="6404" max="6404" width="12" bestFit="1" customWidth="1"/>
    <col min="6405" max="6405" width="13.7109375" bestFit="1" customWidth="1"/>
    <col min="6406" max="6406" width="18" customWidth="1"/>
    <col min="6657" max="6657" width="17.28515625" customWidth="1"/>
    <col min="6658" max="6658" width="49.85546875" customWidth="1"/>
    <col min="6660" max="6660" width="12" bestFit="1" customWidth="1"/>
    <col min="6661" max="6661" width="13.7109375" bestFit="1" customWidth="1"/>
    <col min="6662" max="6662" width="18" customWidth="1"/>
    <col min="6913" max="6913" width="17.28515625" customWidth="1"/>
    <col min="6914" max="6914" width="49.85546875" customWidth="1"/>
    <col min="6916" max="6916" width="12" bestFit="1" customWidth="1"/>
    <col min="6917" max="6917" width="13.7109375" bestFit="1" customWidth="1"/>
    <col min="6918" max="6918" width="18" customWidth="1"/>
    <col min="7169" max="7169" width="17.28515625" customWidth="1"/>
    <col min="7170" max="7170" width="49.85546875" customWidth="1"/>
    <col min="7172" max="7172" width="12" bestFit="1" customWidth="1"/>
    <col min="7173" max="7173" width="13.7109375" bestFit="1" customWidth="1"/>
    <col min="7174" max="7174" width="18" customWidth="1"/>
    <col min="7425" max="7425" width="17.28515625" customWidth="1"/>
    <col min="7426" max="7426" width="49.85546875" customWidth="1"/>
    <col min="7428" max="7428" width="12" bestFit="1" customWidth="1"/>
    <col min="7429" max="7429" width="13.7109375" bestFit="1" customWidth="1"/>
    <col min="7430" max="7430" width="18" customWidth="1"/>
    <col min="7681" max="7681" width="17.28515625" customWidth="1"/>
    <col min="7682" max="7682" width="49.85546875" customWidth="1"/>
    <col min="7684" max="7684" width="12" bestFit="1" customWidth="1"/>
    <col min="7685" max="7685" width="13.7109375" bestFit="1" customWidth="1"/>
    <col min="7686" max="7686" width="18" customWidth="1"/>
    <col min="7937" max="7937" width="17.28515625" customWidth="1"/>
    <col min="7938" max="7938" width="49.85546875" customWidth="1"/>
    <col min="7940" max="7940" width="12" bestFit="1" customWidth="1"/>
    <col min="7941" max="7941" width="13.7109375" bestFit="1" customWidth="1"/>
    <col min="7942" max="7942" width="18" customWidth="1"/>
    <col min="8193" max="8193" width="17.28515625" customWidth="1"/>
    <col min="8194" max="8194" width="49.85546875" customWidth="1"/>
    <col min="8196" max="8196" width="12" bestFit="1" customWidth="1"/>
    <col min="8197" max="8197" width="13.7109375" bestFit="1" customWidth="1"/>
    <col min="8198" max="8198" width="18" customWidth="1"/>
    <col min="8449" max="8449" width="17.28515625" customWidth="1"/>
    <col min="8450" max="8450" width="49.85546875" customWidth="1"/>
    <col min="8452" max="8452" width="12" bestFit="1" customWidth="1"/>
    <col min="8453" max="8453" width="13.7109375" bestFit="1" customWidth="1"/>
    <col min="8454" max="8454" width="18" customWidth="1"/>
    <col min="8705" max="8705" width="17.28515625" customWidth="1"/>
    <col min="8706" max="8706" width="49.85546875" customWidth="1"/>
    <col min="8708" max="8708" width="12" bestFit="1" customWidth="1"/>
    <col min="8709" max="8709" width="13.7109375" bestFit="1" customWidth="1"/>
    <col min="8710" max="8710" width="18" customWidth="1"/>
    <col min="8961" max="8961" width="17.28515625" customWidth="1"/>
    <col min="8962" max="8962" width="49.85546875" customWidth="1"/>
    <col min="8964" max="8964" width="12" bestFit="1" customWidth="1"/>
    <col min="8965" max="8965" width="13.7109375" bestFit="1" customWidth="1"/>
    <col min="8966" max="8966" width="18" customWidth="1"/>
    <col min="9217" max="9217" width="17.28515625" customWidth="1"/>
    <col min="9218" max="9218" width="49.85546875" customWidth="1"/>
    <col min="9220" max="9220" width="12" bestFit="1" customWidth="1"/>
    <col min="9221" max="9221" width="13.7109375" bestFit="1" customWidth="1"/>
    <col min="9222" max="9222" width="18" customWidth="1"/>
    <col min="9473" max="9473" width="17.28515625" customWidth="1"/>
    <col min="9474" max="9474" width="49.85546875" customWidth="1"/>
    <col min="9476" max="9476" width="12" bestFit="1" customWidth="1"/>
    <col min="9477" max="9477" width="13.7109375" bestFit="1" customWidth="1"/>
    <col min="9478" max="9478" width="18" customWidth="1"/>
    <col min="9729" max="9729" width="17.28515625" customWidth="1"/>
    <col min="9730" max="9730" width="49.85546875" customWidth="1"/>
    <col min="9732" max="9732" width="12" bestFit="1" customWidth="1"/>
    <col min="9733" max="9733" width="13.7109375" bestFit="1" customWidth="1"/>
    <col min="9734" max="9734" width="18" customWidth="1"/>
    <col min="9985" max="9985" width="17.28515625" customWidth="1"/>
    <col min="9986" max="9986" width="49.85546875" customWidth="1"/>
    <col min="9988" max="9988" width="12" bestFit="1" customWidth="1"/>
    <col min="9989" max="9989" width="13.7109375" bestFit="1" customWidth="1"/>
    <col min="9990" max="9990" width="18" customWidth="1"/>
    <col min="10241" max="10241" width="17.28515625" customWidth="1"/>
    <col min="10242" max="10242" width="49.85546875" customWidth="1"/>
    <col min="10244" max="10244" width="12" bestFit="1" customWidth="1"/>
    <col min="10245" max="10245" width="13.7109375" bestFit="1" customWidth="1"/>
    <col min="10246" max="10246" width="18" customWidth="1"/>
    <col min="10497" max="10497" width="17.28515625" customWidth="1"/>
    <col min="10498" max="10498" width="49.85546875" customWidth="1"/>
    <col min="10500" max="10500" width="12" bestFit="1" customWidth="1"/>
    <col min="10501" max="10501" width="13.7109375" bestFit="1" customWidth="1"/>
    <col min="10502" max="10502" width="18" customWidth="1"/>
    <col min="10753" max="10753" width="17.28515625" customWidth="1"/>
    <col min="10754" max="10754" width="49.85546875" customWidth="1"/>
    <col min="10756" max="10756" width="12" bestFit="1" customWidth="1"/>
    <col min="10757" max="10757" width="13.7109375" bestFit="1" customWidth="1"/>
    <col min="10758" max="10758" width="18" customWidth="1"/>
    <col min="11009" max="11009" width="17.28515625" customWidth="1"/>
    <col min="11010" max="11010" width="49.85546875" customWidth="1"/>
    <col min="11012" max="11012" width="12" bestFit="1" customWidth="1"/>
    <col min="11013" max="11013" width="13.7109375" bestFit="1" customWidth="1"/>
    <col min="11014" max="11014" width="18" customWidth="1"/>
    <col min="11265" max="11265" width="17.28515625" customWidth="1"/>
    <col min="11266" max="11266" width="49.85546875" customWidth="1"/>
    <col min="11268" max="11268" width="12" bestFit="1" customWidth="1"/>
    <col min="11269" max="11269" width="13.7109375" bestFit="1" customWidth="1"/>
    <col min="11270" max="11270" width="18" customWidth="1"/>
    <col min="11521" max="11521" width="17.28515625" customWidth="1"/>
    <col min="11522" max="11522" width="49.85546875" customWidth="1"/>
    <col min="11524" max="11524" width="12" bestFit="1" customWidth="1"/>
    <col min="11525" max="11525" width="13.7109375" bestFit="1" customWidth="1"/>
    <col min="11526" max="11526" width="18" customWidth="1"/>
    <col min="11777" max="11777" width="17.28515625" customWidth="1"/>
    <col min="11778" max="11778" width="49.85546875" customWidth="1"/>
    <col min="11780" max="11780" width="12" bestFit="1" customWidth="1"/>
    <col min="11781" max="11781" width="13.7109375" bestFit="1" customWidth="1"/>
    <col min="11782" max="11782" width="18" customWidth="1"/>
    <col min="12033" max="12033" width="17.28515625" customWidth="1"/>
    <col min="12034" max="12034" width="49.85546875" customWidth="1"/>
    <col min="12036" max="12036" width="12" bestFit="1" customWidth="1"/>
    <col min="12037" max="12037" width="13.7109375" bestFit="1" customWidth="1"/>
    <col min="12038" max="12038" width="18" customWidth="1"/>
    <col min="12289" max="12289" width="17.28515625" customWidth="1"/>
    <col min="12290" max="12290" width="49.85546875" customWidth="1"/>
    <col min="12292" max="12292" width="12" bestFit="1" customWidth="1"/>
    <col min="12293" max="12293" width="13.7109375" bestFit="1" customWidth="1"/>
    <col min="12294" max="12294" width="18" customWidth="1"/>
    <col min="12545" max="12545" width="17.28515625" customWidth="1"/>
    <col min="12546" max="12546" width="49.85546875" customWidth="1"/>
    <col min="12548" max="12548" width="12" bestFit="1" customWidth="1"/>
    <col min="12549" max="12549" width="13.7109375" bestFit="1" customWidth="1"/>
    <col min="12550" max="12550" width="18" customWidth="1"/>
    <col min="12801" max="12801" width="17.28515625" customWidth="1"/>
    <col min="12802" max="12802" width="49.85546875" customWidth="1"/>
    <col min="12804" max="12804" width="12" bestFit="1" customWidth="1"/>
    <col min="12805" max="12805" width="13.7109375" bestFit="1" customWidth="1"/>
    <col min="12806" max="12806" width="18" customWidth="1"/>
    <col min="13057" max="13057" width="17.28515625" customWidth="1"/>
    <col min="13058" max="13058" width="49.85546875" customWidth="1"/>
    <col min="13060" max="13060" width="12" bestFit="1" customWidth="1"/>
    <col min="13061" max="13061" width="13.7109375" bestFit="1" customWidth="1"/>
    <col min="13062" max="13062" width="18" customWidth="1"/>
    <col min="13313" max="13313" width="17.28515625" customWidth="1"/>
    <col min="13314" max="13314" width="49.85546875" customWidth="1"/>
    <col min="13316" max="13316" width="12" bestFit="1" customWidth="1"/>
    <col min="13317" max="13317" width="13.7109375" bestFit="1" customWidth="1"/>
    <col min="13318" max="13318" width="18" customWidth="1"/>
    <col min="13569" max="13569" width="17.28515625" customWidth="1"/>
    <col min="13570" max="13570" width="49.85546875" customWidth="1"/>
    <col min="13572" max="13572" width="12" bestFit="1" customWidth="1"/>
    <col min="13573" max="13573" width="13.7109375" bestFit="1" customWidth="1"/>
    <col min="13574" max="13574" width="18" customWidth="1"/>
    <col min="13825" max="13825" width="17.28515625" customWidth="1"/>
    <col min="13826" max="13826" width="49.85546875" customWidth="1"/>
    <col min="13828" max="13828" width="12" bestFit="1" customWidth="1"/>
    <col min="13829" max="13829" width="13.7109375" bestFit="1" customWidth="1"/>
    <col min="13830" max="13830" width="18" customWidth="1"/>
    <col min="14081" max="14081" width="17.28515625" customWidth="1"/>
    <col min="14082" max="14082" width="49.85546875" customWidth="1"/>
    <col min="14084" max="14084" width="12" bestFit="1" customWidth="1"/>
    <col min="14085" max="14085" width="13.7109375" bestFit="1" customWidth="1"/>
    <col min="14086" max="14086" width="18" customWidth="1"/>
    <col min="14337" max="14337" width="17.28515625" customWidth="1"/>
    <col min="14338" max="14338" width="49.85546875" customWidth="1"/>
    <col min="14340" max="14340" width="12" bestFit="1" customWidth="1"/>
    <col min="14341" max="14341" width="13.7109375" bestFit="1" customWidth="1"/>
    <col min="14342" max="14342" width="18" customWidth="1"/>
    <col min="14593" max="14593" width="17.28515625" customWidth="1"/>
    <col min="14594" max="14594" width="49.85546875" customWidth="1"/>
    <col min="14596" max="14596" width="12" bestFit="1" customWidth="1"/>
    <col min="14597" max="14597" width="13.7109375" bestFit="1" customWidth="1"/>
    <col min="14598" max="14598" width="18" customWidth="1"/>
    <col min="14849" max="14849" width="17.28515625" customWidth="1"/>
    <col min="14850" max="14850" width="49.85546875" customWidth="1"/>
    <col min="14852" max="14852" width="12" bestFit="1" customWidth="1"/>
    <col min="14853" max="14853" width="13.7109375" bestFit="1" customWidth="1"/>
    <col min="14854" max="14854" width="18" customWidth="1"/>
    <col min="15105" max="15105" width="17.28515625" customWidth="1"/>
    <col min="15106" max="15106" width="49.85546875" customWidth="1"/>
    <col min="15108" max="15108" width="12" bestFit="1" customWidth="1"/>
    <col min="15109" max="15109" width="13.7109375" bestFit="1" customWidth="1"/>
    <col min="15110" max="15110" width="18" customWidth="1"/>
    <col min="15361" max="15361" width="17.28515625" customWidth="1"/>
    <col min="15362" max="15362" width="49.85546875" customWidth="1"/>
    <col min="15364" max="15364" width="12" bestFit="1" customWidth="1"/>
    <col min="15365" max="15365" width="13.7109375" bestFit="1" customWidth="1"/>
    <col min="15366" max="15366" width="18" customWidth="1"/>
    <col min="15617" max="15617" width="17.28515625" customWidth="1"/>
    <col min="15618" max="15618" width="49.85546875" customWidth="1"/>
    <col min="15620" max="15620" width="12" bestFit="1" customWidth="1"/>
    <col min="15621" max="15621" width="13.7109375" bestFit="1" customWidth="1"/>
    <col min="15622" max="15622" width="18" customWidth="1"/>
    <col min="15873" max="15873" width="17.28515625" customWidth="1"/>
    <col min="15874" max="15874" width="49.85546875" customWidth="1"/>
    <col min="15876" max="15876" width="12" bestFit="1" customWidth="1"/>
    <col min="15877" max="15877" width="13.7109375" bestFit="1" customWidth="1"/>
    <col min="15878" max="15878" width="18" customWidth="1"/>
    <col min="16129" max="16129" width="17.28515625" customWidth="1"/>
    <col min="16130" max="16130" width="49.85546875" customWidth="1"/>
    <col min="16132" max="16132" width="12" bestFit="1" customWidth="1"/>
    <col min="16133" max="16133" width="13.7109375" bestFit="1" customWidth="1"/>
    <col min="16134" max="16134" width="18" customWidth="1"/>
  </cols>
  <sheetData>
    <row r="1" spans="1:7" ht="18.75">
      <c r="A1" s="338" t="s">
        <v>107</v>
      </c>
      <c r="B1" s="339"/>
      <c r="C1" s="339"/>
      <c r="D1" s="339"/>
      <c r="E1" s="339"/>
      <c r="F1" s="340"/>
      <c r="G1" s="12"/>
    </row>
    <row r="2" spans="1:7">
      <c r="A2" s="5" t="s">
        <v>11</v>
      </c>
      <c r="B2" s="341" t="s">
        <v>104</v>
      </c>
      <c r="C2" s="342"/>
      <c r="D2" s="342"/>
      <c r="E2" s="342"/>
      <c r="F2" s="343"/>
      <c r="G2" s="12"/>
    </row>
    <row r="3" spans="1:7">
      <c r="A3" s="11" t="s">
        <v>111</v>
      </c>
      <c r="B3" s="10" t="s">
        <v>105</v>
      </c>
      <c r="C3" s="344" t="s">
        <v>106</v>
      </c>
      <c r="D3" s="344"/>
      <c r="E3" s="344"/>
      <c r="F3" s="345"/>
      <c r="G3" s="12"/>
    </row>
    <row r="4" spans="1:7" ht="23.25" customHeight="1">
      <c r="A4" s="11" t="s">
        <v>12</v>
      </c>
      <c r="B4" s="346" t="s">
        <v>13</v>
      </c>
      <c r="C4" s="346"/>
      <c r="D4" s="346"/>
      <c r="E4" s="346"/>
      <c r="F4" s="347"/>
      <c r="G4" s="12"/>
    </row>
    <row r="5" spans="1:7" ht="15.75">
      <c r="A5" s="511" t="s">
        <v>102</v>
      </c>
      <c r="B5" s="512"/>
      <c r="C5" s="512"/>
      <c r="D5" s="512"/>
      <c r="E5" s="512"/>
      <c r="F5" s="513"/>
      <c r="G5" s="12"/>
    </row>
    <row r="6" spans="1:7">
      <c r="A6" s="362" t="s">
        <v>6</v>
      </c>
      <c r="B6" s="352" t="s">
        <v>63</v>
      </c>
      <c r="C6" s="354" t="s">
        <v>19</v>
      </c>
      <c r="D6" s="354" t="s">
        <v>28</v>
      </c>
      <c r="E6" s="354" t="s">
        <v>30</v>
      </c>
      <c r="F6" s="355"/>
      <c r="G6" s="12"/>
    </row>
    <row r="7" spans="1:7">
      <c r="A7" s="363"/>
      <c r="B7" s="353"/>
      <c r="C7" s="354"/>
      <c r="D7" s="354"/>
      <c r="E7" s="15" t="s">
        <v>29</v>
      </c>
      <c r="F7" s="16" t="s">
        <v>20</v>
      </c>
      <c r="G7" s="12"/>
    </row>
    <row r="8" spans="1:7">
      <c r="A8" s="21" t="s">
        <v>34</v>
      </c>
      <c r="B8" s="329" t="s">
        <v>41</v>
      </c>
      <c r="C8" s="329"/>
      <c r="D8" s="329"/>
      <c r="E8" s="329"/>
      <c r="F8" s="330"/>
      <c r="G8" s="12"/>
    </row>
    <row r="9" spans="1:7" ht="45">
      <c r="A9" s="34" t="s">
        <v>35</v>
      </c>
      <c r="B9" s="3" t="s">
        <v>169</v>
      </c>
      <c r="C9" s="15" t="s">
        <v>33</v>
      </c>
      <c r="D9" s="35">
        <v>5</v>
      </c>
      <c r="E9" s="36" t="e">
        <f>#REF!</f>
        <v>#REF!</v>
      </c>
      <c r="F9" s="37" t="e">
        <f>ROUND(D9*E9,2)</f>
        <v>#REF!</v>
      </c>
      <c r="G9" s="12"/>
    </row>
    <row r="10" spans="1:7" ht="31.5" customHeight="1">
      <c r="A10" s="21" t="s">
        <v>36</v>
      </c>
      <c r="B10" s="22" t="s">
        <v>170</v>
      </c>
      <c r="C10" s="2" t="s">
        <v>33</v>
      </c>
      <c r="D10" s="13">
        <f>D9*2</f>
        <v>10</v>
      </c>
      <c r="E10" s="17" t="e">
        <f>#REF!</f>
        <v>#REF!</v>
      </c>
      <c r="F10" s="37" t="e">
        <f t="shared" ref="F10:F21" si="0">ROUND(D10*E10,2)</f>
        <v>#REF!</v>
      </c>
      <c r="G10" s="12"/>
    </row>
    <row r="11" spans="1:7" ht="30">
      <c r="A11" s="34" t="s">
        <v>171</v>
      </c>
      <c r="B11" s="4" t="s">
        <v>172</v>
      </c>
      <c r="C11" s="15" t="s">
        <v>33</v>
      </c>
      <c r="D11" s="35">
        <f>D9*4</f>
        <v>20</v>
      </c>
      <c r="E11" s="36" t="e">
        <f>#REF!</f>
        <v>#REF!</v>
      </c>
      <c r="F11" s="37" t="e">
        <f t="shared" si="0"/>
        <v>#REF!</v>
      </c>
      <c r="G11" s="12"/>
    </row>
    <row r="12" spans="1:7">
      <c r="A12" s="34" t="s">
        <v>173</v>
      </c>
      <c r="B12" s="4" t="s">
        <v>174</v>
      </c>
      <c r="C12" s="15" t="s">
        <v>33</v>
      </c>
      <c r="D12" s="35">
        <f>ROUND($D$11*G12/3,0)</f>
        <v>8</v>
      </c>
      <c r="E12" s="36" t="e">
        <f>#REF!</f>
        <v>#REF!</v>
      </c>
      <c r="F12" s="37" t="e">
        <f t="shared" si="0"/>
        <v>#REF!</v>
      </c>
      <c r="G12" s="12">
        <v>1.25</v>
      </c>
    </row>
    <row r="13" spans="1:7">
      <c r="A13" s="34" t="s">
        <v>175</v>
      </c>
      <c r="B13" s="4" t="s">
        <v>176</v>
      </c>
      <c r="C13" s="15" t="s">
        <v>33</v>
      </c>
      <c r="D13" s="35">
        <f>ROUND($D$11*G13/3,0)</f>
        <v>8</v>
      </c>
      <c r="E13" s="36" t="e">
        <f>#REF!</f>
        <v>#REF!</v>
      </c>
      <c r="F13" s="37" t="e">
        <f t="shared" si="0"/>
        <v>#REF!</v>
      </c>
      <c r="G13" s="12">
        <v>1.25</v>
      </c>
    </row>
    <row r="14" spans="1:7">
      <c r="A14" s="34" t="s">
        <v>177</v>
      </c>
      <c r="B14" s="4" t="s">
        <v>178</v>
      </c>
      <c r="C14" s="15" t="s">
        <v>33</v>
      </c>
      <c r="D14" s="35">
        <f>ROUND($D$11*G14/3,0)</f>
        <v>10</v>
      </c>
      <c r="E14" s="36" t="e">
        <f>#REF!</f>
        <v>#REF!</v>
      </c>
      <c r="F14" s="37" t="e">
        <f t="shared" si="0"/>
        <v>#REF!</v>
      </c>
      <c r="G14" s="12">
        <v>1.5</v>
      </c>
    </row>
    <row r="15" spans="1:7" ht="30">
      <c r="A15" s="34" t="s">
        <v>179</v>
      </c>
      <c r="B15" s="4" t="s">
        <v>180</v>
      </c>
      <c r="C15" s="15" t="s">
        <v>33</v>
      </c>
      <c r="D15" s="35">
        <f>ROUND($D$11*G15,0)</f>
        <v>25</v>
      </c>
      <c r="E15" s="36" t="e">
        <f>#REF!</f>
        <v>#REF!</v>
      </c>
      <c r="F15" s="37" t="e">
        <f t="shared" si="0"/>
        <v>#REF!</v>
      </c>
      <c r="G15" s="12">
        <v>1.25</v>
      </c>
    </row>
    <row r="16" spans="1:7" ht="30">
      <c r="A16" s="34" t="s">
        <v>181</v>
      </c>
      <c r="B16" s="4" t="s">
        <v>182</v>
      </c>
      <c r="C16" s="15" t="s">
        <v>33</v>
      </c>
      <c r="D16" s="35">
        <f>ROUND($D$11*G16/2,0)</f>
        <v>13</v>
      </c>
      <c r="E16" s="36" t="e">
        <f>#REF!</f>
        <v>#REF!</v>
      </c>
      <c r="F16" s="37" t="e">
        <f t="shared" si="0"/>
        <v>#REF!</v>
      </c>
      <c r="G16" s="12">
        <v>1.25</v>
      </c>
    </row>
    <row r="17" spans="1:7">
      <c r="A17" s="34" t="s">
        <v>183</v>
      </c>
      <c r="B17" s="4" t="s">
        <v>184</v>
      </c>
      <c r="C17" s="15" t="s">
        <v>33</v>
      </c>
      <c r="D17" s="35">
        <v>0</v>
      </c>
      <c r="E17" s="36" t="e">
        <f>#REF!</f>
        <v>#REF!</v>
      </c>
      <c r="F17" s="37" t="e">
        <f t="shared" si="0"/>
        <v>#REF!</v>
      </c>
      <c r="G17" s="12">
        <v>1.25</v>
      </c>
    </row>
    <row r="18" spans="1:7" ht="21.75" customHeight="1">
      <c r="A18" s="34" t="s">
        <v>185</v>
      </c>
      <c r="B18" s="4" t="s">
        <v>186</v>
      </c>
      <c r="C18" s="15" t="s">
        <v>33</v>
      </c>
      <c r="D18" s="35">
        <f>ROUND($D$11*G18/3,0)</f>
        <v>7</v>
      </c>
      <c r="E18" s="36" t="e">
        <f>#REF!</f>
        <v>#REF!</v>
      </c>
      <c r="F18" s="37" t="e">
        <f t="shared" si="0"/>
        <v>#REF!</v>
      </c>
      <c r="G18" s="12">
        <v>1</v>
      </c>
    </row>
    <row r="19" spans="1:7">
      <c r="A19" s="21" t="s">
        <v>38</v>
      </c>
      <c r="B19" s="33" t="s">
        <v>25</v>
      </c>
      <c r="C19" s="2" t="s">
        <v>33</v>
      </c>
      <c r="D19" s="13">
        <f>D10/2</f>
        <v>5</v>
      </c>
      <c r="E19" s="17" t="e">
        <f>#REF!</f>
        <v>#REF!</v>
      </c>
      <c r="F19" s="37" t="e">
        <f t="shared" si="0"/>
        <v>#REF!</v>
      </c>
      <c r="G19" s="12"/>
    </row>
    <row r="20" spans="1:7">
      <c r="A20" s="21" t="s">
        <v>39</v>
      </c>
      <c r="B20" s="33" t="s">
        <v>26</v>
      </c>
      <c r="C20" s="2" t="s">
        <v>33</v>
      </c>
      <c r="D20" s="13">
        <f>D10*1.5</f>
        <v>15</v>
      </c>
      <c r="E20" s="17" t="e">
        <f>#REF!</f>
        <v>#REF!</v>
      </c>
      <c r="F20" s="37" t="e">
        <f t="shared" si="0"/>
        <v>#REF!</v>
      </c>
      <c r="G20" s="12"/>
    </row>
    <row r="21" spans="1:7">
      <c r="A21" s="21" t="s">
        <v>40</v>
      </c>
      <c r="B21" s="33" t="s">
        <v>18</v>
      </c>
      <c r="C21" s="2" t="s">
        <v>33</v>
      </c>
      <c r="D21" s="13">
        <f>D10*3</f>
        <v>30</v>
      </c>
      <c r="E21" s="17" t="e">
        <f>#REF!</f>
        <v>#REF!</v>
      </c>
      <c r="F21" s="37" t="e">
        <f t="shared" si="0"/>
        <v>#REF!</v>
      </c>
      <c r="G21" s="12"/>
    </row>
    <row r="22" spans="1:7">
      <c r="A22" s="21"/>
      <c r="B22" s="337" t="s">
        <v>21</v>
      </c>
      <c r="C22" s="337"/>
      <c r="D22" s="337"/>
      <c r="E22" s="19"/>
      <c r="F22" s="18" t="e">
        <f>SUM(F9:F21)</f>
        <v>#REF!</v>
      </c>
      <c r="G22" s="12"/>
    </row>
    <row r="23" spans="1:7">
      <c r="A23" s="21" t="s">
        <v>42</v>
      </c>
      <c r="B23" s="334" t="s">
        <v>44</v>
      </c>
      <c r="C23" s="335"/>
      <c r="D23" s="336"/>
      <c r="E23" s="20">
        <f>'Composições-Encargos Soc.'!F47</f>
        <v>0</v>
      </c>
      <c r="F23" s="18" t="e">
        <f>ROUND((F22*E23),2)</f>
        <v>#REF!</v>
      </c>
      <c r="G23" s="12"/>
    </row>
    <row r="24" spans="1:7">
      <c r="A24" s="21"/>
      <c r="B24" s="331" t="s">
        <v>59</v>
      </c>
      <c r="C24" s="332"/>
      <c r="D24" s="333"/>
      <c r="E24" s="33"/>
      <c r="F24" s="18" t="e">
        <f>SUM(F22:F23)</f>
        <v>#REF!</v>
      </c>
      <c r="G24" s="12"/>
    </row>
    <row r="25" spans="1:7">
      <c r="A25" s="21" t="s">
        <v>43</v>
      </c>
      <c r="B25" s="329" t="s">
        <v>45</v>
      </c>
      <c r="C25" s="329"/>
      <c r="D25" s="329"/>
      <c r="E25" s="329"/>
      <c r="F25" s="330"/>
      <c r="G25" s="12"/>
    </row>
    <row r="26" spans="1:7">
      <c r="A26" s="21" t="s">
        <v>46</v>
      </c>
      <c r="B26" s="2" t="s">
        <v>51</v>
      </c>
      <c r="C26" s="2" t="s">
        <v>31</v>
      </c>
      <c r="D26" s="13">
        <f>ROUND(SUM(D9:D18)/16,0)</f>
        <v>7</v>
      </c>
      <c r="E26" s="17" t="e">
        <f>#REF!</f>
        <v>#REF!</v>
      </c>
      <c r="F26" s="18" t="e">
        <f>D26*E26</f>
        <v>#REF!</v>
      </c>
      <c r="G26" s="12"/>
    </row>
    <row r="27" spans="1:7">
      <c r="A27" s="21" t="s">
        <v>47</v>
      </c>
      <c r="B27" s="2" t="s">
        <v>50</v>
      </c>
      <c r="C27" s="2" t="s">
        <v>31</v>
      </c>
      <c r="D27" s="13">
        <f>ROUND(D26*2,0)</f>
        <v>14</v>
      </c>
      <c r="E27" s="17" t="e">
        <f>#REF!</f>
        <v>#REF!</v>
      </c>
      <c r="F27" s="18" t="e">
        <f>D27*E27</f>
        <v>#REF!</v>
      </c>
      <c r="G27" s="12"/>
    </row>
    <row r="28" spans="1:7">
      <c r="A28" s="21" t="s">
        <v>48</v>
      </c>
      <c r="B28" s="2" t="s">
        <v>49</v>
      </c>
      <c r="C28" s="2" t="s">
        <v>32</v>
      </c>
      <c r="D28" s="13">
        <f>D26*10</f>
        <v>70</v>
      </c>
      <c r="E28" s="17" t="e">
        <f>#REF!</f>
        <v>#REF!</v>
      </c>
      <c r="F28" s="18" t="e">
        <f>D28*E28</f>
        <v>#REF!</v>
      </c>
      <c r="G28" s="12"/>
    </row>
    <row r="29" spans="1:7">
      <c r="A29" s="21"/>
      <c r="B29" s="358" t="s">
        <v>22</v>
      </c>
      <c r="C29" s="358"/>
      <c r="D29" s="358"/>
      <c r="E29" s="17"/>
      <c r="F29" s="18" t="e">
        <f>SUM(F26:F28)</f>
        <v>#REF!</v>
      </c>
      <c r="G29" s="12"/>
    </row>
    <row r="30" spans="1:7">
      <c r="A30" s="21" t="s">
        <v>52</v>
      </c>
      <c r="B30" s="329" t="s">
        <v>55</v>
      </c>
      <c r="C30" s="329"/>
      <c r="D30" s="329"/>
      <c r="E30" s="329"/>
      <c r="F30" s="330"/>
      <c r="G30" s="12"/>
    </row>
    <row r="31" spans="1:7">
      <c r="A31" s="21" t="s">
        <v>53</v>
      </c>
      <c r="B31" s="33" t="s">
        <v>56</v>
      </c>
      <c r="C31" s="2" t="s">
        <v>19</v>
      </c>
      <c r="D31" s="13">
        <v>2</v>
      </c>
      <c r="E31" s="13" t="e">
        <f>#REF!</f>
        <v>#REF!</v>
      </c>
      <c r="F31" s="24" t="e">
        <f>D31*E31</f>
        <v>#REF!</v>
      </c>
      <c r="G31" s="12"/>
    </row>
    <row r="32" spans="1:7">
      <c r="A32" s="21" t="s">
        <v>54</v>
      </c>
      <c r="B32" s="33" t="s">
        <v>57</v>
      </c>
      <c r="C32" s="2" t="s">
        <v>19</v>
      </c>
      <c r="D32" s="13">
        <v>2</v>
      </c>
      <c r="E32" s="13" t="e">
        <f>#REF!</f>
        <v>#REF!</v>
      </c>
      <c r="F32" s="24" t="e">
        <f>D32*E32</f>
        <v>#REF!</v>
      </c>
      <c r="G32" s="12"/>
    </row>
    <row r="33" spans="1:7">
      <c r="A33" s="21"/>
      <c r="B33" s="337" t="s">
        <v>23</v>
      </c>
      <c r="C33" s="337"/>
      <c r="D33" s="337"/>
      <c r="E33" s="13"/>
      <c r="F33" s="24" t="e">
        <f>SUM(F31:F32)</f>
        <v>#REF!</v>
      </c>
      <c r="G33" s="12"/>
    </row>
    <row r="34" spans="1:7">
      <c r="A34" s="21" t="s">
        <v>92</v>
      </c>
      <c r="B34" s="2" t="s">
        <v>60</v>
      </c>
      <c r="C34" s="2"/>
      <c r="D34" s="13"/>
      <c r="E34" s="13"/>
      <c r="F34" s="38" t="e">
        <f>F24+F29+F33</f>
        <v>#REF!</v>
      </c>
      <c r="G34" s="12"/>
    </row>
    <row r="35" spans="1:7">
      <c r="A35" s="21"/>
      <c r="B35" s="356"/>
      <c r="C35" s="356"/>
      <c r="D35" s="356"/>
      <c r="E35" s="356"/>
      <c r="F35" s="357"/>
      <c r="G35" s="12"/>
    </row>
    <row r="36" spans="1:7">
      <c r="A36" s="21" t="s">
        <v>95</v>
      </c>
      <c r="B36" s="2" t="s">
        <v>58</v>
      </c>
      <c r="C36" s="2"/>
      <c r="D36" s="13"/>
      <c r="E36" s="13"/>
      <c r="F36" s="26">
        <f>'Composições-BDI'!G29</f>
        <v>27.630300620579963</v>
      </c>
      <c r="G36" s="12"/>
    </row>
    <row r="37" spans="1:7">
      <c r="A37" s="21"/>
      <c r="B37" s="2"/>
      <c r="C37" s="2"/>
      <c r="D37" s="13"/>
      <c r="E37" s="13"/>
      <c r="F37" s="24"/>
      <c r="G37" s="12"/>
    </row>
    <row r="38" spans="1:7" ht="15.75" thickBot="1">
      <c r="A38" s="27" t="s">
        <v>96</v>
      </c>
      <c r="B38" s="28" t="s">
        <v>110</v>
      </c>
      <c r="C38" s="28"/>
      <c r="D38" s="29"/>
      <c r="E38" s="29"/>
      <c r="F38" s="39" t="e">
        <f>ROUND((F34*F36)+F34,2)</f>
        <v>#REF!</v>
      </c>
      <c r="G38" s="12"/>
    </row>
    <row r="39" spans="1:7">
      <c r="A39" s="14"/>
      <c r="B39" s="12"/>
      <c r="C39" s="12"/>
      <c r="D39" s="12"/>
      <c r="E39" s="12"/>
      <c r="F39" s="12"/>
      <c r="G39" s="12"/>
    </row>
    <row r="40" spans="1:7" ht="18.75">
      <c r="A40" s="40"/>
      <c r="B40" s="12"/>
      <c r="C40" s="12"/>
      <c r="D40" s="12"/>
      <c r="E40" s="12"/>
      <c r="F40" s="12"/>
      <c r="G40" s="12"/>
    </row>
    <row r="41" spans="1:7" ht="18.75">
      <c r="A41" s="40"/>
      <c r="B41" s="12"/>
      <c r="C41" s="12"/>
      <c r="D41" s="12"/>
      <c r="E41" s="12"/>
      <c r="F41" s="12"/>
      <c r="G41" s="12"/>
    </row>
    <row r="42" spans="1:7">
      <c r="A42" s="14"/>
      <c r="B42" s="12"/>
      <c r="C42" s="12"/>
      <c r="D42" s="12"/>
      <c r="E42" s="12"/>
      <c r="F42" s="12"/>
      <c r="G42" s="12"/>
    </row>
    <row r="43" spans="1:7">
      <c r="A43" s="14"/>
      <c r="B43" s="12"/>
      <c r="C43" s="12"/>
      <c r="D43" s="12"/>
      <c r="E43" s="12"/>
      <c r="F43" s="12"/>
      <c r="G43" s="12"/>
    </row>
    <row r="44" spans="1:7">
      <c r="A44" s="14"/>
      <c r="B44" s="12"/>
      <c r="C44" s="12"/>
      <c r="D44" s="12"/>
      <c r="E44" s="12"/>
      <c r="F44" s="12"/>
      <c r="G44" s="12"/>
    </row>
    <row r="45" spans="1:7">
      <c r="A45" s="14"/>
      <c r="B45" s="12"/>
      <c r="C45" s="12"/>
      <c r="D45" s="12"/>
      <c r="E45" s="12"/>
      <c r="F45" s="12"/>
      <c r="G45" s="12"/>
    </row>
  </sheetData>
  <mergeCells count="19">
    <mergeCell ref="A6:A7"/>
    <mergeCell ref="B6:B7"/>
    <mergeCell ref="C6:C7"/>
    <mergeCell ref="D6:D7"/>
    <mergeCell ref="E6:F6"/>
    <mergeCell ref="A1:F1"/>
    <mergeCell ref="B2:F2"/>
    <mergeCell ref="C3:F3"/>
    <mergeCell ref="B4:F4"/>
    <mergeCell ref="A5:F5"/>
    <mergeCell ref="B30:F30"/>
    <mergeCell ref="B33:D33"/>
    <mergeCell ref="B35:F35"/>
    <mergeCell ref="B8:F8"/>
    <mergeCell ref="B22:D22"/>
    <mergeCell ref="B23:D23"/>
    <mergeCell ref="B24:D24"/>
    <mergeCell ref="B25:F25"/>
    <mergeCell ref="B29:D29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F1"/>
    </sheetView>
  </sheetViews>
  <sheetFormatPr defaultRowHeight="15"/>
  <cols>
    <col min="1" max="1" width="16.5703125" customWidth="1"/>
    <col min="2" max="2" width="49.85546875" customWidth="1"/>
    <col min="4" max="4" width="12" bestFit="1" customWidth="1"/>
    <col min="5" max="5" width="13.7109375" bestFit="1" customWidth="1"/>
    <col min="6" max="6" width="18" customWidth="1"/>
  </cols>
  <sheetData>
    <row r="1" spans="1:7" ht="18.75">
      <c r="A1" s="338" t="s">
        <v>107</v>
      </c>
      <c r="B1" s="339"/>
      <c r="C1" s="339"/>
      <c r="D1" s="339"/>
      <c r="E1" s="339"/>
      <c r="F1" s="340"/>
      <c r="G1" s="6"/>
    </row>
    <row r="2" spans="1:7" ht="15.75" customHeight="1">
      <c r="A2" s="5" t="s">
        <v>11</v>
      </c>
      <c r="B2" s="341" t="s">
        <v>104</v>
      </c>
      <c r="C2" s="342"/>
      <c r="D2" s="342"/>
      <c r="E2" s="342"/>
      <c r="F2" s="343"/>
      <c r="G2" s="7"/>
    </row>
    <row r="3" spans="1:7" ht="15" customHeight="1">
      <c r="A3" s="11" t="s">
        <v>111</v>
      </c>
      <c r="B3" s="10" t="s">
        <v>105</v>
      </c>
      <c r="C3" s="344" t="s">
        <v>106</v>
      </c>
      <c r="D3" s="344"/>
      <c r="E3" s="344"/>
      <c r="F3" s="345"/>
      <c r="G3" s="8"/>
    </row>
    <row r="4" spans="1:7" ht="24" customHeight="1">
      <c r="A4" s="11" t="s">
        <v>12</v>
      </c>
      <c r="B4" s="346" t="s">
        <v>13</v>
      </c>
      <c r="C4" s="346"/>
      <c r="D4" s="346"/>
      <c r="E4" s="346"/>
      <c r="F4" s="347"/>
      <c r="G4" s="9"/>
    </row>
    <row r="5" spans="1:7" ht="15" customHeight="1">
      <c r="A5" s="359" t="s">
        <v>187</v>
      </c>
      <c r="B5" s="360"/>
      <c r="C5" s="360"/>
      <c r="D5" s="360"/>
      <c r="E5" s="360"/>
      <c r="F5" s="361"/>
      <c r="G5" s="12"/>
    </row>
    <row r="6" spans="1:7">
      <c r="A6" s="354" t="s">
        <v>6</v>
      </c>
      <c r="B6" s="352" t="s">
        <v>63</v>
      </c>
      <c r="C6" s="354" t="s">
        <v>19</v>
      </c>
      <c r="D6" s="354" t="s">
        <v>28</v>
      </c>
      <c r="E6" s="354" t="s">
        <v>30</v>
      </c>
      <c r="F6" s="355"/>
      <c r="G6" s="12"/>
    </row>
    <row r="7" spans="1:7">
      <c r="A7" s="354"/>
      <c r="B7" s="353"/>
      <c r="C7" s="354"/>
      <c r="D7" s="354"/>
      <c r="E7" s="15" t="s">
        <v>29</v>
      </c>
      <c r="F7" s="16" t="s">
        <v>20</v>
      </c>
      <c r="G7" s="12"/>
    </row>
    <row r="8" spans="1:7">
      <c r="A8" s="21" t="s">
        <v>34</v>
      </c>
      <c r="B8" s="329" t="s">
        <v>41</v>
      </c>
      <c r="C8" s="329"/>
      <c r="D8" s="329"/>
      <c r="E8" s="329"/>
      <c r="F8" s="330"/>
      <c r="G8" s="12"/>
    </row>
    <row r="9" spans="1:7">
      <c r="A9" s="21" t="s">
        <v>35</v>
      </c>
      <c r="B9" s="31" t="s">
        <v>17</v>
      </c>
      <c r="C9" s="2" t="s">
        <v>33</v>
      </c>
      <c r="D9" s="13">
        <v>6</v>
      </c>
      <c r="E9" s="17" t="e">
        <f>#REF!</f>
        <v>#REF!</v>
      </c>
      <c r="F9" s="18" t="e">
        <f t="shared" ref="F9:F14" si="0">D9*E9</f>
        <v>#REF!</v>
      </c>
      <c r="G9" s="12"/>
    </row>
    <row r="10" spans="1:7" ht="31.5" customHeight="1">
      <c r="A10" s="21" t="s">
        <v>36</v>
      </c>
      <c r="B10" s="22" t="s">
        <v>27</v>
      </c>
      <c r="C10" s="2" t="s">
        <v>33</v>
      </c>
      <c r="D10" s="13">
        <v>16</v>
      </c>
      <c r="E10" s="17" t="e">
        <f>#REF!</f>
        <v>#REF!</v>
      </c>
      <c r="F10" s="18" t="e">
        <f t="shared" si="0"/>
        <v>#REF!</v>
      </c>
      <c r="G10" s="12"/>
    </row>
    <row r="11" spans="1:7">
      <c r="A11" s="21" t="s">
        <v>37</v>
      </c>
      <c r="B11" s="23" t="s">
        <v>24</v>
      </c>
      <c r="C11" s="2" t="s">
        <v>33</v>
      </c>
      <c r="D11" s="13">
        <v>0</v>
      </c>
      <c r="E11" s="17" t="e">
        <f>#REF!</f>
        <v>#REF!</v>
      </c>
      <c r="F11" s="18" t="e">
        <f t="shared" si="0"/>
        <v>#REF!</v>
      </c>
      <c r="G11" s="12"/>
    </row>
    <row r="12" spans="1:7">
      <c r="A12" s="21" t="s">
        <v>38</v>
      </c>
      <c r="B12" s="31" t="s">
        <v>25</v>
      </c>
      <c r="C12" s="2" t="s">
        <v>33</v>
      </c>
      <c r="D12" s="13">
        <v>32</v>
      </c>
      <c r="E12" s="17" t="e">
        <f>#REF!</f>
        <v>#REF!</v>
      </c>
      <c r="F12" s="18" t="e">
        <f t="shared" si="0"/>
        <v>#REF!</v>
      </c>
      <c r="G12" s="12"/>
    </row>
    <row r="13" spans="1:7">
      <c r="A13" s="21" t="s">
        <v>39</v>
      </c>
      <c r="B13" s="31" t="s">
        <v>26</v>
      </c>
      <c r="C13" s="2" t="s">
        <v>33</v>
      </c>
      <c r="D13" s="13">
        <v>16</v>
      </c>
      <c r="E13" s="17" t="e">
        <f>#REF!</f>
        <v>#REF!</v>
      </c>
      <c r="F13" s="18" t="e">
        <f t="shared" si="0"/>
        <v>#REF!</v>
      </c>
      <c r="G13" s="12"/>
    </row>
    <row r="14" spans="1:7">
      <c r="A14" s="21" t="s">
        <v>40</v>
      </c>
      <c r="B14" s="31" t="s">
        <v>18</v>
      </c>
      <c r="C14" s="2" t="s">
        <v>33</v>
      </c>
      <c r="D14" s="13">
        <v>16</v>
      </c>
      <c r="E14" s="17" t="e">
        <f>#REF!</f>
        <v>#REF!</v>
      </c>
      <c r="F14" s="18" t="e">
        <f t="shared" si="0"/>
        <v>#REF!</v>
      </c>
      <c r="G14" s="12"/>
    </row>
    <row r="15" spans="1:7">
      <c r="A15" s="21"/>
      <c r="B15" s="337" t="s">
        <v>21</v>
      </c>
      <c r="C15" s="337"/>
      <c r="D15" s="337"/>
      <c r="E15" s="19"/>
      <c r="F15" s="18" t="e">
        <f>ROUND(SUM(F9:F14),2)</f>
        <v>#REF!</v>
      </c>
      <c r="G15" s="12"/>
    </row>
    <row r="16" spans="1:7">
      <c r="A16" s="21" t="s">
        <v>42</v>
      </c>
      <c r="B16" s="334" t="s">
        <v>44</v>
      </c>
      <c r="C16" s="335"/>
      <c r="D16" s="336"/>
      <c r="E16" s="20">
        <f>'Composições-Encargos Soc.'!F47</f>
        <v>0</v>
      </c>
      <c r="F16" s="18" t="e">
        <f>ROUND((F15*E16),2)</f>
        <v>#REF!</v>
      </c>
      <c r="G16" s="12"/>
    </row>
    <row r="17" spans="1:7">
      <c r="A17" s="21"/>
      <c r="B17" s="331" t="s">
        <v>59</v>
      </c>
      <c r="C17" s="332"/>
      <c r="D17" s="333"/>
      <c r="E17" s="31"/>
      <c r="F17" s="18" t="e">
        <f>SUM(F15:F16)</f>
        <v>#REF!</v>
      </c>
      <c r="G17" s="12"/>
    </row>
    <row r="18" spans="1:7">
      <c r="A18" s="21" t="s">
        <v>43</v>
      </c>
      <c r="B18" s="329" t="s">
        <v>45</v>
      </c>
      <c r="C18" s="329"/>
      <c r="D18" s="329"/>
      <c r="E18" s="329"/>
      <c r="F18" s="330"/>
      <c r="G18" s="12"/>
    </row>
    <row r="19" spans="1:7">
      <c r="A19" s="21" t="s">
        <v>46</v>
      </c>
      <c r="B19" s="2" t="s">
        <v>51</v>
      </c>
      <c r="C19" s="2" t="s">
        <v>31</v>
      </c>
      <c r="D19" s="13">
        <v>3</v>
      </c>
      <c r="E19" s="17" t="e">
        <f>#REF!</f>
        <v>#REF!</v>
      </c>
      <c r="F19" s="18" t="e">
        <f>D19*E19</f>
        <v>#REF!</v>
      </c>
      <c r="G19" s="12"/>
    </row>
    <row r="20" spans="1:7">
      <c r="A20" s="21" t="s">
        <v>47</v>
      </c>
      <c r="B20" s="2" t="s">
        <v>50</v>
      </c>
      <c r="C20" s="2" t="s">
        <v>31</v>
      </c>
      <c r="D20" s="13">
        <v>6</v>
      </c>
      <c r="E20" s="17" t="e">
        <f>#REF!</f>
        <v>#REF!</v>
      </c>
      <c r="F20" s="18" t="e">
        <f>D20*E20</f>
        <v>#REF!</v>
      </c>
      <c r="G20" s="12"/>
    </row>
    <row r="21" spans="1:7">
      <c r="A21" s="21" t="s">
        <v>48</v>
      </c>
      <c r="B21" s="2" t="s">
        <v>49</v>
      </c>
      <c r="C21" s="2" t="s">
        <v>32</v>
      </c>
      <c r="D21" s="13">
        <v>30</v>
      </c>
      <c r="E21" s="17" t="e">
        <f>#REF!</f>
        <v>#REF!</v>
      </c>
      <c r="F21" s="18" t="e">
        <f>D21*E21</f>
        <v>#REF!</v>
      </c>
      <c r="G21" s="12"/>
    </row>
    <row r="22" spans="1:7">
      <c r="A22" s="21"/>
      <c r="B22" s="358" t="s">
        <v>22</v>
      </c>
      <c r="C22" s="358"/>
      <c r="D22" s="358"/>
      <c r="E22" s="17"/>
      <c r="F22" s="18" t="e">
        <f>SUM(F19:F21)</f>
        <v>#REF!</v>
      </c>
      <c r="G22" s="12"/>
    </row>
    <row r="23" spans="1:7">
      <c r="A23" s="21" t="s">
        <v>52</v>
      </c>
      <c r="B23" s="329" t="s">
        <v>55</v>
      </c>
      <c r="C23" s="329"/>
      <c r="D23" s="329"/>
      <c r="E23" s="329"/>
      <c r="F23" s="330"/>
      <c r="G23" s="12"/>
    </row>
    <row r="24" spans="1:7">
      <c r="A24" s="21" t="s">
        <v>53</v>
      </c>
      <c r="B24" s="31" t="s">
        <v>56</v>
      </c>
      <c r="C24" s="2" t="s">
        <v>19</v>
      </c>
      <c r="D24" s="13">
        <v>2</v>
      </c>
      <c r="E24" s="13" t="e">
        <f>#REF!</f>
        <v>#REF!</v>
      </c>
      <c r="F24" s="24" t="e">
        <f>D24*E24</f>
        <v>#REF!</v>
      </c>
      <c r="G24" s="12"/>
    </row>
    <row r="25" spans="1:7">
      <c r="A25" s="21" t="s">
        <v>54</v>
      </c>
      <c r="B25" s="31" t="s">
        <v>57</v>
      </c>
      <c r="C25" s="2" t="s">
        <v>19</v>
      </c>
      <c r="D25" s="13">
        <v>2</v>
      </c>
      <c r="E25" s="13" t="e">
        <f>#REF!</f>
        <v>#REF!</v>
      </c>
      <c r="F25" s="24" t="e">
        <f>D25*E25</f>
        <v>#REF!</v>
      </c>
      <c r="G25" s="12"/>
    </row>
    <row r="26" spans="1:7">
      <c r="A26" s="21"/>
      <c r="B26" s="337" t="s">
        <v>23</v>
      </c>
      <c r="C26" s="337"/>
      <c r="D26" s="337"/>
      <c r="E26" s="13"/>
      <c r="F26" s="24" t="e">
        <f>SUM(F24:F25)</f>
        <v>#REF!</v>
      </c>
      <c r="G26" s="12"/>
    </row>
    <row r="27" spans="1:7">
      <c r="A27" s="21" t="s">
        <v>92</v>
      </c>
      <c r="B27" s="2" t="s">
        <v>60</v>
      </c>
      <c r="C27" s="2"/>
      <c r="D27" s="13"/>
      <c r="E27" s="13"/>
      <c r="F27" s="25" t="e">
        <f>F17+F22+F26</f>
        <v>#REF!</v>
      </c>
      <c r="G27" s="12"/>
    </row>
    <row r="28" spans="1:7">
      <c r="A28" s="21"/>
      <c r="B28" s="356"/>
      <c r="C28" s="356"/>
      <c r="D28" s="356"/>
      <c r="E28" s="356"/>
      <c r="F28" s="357"/>
      <c r="G28" s="12"/>
    </row>
    <row r="29" spans="1:7">
      <c r="A29" s="21" t="s">
        <v>95</v>
      </c>
      <c r="B29" s="2" t="s">
        <v>58</v>
      </c>
      <c r="C29" s="2"/>
      <c r="D29" s="13"/>
      <c r="E29" s="13"/>
      <c r="F29" s="26">
        <f>'Composições-BDI'!G29</f>
        <v>27.630300620579963</v>
      </c>
      <c r="G29" s="12"/>
    </row>
    <row r="30" spans="1:7">
      <c r="A30" s="21"/>
      <c r="B30" s="2"/>
      <c r="C30" s="2"/>
      <c r="D30" s="13"/>
      <c r="E30" s="13"/>
      <c r="F30" s="24"/>
      <c r="G30" s="12"/>
    </row>
    <row r="31" spans="1:7" ht="15.75" thickBot="1">
      <c r="A31" s="27" t="s">
        <v>96</v>
      </c>
      <c r="B31" s="28" t="s">
        <v>110</v>
      </c>
      <c r="C31" s="28"/>
      <c r="D31" s="29"/>
      <c r="E31" s="29"/>
      <c r="F31" s="30" t="e">
        <f>ROUND((F27*F29)+F27,2)</f>
        <v>#REF!</v>
      </c>
      <c r="G31" s="12"/>
    </row>
    <row r="32" spans="1:7">
      <c r="A32" s="12"/>
      <c r="B32" s="12"/>
      <c r="C32" s="12"/>
      <c r="D32" s="12"/>
      <c r="E32" s="12"/>
      <c r="F32" s="12"/>
      <c r="G32" s="12"/>
    </row>
    <row r="33" spans="1:7">
      <c r="A33" s="32"/>
      <c r="B33" s="12"/>
      <c r="C33" s="12"/>
      <c r="D33" s="12"/>
      <c r="E33" s="12"/>
      <c r="F33" s="12"/>
      <c r="G33" s="12"/>
    </row>
  </sheetData>
  <mergeCells count="19">
    <mergeCell ref="B8:F8"/>
    <mergeCell ref="B28:F28"/>
    <mergeCell ref="B16:D16"/>
    <mergeCell ref="B17:D17"/>
    <mergeCell ref="B18:F18"/>
    <mergeCell ref="B22:D22"/>
    <mergeCell ref="B23:F23"/>
    <mergeCell ref="B26:D26"/>
    <mergeCell ref="B15:D15"/>
    <mergeCell ref="B4:F4"/>
    <mergeCell ref="A5:F5"/>
    <mergeCell ref="A6:A7"/>
    <mergeCell ref="B6:B7"/>
    <mergeCell ref="A1:F1"/>
    <mergeCell ref="B2:F2"/>
    <mergeCell ref="C3:F3"/>
    <mergeCell ref="D6:D7"/>
    <mergeCell ref="E6:F6"/>
    <mergeCell ref="C6:C7"/>
  </mergeCells>
  <pageMargins left="0.51181102362204722" right="0.51181102362204722" top="0.78740157480314965" bottom="0.78740157480314965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sqref="A1:F1"/>
    </sheetView>
  </sheetViews>
  <sheetFormatPr defaultRowHeight="15"/>
  <cols>
    <col min="1" max="1" width="19.57031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</cols>
  <sheetData>
    <row r="1" spans="1:7" ht="18.75">
      <c r="A1" s="338" t="s">
        <v>107</v>
      </c>
      <c r="B1" s="339"/>
      <c r="C1" s="339"/>
      <c r="D1" s="339"/>
      <c r="E1" s="339"/>
      <c r="F1" s="340"/>
      <c r="G1" s="12"/>
    </row>
    <row r="2" spans="1:7" ht="15" customHeight="1">
      <c r="A2" s="5" t="s">
        <v>11</v>
      </c>
      <c r="B2" s="341" t="s">
        <v>104</v>
      </c>
      <c r="C2" s="342"/>
      <c r="D2" s="342"/>
      <c r="E2" s="342"/>
      <c r="F2" s="343"/>
      <c r="G2" s="12"/>
    </row>
    <row r="3" spans="1:7" ht="15" customHeight="1">
      <c r="A3" s="11" t="s">
        <v>111</v>
      </c>
      <c r="B3" s="10" t="s">
        <v>105</v>
      </c>
      <c r="C3" s="344" t="s">
        <v>106</v>
      </c>
      <c r="D3" s="344"/>
      <c r="E3" s="344"/>
      <c r="F3" s="345"/>
      <c r="G3" s="12"/>
    </row>
    <row r="4" spans="1:7" ht="18.75">
      <c r="A4" s="11" t="s">
        <v>12</v>
      </c>
      <c r="B4" s="346" t="s">
        <v>13</v>
      </c>
      <c r="C4" s="346"/>
      <c r="D4" s="346"/>
      <c r="E4" s="346"/>
      <c r="F4" s="347"/>
      <c r="G4" s="12"/>
    </row>
    <row r="5" spans="1:7" ht="15" customHeight="1">
      <c r="A5" s="359" t="s">
        <v>108</v>
      </c>
      <c r="B5" s="360"/>
      <c r="C5" s="360"/>
      <c r="D5" s="360"/>
      <c r="E5" s="360"/>
      <c r="F5" s="361"/>
      <c r="G5" s="12"/>
    </row>
    <row r="6" spans="1:7">
      <c r="A6" s="362" t="s">
        <v>6</v>
      </c>
      <c r="B6" s="362" t="s">
        <v>63</v>
      </c>
      <c r="C6" s="354" t="s">
        <v>19</v>
      </c>
      <c r="D6" s="354" t="s">
        <v>28</v>
      </c>
      <c r="E6" s="354" t="s">
        <v>30</v>
      </c>
      <c r="F6" s="355"/>
      <c r="G6" s="12"/>
    </row>
    <row r="7" spans="1:7">
      <c r="A7" s="363"/>
      <c r="B7" s="363"/>
      <c r="C7" s="354"/>
      <c r="D7" s="354"/>
      <c r="E7" s="15" t="s">
        <v>29</v>
      </c>
      <c r="F7" s="16" t="s">
        <v>20</v>
      </c>
      <c r="G7" s="12"/>
    </row>
    <row r="8" spans="1:7">
      <c r="A8" s="21" t="s">
        <v>34</v>
      </c>
      <c r="B8" s="329" t="s">
        <v>41</v>
      </c>
      <c r="C8" s="329"/>
      <c r="D8" s="329"/>
      <c r="E8" s="329"/>
      <c r="F8" s="330"/>
      <c r="G8" s="12"/>
    </row>
    <row r="9" spans="1:7">
      <c r="A9" s="21" t="s">
        <v>35</v>
      </c>
      <c r="B9" s="31" t="s">
        <v>17</v>
      </c>
      <c r="C9" s="2" t="s">
        <v>33</v>
      </c>
      <c r="D9" s="13">
        <v>12</v>
      </c>
      <c r="E9" s="17" t="e">
        <f>#REF!</f>
        <v>#REF!</v>
      </c>
      <c r="F9" s="18" t="e">
        <f t="shared" ref="F9:F14" si="0">D9*E9</f>
        <v>#REF!</v>
      </c>
      <c r="G9" s="12"/>
    </row>
    <row r="10" spans="1:7" ht="31.5" customHeight="1">
      <c r="A10" s="21" t="s">
        <v>36</v>
      </c>
      <c r="B10" s="22" t="s">
        <v>27</v>
      </c>
      <c r="C10" s="2" t="s">
        <v>33</v>
      </c>
      <c r="D10" s="13">
        <v>24</v>
      </c>
      <c r="E10" s="17" t="e">
        <f>#REF!</f>
        <v>#REF!</v>
      </c>
      <c r="F10" s="18" t="e">
        <f t="shared" si="0"/>
        <v>#REF!</v>
      </c>
      <c r="G10" s="12"/>
    </row>
    <row r="11" spans="1:7">
      <c r="A11" s="21" t="s">
        <v>37</v>
      </c>
      <c r="B11" s="23" t="s">
        <v>24</v>
      </c>
      <c r="C11" s="2" t="s">
        <v>33</v>
      </c>
      <c r="D11" s="13">
        <v>8</v>
      </c>
      <c r="E11" s="17" t="e">
        <f>#REF!</f>
        <v>#REF!</v>
      </c>
      <c r="F11" s="18" t="e">
        <f t="shared" si="0"/>
        <v>#REF!</v>
      </c>
      <c r="G11" s="12"/>
    </row>
    <row r="12" spans="1:7">
      <c r="A12" s="21" t="s">
        <v>38</v>
      </c>
      <c r="B12" s="31" t="s">
        <v>25</v>
      </c>
      <c r="C12" s="2" t="s">
        <v>33</v>
      </c>
      <c r="D12" s="13">
        <v>40</v>
      </c>
      <c r="E12" s="17" t="e">
        <f>#REF!</f>
        <v>#REF!</v>
      </c>
      <c r="F12" s="18" t="e">
        <f t="shared" si="0"/>
        <v>#REF!</v>
      </c>
      <c r="G12" s="12"/>
    </row>
    <row r="13" spans="1:7">
      <c r="A13" s="21" t="s">
        <v>39</v>
      </c>
      <c r="B13" s="31" t="s">
        <v>26</v>
      </c>
      <c r="C13" s="2" t="s">
        <v>33</v>
      </c>
      <c r="D13" s="13">
        <v>24</v>
      </c>
      <c r="E13" s="17" t="e">
        <f>#REF!</f>
        <v>#REF!</v>
      </c>
      <c r="F13" s="18" t="e">
        <f t="shared" si="0"/>
        <v>#REF!</v>
      </c>
      <c r="G13" s="12"/>
    </row>
    <row r="14" spans="1:7">
      <c r="A14" s="21" t="s">
        <v>40</v>
      </c>
      <c r="B14" s="31" t="s">
        <v>18</v>
      </c>
      <c r="C14" s="2" t="s">
        <v>33</v>
      </c>
      <c r="D14" s="13">
        <v>24</v>
      </c>
      <c r="E14" s="17" t="e">
        <f>#REF!</f>
        <v>#REF!</v>
      </c>
      <c r="F14" s="18" t="e">
        <f t="shared" si="0"/>
        <v>#REF!</v>
      </c>
      <c r="G14" s="12"/>
    </row>
    <row r="15" spans="1:7">
      <c r="A15" s="21"/>
      <c r="B15" s="337" t="s">
        <v>21</v>
      </c>
      <c r="C15" s="337"/>
      <c r="D15" s="337"/>
      <c r="E15" s="19"/>
      <c r="F15" s="18" t="e">
        <f>ROUND(SUM(F9:F14),2)</f>
        <v>#REF!</v>
      </c>
      <c r="G15" s="12"/>
    </row>
    <row r="16" spans="1:7">
      <c r="A16" s="21" t="s">
        <v>42</v>
      </c>
      <c r="B16" s="334" t="s">
        <v>44</v>
      </c>
      <c r="C16" s="335"/>
      <c r="D16" s="336"/>
      <c r="E16" s="20">
        <f>'Composições-Encargos Soc.'!F47</f>
        <v>0</v>
      </c>
      <c r="F16" s="18" t="e">
        <f>ROUND((F15*E16),2)</f>
        <v>#REF!</v>
      </c>
      <c r="G16" s="12"/>
    </row>
    <row r="17" spans="1:7">
      <c r="A17" s="21"/>
      <c r="B17" s="331" t="s">
        <v>59</v>
      </c>
      <c r="C17" s="332"/>
      <c r="D17" s="333"/>
      <c r="E17" s="31"/>
      <c r="F17" s="18" t="e">
        <f>SUM(F15:F16)</f>
        <v>#REF!</v>
      </c>
      <c r="G17" s="12"/>
    </row>
    <row r="18" spans="1:7">
      <c r="A18" s="21" t="s">
        <v>43</v>
      </c>
      <c r="B18" s="329" t="s">
        <v>45</v>
      </c>
      <c r="C18" s="329"/>
      <c r="D18" s="329"/>
      <c r="E18" s="329"/>
      <c r="F18" s="330"/>
      <c r="G18" s="12"/>
    </row>
    <row r="19" spans="1:7">
      <c r="A19" s="21" t="s">
        <v>46</v>
      </c>
      <c r="B19" s="2" t="s">
        <v>51</v>
      </c>
      <c r="C19" s="2" t="s">
        <v>31</v>
      </c>
      <c r="D19" s="13">
        <v>3</v>
      </c>
      <c r="E19" s="17" t="e">
        <f>#REF!</f>
        <v>#REF!</v>
      </c>
      <c r="F19" s="18" t="e">
        <f>D19*E19</f>
        <v>#REF!</v>
      </c>
      <c r="G19" s="12"/>
    </row>
    <row r="20" spans="1:7">
      <c r="A20" s="21" t="s">
        <v>47</v>
      </c>
      <c r="B20" s="2" t="s">
        <v>50</v>
      </c>
      <c r="C20" s="2" t="s">
        <v>31</v>
      </c>
      <c r="D20" s="13">
        <v>6</v>
      </c>
      <c r="E20" s="17" t="e">
        <f>#REF!</f>
        <v>#REF!</v>
      </c>
      <c r="F20" s="18" t="e">
        <f>D20*E20</f>
        <v>#REF!</v>
      </c>
      <c r="G20" s="12"/>
    </row>
    <row r="21" spans="1:7">
      <c r="A21" s="21" t="s">
        <v>48</v>
      </c>
      <c r="B21" s="2" t="s">
        <v>49</v>
      </c>
      <c r="C21" s="2" t="s">
        <v>32</v>
      </c>
      <c r="D21" s="13">
        <v>30</v>
      </c>
      <c r="E21" s="17" t="e">
        <f>#REF!</f>
        <v>#REF!</v>
      </c>
      <c r="F21" s="18" t="e">
        <f>D21*E21</f>
        <v>#REF!</v>
      </c>
      <c r="G21" s="12"/>
    </row>
    <row r="22" spans="1:7">
      <c r="A22" s="21"/>
      <c r="B22" s="358" t="s">
        <v>22</v>
      </c>
      <c r="C22" s="358"/>
      <c r="D22" s="358"/>
      <c r="E22" s="17"/>
      <c r="F22" s="18" t="e">
        <f>SUM(F19:F21)</f>
        <v>#REF!</v>
      </c>
      <c r="G22" s="12"/>
    </row>
    <row r="23" spans="1:7">
      <c r="A23" s="21" t="s">
        <v>52</v>
      </c>
      <c r="B23" s="329" t="s">
        <v>55</v>
      </c>
      <c r="C23" s="329"/>
      <c r="D23" s="329"/>
      <c r="E23" s="329"/>
      <c r="F23" s="330"/>
      <c r="G23" s="12"/>
    </row>
    <row r="24" spans="1:7">
      <c r="A24" s="21" t="s">
        <v>53</v>
      </c>
      <c r="B24" s="31" t="s">
        <v>56</v>
      </c>
      <c r="C24" s="2" t="s">
        <v>19</v>
      </c>
      <c r="D24" s="13">
        <v>2</v>
      </c>
      <c r="E24" s="13" t="e">
        <f>#REF!</f>
        <v>#REF!</v>
      </c>
      <c r="F24" s="24" t="e">
        <f>D24*E24</f>
        <v>#REF!</v>
      </c>
      <c r="G24" s="12"/>
    </row>
    <row r="25" spans="1:7">
      <c r="A25" s="21" t="s">
        <v>54</v>
      </c>
      <c r="B25" s="31" t="s">
        <v>57</v>
      </c>
      <c r="C25" s="2" t="s">
        <v>19</v>
      </c>
      <c r="D25" s="13">
        <v>2</v>
      </c>
      <c r="E25" s="13" t="e">
        <f>#REF!</f>
        <v>#REF!</v>
      </c>
      <c r="F25" s="24" t="e">
        <f>D25*E25</f>
        <v>#REF!</v>
      </c>
      <c r="G25" s="12"/>
    </row>
    <row r="26" spans="1:7">
      <c r="A26" s="21"/>
      <c r="B26" s="337" t="s">
        <v>23</v>
      </c>
      <c r="C26" s="337"/>
      <c r="D26" s="337"/>
      <c r="E26" s="13"/>
      <c r="F26" s="24" t="e">
        <f>SUM(F24:F25)</f>
        <v>#REF!</v>
      </c>
      <c r="G26" s="12"/>
    </row>
    <row r="27" spans="1:7">
      <c r="A27" s="21" t="s">
        <v>92</v>
      </c>
      <c r="B27" s="2" t="s">
        <v>60</v>
      </c>
      <c r="C27" s="2"/>
      <c r="D27" s="13"/>
      <c r="E27" s="13"/>
      <c r="F27" s="25" t="e">
        <f>F17+F22+F26</f>
        <v>#REF!</v>
      </c>
      <c r="G27" s="12"/>
    </row>
    <row r="28" spans="1:7">
      <c r="A28" s="21"/>
      <c r="B28" s="356"/>
      <c r="C28" s="356"/>
      <c r="D28" s="356"/>
      <c r="E28" s="356"/>
      <c r="F28" s="357"/>
      <c r="G28" s="12"/>
    </row>
    <row r="29" spans="1:7">
      <c r="A29" s="21" t="s">
        <v>95</v>
      </c>
      <c r="B29" s="2" t="s">
        <v>58</v>
      </c>
      <c r="C29" s="2"/>
      <c r="D29" s="13"/>
      <c r="E29" s="13"/>
      <c r="F29" s="26">
        <f>'Composições-BDI'!G29</f>
        <v>27.630300620579963</v>
      </c>
      <c r="G29" s="12"/>
    </row>
    <row r="30" spans="1:7">
      <c r="A30" s="21"/>
      <c r="B30" s="2"/>
      <c r="C30" s="2"/>
      <c r="D30" s="13"/>
      <c r="E30" s="13"/>
      <c r="F30" s="24"/>
      <c r="G30" s="12"/>
    </row>
    <row r="31" spans="1:7" ht="15.75" thickBot="1">
      <c r="A31" s="27" t="s">
        <v>96</v>
      </c>
      <c r="B31" s="28" t="s">
        <v>110</v>
      </c>
      <c r="C31" s="28"/>
      <c r="D31" s="29"/>
      <c r="E31" s="29"/>
      <c r="F31" s="30" t="e">
        <f>ROUND((F27*F29)+F27,2)</f>
        <v>#REF!</v>
      </c>
      <c r="G31" s="12"/>
    </row>
    <row r="32" spans="1:7">
      <c r="A32" s="14"/>
      <c r="B32" s="12"/>
      <c r="C32" s="12"/>
      <c r="D32" s="12"/>
      <c r="E32" s="12"/>
      <c r="F32" s="12"/>
      <c r="G32" s="12"/>
    </row>
    <row r="33" spans="1:7">
      <c r="A33" s="32"/>
      <c r="B33" s="12"/>
      <c r="C33" s="12"/>
      <c r="D33" s="12"/>
      <c r="E33" s="12"/>
      <c r="F33" s="12"/>
      <c r="G33" s="12"/>
    </row>
    <row r="34" spans="1:7">
      <c r="A34" s="14"/>
      <c r="B34" s="12"/>
      <c r="C34" s="12"/>
      <c r="D34" s="12"/>
      <c r="E34" s="12"/>
      <c r="F34" s="12"/>
      <c r="G34" s="12"/>
    </row>
    <row r="35" spans="1:7">
      <c r="A35" s="14"/>
      <c r="B35" s="12"/>
      <c r="C35" s="12"/>
      <c r="D35" s="12"/>
      <c r="E35" s="12"/>
      <c r="F35" s="12"/>
      <c r="G35" s="12"/>
    </row>
    <row r="36" spans="1:7">
      <c r="A36" s="14"/>
      <c r="B36" s="12"/>
      <c r="C36" s="12"/>
      <c r="D36" s="12"/>
      <c r="E36" s="12"/>
      <c r="F36" s="12"/>
      <c r="G36" s="12"/>
    </row>
  </sheetData>
  <mergeCells count="19">
    <mergeCell ref="B8:F8"/>
    <mergeCell ref="B28:F28"/>
    <mergeCell ref="B16:D16"/>
    <mergeCell ref="B17:D17"/>
    <mergeCell ref="B18:F18"/>
    <mergeCell ref="B22:D22"/>
    <mergeCell ref="B23:F23"/>
    <mergeCell ref="B26:D26"/>
    <mergeCell ref="B15:D15"/>
    <mergeCell ref="A1:F1"/>
    <mergeCell ref="B2:F2"/>
    <mergeCell ref="C3:F3"/>
    <mergeCell ref="B4:F4"/>
    <mergeCell ref="A5:F5"/>
    <mergeCell ref="A6:A7"/>
    <mergeCell ref="B6:B7"/>
    <mergeCell ref="D6:D7"/>
    <mergeCell ref="E6:F6"/>
    <mergeCell ref="C6:C7"/>
  </mergeCells>
  <pageMargins left="0.51181102362204722" right="0.51181102362204722" top="0.78740157480314965" bottom="0.78740157480314965" header="0.31496062992125984" footer="0.31496062992125984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sqref="A1:F1"/>
    </sheetView>
  </sheetViews>
  <sheetFormatPr defaultRowHeight="15"/>
  <cols>
    <col min="1" max="1" width="17.285156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</cols>
  <sheetData>
    <row r="1" spans="1:7" ht="18.75">
      <c r="A1" s="338" t="s">
        <v>107</v>
      </c>
      <c r="B1" s="339"/>
      <c r="C1" s="339"/>
      <c r="D1" s="339"/>
      <c r="E1" s="339"/>
      <c r="F1" s="340"/>
      <c r="G1" s="12"/>
    </row>
    <row r="2" spans="1:7" ht="15" customHeight="1">
      <c r="A2" s="5" t="s">
        <v>11</v>
      </c>
      <c r="B2" s="341" t="s">
        <v>104</v>
      </c>
      <c r="C2" s="342"/>
      <c r="D2" s="342"/>
      <c r="E2" s="342"/>
      <c r="F2" s="343"/>
      <c r="G2" s="12"/>
    </row>
    <row r="3" spans="1:7" ht="15" customHeight="1">
      <c r="A3" s="11" t="s">
        <v>111</v>
      </c>
      <c r="B3" s="10" t="s">
        <v>105</v>
      </c>
      <c r="C3" s="344" t="s">
        <v>106</v>
      </c>
      <c r="D3" s="344"/>
      <c r="E3" s="344"/>
      <c r="F3" s="345"/>
      <c r="G3" s="12"/>
    </row>
    <row r="4" spans="1:7" ht="23.25" customHeight="1">
      <c r="A4" s="11" t="s">
        <v>12</v>
      </c>
      <c r="B4" s="346" t="s">
        <v>13</v>
      </c>
      <c r="C4" s="346"/>
      <c r="D4" s="346"/>
      <c r="E4" s="346"/>
      <c r="F4" s="347"/>
      <c r="G4" s="12"/>
    </row>
    <row r="5" spans="1:7" ht="15" customHeight="1">
      <c r="A5" s="359" t="s">
        <v>109</v>
      </c>
      <c r="B5" s="360"/>
      <c r="C5" s="360"/>
      <c r="D5" s="360"/>
      <c r="E5" s="360"/>
      <c r="F5" s="361"/>
      <c r="G5" s="12"/>
    </row>
    <row r="6" spans="1:7">
      <c r="A6" s="362" t="s">
        <v>6</v>
      </c>
      <c r="B6" s="352" t="s">
        <v>63</v>
      </c>
      <c r="C6" s="354" t="s">
        <v>19</v>
      </c>
      <c r="D6" s="354" t="s">
        <v>28</v>
      </c>
      <c r="E6" s="354" t="s">
        <v>30</v>
      </c>
      <c r="F6" s="355"/>
      <c r="G6" s="12"/>
    </row>
    <row r="7" spans="1:7">
      <c r="A7" s="363"/>
      <c r="B7" s="353"/>
      <c r="C7" s="354"/>
      <c r="D7" s="354"/>
      <c r="E7" s="15" t="s">
        <v>29</v>
      </c>
      <c r="F7" s="16" t="s">
        <v>20</v>
      </c>
      <c r="G7" s="12"/>
    </row>
    <row r="8" spans="1:7">
      <c r="A8" s="21" t="s">
        <v>34</v>
      </c>
      <c r="B8" s="329" t="s">
        <v>41</v>
      </c>
      <c r="C8" s="329"/>
      <c r="D8" s="329"/>
      <c r="E8" s="329"/>
      <c r="F8" s="330"/>
      <c r="G8" s="12"/>
    </row>
    <row r="9" spans="1:7">
      <c r="A9" s="21" t="s">
        <v>35</v>
      </c>
      <c r="B9" s="31" t="s">
        <v>17</v>
      </c>
      <c r="C9" s="2" t="s">
        <v>33</v>
      </c>
      <c r="D9" s="13">
        <v>16</v>
      </c>
      <c r="E9" s="17" t="e">
        <f>#REF!</f>
        <v>#REF!</v>
      </c>
      <c r="F9" s="18" t="e">
        <f t="shared" ref="F9:F14" si="0">D9*E9</f>
        <v>#REF!</v>
      </c>
      <c r="G9" s="12"/>
    </row>
    <row r="10" spans="1:7" ht="31.5" customHeight="1">
      <c r="A10" s="21" t="s">
        <v>36</v>
      </c>
      <c r="B10" s="22" t="s">
        <v>27</v>
      </c>
      <c r="C10" s="2" t="s">
        <v>33</v>
      </c>
      <c r="D10" s="13">
        <v>32</v>
      </c>
      <c r="E10" s="17" t="e">
        <f>#REF!</f>
        <v>#REF!</v>
      </c>
      <c r="F10" s="18" t="e">
        <f t="shared" si="0"/>
        <v>#REF!</v>
      </c>
      <c r="G10" s="12"/>
    </row>
    <row r="11" spans="1:7">
      <c r="A11" s="21" t="s">
        <v>37</v>
      </c>
      <c r="B11" s="23" t="s">
        <v>24</v>
      </c>
      <c r="C11" s="2" t="s">
        <v>33</v>
      </c>
      <c r="D11" s="13">
        <v>12</v>
      </c>
      <c r="E11" s="17" t="e">
        <f>#REF!</f>
        <v>#REF!</v>
      </c>
      <c r="F11" s="18" t="e">
        <f t="shared" si="0"/>
        <v>#REF!</v>
      </c>
      <c r="G11" s="12"/>
    </row>
    <row r="12" spans="1:7">
      <c r="A12" s="21" t="s">
        <v>38</v>
      </c>
      <c r="B12" s="31" t="s">
        <v>25</v>
      </c>
      <c r="C12" s="2" t="s">
        <v>33</v>
      </c>
      <c r="D12" s="13">
        <v>80</v>
      </c>
      <c r="E12" s="17" t="e">
        <f>#REF!</f>
        <v>#REF!</v>
      </c>
      <c r="F12" s="18" t="e">
        <f t="shared" si="0"/>
        <v>#REF!</v>
      </c>
      <c r="G12" s="12"/>
    </row>
    <row r="13" spans="1:7">
      <c r="A13" s="21" t="s">
        <v>39</v>
      </c>
      <c r="B13" s="31" t="s">
        <v>26</v>
      </c>
      <c r="C13" s="2" t="s">
        <v>33</v>
      </c>
      <c r="D13" s="13">
        <v>32</v>
      </c>
      <c r="E13" s="17" t="e">
        <f>#REF!</f>
        <v>#REF!</v>
      </c>
      <c r="F13" s="18" t="e">
        <f t="shared" si="0"/>
        <v>#REF!</v>
      </c>
      <c r="G13" s="12"/>
    </row>
    <row r="14" spans="1:7">
      <c r="A14" s="21" t="s">
        <v>40</v>
      </c>
      <c r="B14" s="31" t="s">
        <v>18</v>
      </c>
      <c r="C14" s="2" t="s">
        <v>33</v>
      </c>
      <c r="D14" s="13">
        <v>40</v>
      </c>
      <c r="E14" s="17" t="e">
        <f>#REF!</f>
        <v>#REF!</v>
      </c>
      <c r="F14" s="18" t="e">
        <f t="shared" si="0"/>
        <v>#REF!</v>
      </c>
      <c r="G14" s="12"/>
    </row>
    <row r="15" spans="1:7">
      <c r="A15" s="21"/>
      <c r="B15" s="337" t="s">
        <v>21</v>
      </c>
      <c r="C15" s="337"/>
      <c r="D15" s="337"/>
      <c r="E15" s="19"/>
      <c r="F15" s="18" t="e">
        <f>ROUND(SUM(F9:F14),2)</f>
        <v>#REF!</v>
      </c>
      <c r="G15" s="12"/>
    </row>
    <row r="16" spans="1:7">
      <c r="A16" s="21" t="s">
        <v>42</v>
      </c>
      <c r="B16" s="334" t="s">
        <v>44</v>
      </c>
      <c r="C16" s="335"/>
      <c r="D16" s="336"/>
      <c r="E16" s="20">
        <f>'Composições-Encargos Soc.'!F47</f>
        <v>0</v>
      </c>
      <c r="F16" s="18" t="e">
        <f>ROUND((F15*E16),2)</f>
        <v>#REF!</v>
      </c>
      <c r="G16" s="12"/>
    </row>
    <row r="17" spans="1:7">
      <c r="A17" s="21"/>
      <c r="B17" s="331" t="s">
        <v>59</v>
      </c>
      <c r="C17" s="332"/>
      <c r="D17" s="333"/>
      <c r="E17" s="31"/>
      <c r="F17" s="18" t="e">
        <f>SUM(F15:F16)</f>
        <v>#REF!</v>
      </c>
      <c r="G17" s="12"/>
    </row>
    <row r="18" spans="1:7">
      <c r="A18" s="21" t="s">
        <v>43</v>
      </c>
      <c r="B18" s="329" t="s">
        <v>45</v>
      </c>
      <c r="C18" s="329"/>
      <c r="D18" s="329"/>
      <c r="E18" s="329"/>
      <c r="F18" s="330"/>
      <c r="G18" s="12"/>
    </row>
    <row r="19" spans="1:7">
      <c r="A19" s="21" t="s">
        <v>46</v>
      </c>
      <c r="B19" s="2" t="s">
        <v>51</v>
      </c>
      <c r="C19" s="2" t="s">
        <v>31</v>
      </c>
      <c r="D19" s="13">
        <v>4</v>
      </c>
      <c r="E19" s="17" t="e">
        <f>#REF!</f>
        <v>#REF!</v>
      </c>
      <c r="F19" s="18" t="e">
        <f>D19*E19</f>
        <v>#REF!</v>
      </c>
      <c r="G19" s="12"/>
    </row>
    <row r="20" spans="1:7">
      <c r="A20" s="21" t="s">
        <v>47</v>
      </c>
      <c r="B20" s="2" t="s">
        <v>50</v>
      </c>
      <c r="C20" s="2" t="s">
        <v>31</v>
      </c>
      <c r="D20" s="13">
        <v>8</v>
      </c>
      <c r="E20" s="17" t="e">
        <f>#REF!</f>
        <v>#REF!</v>
      </c>
      <c r="F20" s="18" t="e">
        <f>D20*E20</f>
        <v>#REF!</v>
      </c>
      <c r="G20" s="12"/>
    </row>
    <row r="21" spans="1:7">
      <c r="A21" s="21" t="s">
        <v>48</v>
      </c>
      <c r="B21" s="2" t="s">
        <v>49</v>
      </c>
      <c r="C21" s="2" t="s">
        <v>32</v>
      </c>
      <c r="D21" s="13">
        <v>40</v>
      </c>
      <c r="E21" s="17" t="e">
        <f>#REF!</f>
        <v>#REF!</v>
      </c>
      <c r="F21" s="18" t="e">
        <f>D21*E21</f>
        <v>#REF!</v>
      </c>
      <c r="G21" s="12"/>
    </row>
    <row r="22" spans="1:7">
      <c r="A22" s="21"/>
      <c r="B22" s="358" t="s">
        <v>22</v>
      </c>
      <c r="C22" s="358"/>
      <c r="D22" s="358"/>
      <c r="E22" s="17"/>
      <c r="F22" s="18" t="e">
        <f>SUM(F19:F21)</f>
        <v>#REF!</v>
      </c>
      <c r="G22" s="12"/>
    </row>
    <row r="23" spans="1:7">
      <c r="A23" s="21" t="s">
        <v>52</v>
      </c>
      <c r="B23" s="329" t="s">
        <v>55</v>
      </c>
      <c r="C23" s="329"/>
      <c r="D23" s="329"/>
      <c r="E23" s="329"/>
      <c r="F23" s="330"/>
      <c r="G23" s="12"/>
    </row>
    <row r="24" spans="1:7">
      <c r="A24" s="21" t="s">
        <v>53</v>
      </c>
      <c r="B24" s="31" t="s">
        <v>56</v>
      </c>
      <c r="C24" s="2" t="s">
        <v>19</v>
      </c>
      <c r="D24" s="13">
        <v>2</v>
      </c>
      <c r="E24" s="13" t="e">
        <f>#REF!</f>
        <v>#REF!</v>
      </c>
      <c r="F24" s="24" t="e">
        <f>D24*E24</f>
        <v>#REF!</v>
      </c>
      <c r="G24" s="12"/>
    </row>
    <row r="25" spans="1:7">
      <c r="A25" s="21" t="s">
        <v>54</v>
      </c>
      <c r="B25" s="31" t="s">
        <v>57</v>
      </c>
      <c r="C25" s="2" t="s">
        <v>19</v>
      </c>
      <c r="D25" s="13">
        <v>2</v>
      </c>
      <c r="E25" s="13" t="e">
        <f>#REF!</f>
        <v>#REF!</v>
      </c>
      <c r="F25" s="24" t="e">
        <f>D25*E25</f>
        <v>#REF!</v>
      </c>
      <c r="G25" s="12"/>
    </row>
    <row r="26" spans="1:7">
      <c r="A26" s="21"/>
      <c r="B26" s="337" t="s">
        <v>23</v>
      </c>
      <c r="C26" s="337"/>
      <c r="D26" s="337"/>
      <c r="E26" s="13"/>
      <c r="F26" s="24" t="e">
        <f>SUM(F24:F25)</f>
        <v>#REF!</v>
      </c>
      <c r="G26" s="12"/>
    </row>
    <row r="27" spans="1:7">
      <c r="A27" s="21" t="s">
        <v>92</v>
      </c>
      <c r="B27" s="2" t="s">
        <v>60</v>
      </c>
      <c r="C27" s="2"/>
      <c r="D27" s="13"/>
      <c r="E27" s="13"/>
      <c r="F27" s="25" t="e">
        <f>F17+F22+F26</f>
        <v>#REF!</v>
      </c>
      <c r="G27" s="12"/>
    </row>
    <row r="28" spans="1:7">
      <c r="A28" s="21"/>
      <c r="B28" s="356"/>
      <c r="C28" s="356"/>
      <c r="D28" s="356"/>
      <c r="E28" s="356"/>
      <c r="F28" s="357"/>
      <c r="G28" s="12"/>
    </row>
    <row r="29" spans="1:7">
      <c r="A29" s="21" t="s">
        <v>95</v>
      </c>
      <c r="B29" s="2" t="s">
        <v>58</v>
      </c>
      <c r="C29" s="2"/>
      <c r="D29" s="13"/>
      <c r="E29" s="13"/>
      <c r="F29" s="26">
        <f>'Composições-BDI'!G29</f>
        <v>27.630300620579963</v>
      </c>
      <c r="G29" s="12"/>
    </row>
    <row r="30" spans="1:7">
      <c r="A30" s="21"/>
      <c r="B30" s="2"/>
      <c r="C30" s="2"/>
      <c r="D30" s="13"/>
      <c r="E30" s="13"/>
      <c r="F30" s="24"/>
      <c r="G30" s="12"/>
    </row>
    <row r="31" spans="1:7" ht="15.75" thickBot="1">
      <c r="A31" s="27" t="s">
        <v>96</v>
      </c>
      <c r="B31" s="28" t="s">
        <v>110</v>
      </c>
      <c r="C31" s="28"/>
      <c r="D31" s="29"/>
      <c r="E31" s="29"/>
      <c r="F31" s="30" t="e">
        <f>ROUND((F27*F29)+F27,2)</f>
        <v>#REF!</v>
      </c>
      <c r="G31" s="12"/>
    </row>
    <row r="32" spans="1:7">
      <c r="A32" s="14"/>
      <c r="B32" s="12"/>
      <c r="C32" s="12"/>
      <c r="D32" s="12"/>
      <c r="E32" s="12"/>
      <c r="F32" s="12"/>
      <c r="G32" s="12"/>
    </row>
    <row r="33" spans="1:7">
      <c r="A33" s="32"/>
      <c r="B33" s="12"/>
      <c r="C33" s="12"/>
      <c r="D33" s="12"/>
      <c r="E33" s="12"/>
      <c r="F33" s="12"/>
      <c r="G33" s="12"/>
    </row>
    <row r="34" spans="1:7">
      <c r="A34" s="14"/>
      <c r="B34" s="12"/>
      <c r="C34" s="12"/>
      <c r="D34" s="12"/>
      <c r="E34" s="12"/>
      <c r="F34" s="12"/>
      <c r="G34" s="12"/>
    </row>
    <row r="35" spans="1:7">
      <c r="A35" s="14"/>
      <c r="B35" s="12"/>
      <c r="C35" s="12"/>
      <c r="D35" s="12"/>
      <c r="E35" s="12"/>
      <c r="F35" s="12"/>
      <c r="G35" s="12"/>
    </row>
    <row r="36" spans="1:7">
      <c r="A36" s="14"/>
      <c r="B36" s="12"/>
      <c r="C36" s="12"/>
      <c r="D36" s="12"/>
      <c r="E36" s="12"/>
      <c r="F36" s="12"/>
      <c r="G36" s="12"/>
    </row>
    <row r="37" spans="1:7">
      <c r="A37" s="14"/>
      <c r="B37" s="12"/>
      <c r="C37" s="12"/>
      <c r="D37" s="12"/>
      <c r="E37" s="12"/>
      <c r="F37" s="12"/>
      <c r="G37" s="12"/>
    </row>
    <row r="38" spans="1:7">
      <c r="A38" s="14"/>
      <c r="B38" s="12"/>
      <c r="C38" s="12"/>
      <c r="D38" s="12"/>
      <c r="E38" s="12"/>
      <c r="F38" s="12"/>
      <c r="G38" s="12"/>
    </row>
  </sheetData>
  <mergeCells count="19">
    <mergeCell ref="B8:F8"/>
    <mergeCell ref="B28:F28"/>
    <mergeCell ref="B16:D16"/>
    <mergeCell ref="B17:D17"/>
    <mergeCell ref="B18:F18"/>
    <mergeCell ref="B22:D22"/>
    <mergeCell ref="B23:F23"/>
    <mergeCell ref="B26:D26"/>
    <mergeCell ref="B15:D15"/>
    <mergeCell ref="A1:F1"/>
    <mergeCell ref="B2:F2"/>
    <mergeCell ref="C3:F3"/>
    <mergeCell ref="B4:F4"/>
    <mergeCell ref="A5:F5"/>
    <mergeCell ref="B6:B7"/>
    <mergeCell ref="A6:A7"/>
    <mergeCell ref="D6:D7"/>
    <mergeCell ref="E6:F6"/>
    <mergeCell ref="C6:C7"/>
  </mergeCells>
  <pageMargins left="0.51181102362204722" right="0.51181102362204722" top="0.78740157480314965" bottom="0.78740157480314965" header="0.31496062992125984" footer="0.31496062992125984"/>
  <pageSetup paperSize="9"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47"/>
  <sheetViews>
    <sheetView tabSelected="1" workbookViewId="0">
      <selection activeCell="E38" activeCellId="3" sqref="E6:F20 E24:F28 E32:F34 E38:F43"/>
    </sheetView>
  </sheetViews>
  <sheetFormatPr defaultRowHeight="15"/>
  <cols>
    <col min="1" max="1" width="50.5703125" style="161" customWidth="1"/>
    <col min="2" max="2" width="14.140625" style="161" customWidth="1"/>
    <col min="3" max="4" width="9.140625" style="162"/>
    <col min="5" max="5" width="14.140625" style="163" customWidth="1"/>
    <col min="6" max="6" width="13.85546875" style="163" customWidth="1"/>
    <col min="7" max="16384" width="9.140625" style="162"/>
  </cols>
  <sheetData>
    <row r="1" spans="1:10">
      <c r="A1" s="160" t="s">
        <v>381</v>
      </c>
    </row>
    <row r="2" spans="1:10" ht="45">
      <c r="A2" s="164" t="s">
        <v>466</v>
      </c>
      <c r="C2" s="165"/>
    </row>
    <row r="4" spans="1:10">
      <c r="A4" s="166" t="s">
        <v>41</v>
      </c>
      <c r="B4" s="167"/>
      <c r="C4" s="168"/>
      <c r="D4" s="168"/>
      <c r="E4" s="169"/>
      <c r="F4" s="170"/>
    </row>
    <row r="5" spans="1:10" s="161" customFormat="1" ht="60">
      <c r="A5" s="171" t="s">
        <v>307</v>
      </c>
      <c r="B5" s="171" t="s">
        <v>162</v>
      </c>
      <c r="C5" s="171" t="s">
        <v>223</v>
      </c>
      <c r="D5" s="171" t="s">
        <v>19</v>
      </c>
      <c r="E5" s="172" t="s">
        <v>352</v>
      </c>
      <c r="F5" s="172" t="s">
        <v>314</v>
      </c>
      <c r="H5" s="162"/>
      <c r="I5" s="162"/>
      <c r="J5" s="162"/>
    </row>
    <row r="6" spans="1:10">
      <c r="A6" s="173" t="s">
        <v>361</v>
      </c>
      <c r="B6" s="174">
        <v>93568</v>
      </c>
      <c r="C6" s="175"/>
      <c r="D6" s="175" t="s">
        <v>332</v>
      </c>
      <c r="E6" s="132">
        <v>24707.22</v>
      </c>
      <c r="F6" s="132">
        <v>21365.11</v>
      </c>
    </row>
    <row r="7" spans="1:10" ht="15" customHeight="1">
      <c r="A7" s="173" t="s">
        <v>364</v>
      </c>
      <c r="B7" s="174">
        <v>93565</v>
      </c>
      <c r="C7" s="175"/>
      <c r="D7" s="175" t="s">
        <v>332</v>
      </c>
      <c r="E7" s="132">
        <v>14965.79</v>
      </c>
      <c r="F7" s="132">
        <v>12946.12</v>
      </c>
    </row>
    <row r="8" spans="1:10">
      <c r="A8" s="173" t="s">
        <v>362</v>
      </c>
      <c r="B8" s="174">
        <v>93565</v>
      </c>
      <c r="C8" s="175"/>
      <c r="D8" s="175" t="s">
        <v>332</v>
      </c>
      <c r="E8" s="132">
        <v>14965.79</v>
      </c>
      <c r="F8" s="132">
        <v>12946.12</v>
      </c>
    </row>
    <row r="9" spans="1:10" ht="15" customHeight="1">
      <c r="A9" s="173" t="s">
        <v>365</v>
      </c>
      <c r="B9" s="174">
        <v>93567</v>
      </c>
      <c r="C9" s="175"/>
      <c r="D9" s="175" t="s">
        <v>332</v>
      </c>
      <c r="E9" s="132">
        <v>18827.689999999999</v>
      </c>
      <c r="F9" s="132">
        <v>16284</v>
      </c>
    </row>
    <row r="10" spans="1:10" ht="15" customHeight="1">
      <c r="A10" s="173" t="s">
        <v>363</v>
      </c>
      <c r="B10" s="174">
        <v>93565</v>
      </c>
      <c r="C10" s="175"/>
      <c r="D10" s="175" t="s">
        <v>332</v>
      </c>
      <c r="E10" s="132">
        <v>14965.79</v>
      </c>
      <c r="F10" s="132">
        <v>12946.12</v>
      </c>
    </row>
    <row r="11" spans="1:10">
      <c r="A11" s="173" t="s">
        <v>88</v>
      </c>
      <c r="B11" s="176"/>
      <c r="C11" s="177" t="s">
        <v>248</v>
      </c>
      <c r="D11" s="175" t="s">
        <v>89</v>
      </c>
      <c r="E11" s="133">
        <v>146.96</v>
      </c>
      <c r="F11" s="133">
        <v>127.71</v>
      </c>
    </row>
    <row r="12" spans="1:10">
      <c r="A12" s="173" t="s">
        <v>335</v>
      </c>
      <c r="B12" s="176">
        <v>40808</v>
      </c>
      <c r="C12" s="178"/>
      <c r="D12" s="178" t="s">
        <v>332</v>
      </c>
      <c r="E12" s="133">
        <v>2678.62</v>
      </c>
      <c r="F12" s="133">
        <v>2315.16</v>
      </c>
    </row>
    <row r="13" spans="1:10">
      <c r="A13" s="173" t="s">
        <v>357</v>
      </c>
      <c r="B13" s="176">
        <v>93561</v>
      </c>
      <c r="C13" s="178"/>
      <c r="D13" s="178" t="s">
        <v>332</v>
      </c>
      <c r="E13" s="133">
        <v>5601.07</v>
      </c>
      <c r="F13" s="133">
        <v>4929.59</v>
      </c>
    </row>
    <row r="14" spans="1:10">
      <c r="A14" s="173" t="s">
        <v>333</v>
      </c>
      <c r="B14" s="176">
        <v>93566</v>
      </c>
      <c r="C14" s="178"/>
      <c r="D14" s="175" t="s">
        <v>332</v>
      </c>
      <c r="E14" s="133">
        <v>3396.58</v>
      </c>
      <c r="F14" s="133">
        <v>3040.03</v>
      </c>
    </row>
    <row r="15" spans="1:10">
      <c r="A15" s="173" t="s">
        <v>358</v>
      </c>
      <c r="B15" s="176">
        <v>90775</v>
      </c>
      <c r="C15" s="178"/>
      <c r="D15" s="175" t="s">
        <v>89</v>
      </c>
      <c r="E15" s="133">
        <v>28.65</v>
      </c>
      <c r="F15" s="133">
        <v>24.82</v>
      </c>
    </row>
    <row r="16" spans="1:10">
      <c r="A16" s="173" t="s">
        <v>144</v>
      </c>
      <c r="B16" s="174">
        <v>88597</v>
      </c>
      <c r="C16" s="175"/>
      <c r="D16" s="175" t="s">
        <v>89</v>
      </c>
      <c r="E16" s="132">
        <v>22.98</v>
      </c>
      <c r="F16" s="132">
        <v>20.420000000000002</v>
      </c>
    </row>
    <row r="17" spans="1:7">
      <c r="A17" s="173" t="s">
        <v>122</v>
      </c>
      <c r="B17" s="174">
        <v>90781</v>
      </c>
      <c r="C17" s="179" t="s">
        <v>228</v>
      </c>
      <c r="D17" s="175" t="s">
        <v>89</v>
      </c>
      <c r="E17" s="132">
        <v>33.520000000000003</v>
      </c>
      <c r="F17" s="133">
        <v>29.54</v>
      </c>
    </row>
    <row r="18" spans="1:7">
      <c r="A18" s="173" t="s">
        <v>334</v>
      </c>
      <c r="B18" s="176">
        <v>88253</v>
      </c>
      <c r="C18" s="179" t="s">
        <v>228</v>
      </c>
      <c r="D18" s="175" t="s">
        <v>89</v>
      </c>
      <c r="E18" s="133">
        <v>27.35</v>
      </c>
      <c r="F18" s="133">
        <v>24.36</v>
      </c>
    </row>
    <row r="19" spans="1:7">
      <c r="A19" s="173" t="s">
        <v>124</v>
      </c>
      <c r="B19" s="176">
        <v>88241</v>
      </c>
      <c r="C19" s="179" t="s">
        <v>228</v>
      </c>
      <c r="D19" s="175" t="s">
        <v>89</v>
      </c>
      <c r="E19" s="133">
        <v>15.78</v>
      </c>
      <c r="F19" s="133">
        <v>14.36</v>
      </c>
    </row>
    <row r="20" spans="1:7">
      <c r="A20" s="173" t="s">
        <v>356</v>
      </c>
      <c r="B20" s="176">
        <v>88322</v>
      </c>
      <c r="C20" s="179" t="s">
        <v>228</v>
      </c>
      <c r="D20" s="175" t="s">
        <v>89</v>
      </c>
      <c r="E20" s="133">
        <v>46.93</v>
      </c>
      <c r="F20" s="133">
        <v>41.29</v>
      </c>
    </row>
    <row r="21" spans="1:7">
      <c r="A21" s="180"/>
      <c r="B21" s="181"/>
      <c r="C21" s="182"/>
      <c r="D21" s="183"/>
      <c r="E21" s="184"/>
      <c r="F21" s="184"/>
    </row>
    <row r="22" spans="1:7">
      <c r="A22" s="166" t="s">
        <v>128</v>
      </c>
      <c r="B22" s="167"/>
      <c r="C22" s="168"/>
      <c r="D22" s="168"/>
      <c r="E22" s="169"/>
      <c r="F22" s="170"/>
    </row>
    <row r="23" spans="1:7" ht="60">
      <c r="A23" s="171" t="s">
        <v>307</v>
      </c>
      <c r="B23" s="171" t="s">
        <v>162</v>
      </c>
      <c r="C23" s="171" t="s">
        <v>223</v>
      </c>
      <c r="D23" s="171" t="s">
        <v>19</v>
      </c>
      <c r="E23" s="172" t="s">
        <v>352</v>
      </c>
      <c r="F23" s="172" t="s">
        <v>314</v>
      </c>
      <c r="G23" s="185"/>
    </row>
    <row r="24" spans="1:7" ht="30">
      <c r="A24" s="173" t="s">
        <v>350</v>
      </c>
      <c r="B24" s="186">
        <v>7247</v>
      </c>
      <c r="C24" s="179" t="s">
        <v>228</v>
      </c>
      <c r="D24" s="179" t="s">
        <v>89</v>
      </c>
      <c r="E24" s="132">
        <v>2.27</v>
      </c>
      <c r="F24" s="132">
        <v>2.27</v>
      </c>
      <c r="G24" s="185"/>
    </row>
    <row r="25" spans="1:7">
      <c r="A25" s="173" t="s">
        <v>349</v>
      </c>
      <c r="B25" s="187">
        <v>7252</v>
      </c>
      <c r="C25" s="179" t="s">
        <v>228</v>
      </c>
      <c r="D25" s="188" t="s">
        <v>89</v>
      </c>
      <c r="E25" s="133">
        <v>2.27</v>
      </c>
      <c r="F25" s="133">
        <v>2.27</v>
      </c>
    </row>
    <row r="26" spans="1:7">
      <c r="A26" s="173" t="s">
        <v>360</v>
      </c>
      <c r="B26" s="189">
        <v>92138</v>
      </c>
      <c r="C26" s="179" t="s">
        <v>228</v>
      </c>
      <c r="D26" s="188" t="s">
        <v>193</v>
      </c>
      <c r="E26" s="134">
        <v>120</v>
      </c>
      <c r="F26" s="133">
        <v>117.57</v>
      </c>
    </row>
    <row r="27" spans="1:7">
      <c r="A27" s="173" t="s">
        <v>354</v>
      </c>
      <c r="B27" s="190" t="s">
        <v>228</v>
      </c>
      <c r="C27" s="191" t="s">
        <v>353</v>
      </c>
      <c r="D27" s="188" t="s">
        <v>355</v>
      </c>
      <c r="E27" s="134">
        <v>45.4</v>
      </c>
      <c r="F27" s="133">
        <v>45.4</v>
      </c>
    </row>
    <row r="28" spans="1:7" ht="30" customHeight="1">
      <c r="A28" s="173" t="s">
        <v>351</v>
      </c>
      <c r="B28" s="192">
        <v>5824</v>
      </c>
      <c r="C28" s="179" t="s">
        <v>228</v>
      </c>
      <c r="D28" s="188" t="s">
        <v>193</v>
      </c>
      <c r="E28" s="133">
        <v>128.74</v>
      </c>
      <c r="F28" s="133">
        <v>126.11</v>
      </c>
    </row>
    <row r="29" spans="1:7" ht="30" customHeight="1">
      <c r="A29" s="193"/>
      <c r="B29" s="193"/>
      <c r="C29" s="193"/>
      <c r="D29" s="183"/>
    </row>
    <row r="30" spans="1:7">
      <c r="A30" s="166" t="s">
        <v>132</v>
      </c>
      <c r="B30" s="167"/>
      <c r="C30" s="168"/>
      <c r="D30" s="168"/>
      <c r="E30" s="169"/>
      <c r="F30" s="170"/>
    </row>
    <row r="31" spans="1:7" ht="60">
      <c r="A31" s="171" t="s">
        <v>307</v>
      </c>
      <c r="B31" s="171" t="s">
        <v>162</v>
      </c>
      <c r="C31" s="171" t="s">
        <v>223</v>
      </c>
      <c r="D31" s="171" t="s">
        <v>19</v>
      </c>
      <c r="E31" s="172" t="s">
        <v>352</v>
      </c>
      <c r="F31" s="172" t="s">
        <v>314</v>
      </c>
      <c r="G31" s="185"/>
    </row>
    <row r="32" spans="1:7" ht="15" customHeight="1">
      <c r="A32" s="173" t="s">
        <v>310</v>
      </c>
      <c r="B32" s="194">
        <v>4517</v>
      </c>
      <c r="C32" s="179" t="s">
        <v>228</v>
      </c>
      <c r="D32" s="179" t="s">
        <v>10</v>
      </c>
      <c r="E32" s="132">
        <v>0.81</v>
      </c>
      <c r="F32" s="132">
        <v>0.81</v>
      </c>
    </row>
    <row r="33" spans="1:7" ht="15" customHeight="1">
      <c r="A33" s="173" t="s">
        <v>311</v>
      </c>
      <c r="B33" s="195">
        <v>4513</v>
      </c>
      <c r="C33" s="179" t="s">
        <v>228</v>
      </c>
      <c r="D33" s="188" t="s">
        <v>10</v>
      </c>
      <c r="E33" s="133">
        <v>1.17</v>
      </c>
      <c r="F33" s="133">
        <v>1.17</v>
      </c>
    </row>
    <row r="34" spans="1:7">
      <c r="A34" s="173" t="s">
        <v>328</v>
      </c>
      <c r="B34" s="196" t="s">
        <v>318</v>
      </c>
      <c r="C34" s="179" t="s">
        <v>228</v>
      </c>
      <c r="D34" s="188" t="s">
        <v>134</v>
      </c>
      <c r="E34" s="133">
        <v>1.5</v>
      </c>
      <c r="F34" s="133">
        <v>1.5</v>
      </c>
    </row>
    <row r="35" spans="1:7">
      <c r="A35" s="197"/>
      <c r="B35" s="197"/>
      <c r="C35" s="198"/>
      <c r="D35" s="199"/>
    </row>
    <row r="36" spans="1:7">
      <c r="A36" s="166" t="s">
        <v>359</v>
      </c>
      <c r="B36" s="167"/>
      <c r="C36" s="168"/>
      <c r="D36" s="168"/>
      <c r="E36" s="169"/>
      <c r="F36" s="170"/>
    </row>
    <row r="37" spans="1:7" ht="60">
      <c r="A37" s="171" t="s">
        <v>307</v>
      </c>
      <c r="B37" s="171" t="s">
        <v>162</v>
      </c>
      <c r="C37" s="171" t="s">
        <v>223</v>
      </c>
      <c r="D37" s="171" t="s">
        <v>19</v>
      </c>
      <c r="E37" s="172" t="s">
        <v>352</v>
      </c>
      <c r="F37" s="172" t="s">
        <v>314</v>
      </c>
      <c r="G37" s="185"/>
    </row>
    <row r="38" spans="1:7" ht="30">
      <c r="A38" s="173" t="s">
        <v>324</v>
      </c>
      <c r="B38" s="200" t="s">
        <v>318</v>
      </c>
      <c r="C38" s="179" t="s">
        <v>228</v>
      </c>
      <c r="D38" s="179" t="s">
        <v>10</v>
      </c>
      <c r="E38" s="132">
        <v>78.150000000000006</v>
      </c>
      <c r="F38" s="132">
        <v>78.150000000000006</v>
      </c>
    </row>
    <row r="39" spans="1:7" ht="30">
      <c r="A39" s="173" t="s">
        <v>325</v>
      </c>
      <c r="B39" s="196" t="s">
        <v>318</v>
      </c>
      <c r="C39" s="179" t="s">
        <v>228</v>
      </c>
      <c r="D39" s="188" t="s">
        <v>10</v>
      </c>
      <c r="E39" s="133">
        <v>60.47</v>
      </c>
      <c r="F39" s="133">
        <v>60.47</v>
      </c>
    </row>
    <row r="40" spans="1:7">
      <c r="A40" s="173" t="s">
        <v>329</v>
      </c>
      <c r="B40" s="196" t="s">
        <v>318</v>
      </c>
      <c r="C40" s="179"/>
      <c r="D40" s="188" t="s">
        <v>326</v>
      </c>
      <c r="E40" s="135">
        <v>0.15</v>
      </c>
      <c r="F40" s="135">
        <v>0.15</v>
      </c>
    </row>
    <row r="41" spans="1:7">
      <c r="A41" s="173" t="s">
        <v>91</v>
      </c>
      <c r="B41" s="196" t="s">
        <v>318</v>
      </c>
      <c r="C41" s="179"/>
      <c r="D41" s="188" t="s">
        <v>134</v>
      </c>
      <c r="E41" s="135">
        <v>2</v>
      </c>
      <c r="F41" s="135">
        <v>2</v>
      </c>
    </row>
    <row r="42" spans="1:7">
      <c r="A42" s="173" t="s">
        <v>384</v>
      </c>
      <c r="B42" s="196" t="s">
        <v>318</v>
      </c>
      <c r="C42" s="179" t="s">
        <v>228</v>
      </c>
      <c r="D42" s="188" t="s">
        <v>134</v>
      </c>
      <c r="E42" s="135">
        <v>30</v>
      </c>
      <c r="F42" s="135">
        <v>30</v>
      </c>
    </row>
    <row r="43" spans="1:7">
      <c r="A43" s="173" t="s">
        <v>94</v>
      </c>
      <c r="B43" s="196" t="s">
        <v>318</v>
      </c>
      <c r="C43" s="179" t="s">
        <v>228</v>
      </c>
      <c r="D43" s="188" t="s">
        <v>134</v>
      </c>
      <c r="E43" s="135">
        <v>35</v>
      </c>
      <c r="F43" s="135">
        <v>35</v>
      </c>
    </row>
    <row r="44" spans="1:7">
      <c r="A44" s="201"/>
      <c r="B44" s="197"/>
      <c r="C44" s="198"/>
      <c r="D44" s="199"/>
      <c r="E44" s="202"/>
      <c r="F44" s="202"/>
    </row>
    <row r="46" spans="1:7">
      <c r="A46" s="203" t="s">
        <v>385</v>
      </c>
      <c r="B46" s="204" t="s">
        <v>313</v>
      </c>
    </row>
    <row r="47" spans="1:7" ht="75">
      <c r="A47" s="173" t="s">
        <v>386</v>
      </c>
      <c r="B47" s="164"/>
    </row>
  </sheetData>
  <sheetProtection algorithmName="SHA-512" hashValue="QdBcUb2Ay9ANc585RymtWcH3idk8FDxoA8xzGRzcBKtHTC/q/ksK0PPHG4tQ7vOb9xWNzNuXCiBqhmP1VdyS0g==" saltValue="436Dntfg0+1ROLPb/+/Gx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M151"/>
  <sheetViews>
    <sheetView zoomScale="85" zoomScaleNormal="85" workbookViewId="0">
      <pane ySplit="10" topLeftCell="A11" activePane="bottomLeft" state="frozen"/>
      <selection pane="bottomLeft" activeCell="D8" sqref="D8:D9"/>
    </sheetView>
  </sheetViews>
  <sheetFormatPr defaultRowHeight="15"/>
  <cols>
    <col min="1" max="1" width="19" style="319" customWidth="1"/>
    <col min="2" max="2" width="64.42578125" style="162" customWidth="1"/>
    <col min="3" max="3" width="13.28515625" style="205" customWidth="1"/>
    <col min="4" max="4" width="16" style="162" customWidth="1"/>
    <col min="5" max="5" width="23.85546875" style="162" customWidth="1"/>
    <col min="6" max="6" width="24.7109375" style="162" customWidth="1"/>
    <col min="7" max="7" width="24.5703125" style="162" bestFit="1" customWidth="1"/>
    <col min="8" max="8" width="21.42578125" style="162" bestFit="1" customWidth="1"/>
    <col min="9" max="9" width="9.140625" style="193"/>
    <col min="10" max="10" width="54.42578125" style="162" bestFit="1" customWidth="1"/>
    <col min="11" max="12" width="9.140625" style="162"/>
    <col min="13" max="13" width="30.85546875" style="162" customWidth="1"/>
    <col min="14" max="16384" width="9.140625" style="162"/>
  </cols>
  <sheetData>
    <row r="1" spans="1:8">
      <c r="A1" s="366" t="s">
        <v>381</v>
      </c>
      <c r="B1" s="366"/>
    </row>
    <row r="2" spans="1:8" ht="15" customHeight="1">
      <c r="A2" s="365" t="s">
        <v>467</v>
      </c>
      <c r="B2" s="365"/>
    </row>
    <row r="3" spans="1:8" ht="29.25" customHeight="1">
      <c r="A3" s="364" t="s">
        <v>469</v>
      </c>
      <c r="B3" s="364"/>
    </row>
    <row r="4" spans="1:8">
      <c r="A4" s="162"/>
    </row>
    <row r="5" spans="1:8" ht="20.25">
      <c r="A5" s="373" t="s">
        <v>253</v>
      </c>
      <c r="B5" s="374"/>
      <c r="C5" s="374"/>
      <c r="D5" s="374"/>
      <c r="E5" s="374"/>
      <c r="F5" s="374"/>
      <c r="G5" s="374"/>
      <c r="H5" s="375"/>
    </row>
    <row r="6" spans="1:8" ht="30">
      <c r="A6" s="206" t="s">
        <v>0</v>
      </c>
      <c r="B6" s="207" t="s">
        <v>168</v>
      </c>
      <c r="C6" s="380" t="s">
        <v>266</v>
      </c>
      <c r="D6" s="381"/>
      <c r="E6" s="208"/>
      <c r="F6" s="208"/>
      <c r="G6" s="208"/>
      <c r="H6" s="209"/>
    </row>
    <row r="7" spans="1:8" ht="20.25" customHeight="1">
      <c r="A7" s="210" t="s">
        <v>250</v>
      </c>
      <c r="B7" s="514"/>
      <c r="C7" s="210" t="s">
        <v>251</v>
      </c>
      <c r="D7" s="515"/>
      <c r="E7" s="516"/>
      <c r="F7" s="211" t="s">
        <v>252</v>
      </c>
      <c r="G7" s="517"/>
      <c r="H7" s="518"/>
    </row>
    <row r="8" spans="1:8" ht="28.5">
      <c r="A8" s="376" t="s">
        <v>112</v>
      </c>
      <c r="B8" s="377" t="s">
        <v>1</v>
      </c>
      <c r="C8" s="377" t="s">
        <v>14</v>
      </c>
      <c r="D8" s="379" t="s">
        <v>15</v>
      </c>
      <c r="E8" s="212" t="s">
        <v>370</v>
      </c>
      <c r="F8" s="322">
        <f>'Composições-BDI'!G29</f>
        <v>27.630300620579963</v>
      </c>
      <c r="G8" s="213" t="s">
        <v>267</v>
      </c>
      <c r="H8" s="323">
        <f>'Composições-BDI'!H29</f>
        <v>34.021895188571527</v>
      </c>
    </row>
    <row r="9" spans="1:8" ht="32.25" customHeight="1">
      <c r="A9" s="376"/>
      <c r="B9" s="378"/>
      <c r="C9" s="378"/>
      <c r="D9" s="378"/>
      <c r="E9" s="214" t="s">
        <v>262</v>
      </c>
      <c r="F9" s="214" t="s">
        <v>263</v>
      </c>
      <c r="G9" s="214" t="s">
        <v>264</v>
      </c>
      <c r="H9" s="214" t="s">
        <v>265</v>
      </c>
    </row>
    <row r="10" spans="1:8">
      <c r="A10" s="215"/>
      <c r="B10" s="216"/>
      <c r="C10" s="217"/>
      <c r="D10" s="217"/>
      <c r="E10" s="217"/>
      <c r="F10" s="218"/>
      <c r="G10" s="217"/>
      <c r="H10" s="218"/>
    </row>
    <row r="11" spans="1:8" ht="15" customHeight="1">
      <c r="A11" s="219" t="s">
        <v>2</v>
      </c>
      <c r="B11" s="220" t="s">
        <v>4</v>
      </c>
      <c r="C11" s="221"/>
      <c r="D11" s="222"/>
      <c r="E11" s="223"/>
      <c r="F11" s="224"/>
      <c r="G11" s="223"/>
      <c r="H11" s="224"/>
    </row>
    <row r="12" spans="1:8">
      <c r="A12" s="225" t="s">
        <v>196</v>
      </c>
      <c r="B12" s="226" t="s">
        <v>7</v>
      </c>
      <c r="C12" s="227"/>
      <c r="D12" s="228"/>
      <c r="E12" s="229"/>
      <c r="F12" s="230"/>
      <c r="G12" s="229"/>
      <c r="H12" s="230"/>
    </row>
    <row r="13" spans="1:8">
      <c r="A13" s="231" t="s">
        <v>197</v>
      </c>
      <c r="B13" s="232" t="s">
        <v>192</v>
      </c>
      <c r="C13" s="233" t="s">
        <v>100</v>
      </c>
      <c r="D13" s="234">
        <f>'DADOS A INSERIR'!B47*2</f>
        <v>0</v>
      </c>
      <c r="E13" s="235">
        <f>'Composições-Topografia'!G26</f>
        <v>3.92</v>
      </c>
      <c r="F13" s="236">
        <f>ROUND(E13*D13,2)</f>
        <v>0</v>
      </c>
      <c r="G13" s="235">
        <f>'Composições-Topografia'!P26</f>
        <v>3.67</v>
      </c>
      <c r="H13" s="237">
        <f>ROUND(G13*D13,2)</f>
        <v>0</v>
      </c>
    </row>
    <row r="14" spans="1:8">
      <c r="A14" s="231" t="s">
        <v>198</v>
      </c>
      <c r="B14" s="238" t="s">
        <v>5</v>
      </c>
      <c r="C14" s="233" t="s">
        <v>97</v>
      </c>
      <c r="D14" s="321"/>
      <c r="E14" s="235">
        <f>'Composições-Topografia'!G61</f>
        <v>16029.438813039997</v>
      </c>
      <c r="F14" s="236">
        <f t="shared" ref="F14:F17" si="0">ROUND(E14*D14,2)</f>
        <v>0</v>
      </c>
      <c r="G14" s="235">
        <f>'Composições-Topografia'!P61</f>
        <v>15066.221116319997</v>
      </c>
      <c r="H14" s="237">
        <f t="shared" ref="H14:H21" si="1">ROUND(G14*D14,2)</f>
        <v>0</v>
      </c>
    </row>
    <row r="15" spans="1:8">
      <c r="A15" s="231" t="s">
        <v>199</v>
      </c>
      <c r="B15" s="238" t="s">
        <v>99</v>
      </c>
      <c r="C15" s="233" t="s">
        <v>97</v>
      </c>
      <c r="D15" s="321"/>
      <c r="E15" s="235">
        <f>'Composições-Topografia'!G96</f>
        <v>11509.45</v>
      </c>
      <c r="F15" s="236">
        <f t="shared" si="0"/>
        <v>0</v>
      </c>
      <c r="G15" s="235">
        <f>'Composições-Topografia'!P96</f>
        <v>10820.73</v>
      </c>
      <c r="H15" s="237">
        <f t="shared" si="1"/>
        <v>0</v>
      </c>
    </row>
    <row r="16" spans="1:8">
      <c r="A16" s="231" t="s">
        <v>200</v>
      </c>
      <c r="B16" s="238" t="s">
        <v>429</v>
      </c>
      <c r="C16" s="233" t="s">
        <v>100</v>
      </c>
      <c r="D16" s="321"/>
      <c r="E16" s="235">
        <f>'Composições-Topografia'!G267</f>
        <v>1061.6624299999999</v>
      </c>
      <c r="F16" s="236">
        <f t="shared" si="0"/>
        <v>0</v>
      </c>
      <c r="G16" s="235">
        <f>'Composições-Topografia'!P267</f>
        <v>986.32655999999997</v>
      </c>
      <c r="H16" s="237">
        <f t="shared" si="1"/>
        <v>0</v>
      </c>
    </row>
    <row r="17" spans="1:13" ht="30">
      <c r="A17" s="231" t="s">
        <v>201</v>
      </c>
      <c r="B17" s="238" t="s">
        <v>430</v>
      </c>
      <c r="C17" s="233" t="s">
        <v>100</v>
      </c>
      <c r="D17" s="321"/>
      <c r="E17" s="235">
        <f>'Composições-Topografia'!G302</f>
        <v>1110.8928125</v>
      </c>
      <c r="F17" s="236">
        <f t="shared" si="0"/>
        <v>0</v>
      </c>
      <c r="G17" s="235">
        <f>'Composições-Topografia'!P302</f>
        <v>1039.5886874999999</v>
      </c>
      <c r="H17" s="237">
        <f t="shared" si="1"/>
        <v>0</v>
      </c>
    </row>
    <row r="18" spans="1:13" ht="30">
      <c r="A18" s="231" t="s">
        <v>202</v>
      </c>
      <c r="B18" s="239" t="s">
        <v>431</v>
      </c>
      <c r="C18" s="233" t="s">
        <v>100</v>
      </c>
      <c r="D18" s="321"/>
      <c r="E18" s="235">
        <f>'Composições-Topografia'!G232</f>
        <v>3097.7270799999997</v>
      </c>
      <c r="F18" s="236">
        <f>ROUND(E18*D18,2)</f>
        <v>0</v>
      </c>
      <c r="G18" s="235">
        <f>'Composições-Topografia'!P232</f>
        <v>2901.6366399999997</v>
      </c>
      <c r="H18" s="237">
        <f t="shared" si="1"/>
        <v>0</v>
      </c>
    </row>
    <row r="19" spans="1:13" ht="30">
      <c r="A19" s="231" t="s">
        <v>203</v>
      </c>
      <c r="B19" s="239" t="s">
        <v>98</v>
      </c>
      <c r="C19" s="240" t="s">
        <v>9</v>
      </c>
      <c r="D19" s="136"/>
      <c r="E19" s="235">
        <f>'Composições-Topografia'!G132</f>
        <v>449.53183000000001</v>
      </c>
      <c r="F19" s="236">
        <f t="shared" ref="F19:F20" si="2">ROUND(E19*D19,2)</f>
        <v>0</v>
      </c>
      <c r="G19" s="235">
        <f>'Composições-Topografia'!P132</f>
        <v>412.47348</v>
      </c>
      <c r="H19" s="237">
        <f t="shared" si="1"/>
        <v>0</v>
      </c>
    </row>
    <row r="20" spans="1:13" ht="30">
      <c r="A20" s="231" t="s">
        <v>204</v>
      </c>
      <c r="B20" s="239" t="s">
        <v>101</v>
      </c>
      <c r="C20" s="240" t="s">
        <v>9</v>
      </c>
      <c r="D20" s="136"/>
      <c r="E20" s="235">
        <f>'Composições-Topografia'!G167</f>
        <v>1339.2745600000003</v>
      </c>
      <c r="F20" s="236">
        <f t="shared" si="2"/>
        <v>0</v>
      </c>
      <c r="G20" s="235">
        <f>'Composições-Topografia'!P167</f>
        <v>1244.456512</v>
      </c>
      <c r="H20" s="237">
        <f t="shared" si="1"/>
        <v>0</v>
      </c>
    </row>
    <row r="21" spans="1:13" ht="45">
      <c r="A21" s="231" t="s">
        <v>434</v>
      </c>
      <c r="B21" s="239" t="s">
        <v>432</v>
      </c>
      <c r="C21" s="241" t="s">
        <v>433</v>
      </c>
      <c r="D21" s="137"/>
      <c r="E21" s="235">
        <f>'Composições-Topografia'!G197</f>
        <v>0.11539904429165002</v>
      </c>
      <c r="F21" s="236">
        <f>ROUND(E21*D21,2)</f>
        <v>0</v>
      </c>
      <c r="G21" s="235">
        <f>'Composições-Topografia'!P197</f>
        <v>0.10852532509805</v>
      </c>
      <c r="H21" s="237">
        <f t="shared" si="1"/>
        <v>0</v>
      </c>
    </row>
    <row r="22" spans="1:13">
      <c r="A22" s="225" t="s">
        <v>205</v>
      </c>
      <c r="B22" s="226" t="s">
        <v>8</v>
      </c>
      <c r="C22" s="227"/>
      <c r="D22" s="228"/>
      <c r="E22" s="229"/>
      <c r="F22" s="230"/>
      <c r="G22" s="229"/>
      <c r="H22" s="230"/>
    </row>
    <row r="23" spans="1:13">
      <c r="A23" s="231" t="s">
        <v>206</v>
      </c>
      <c r="B23" s="239" t="s">
        <v>195</v>
      </c>
      <c r="C23" s="242" t="s">
        <v>100</v>
      </c>
      <c r="D23" s="234">
        <f>2*'DADOS A INSERIR'!B47</f>
        <v>0</v>
      </c>
      <c r="E23" s="243">
        <f>'Composições-Geotecnia'!G20</f>
        <v>3.1907057000000001</v>
      </c>
      <c r="F23" s="236">
        <f>ROUND(E23*D23,2)</f>
        <v>0</v>
      </c>
      <c r="G23" s="243">
        <f>'Composições-Geotecnia'!P20</f>
        <v>3.0292121600000002</v>
      </c>
      <c r="H23" s="237">
        <f t="shared" ref="H23:H25" si="3">ROUND(G23*D23,2)</f>
        <v>0</v>
      </c>
    </row>
    <row r="24" spans="1:13" ht="15" customHeight="1">
      <c r="A24" s="231" t="s">
        <v>207</v>
      </c>
      <c r="B24" s="244" t="s">
        <v>324</v>
      </c>
      <c r="C24" s="241" t="s">
        <v>10</v>
      </c>
      <c r="D24" s="137"/>
      <c r="E24" s="243">
        <f>'DADOS A INSERIR'!E38</f>
        <v>78.150000000000006</v>
      </c>
      <c r="F24" s="236">
        <f>ROUND(E24*D24,2)</f>
        <v>0</v>
      </c>
      <c r="G24" s="243">
        <f>'DADOS A INSERIR'!F38</f>
        <v>78.150000000000006</v>
      </c>
      <c r="H24" s="237">
        <f t="shared" si="3"/>
        <v>0</v>
      </c>
    </row>
    <row r="25" spans="1:13">
      <c r="A25" s="231" t="s">
        <v>256</v>
      </c>
      <c r="B25" s="245" t="s">
        <v>325</v>
      </c>
      <c r="C25" s="241" t="s">
        <v>10</v>
      </c>
      <c r="D25" s="137"/>
      <c r="E25" s="243">
        <f>'DADOS A INSERIR'!E39</f>
        <v>60.47</v>
      </c>
      <c r="F25" s="236">
        <f>ROUND(E25*D25,2)</f>
        <v>0</v>
      </c>
      <c r="G25" s="243">
        <f>'DADOS A INSERIR'!F39</f>
        <v>60.47</v>
      </c>
      <c r="H25" s="237">
        <f t="shared" si="3"/>
        <v>0</v>
      </c>
    </row>
    <row r="26" spans="1:13">
      <c r="A26" s="246"/>
      <c r="B26" s="247"/>
      <c r="C26" s="248"/>
      <c r="D26" s="249"/>
      <c r="E26" s="250" t="s">
        <v>414</v>
      </c>
      <c r="F26" s="251">
        <f>SUM(F13:F21,F23:F25)</f>
        <v>0</v>
      </c>
      <c r="G26" s="252"/>
      <c r="H26" s="251">
        <f>SUM(H13:H21,H23:H25)</f>
        <v>0</v>
      </c>
      <c r="J26" s="253"/>
      <c r="K26" s="253"/>
      <c r="L26" s="253"/>
      <c r="M26" s="253"/>
    </row>
    <row r="27" spans="1:13">
      <c r="A27" s="254" t="s">
        <v>3</v>
      </c>
      <c r="B27" s="255" t="s">
        <v>254</v>
      </c>
      <c r="C27" s="256"/>
      <c r="D27" s="256"/>
      <c r="E27" s="256"/>
      <c r="F27" s="256"/>
      <c r="G27" s="257"/>
      <c r="H27" s="258"/>
      <c r="J27" s="253"/>
      <c r="K27" s="253"/>
      <c r="L27" s="253"/>
      <c r="M27" s="253"/>
    </row>
    <row r="28" spans="1:13">
      <c r="A28" s="259"/>
      <c r="B28" s="260" t="s">
        <v>468</v>
      </c>
      <c r="C28" s="261"/>
      <c r="D28" s="261"/>
      <c r="E28" s="261"/>
      <c r="F28" s="261"/>
      <c r="G28" s="261"/>
      <c r="H28" s="262"/>
      <c r="J28" s="253"/>
      <c r="K28" s="253"/>
      <c r="L28" s="253"/>
      <c r="M28" s="253"/>
    </row>
    <row r="29" spans="1:13">
      <c r="A29" s="263" t="s">
        <v>208</v>
      </c>
      <c r="B29" s="264" t="s">
        <v>471</v>
      </c>
      <c r="C29" s="265"/>
      <c r="D29" s="266"/>
      <c r="E29" s="267"/>
      <c r="F29" s="268"/>
      <c r="G29" s="267"/>
      <c r="H29" s="269"/>
      <c r="J29" s="253"/>
      <c r="K29" s="253"/>
      <c r="L29" s="253"/>
      <c r="M29" s="253"/>
    </row>
    <row r="30" spans="1:13">
      <c r="A30" s="270" t="s">
        <v>210</v>
      </c>
      <c r="B30" s="271" t="s">
        <v>17</v>
      </c>
      <c r="C30" s="233" t="s">
        <v>89</v>
      </c>
      <c r="D30" s="138">
        <f>'Composições-Projetos'!D4</f>
        <v>102</v>
      </c>
      <c r="E30" s="235">
        <f>'DADOS A INSERIR'!$E$6/(44*4)</f>
        <v>140.38193181818181</v>
      </c>
      <c r="F30" s="236">
        <f>ROUND(E30*D30,2)</f>
        <v>14318.96</v>
      </c>
      <c r="G30" s="235">
        <f>'DADOS A INSERIR'!$F$6/(44*4)</f>
        <v>121.39267045454545</v>
      </c>
      <c r="H30" s="237">
        <f>ROUND(G30*D30,2)</f>
        <v>12382.05</v>
      </c>
      <c r="J30" s="253"/>
      <c r="K30" s="253"/>
      <c r="L30" s="253"/>
      <c r="M30" s="253"/>
    </row>
    <row r="31" spans="1:13">
      <c r="A31" s="270" t="s">
        <v>211</v>
      </c>
      <c r="B31" s="272" t="s">
        <v>268</v>
      </c>
      <c r="C31" s="233" t="s">
        <v>89</v>
      </c>
      <c r="D31" s="139">
        <f>'Composições-Projetos'!E4</f>
        <v>510</v>
      </c>
      <c r="E31" s="273">
        <f>'DADOS A INSERIR'!$E$7/(44*4)</f>
        <v>85.032897727272726</v>
      </c>
      <c r="F31" s="236">
        <f t="shared" ref="F31:F40" si="4">ROUND(E31*D31,2)</f>
        <v>43366.78</v>
      </c>
      <c r="G31" s="235">
        <f>'DADOS A INSERIR'!$F$7/(44*4)</f>
        <v>73.557500000000005</v>
      </c>
      <c r="H31" s="237">
        <f t="shared" ref="H31:H40" si="5">ROUND(G31*D31,2)</f>
        <v>37514.33</v>
      </c>
      <c r="J31" s="253"/>
      <c r="K31" s="253"/>
      <c r="L31" s="253"/>
      <c r="M31" s="253"/>
    </row>
    <row r="32" spans="1:13">
      <c r="A32" s="270" t="s">
        <v>387</v>
      </c>
      <c r="B32" s="272" t="s">
        <v>271</v>
      </c>
      <c r="C32" s="233" t="s">
        <v>89</v>
      </c>
      <c r="D32" s="139">
        <f>'Composições-Projetos'!H4</f>
        <v>578</v>
      </c>
      <c r="E32" s="273">
        <f>'DADOS A INSERIR'!$E$12/(44*4)</f>
        <v>15.219431818181818</v>
      </c>
      <c r="F32" s="236">
        <f t="shared" si="4"/>
        <v>8796.83</v>
      </c>
      <c r="G32" s="273">
        <f>'DADOS A INSERIR'!$F$12/(44*4)</f>
        <v>13.154318181818182</v>
      </c>
      <c r="H32" s="237">
        <f t="shared" si="5"/>
        <v>7603.2</v>
      </c>
      <c r="J32" s="253"/>
      <c r="K32" s="253"/>
      <c r="L32" s="253"/>
      <c r="M32" s="253"/>
    </row>
    <row r="33" spans="1:13">
      <c r="A33" s="270" t="s">
        <v>388</v>
      </c>
      <c r="B33" s="272" t="s">
        <v>125</v>
      </c>
      <c r="C33" s="233" t="s">
        <v>89</v>
      </c>
      <c r="D33" s="139">
        <f>'Composições-Projetos'!I4</f>
        <v>510</v>
      </c>
      <c r="E33" s="273">
        <f>'DADOS A INSERIR'!$E$13/(44*4)</f>
        <v>31.824261363636364</v>
      </c>
      <c r="F33" s="236">
        <f>ROUND(E33*D33,2)</f>
        <v>16230.37</v>
      </c>
      <c r="G33" s="273">
        <f>'DADOS A INSERIR'!$F$13/(44*4)</f>
        <v>28.009034090909093</v>
      </c>
      <c r="H33" s="237">
        <f t="shared" si="5"/>
        <v>14284.61</v>
      </c>
      <c r="J33" s="253"/>
      <c r="K33" s="253"/>
      <c r="L33" s="253"/>
      <c r="M33" s="253"/>
    </row>
    <row r="34" spans="1:13">
      <c r="A34" s="270" t="s">
        <v>389</v>
      </c>
      <c r="B34" s="272" t="s">
        <v>18</v>
      </c>
      <c r="C34" s="233" t="s">
        <v>89</v>
      </c>
      <c r="D34" s="139">
        <f>'Composições-Projetos'!J4</f>
        <v>510</v>
      </c>
      <c r="E34" s="273">
        <f>'DADOS A INSERIR'!$E$14/(44*4)</f>
        <v>19.298749999999998</v>
      </c>
      <c r="F34" s="236">
        <f t="shared" si="4"/>
        <v>9842.36</v>
      </c>
      <c r="G34" s="273">
        <f>'DADOS A INSERIR'!$F$14/(44*4)</f>
        <v>17.272897727272728</v>
      </c>
      <c r="H34" s="237">
        <f t="shared" si="5"/>
        <v>8809.18</v>
      </c>
      <c r="J34" s="253"/>
      <c r="K34" s="253"/>
      <c r="L34" s="253"/>
      <c r="M34" s="253"/>
    </row>
    <row r="35" spans="1:13">
      <c r="A35" s="270" t="s">
        <v>390</v>
      </c>
      <c r="B35" s="274" t="s">
        <v>354</v>
      </c>
      <c r="C35" s="242" t="s">
        <v>193</v>
      </c>
      <c r="D35" s="137"/>
      <c r="E35" s="273">
        <f>'DADOS A INSERIR'!$E$27</f>
        <v>45.4</v>
      </c>
      <c r="F35" s="236">
        <f t="shared" si="4"/>
        <v>0</v>
      </c>
      <c r="G35" s="273">
        <f>'DADOS A INSERIR'!$F$27</f>
        <v>45.4</v>
      </c>
      <c r="H35" s="237">
        <f t="shared" si="5"/>
        <v>0</v>
      </c>
      <c r="J35" s="253"/>
      <c r="K35" s="253"/>
      <c r="L35" s="253"/>
      <c r="M35" s="253"/>
    </row>
    <row r="36" spans="1:13">
      <c r="A36" s="270" t="s">
        <v>391</v>
      </c>
      <c r="B36" s="272" t="s">
        <v>329</v>
      </c>
      <c r="C36" s="242" t="s">
        <v>9</v>
      </c>
      <c r="D36" s="137"/>
      <c r="E36" s="273">
        <f>'DADOS A INSERIR'!$E$40</f>
        <v>0.15</v>
      </c>
      <c r="F36" s="236">
        <f t="shared" si="4"/>
        <v>0</v>
      </c>
      <c r="G36" s="273">
        <f>'DADOS A INSERIR'!$F$40</f>
        <v>0.15</v>
      </c>
      <c r="H36" s="237">
        <f t="shared" si="5"/>
        <v>0</v>
      </c>
      <c r="J36" s="253"/>
      <c r="K36" s="253"/>
      <c r="L36" s="253"/>
      <c r="M36" s="253"/>
    </row>
    <row r="37" spans="1:13">
      <c r="A37" s="270" t="s">
        <v>392</v>
      </c>
      <c r="B37" s="272" t="s">
        <v>91</v>
      </c>
      <c r="C37" s="242" t="s">
        <v>9</v>
      </c>
      <c r="D37" s="137"/>
      <c r="E37" s="273">
        <f>'DADOS A INSERIR'!$E$41</f>
        <v>2</v>
      </c>
      <c r="F37" s="236">
        <f t="shared" si="4"/>
        <v>0</v>
      </c>
      <c r="G37" s="273">
        <f>'DADOS A INSERIR'!$F$41</f>
        <v>2</v>
      </c>
      <c r="H37" s="237">
        <f t="shared" si="5"/>
        <v>0</v>
      </c>
      <c r="J37" s="253"/>
      <c r="K37" s="253"/>
      <c r="L37" s="253"/>
      <c r="M37" s="253"/>
    </row>
    <row r="38" spans="1:13">
      <c r="A38" s="270" t="s">
        <v>393</v>
      </c>
      <c r="B38" s="272" t="s">
        <v>336</v>
      </c>
      <c r="C38" s="242" t="s">
        <v>9</v>
      </c>
      <c r="D38" s="139">
        <f>'Composições-Projetos'!C4</f>
        <v>17</v>
      </c>
      <c r="E38" s="273">
        <f>'DADOS A INSERIR'!$E$42</f>
        <v>30</v>
      </c>
      <c r="F38" s="236">
        <f t="shared" si="4"/>
        <v>510</v>
      </c>
      <c r="G38" s="273">
        <f>'DADOS A INSERIR'!$F$42</f>
        <v>30</v>
      </c>
      <c r="H38" s="237">
        <f t="shared" si="5"/>
        <v>510</v>
      </c>
      <c r="J38" s="253"/>
      <c r="K38" s="253"/>
      <c r="L38" s="253"/>
      <c r="M38" s="253"/>
    </row>
    <row r="39" spans="1:13">
      <c r="A39" s="270" t="s">
        <v>394</v>
      </c>
      <c r="B39" s="272" t="s">
        <v>327</v>
      </c>
      <c r="C39" s="242" t="s">
        <v>9</v>
      </c>
      <c r="D39" s="137"/>
      <c r="E39" s="273">
        <f>'DADOS A INSERIR'!$E$34</f>
        <v>1.5</v>
      </c>
      <c r="F39" s="236">
        <f t="shared" si="4"/>
        <v>0</v>
      </c>
      <c r="G39" s="273">
        <f>'DADOS A INSERIR'!$F$34</f>
        <v>1.5</v>
      </c>
      <c r="H39" s="237">
        <f t="shared" si="5"/>
        <v>0</v>
      </c>
      <c r="J39" s="253"/>
      <c r="K39" s="253"/>
      <c r="L39" s="253"/>
      <c r="M39" s="253"/>
    </row>
    <row r="40" spans="1:13">
      <c r="A40" s="270" t="s">
        <v>395</v>
      </c>
      <c r="B40" s="272" t="s">
        <v>94</v>
      </c>
      <c r="C40" s="242" t="s">
        <v>9</v>
      </c>
      <c r="D40" s="137"/>
      <c r="E40" s="273">
        <f>'DADOS A INSERIR'!$E$43</f>
        <v>35</v>
      </c>
      <c r="F40" s="236">
        <f t="shared" si="4"/>
        <v>0</v>
      </c>
      <c r="G40" s="273">
        <f>'DADOS A INSERIR'!$F$43</f>
        <v>35</v>
      </c>
      <c r="H40" s="237">
        <f t="shared" si="5"/>
        <v>0</v>
      </c>
      <c r="J40" s="253"/>
      <c r="K40" s="253"/>
      <c r="L40" s="253"/>
      <c r="M40" s="253"/>
    </row>
    <row r="41" spans="1:13">
      <c r="A41" s="275"/>
      <c r="B41" s="247"/>
      <c r="C41" s="248"/>
      <c r="D41" s="249"/>
      <c r="E41" s="250" t="s">
        <v>438</v>
      </c>
      <c r="F41" s="276">
        <f>SUM(F30:F40)</f>
        <v>93065.299999999988</v>
      </c>
      <c r="G41" s="252"/>
      <c r="H41" s="276">
        <f>SUM(H30:H40)</f>
        <v>81103.37</v>
      </c>
      <c r="J41" s="253"/>
      <c r="K41" s="253"/>
      <c r="L41" s="253"/>
      <c r="M41" s="253"/>
    </row>
    <row r="42" spans="1:13" s="253" customFormat="1">
      <c r="A42" s="277" t="s">
        <v>209</v>
      </c>
      <c r="B42" s="278" t="s">
        <v>472</v>
      </c>
      <c r="C42" s="279"/>
      <c r="D42" s="280"/>
      <c r="E42" s="281"/>
      <c r="F42" s="282"/>
      <c r="G42" s="281"/>
      <c r="H42" s="230"/>
      <c r="I42" s="193"/>
    </row>
    <row r="43" spans="1:13">
      <c r="A43" s="270" t="s">
        <v>212</v>
      </c>
      <c r="B43" s="271" t="s">
        <v>17</v>
      </c>
      <c r="C43" s="233" t="s">
        <v>89</v>
      </c>
      <c r="D43" s="138">
        <f>'Composições-Projetos'!D5</f>
        <v>12</v>
      </c>
      <c r="E43" s="235">
        <f>'DADOS A INSERIR'!$E$6/(44*4)</f>
        <v>140.38193181818181</v>
      </c>
      <c r="F43" s="283">
        <f>ROUND(E43*D43,2)</f>
        <v>1684.58</v>
      </c>
      <c r="G43" s="235">
        <f>'DADOS A INSERIR'!$F$6/(44*4)</f>
        <v>121.39267045454545</v>
      </c>
      <c r="H43" s="237">
        <f>ROUND(G43*D43,2)</f>
        <v>1456.71</v>
      </c>
      <c r="J43" s="253"/>
      <c r="K43" s="253"/>
      <c r="L43" s="253"/>
      <c r="M43" s="253"/>
    </row>
    <row r="44" spans="1:13">
      <c r="A44" s="270" t="s">
        <v>213</v>
      </c>
      <c r="B44" s="272" t="s">
        <v>268</v>
      </c>
      <c r="C44" s="233" t="s">
        <v>89</v>
      </c>
      <c r="D44" s="139">
        <f>'Composições-Projetos'!E5</f>
        <v>48</v>
      </c>
      <c r="E44" s="273">
        <f>'DADOS A INSERIR'!$E$7/(44*4)</f>
        <v>85.032897727272726</v>
      </c>
      <c r="F44" s="283">
        <f t="shared" ref="F44:F54" si="6">ROUND(E44*D44,2)</f>
        <v>4081.58</v>
      </c>
      <c r="G44" s="235">
        <f>'DADOS A INSERIR'!$F$7/(44*4)</f>
        <v>73.557500000000005</v>
      </c>
      <c r="H44" s="237">
        <f t="shared" ref="H44:H54" si="7">ROUND(G44*D44,2)</f>
        <v>3530.76</v>
      </c>
      <c r="J44" s="253"/>
      <c r="K44" s="253"/>
      <c r="L44" s="253"/>
      <c r="M44" s="253"/>
    </row>
    <row r="45" spans="1:13">
      <c r="A45" s="270" t="s">
        <v>396</v>
      </c>
      <c r="B45" s="272" t="s">
        <v>269</v>
      </c>
      <c r="C45" s="233" t="s">
        <v>89</v>
      </c>
      <c r="D45" s="139">
        <f>'Composições-Projetos'!F5</f>
        <v>12</v>
      </c>
      <c r="E45" s="273">
        <f>'DADOS A INSERIR'!$E$8/(44*4)</f>
        <v>85.032897727272726</v>
      </c>
      <c r="F45" s="283">
        <f t="shared" si="6"/>
        <v>1020.39</v>
      </c>
      <c r="G45" s="273">
        <f>'DADOS A INSERIR'!$F$8/(44*4)</f>
        <v>73.557500000000005</v>
      </c>
      <c r="H45" s="237">
        <f t="shared" si="7"/>
        <v>882.69</v>
      </c>
      <c r="J45" s="253"/>
      <c r="K45" s="253"/>
      <c r="L45" s="253"/>
      <c r="M45" s="253"/>
    </row>
    <row r="46" spans="1:13">
      <c r="A46" s="270" t="s">
        <v>397</v>
      </c>
      <c r="B46" s="272" t="s">
        <v>271</v>
      </c>
      <c r="C46" s="233" t="s">
        <v>89</v>
      </c>
      <c r="D46" s="139">
        <f>'Composições-Projetos'!H5</f>
        <v>60</v>
      </c>
      <c r="E46" s="273">
        <f>'DADOS A INSERIR'!$E$12/(44*4)</f>
        <v>15.219431818181818</v>
      </c>
      <c r="F46" s="283">
        <f t="shared" si="6"/>
        <v>913.17</v>
      </c>
      <c r="G46" s="273">
        <f>'DADOS A INSERIR'!$F$12/(44*4)</f>
        <v>13.154318181818182</v>
      </c>
      <c r="H46" s="237">
        <f t="shared" si="7"/>
        <v>789.26</v>
      </c>
      <c r="J46" s="253"/>
      <c r="K46" s="253"/>
      <c r="L46" s="253"/>
      <c r="M46" s="253"/>
    </row>
    <row r="47" spans="1:13">
      <c r="A47" s="270" t="s">
        <v>398</v>
      </c>
      <c r="B47" s="272" t="s">
        <v>125</v>
      </c>
      <c r="C47" s="233" t="s">
        <v>89</v>
      </c>
      <c r="D47" s="139">
        <f>'Composições-Projetos'!I5</f>
        <v>60</v>
      </c>
      <c r="E47" s="273">
        <f>'DADOS A INSERIR'!$E$13/(44*4)</f>
        <v>31.824261363636364</v>
      </c>
      <c r="F47" s="283">
        <f t="shared" si="6"/>
        <v>1909.46</v>
      </c>
      <c r="G47" s="273">
        <f>'DADOS A INSERIR'!$F$13/(44*4)</f>
        <v>28.009034090909093</v>
      </c>
      <c r="H47" s="237">
        <f t="shared" si="7"/>
        <v>1680.54</v>
      </c>
      <c r="J47" s="253"/>
      <c r="K47" s="253"/>
      <c r="L47" s="253"/>
      <c r="M47" s="253"/>
    </row>
    <row r="48" spans="1:13">
      <c r="A48" s="270" t="s">
        <v>399</v>
      </c>
      <c r="B48" s="272" t="s">
        <v>18</v>
      </c>
      <c r="C48" s="233" t="s">
        <v>89</v>
      </c>
      <c r="D48" s="139">
        <f>'Composições-Projetos'!J5</f>
        <v>60</v>
      </c>
      <c r="E48" s="273">
        <f>'DADOS A INSERIR'!$E$14/(44*4)</f>
        <v>19.298749999999998</v>
      </c>
      <c r="F48" s="283">
        <f t="shared" si="6"/>
        <v>1157.93</v>
      </c>
      <c r="G48" s="273">
        <f>'DADOS A INSERIR'!$F$14/(44*4)</f>
        <v>17.272897727272728</v>
      </c>
      <c r="H48" s="237">
        <f t="shared" si="7"/>
        <v>1036.3699999999999</v>
      </c>
      <c r="J48" s="253"/>
      <c r="K48" s="253"/>
      <c r="L48" s="253"/>
      <c r="M48" s="253"/>
    </row>
    <row r="49" spans="1:13">
      <c r="A49" s="270" t="s">
        <v>400</v>
      </c>
      <c r="B49" s="274" t="s">
        <v>354</v>
      </c>
      <c r="C49" s="242" t="s">
        <v>193</v>
      </c>
      <c r="D49" s="137"/>
      <c r="E49" s="273">
        <f>'DADOS A INSERIR'!$E$27</f>
        <v>45.4</v>
      </c>
      <c r="F49" s="283">
        <f t="shared" si="6"/>
        <v>0</v>
      </c>
      <c r="G49" s="273">
        <f>'DADOS A INSERIR'!$F$27</f>
        <v>45.4</v>
      </c>
      <c r="H49" s="237">
        <f t="shared" si="7"/>
        <v>0</v>
      </c>
      <c r="J49" s="253"/>
      <c r="K49" s="253"/>
      <c r="L49" s="253"/>
      <c r="M49" s="253"/>
    </row>
    <row r="50" spans="1:13">
      <c r="A50" s="270" t="s">
        <v>401</v>
      </c>
      <c r="B50" s="272" t="s">
        <v>329</v>
      </c>
      <c r="C50" s="242" t="s">
        <v>9</v>
      </c>
      <c r="D50" s="137"/>
      <c r="E50" s="273">
        <f>'DADOS A INSERIR'!$E$40</f>
        <v>0.15</v>
      </c>
      <c r="F50" s="283">
        <f t="shared" si="6"/>
        <v>0</v>
      </c>
      <c r="G50" s="273">
        <f>'DADOS A INSERIR'!$F$40</f>
        <v>0.15</v>
      </c>
      <c r="H50" s="237">
        <f t="shared" si="7"/>
        <v>0</v>
      </c>
      <c r="J50" s="253"/>
      <c r="K50" s="253"/>
      <c r="L50" s="253"/>
      <c r="M50" s="253"/>
    </row>
    <row r="51" spans="1:13">
      <c r="A51" s="270" t="s">
        <v>402</v>
      </c>
      <c r="B51" s="272" t="s">
        <v>91</v>
      </c>
      <c r="C51" s="242" t="s">
        <v>9</v>
      </c>
      <c r="D51" s="137"/>
      <c r="E51" s="273">
        <f>'DADOS A INSERIR'!$E$41</f>
        <v>2</v>
      </c>
      <c r="F51" s="283">
        <f t="shared" si="6"/>
        <v>0</v>
      </c>
      <c r="G51" s="273">
        <f>'DADOS A INSERIR'!$F$41</f>
        <v>2</v>
      </c>
      <c r="H51" s="237">
        <f t="shared" si="7"/>
        <v>0</v>
      </c>
      <c r="J51" s="253"/>
      <c r="K51" s="253"/>
      <c r="L51" s="253"/>
      <c r="M51" s="253"/>
    </row>
    <row r="52" spans="1:13">
      <c r="A52" s="270" t="s">
        <v>403</v>
      </c>
      <c r="B52" s="272" t="s">
        <v>336</v>
      </c>
      <c r="C52" s="242" t="s">
        <v>9</v>
      </c>
      <c r="D52" s="139">
        <f>'Composições-Projetos'!C5</f>
        <v>6</v>
      </c>
      <c r="E52" s="273">
        <f>'DADOS A INSERIR'!$E$42</f>
        <v>30</v>
      </c>
      <c r="F52" s="283">
        <f t="shared" si="6"/>
        <v>180</v>
      </c>
      <c r="G52" s="273">
        <f>'DADOS A INSERIR'!$F$42</f>
        <v>30</v>
      </c>
      <c r="H52" s="237">
        <f t="shared" si="7"/>
        <v>180</v>
      </c>
      <c r="J52" s="253"/>
      <c r="K52" s="253"/>
      <c r="L52" s="253"/>
      <c r="M52" s="253"/>
    </row>
    <row r="53" spans="1:13">
      <c r="A53" s="270" t="s">
        <v>404</v>
      </c>
      <c r="B53" s="272" t="s">
        <v>327</v>
      </c>
      <c r="C53" s="242" t="s">
        <v>9</v>
      </c>
      <c r="D53" s="137"/>
      <c r="E53" s="273">
        <f>'DADOS A INSERIR'!$E$34</f>
        <v>1.5</v>
      </c>
      <c r="F53" s="283">
        <f t="shared" si="6"/>
        <v>0</v>
      </c>
      <c r="G53" s="273">
        <f>'DADOS A INSERIR'!$F$34</f>
        <v>1.5</v>
      </c>
      <c r="H53" s="237">
        <f t="shared" si="7"/>
        <v>0</v>
      </c>
      <c r="J53" s="253"/>
      <c r="K53" s="253"/>
      <c r="L53" s="253"/>
      <c r="M53" s="253"/>
    </row>
    <row r="54" spans="1:13">
      <c r="A54" s="270" t="s">
        <v>405</v>
      </c>
      <c r="B54" s="272" t="s">
        <v>94</v>
      </c>
      <c r="C54" s="242" t="s">
        <v>9</v>
      </c>
      <c r="D54" s="137"/>
      <c r="E54" s="273">
        <f>'DADOS A INSERIR'!$E$43</f>
        <v>35</v>
      </c>
      <c r="F54" s="283">
        <f t="shared" si="6"/>
        <v>0</v>
      </c>
      <c r="G54" s="273">
        <f>'DADOS A INSERIR'!$F$43</f>
        <v>35</v>
      </c>
      <c r="H54" s="237">
        <f t="shared" si="7"/>
        <v>0</v>
      </c>
      <c r="J54" s="253"/>
      <c r="K54" s="253"/>
      <c r="L54" s="253"/>
      <c r="M54" s="253"/>
    </row>
    <row r="55" spans="1:13">
      <c r="A55" s="246"/>
      <c r="B55" s="247"/>
      <c r="C55" s="248"/>
      <c r="D55" s="249"/>
      <c r="E55" s="250" t="s">
        <v>437</v>
      </c>
      <c r="F55" s="276">
        <f>SUM(F43:F54)</f>
        <v>10947.11</v>
      </c>
      <c r="G55" s="284"/>
      <c r="H55" s="276">
        <f>SUM(H43:H54)</f>
        <v>9556.3299999999981</v>
      </c>
      <c r="J55" s="253"/>
      <c r="K55" s="253"/>
      <c r="L55" s="253"/>
      <c r="M55" s="253"/>
    </row>
    <row r="56" spans="1:13" s="253" customFormat="1">
      <c r="A56" s="285" t="s">
        <v>214</v>
      </c>
      <c r="B56" s="286" t="s">
        <v>473</v>
      </c>
      <c r="C56" s="287"/>
      <c r="D56" s="288"/>
      <c r="E56" s="289"/>
      <c r="F56" s="290"/>
      <c r="G56" s="289"/>
      <c r="H56" s="291"/>
      <c r="I56" s="193"/>
    </row>
    <row r="57" spans="1:13" s="253" customFormat="1">
      <c r="A57" s="292"/>
      <c r="B57" s="293" t="s">
        <v>435</v>
      </c>
      <c r="C57" s="265"/>
      <c r="D57" s="266"/>
      <c r="E57" s="294"/>
      <c r="F57" s="268"/>
      <c r="G57" s="294"/>
      <c r="H57" s="269"/>
      <c r="I57" s="193"/>
    </row>
    <row r="58" spans="1:13">
      <c r="A58" s="295" t="s">
        <v>215</v>
      </c>
      <c r="B58" s="271" t="s">
        <v>17</v>
      </c>
      <c r="C58" s="233" t="s">
        <v>89</v>
      </c>
      <c r="D58" s="138">
        <f>'Composições-Projetos'!D6</f>
        <v>60</v>
      </c>
      <c r="E58" s="235">
        <f>'DADOS A INSERIR'!$E$6/(44*4)</f>
        <v>140.38193181818181</v>
      </c>
      <c r="F58" s="283">
        <f>ROUND(E58*D58,2)</f>
        <v>8422.92</v>
      </c>
      <c r="G58" s="235">
        <f>'DADOS A INSERIR'!$F$6/(44*4)</f>
        <v>121.39267045454545</v>
      </c>
      <c r="H58" s="237">
        <f t="shared" ref="H58:H69" si="8">ROUND(G58*D58,2)</f>
        <v>7283.56</v>
      </c>
      <c r="J58" s="253"/>
      <c r="K58" s="253"/>
      <c r="L58" s="253"/>
      <c r="M58" s="253"/>
    </row>
    <row r="59" spans="1:13">
      <c r="A59" s="295" t="s">
        <v>216</v>
      </c>
      <c r="B59" s="272" t="s">
        <v>268</v>
      </c>
      <c r="C59" s="242" t="s">
        <v>89</v>
      </c>
      <c r="D59" s="139">
        <f>'Composições-Projetos'!E6</f>
        <v>120</v>
      </c>
      <c r="E59" s="273">
        <f>'DADOS A INSERIR'!$E$7/(44*4)</f>
        <v>85.032897727272726</v>
      </c>
      <c r="F59" s="283">
        <f t="shared" ref="F59:F69" si="9">ROUND(E59*D59,2)</f>
        <v>10203.950000000001</v>
      </c>
      <c r="G59" s="235">
        <f>'DADOS A INSERIR'!$F$7/(44*4)</f>
        <v>73.557500000000005</v>
      </c>
      <c r="H59" s="237">
        <f t="shared" si="8"/>
        <v>8826.9</v>
      </c>
      <c r="J59" s="253"/>
      <c r="K59" s="253"/>
      <c r="L59" s="253"/>
      <c r="M59" s="253"/>
    </row>
    <row r="60" spans="1:13">
      <c r="A60" s="295" t="s">
        <v>217</v>
      </c>
      <c r="B60" s="272" t="s">
        <v>269</v>
      </c>
      <c r="C60" s="242" t="s">
        <v>89</v>
      </c>
      <c r="D60" s="139">
        <f>'Composições-Projetos'!F6</f>
        <v>40</v>
      </c>
      <c r="E60" s="273">
        <f>'DADOS A INSERIR'!$E$8/(44*4)</f>
        <v>85.032897727272726</v>
      </c>
      <c r="F60" s="283">
        <f t="shared" si="9"/>
        <v>3401.32</v>
      </c>
      <c r="G60" s="273">
        <f>'DADOS A INSERIR'!$F$8/(44*4)</f>
        <v>73.557500000000005</v>
      </c>
      <c r="H60" s="237">
        <f t="shared" si="8"/>
        <v>2942.3</v>
      </c>
      <c r="J60" s="253"/>
      <c r="K60" s="253"/>
      <c r="L60" s="253"/>
      <c r="M60" s="253"/>
    </row>
    <row r="61" spans="1:13">
      <c r="A61" s="295" t="s">
        <v>218</v>
      </c>
      <c r="B61" s="272" t="s">
        <v>271</v>
      </c>
      <c r="C61" s="242" t="s">
        <v>89</v>
      </c>
      <c r="D61" s="139">
        <f>'Composições-Projetos'!H6</f>
        <v>100</v>
      </c>
      <c r="E61" s="273">
        <f>'DADOS A INSERIR'!$E$12/(44*4)</f>
        <v>15.219431818181818</v>
      </c>
      <c r="F61" s="283">
        <f t="shared" si="9"/>
        <v>1521.94</v>
      </c>
      <c r="G61" s="273">
        <f>'DADOS A INSERIR'!$F$12/(44*4)</f>
        <v>13.154318181818182</v>
      </c>
      <c r="H61" s="237">
        <f t="shared" si="8"/>
        <v>1315.43</v>
      </c>
      <c r="J61" s="253"/>
      <c r="K61" s="253"/>
      <c r="L61" s="253"/>
      <c r="M61" s="253"/>
    </row>
    <row r="62" spans="1:13">
      <c r="A62" s="295" t="s">
        <v>406</v>
      </c>
      <c r="B62" s="272" t="s">
        <v>125</v>
      </c>
      <c r="C62" s="242" t="s">
        <v>89</v>
      </c>
      <c r="D62" s="139">
        <f>'Composições-Projetos'!I6</f>
        <v>100</v>
      </c>
      <c r="E62" s="273">
        <f>'DADOS A INSERIR'!$E$13/(44*4)</f>
        <v>31.824261363636364</v>
      </c>
      <c r="F62" s="283">
        <f t="shared" si="9"/>
        <v>3182.43</v>
      </c>
      <c r="G62" s="273">
        <f>'DADOS A INSERIR'!$F$13/(44*4)</f>
        <v>28.009034090909093</v>
      </c>
      <c r="H62" s="237">
        <f t="shared" si="8"/>
        <v>2800.9</v>
      </c>
      <c r="J62" s="253"/>
      <c r="K62" s="253"/>
      <c r="L62" s="253"/>
      <c r="M62" s="253"/>
    </row>
    <row r="63" spans="1:13">
      <c r="A63" s="295" t="s">
        <v>407</v>
      </c>
      <c r="B63" s="272" t="s">
        <v>18</v>
      </c>
      <c r="C63" s="242" t="s">
        <v>89</v>
      </c>
      <c r="D63" s="139">
        <f>'Composições-Projetos'!J6</f>
        <v>100</v>
      </c>
      <c r="E63" s="273">
        <f>'DADOS A INSERIR'!$E$14/(44*4)</f>
        <v>19.298749999999998</v>
      </c>
      <c r="F63" s="283">
        <f t="shared" si="9"/>
        <v>1929.88</v>
      </c>
      <c r="G63" s="273">
        <f>'DADOS A INSERIR'!$F$14/(44*4)</f>
        <v>17.272897727272728</v>
      </c>
      <c r="H63" s="237">
        <f t="shared" si="8"/>
        <v>1727.29</v>
      </c>
      <c r="J63" s="253"/>
      <c r="K63" s="253"/>
      <c r="L63" s="253"/>
      <c r="M63" s="253"/>
    </row>
    <row r="64" spans="1:13">
      <c r="A64" s="295" t="s">
        <v>408</v>
      </c>
      <c r="B64" s="274" t="s">
        <v>354</v>
      </c>
      <c r="C64" s="242" t="s">
        <v>193</v>
      </c>
      <c r="D64" s="137"/>
      <c r="E64" s="273">
        <f>'DADOS A INSERIR'!$E$27</f>
        <v>45.4</v>
      </c>
      <c r="F64" s="283">
        <f t="shared" si="9"/>
        <v>0</v>
      </c>
      <c r="G64" s="273">
        <f>'DADOS A INSERIR'!$F$27</f>
        <v>45.4</v>
      </c>
      <c r="H64" s="237">
        <f t="shared" si="8"/>
        <v>0</v>
      </c>
      <c r="J64" s="253"/>
      <c r="K64" s="253"/>
      <c r="L64" s="253"/>
      <c r="M64" s="253"/>
    </row>
    <row r="65" spans="1:13">
      <c r="A65" s="295" t="s">
        <v>409</v>
      </c>
      <c r="B65" s="272" t="s">
        <v>329</v>
      </c>
      <c r="C65" s="242" t="s">
        <v>9</v>
      </c>
      <c r="D65" s="137"/>
      <c r="E65" s="273">
        <f>'DADOS A INSERIR'!$E$40</f>
        <v>0.15</v>
      </c>
      <c r="F65" s="283">
        <f t="shared" si="9"/>
        <v>0</v>
      </c>
      <c r="G65" s="273">
        <f>'DADOS A INSERIR'!$F$40</f>
        <v>0.15</v>
      </c>
      <c r="H65" s="237">
        <f t="shared" si="8"/>
        <v>0</v>
      </c>
      <c r="J65" s="253"/>
      <c r="K65" s="253"/>
      <c r="L65" s="253"/>
      <c r="M65" s="253"/>
    </row>
    <row r="66" spans="1:13">
      <c r="A66" s="295" t="s">
        <v>410</v>
      </c>
      <c r="B66" s="272" t="s">
        <v>91</v>
      </c>
      <c r="C66" s="242" t="s">
        <v>9</v>
      </c>
      <c r="D66" s="137"/>
      <c r="E66" s="273">
        <f>'DADOS A INSERIR'!$E$41</f>
        <v>2</v>
      </c>
      <c r="F66" s="283">
        <f t="shared" si="9"/>
        <v>0</v>
      </c>
      <c r="G66" s="273">
        <f>'DADOS A INSERIR'!$F$41</f>
        <v>2</v>
      </c>
      <c r="H66" s="237">
        <f t="shared" si="8"/>
        <v>0</v>
      </c>
      <c r="J66" s="253"/>
      <c r="K66" s="253"/>
      <c r="L66" s="253"/>
      <c r="M66" s="253"/>
    </row>
    <row r="67" spans="1:13">
      <c r="A67" s="295" t="s">
        <v>411</v>
      </c>
      <c r="B67" s="272" t="s">
        <v>336</v>
      </c>
      <c r="C67" s="242" t="s">
        <v>9</v>
      </c>
      <c r="D67" s="139">
        <f>'Composições-Projetos'!C6</f>
        <v>10</v>
      </c>
      <c r="E67" s="273">
        <f>'DADOS A INSERIR'!$E$42</f>
        <v>30</v>
      </c>
      <c r="F67" s="283">
        <f t="shared" si="9"/>
        <v>300</v>
      </c>
      <c r="G67" s="273">
        <f>'DADOS A INSERIR'!$F$42</f>
        <v>30</v>
      </c>
      <c r="H67" s="237">
        <f t="shared" si="8"/>
        <v>300</v>
      </c>
      <c r="J67" s="253"/>
      <c r="K67" s="253"/>
      <c r="L67" s="253"/>
      <c r="M67" s="253"/>
    </row>
    <row r="68" spans="1:13">
      <c r="A68" s="295" t="s">
        <v>412</v>
      </c>
      <c r="B68" s="272" t="s">
        <v>327</v>
      </c>
      <c r="C68" s="242" t="s">
        <v>9</v>
      </c>
      <c r="D68" s="137"/>
      <c r="E68" s="273">
        <f>'DADOS A INSERIR'!$E$34</f>
        <v>1.5</v>
      </c>
      <c r="F68" s="283">
        <f t="shared" si="9"/>
        <v>0</v>
      </c>
      <c r="G68" s="273">
        <f>'DADOS A INSERIR'!$F$34</f>
        <v>1.5</v>
      </c>
      <c r="H68" s="237">
        <f t="shared" si="8"/>
        <v>0</v>
      </c>
      <c r="J68" s="253"/>
      <c r="K68" s="253"/>
      <c r="L68" s="253"/>
      <c r="M68" s="253"/>
    </row>
    <row r="69" spans="1:13">
      <c r="A69" s="295" t="s">
        <v>413</v>
      </c>
      <c r="B69" s="272" t="s">
        <v>94</v>
      </c>
      <c r="C69" s="242" t="s">
        <v>9</v>
      </c>
      <c r="D69" s="137"/>
      <c r="E69" s="273">
        <f>'DADOS A INSERIR'!$E$43</f>
        <v>35</v>
      </c>
      <c r="F69" s="283">
        <f t="shared" si="9"/>
        <v>0</v>
      </c>
      <c r="G69" s="273">
        <f>'DADOS A INSERIR'!$F$43</f>
        <v>35</v>
      </c>
      <c r="H69" s="237">
        <f t="shared" si="8"/>
        <v>0</v>
      </c>
      <c r="J69" s="253"/>
      <c r="K69" s="253"/>
      <c r="L69" s="253"/>
      <c r="M69" s="253"/>
    </row>
    <row r="70" spans="1:13">
      <c r="A70" s="275"/>
      <c r="B70" s="247"/>
      <c r="C70" s="248"/>
      <c r="D70" s="249"/>
      <c r="E70" s="250" t="s">
        <v>436</v>
      </c>
      <c r="F70" s="296">
        <f>SUM(F58:F69)</f>
        <v>28962.440000000002</v>
      </c>
      <c r="G70" s="284"/>
      <c r="H70" s="296">
        <f>SUM(H58:H69)</f>
        <v>25196.38</v>
      </c>
      <c r="J70" s="253"/>
      <c r="K70" s="253"/>
      <c r="L70" s="253"/>
      <c r="M70" s="253"/>
    </row>
    <row r="71" spans="1:13">
      <c r="A71" s="297" t="s">
        <v>257</v>
      </c>
      <c r="B71" s="298" t="s">
        <v>255</v>
      </c>
      <c r="C71" s="256"/>
      <c r="D71" s="256"/>
      <c r="E71" s="256"/>
      <c r="F71" s="256"/>
      <c r="G71" s="256"/>
      <c r="H71" s="299"/>
      <c r="J71" s="253"/>
      <c r="K71" s="253"/>
      <c r="L71" s="253"/>
      <c r="M71" s="253"/>
    </row>
    <row r="72" spans="1:13">
      <c r="A72" s="300"/>
      <c r="B72" s="260" t="s">
        <v>470</v>
      </c>
      <c r="C72" s="301"/>
      <c r="D72" s="301"/>
      <c r="E72" s="301"/>
      <c r="F72" s="301"/>
      <c r="G72" s="301"/>
      <c r="H72" s="302"/>
      <c r="J72" s="253"/>
      <c r="K72" s="253"/>
      <c r="L72" s="253"/>
      <c r="M72" s="253"/>
    </row>
    <row r="73" spans="1:13">
      <c r="A73" s="263" t="s">
        <v>258</v>
      </c>
      <c r="B73" s="293" t="s">
        <v>474</v>
      </c>
      <c r="C73" s="265"/>
      <c r="D73" s="266"/>
      <c r="E73" s="267"/>
      <c r="F73" s="268"/>
      <c r="G73" s="267"/>
      <c r="H73" s="269"/>
      <c r="J73" s="253"/>
      <c r="K73" s="253"/>
      <c r="L73" s="253"/>
      <c r="M73" s="253"/>
    </row>
    <row r="74" spans="1:13">
      <c r="A74" s="270" t="s">
        <v>272</v>
      </c>
      <c r="B74" s="271" t="s">
        <v>17</v>
      </c>
      <c r="C74" s="233" t="s">
        <v>89</v>
      </c>
      <c r="D74" s="138">
        <f>'Composições-Projetos'!D7</f>
        <v>14</v>
      </c>
      <c r="E74" s="235">
        <f>'DADOS A INSERIR'!$E$6/(44*4)</f>
        <v>140.38193181818181</v>
      </c>
      <c r="F74" s="283">
        <f t="shared" ref="F74:F86" si="10">ROUND(E74*D74,2)</f>
        <v>1965.35</v>
      </c>
      <c r="G74" s="235">
        <f>'DADOS A INSERIR'!$F$6/(44*4)</f>
        <v>121.39267045454545</v>
      </c>
      <c r="H74" s="237">
        <f t="shared" ref="H74:H86" si="11">ROUND(G74*D74,2)</f>
        <v>1699.5</v>
      </c>
      <c r="J74" s="253"/>
      <c r="K74" s="253"/>
      <c r="L74" s="253"/>
      <c r="M74" s="253"/>
    </row>
    <row r="75" spans="1:13">
      <c r="A75" s="295" t="s">
        <v>273</v>
      </c>
      <c r="B75" s="272" t="s">
        <v>268</v>
      </c>
      <c r="C75" s="242" t="s">
        <v>89</v>
      </c>
      <c r="D75" s="139">
        <f>'Composições-Projetos'!E7</f>
        <v>14</v>
      </c>
      <c r="E75" s="273">
        <f>'DADOS A INSERIR'!$E$7/(44*4)</f>
        <v>85.032897727272726</v>
      </c>
      <c r="F75" s="283">
        <f t="shared" si="10"/>
        <v>1190.46</v>
      </c>
      <c r="G75" s="235">
        <f>'DADOS A INSERIR'!$F$7/(44*4)</f>
        <v>73.557500000000005</v>
      </c>
      <c r="H75" s="237">
        <f t="shared" si="11"/>
        <v>1029.81</v>
      </c>
      <c r="J75" s="253"/>
      <c r="K75" s="253"/>
      <c r="L75" s="253"/>
      <c r="M75" s="253"/>
    </row>
    <row r="76" spans="1:13">
      <c r="A76" s="270" t="s">
        <v>274</v>
      </c>
      <c r="B76" s="272" t="s">
        <v>269</v>
      </c>
      <c r="C76" s="242" t="s">
        <v>89</v>
      </c>
      <c r="D76" s="139">
        <f>'Composições-Projetos'!F7</f>
        <v>14</v>
      </c>
      <c r="E76" s="273">
        <f>'DADOS A INSERIR'!$E$8/(44*4)</f>
        <v>85.032897727272726</v>
      </c>
      <c r="F76" s="283">
        <f t="shared" si="10"/>
        <v>1190.46</v>
      </c>
      <c r="G76" s="273">
        <f>'DADOS A INSERIR'!$F$8/(44*4)</f>
        <v>73.557500000000005</v>
      </c>
      <c r="H76" s="237">
        <f t="shared" si="11"/>
        <v>1029.81</v>
      </c>
      <c r="J76" s="253"/>
      <c r="K76" s="253"/>
      <c r="L76" s="253"/>
      <c r="M76" s="253"/>
    </row>
    <row r="77" spans="1:13">
      <c r="A77" s="270" t="s">
        <v>275</v>
      </c>
      <c r="B77" s="274" t="s">
        <v>312</v>
      </c>
      <c r="C77" s="242" t="s">
        <v>89</v>
      </c>
      <c r="D77" s="139">
        <f>'Composições-Projetos'!G7</f>
        <v>84</v>
      </c>
      <c r="E77" s="273">
        <f>'DADOS A INSERIR'!$E$9/(44*4)</f>
        <v>106.97551136363636</v>
      </c>
      <c r="F77" s="283">
        <f>ROUND(E77*D77,2)</f>
        <v>8985.94</v>
      </c>
      <c r="G77" s="273">
        <f>'DADOS A INSERIR'!$F$9/(44*4)</f>
        <v>92.522727272727266</v>
      </c>
      <c r="H77" s="237">
        <f>ROUND(G77*D77,2)</f>
        <v>7771.91</v>
      </c>
      <c r="J77" s="253"/>
      <c r="K77" s="253"/>
      <c r="L77" s="253"/>
      <c r="M77" s="253"/>
    </row>
    <row r="78" spans="1:13">
      <c r="A78" s="295" t="s">
        <v>276</v>
      </c>
      <c r="B78" s="272" t="s">
        <v>271</v>
      </c>
      <c r="C78" s="242" t="s">
        <v>89</v>
      </c>
      <c r="D78" s="139">
        <f>'Composições-Projetos'!H7</f>
        <v>70</v>
      </c>
      <c r="E78" s="273">
        <f>'DADOS A INSERIR'!$E$12/(44*4)</f>
        <v>15.219431818181818</v>
      </c>
      <c r="F78" s="283">
        <f t="shared" si="10"/>
        <v>1065.3599999999999</v>
      </c>
      <c r="G78" s="273">
        <f>'DADOS A INSERIR'!$F$12/(44*4)</f>
        <v>13.154318181818182</v>
      </c>
      <c r="H78" s="237">
        <f t="shared" si="11"/>
        <v>920.8</v>
      </c>
      <c r="J78" s="253"/>
      <c r="K78" s="253"/>
      <c r="L78" s="253"/>
      <c r="M78" s="253"/>
    </row>
    <row r="79" spans="1:13">
      <c r="A79" s="270" t="s">
        <v>277</v>
      </c>
      <c r="B79" s="272" t="s">
        <v>125</v>
      </c>
      <c r="C79" s="242" t="s">
        <v>89</v>
      </c>
      <c r="D79" s="139">
        <f>'Composições-Projetos'!I7</f>
        <v>70</v>
      </c>
      <c r="E79" s="273">
        <f>'DADOS A INSERIR'!$E$13/(44*4)</f>
        <v>31.824261363636364</v>
      </c>
      <c r="F79" s="283">
        <f t="shared" si="10"/>
        <v>2227.6999999999998</v>
      </c>
      <c r="G79" s="273">
        <f>'DADOS A INSERIR'!$F$13/(44*4)</f>
        <v>28.009034090909093</v>
      </c>
      <c r="H79" s="237">
        <f t="shared" si="11"/>
        <v>1960.63</v>
      </c>
      <c r="J79" s="253"/>
      <c r="K79" s="253"/>
      <c r="L79" s="253"/>
      <c r="M79" s="253"/>
    </row>
    <row r="80" spans="1:13">
      <c r="A80" s="270" t="s">
        <v>278</v>
      </c>
      <c r="B80" s="272" t="s">
        <v>18</v>
      </c>
      <c r="C80" s="242" t="s">
        <v>89</v>
      </c>
      <c r="D80" s="139">
        <f>'Composições-Projetos'!J7</f>
        <v>70</v>
      </c>
      <c r="E80" s="273">
        <f>'DADOS A INSERIR'!$E$14/(44*4)</f>
        <v>19.298749999999998</v>
      </c>
      <c r="F80" s="283">
        <f t="shared" si="10"/>
        <v>1350.91</v>
      </c>
      <c r="G80" s="273">
        <f>'DADOS A INSERIR'!$F$14/(44*4)</f>
        <v>17.272897727272728</v>
      </c>
      <c r="H80" s="237">
        <f t="shared" si="11"/>
        <v>1209.0999999999999</v>
      </c>
      <c r="J80" s="253"/>
      <c r="K80" s="253"/>
      <c r="L80" s="253"/>
      <c r="M80" s="253"/>
    </row>
    <row r="81" spans="1:13">
      <c r="A81" s="295" t="s">
        <v>279</v>
      </c>
      <c r="B81" s="274" t="s">
        <v>354</v>
      </c>
      <c r="C81" s="242" t="s">
        <v>193</v>
      </c>
      <c r="D81" s="137"/>
      <c r="E81" s="273">
        <f>'DADOS A INSERIR'!$E$27</f>
        <v>45.4</v>
      </c>
      <c r="F81" s="283">
        <f t="shared" si="10"/>
        <v>0</v>
      </c>
      <c r="G81" s="273">
        <f>'DADOS A INSERIR'!$F$27</f>
        <v>45.4</v>
      </c>
      <c r="H81" s="237">
        <f t="shared" si="11"/>
        <v>0</v>
      </c>
      <c r="J81" s="253"/>
    </row>
    <row r="82" spans="1:13">
      <c r="A82" s="270" t="s">
        <v>280</v>
      </c>
      <c r="B82" s="272" t="s">
        <v>329</v>
      </c>
      <c r="C82" s="242" t="s">
        <v>9</v>
      </c>
      <c r="D82" s="137"/>
      <c r="E82" s="273">
        <f>'DADOS A INSERIR'!$E$40</f>
        <v>0.15</v>
      </c>
      <c r="F82" s="283">
        <f t="shared" si="10"/>
        <v>0</v>
      </c>
      <c r="G82" s="273">
        <f>'DADOS A INSERIR'!$F$40</f>
        <v>0.15</v>
      </c>
      <c r="H82" s="237">
        <f t="shared" si="11"/>
        <v>0</v>
      </c>
      <c r="J82" s="253"/>
      <c r="K82" s="253"/>
      <c r="L82" s="253"/>
      <c r="M82" s="253"/>
    </row>
    <row r="83" spans="1:13">
      <c r="A83" s="270" t="s">
        <v>346</v>
      </c>
      <c r="B83" s="272" t="s">
        <v>91</v>
      </c>
      <c r="C83" s="242" t="s">
        <v>9</v>
      </c>
      <c r="D83" s="137"/>
      <c r="E83" s="273">
        <f>'DADOS A INSERIR'!$E$41</f>
        <v>2</v>
      </c>
      <c r="F83" s="283">
        <f t="shared" si="10"/>
        <v>0</v>
      </c>
      <c r="G83" s="273">
        <f>'DADOS A INSERIR'!$F$41</f>
        <v>2</v>
      </c>
      <c r="H83" s="237">
        <f t="shared" si="11"/>
        <v>0</v>
      </c>
      <c r="J83" s="253"/>
      <c r="K83" s="253"/>
      <c r="L83" s="253"/>
      <c r="M83" s="253"/>
    </row>
    <row r="84" spans="1:13">
      <c r="A84" s="295" t="s">
        <v>347</v>
      </c>
      <c r="B84" s="272" t="s">
        <v>336</v>
      </c>
      <c r="C84" s="242" t="s">
        <v>9</v>
      </c>
      <c r="D84" s="139">
        <f>'Composições-Projetos'!C7</f>
        <v>7</v>
      </c>
      <c r="E84" s="273">
        <f>'DADOS A INSERIR'!$E$42</f>
        <v>30</v>
      </c>
      <c r="F84" s="283">
        <f t="shared" si="10"/>
        <v>210</v>
      </c>
      <c r="G84" s="273">
        <f>'DADOS A INSERIR'!$F$42</f>
        <v>30</v>
      </c>
      <c r="H84" s="237">
        <f t="shared" si="11"/>
        <v>210</v>
      </c>
      <c r="K84" s="253"/>
      <c r="L84" s="253"/>
      <c r="M84" s="253"/>
    </row>
    <row r="85" spans="1:13">
      <c r="A85" s="270" t="s">
        <v>348</v>
      </c>
      <c r="B85" s="272" t="s">
        <v>327</v>
      </c>
      <c r="C85" s="242" t="s">
        <v>9</v>
      </c>
      <c r="D85" s="137"/>
      <c r="E85" s="273">
        <f>'DADOS A INSERIR'!$E$34</f>
        <v>1.5</v>
      </c>
      <c r="F85" s="283">
        <f t="shared" si="10"/>
        <v>0</v>
      </c>
      <c r="G85" s="273">
        <f>'DADOS A INSERIR'!$F$34</f>
        <v>1.5</v>
      </c>
      <c r="H85" s="237">
        <f t="shared" si="11"/>
        <v>0</v>
      </c>
      <c r="J85" s="253"/>
      <c r="K85" s="253"/>
      <c r="L85" s="253"/>
      <c r="M85" s="253"/>
    </row>
    <row r="86" spans="1:13">
      <c r="A86" s="270" t="s">
        <v>464</v>
      </c>
      <c r="B86" s="272" t="s">
        <v>94</v>
      </c>
      <c r="C86" s="242" t="s">
        <v>9</v>
      </c>
      <c r="D86" s="137"/>
      <c r="E86" s="273">
        <f>'DADOS A INSERIR'!$E$43</f>
        <v>35</v>
      </c>
      <c r="F86" s="283">
        <f t="shared" si="10"/>
        <v>0</v>
      </c>
      <c r="G86" s="273">
        <f>'DADOS A INSERIR'!$F$43</f>
        <v>35</v>
      </c>
      <c r="H86" s="237">
        <f t="shared" si="11"/>
        <v>0</v>
      </c>
      <c r="J86" s="253"/>
      <c r="K86" s="253"/>
      <c r="L86" s="253"/>
      <c r="M86" s="253"/>
    </row>
    <row r="87" spans="1:13">
      <c r="A87" s="275"/>
      <c r="B87" s="303"/>
      <c r="C87" s="304"/>
      <c r="D87" s="305"/>
      <c r="E87" s="306" t="s">
        <v>415</v>
      </c>
      <c r="F87" s="296">
        <f>SUM(F74:F86)</f>
        <v>18186.18</v>
      </c>
      <c r="G87" s="252"/>
      <c r="H87" s="296">
        <f>SUM(H74:H86)</f>
        <v>15831.56</v>
      </c>
      <c r="J87" s="253"/>
      <c r="K87" s="253"/>
      <c r="L87" s="253"/>
      <c r="M87" s="253"/>
    </row>
    <row r="88" spans="1:13">
      <c r="A88" s="277" t="s">
        <v>259</v>
      </c>
      <c r="B88" s="307" t="s">
        <v>417</v>
      </c>
      <c r="C88" s="279"/>
      <c r="D88" s="280"/>
      <c r="E88" s="281"/>
      <c r="F88" s="282"/>
      <c r="G88" s="308"/>
      <c r="H88" s="230"/>
      <c r="J88" s="253"/>
      <c r="K88" s="253"/>
      <c r="L88" s="253"/>
      <c r="M88" s="253"/>
    </row>
    <row r="89" spans="1:13">
      <c r="A89" s="270" t="s">
        <v>281</v>
      </c>
      <c r="B89" s="271" t="s">
        <v>17</v>
      </c>
      <c r="C89" s="233" t="s">
        <v>89</v>
      </c>
      <c r="D89" s="138">
        <f>'Composições-Projetos'!D8</f>
        <v>6</v>
      </c>
      <c r="E89" s="235">
        <f>'DADOS A INSERIR'!$E$6/(44*4)</f>
        <v>140.38193181818181</v>
      </c>
      <c r="F89" s="283">
        <f t="shared" ref="F89:F101" si="12">ROUND(E89*D89,2)</f>
        <v>842.29</v>
      </c>
      <c r="G89" s="235">
        <f>'DADOS A INSERIR'!$F$6/(44*4)</f>
        <v>121.39267045454545</v>
      </c>
      <c r="H89" s="237">
        <f t="shared" ref="H89:H101" si="13">ROUND(G89*D89,2)</f>
        <v>728.36</v>
      </c>
      <c r="J89" s="253"/>
      <c r="K89" s="253"/>
      <c r="L89" s="253"/>
      <c r="M89" s="253"/>
    </row>
    <row r="90" spans="1:13">
      <c r="A90" s="295" t="s">
        <v>282</v>
      </c>
      <c r="B90" s="272" t="s">
        <v>268</v>
      </c>
      <c r="C90" s="242" t="s">
        <v>89</v>
      </c>
      <c r="D90" s="139">
        <f>'Composições-Projetos'!E8</f>
        <v>6</v>
      </c>
      <c r="E90" s="273">
        <f>'DADOS A INSERIR'!$E$7/(44*4)</f>
        <v>85.032897727272726</v>
      </c>
      <c r="F90" s="283">
        <f t="shared" si="12"/>
        <v>510.2</v>
      </c>
      <c r="G90" s="235">
        <f>'DADOS A INSERIR'!$F$7/(44*4)</f>
        <v>73.557500000000005</v>
      </c>
      <c r="H90" s="237">
        <f t="shared" si="13"/>
        <v>441.35</v>
      </c>
      <c r="J90" s="253"/>
      <c r="K90" s="253"/>
      <c r="L90" s="253"/>
      <c r="M90" s="253"/>
    </row>
    <row r="91" spans="1:13">
      <c r="A91" s="270" t="s">
        <v>283</v>
      </c>
      <c r="B91" s="272" t="s">
        <v>269</v>
      </c>
      <c r="C91" s="242" t="s">
        <v>89</v>
      </c>
      <c r="D91" s="139">
        <f>'Composições-Projetos'!F8</f>
        <v>6</v>
      </c>
      <c r="E91" s="273">
        <f>'DADOS A INSERIR'!$E$8/(44*4)</f>
        <v>85.032897727272726</v>
      </c>
      <c r="F91" s="283">
        <f t="shared" si="12"/>
        <v>510.2</v>
      </c>
      <c r="G91" s="273">
        <f>'DADOS A INSERIR'!$F$8/(44*4)</f>
        <v>73.557500000000005</v>
      </c>
      <c r="H91" s="237">
        <f t="shared" si="13"/>
        <v>441.35</v>
      </c>
      <c r="J91" s="253"/>
      <c r="K91" s="253"/>
      <c r="L91" s="253"/>
      <c r="M91" s="253"/>
    </row>
    <row r="92" spans="1:13">
      <c r="A92" s="295" t="s">
        <v>284</v>
      </c>
      <c r="B92" s="274" t="s">
        <v>312</v>
      </c>
      <c r="C92" s="242" t="s">
        <v>89</v>
      </c>
      <c r="D92" s="139">
        <f>'Composições-Projetos'!G8</f>
        <v>36</v>
      </c>
      <c r="E92" s="273">
        <f>'DADOS A INSERIR'!$E$9/(44*4)</f>
        <v>106.97551136363636</v>
      </c>
      <c r="F92" s="283">
        <f>ROUND(E92*D92,2)</f>
        <v>3851.12</v>
      </c>
      <c r="G92" s="273">
        <f>'DADOS A INSERIR'!$F$9/(44*4)</f>
        <v>92.522727272727266</v>
      </c>
      <c r="H92" s="237">
        <f>ROUND(G92*D92,2)</f>
        <v>3330.82</v>
      </c>
      <c r="J92" s="253"/>
      <c r="K92" s="253"/>
      <c r="L92" s="253"/>
      <c r="M92" s="253"/>
    </row>
    <row r="93" spans="1:13">
      <c r="A93" s="270" t="s">
        <v>285</v>
      </c>
      <c r="B93" s="272" t="s">
        <v>271</v>
      </c>
      <c r="C93" s="242" t="s">
        <v>89</v>
      </c>
      <c r="D93" s="139">
        <f>'Composições-Projetos'!H8</f>
        <v>30</v>
      </c>
      <c r="E93" s="273">
        <f>'DADOS A INSERIR'!$E$12/(44*4)</f>
        <v>15.219431818181818</v>
      </c>
      <c r="F93" s="283">
        <f t="shared" si="12"/>
        <v>456.58</v>
      </c>
      <c r="G93" s="273">
        <f>'DADOS A INSERIR'!$F$12/(44*4)</f>
        <v>13.154318181818182</v>
      </c>
      <c r="H93" s="237">
        <f t="shared" si="13"/>
        <v>394.63</v>
      </c>
      <c r="J93" s="253"/>
      <c r="K93" s="253"/>
      <c r="L93" s="253"/>
      <c r="M93" s="253"/>
    </row>
    <row r="94" spans="1:13">
      <c r="A94" s="295" t="s">
        <v>286</v>
      </c>
      <c r="B94" s="272" t="s">
        <v>125</v>
      </c>
      <c r="C94" s="242" t="s">
        <v>89</v>
      </c>
      <c r="D94" s="139">
        <f>'Composições-Projetos'!I8</f>
        <v>30</v>
      </c>
      <c r="E94" s="273">
        <f>'DADOS A INSERIR'!$E$13/(44*4)</f>
        <v>31.824261363636364</v>
      </c>
      <c r="F94" s="283">
        <f t="shared" si="12"/>
        <v>954.73</v>
      </c>
      <c r="G94" s="273">
        <f>'DADOS A INSERIR'!$F$13/(44*4)</f>
        <v>28.009034090909093</v>
      </c>
      <c r="H94" s="237">
        <f t="shared" si="13"/>
        <v>840.27</v>
      </c>
      <c r="J94" s="253"/>
      <c r="K94" s="253"/>
      <c r="L94" s="253"/>
      <c r="M94" s="253"/>
    </row>
    <row r="95" spans="1:13">
      <c r="A95" s="270" t="s">
        <v>287</v>
      </c>
      <c r="B95" s="272" t="s">
        <v>18</v>
      </c>
      <c r="C95" s="242" t="s">
        <v>89</v>
      </c>
      <c r="D95" s="139">
        <f>'Composições-Projetos'!J8</f>
        <v>30</v>
      </c>
      <c r="E95" s="273">
        <f>'DADOS A INSERIR'!$E$14/(44*4)</f>
        <v>19.298749999999998</v>
      </c>
      <c r="F95" s="283">
        <f t="shared" si="12"/>
        <v>578.96</v>
      </c>
      <c r="G95" s="273">
        <f>'DADOS A INSERIR'!$F$14/(44*4)</f>
        <v>17.272897727272728</v>
      </c>
      <c r="H95" s="237">
        <f t="shared" si="13"/>
        <v>518.19000000000005</v>
      </c>
      <c r="J95" s="253"/>
      <c r="K95" s="253"/>
      <c r="L95" s="253"/>
      <c r="M95" s="253"/>
    </row>
    <row r="96" spans="1:13">
      <c r="A96" s="295" t="s">
        <v>288</v>
      </c>
      <c r="B96" s="274" t="s">
        <v>354</v>
      </c>
      <c r="C96" s="242" t="s">
        <v>193</v>
      </c>
      <c r="D96" s="137"/>
      <c r="E96" s="273">
        <f>'DADOS A INSERIR'!$E$27</f>
        <v>45.4</v>
      </c>
      <c r="F96" s="283">
        <f t="shared" si="12"/>
        <v>0</v>
      </c>
      <c r="G96" s="273">
        <f>'DADOS A INSERIR'!$F$27</f>
        <v>45.4</v>
      </c>
      <c r="H96" s="237">
        <f t="shared" si="13"/>
        <v>0</v>
      </c>
      <c r="J96" s="253"/>
    </row>
    <row r="97" spans="1:13">
      <c r="A97" s="270" t="s">
        <v>289</v>
      </c>
      <c r="B97" s="272" t="s">
        <v>329</v>
      </c>
      <c r="C97" s="242" t="s">
        <v>9</v>
      </c>
      <c r="D97" s="137"/>
      <c r="E97" s="273">
        <f>'DADOS A INSERIR'!$E$40</f>
        <v>0.15</v>
      </c>
      <c r="F97" s="283">
        <f t="shared" si="12"/>
        <v>0</v>
      </c>
      <c r="G97" s="273">
        <f>'DADOS A INSERIR'!$F$40</f>
        <v>0.15</v>
      </c>
      <c r="H97" s="237">
        <f t="shared" si="13"/>
        <v>0</v>
      </c>
      <c r="J97" s="253"/>
      <c r="K97" s="253"/>
      <c r="L97" s="253"/>
      <c r="M97" s="253"/>
    </row>
    <row r="98" spans="1:13">
      <c r="A98" s="295" t="s">
        <v>343</v>
      </c>
      <c r="B98" s="272" t="s">
        <v>91</v>
      </c>
      <c r="C98" s="242" t="s">
        <v>9</v>
      </c>
      <c r="D98" s="137"/>
      <c r="E98" s="273">
        <f>'DADOS A INSERIR'!$E$41</f>
        <v>2</v>
      </c>
      <c r="F98" s="283">
        <f t="shared" si="12"/>
        <v>0</v>
      </c>
      <c r="G98" s="273">
        <f>'DADOS A INSERIR'!$F$41</f>
        <v>2</v>
      </c>
      <c r="H98" s="237">
        <f t="shared" si="13"/>
        <v>0</v>
      </c>
      <c r="J98" s="253"/>
      <c r="K98" s="253"/>
      <c r="L98" s="253"/>
      <c r="M98" s="253"/>
    </row>
    <row r="99" spans="1:13">
      <c r="A99" s="270" t="s">
        <v>344</v>
      </c>
      <c r="B99" s="272" t="s">
        <v>336</v>
      </c>
      <c r="C99" s="242" t="s">
        <v>9</v>
      </c>
      <c r="D99" s="139">
        <f>'Composições-Projetos'!C8</f>
        <v>3</v>
      </c>
      <c r="E99" s="273">
        <f>'DADOS A INSERIR'!$E$42</f>
        <v>30</v>
      </c>
      <c r="F99" s="283">
        <f t="shared" si="12"/>
        <v>90</v>
      </c>
      <c r="G99" s="273">
        <f>'DADOS A INSERIR'!$F$42</f>
        <v>30</v>
      </c>
      <c r="H99" s="237">
        <f t="shared" si="13"/>
        <v>90</v>
      </c>
      <c r="K99" s="253"/>
      <c r="L99" s="253"/>
      <c r="M99" s="253"/>
    </row>
    <row r="100" spans="1:13">
      <c r="A100" s="295" t="s">
        <v>345</v>
      </c>
      <c r="B100" s="272" t="s">
        <v>327</v>
      </c>
      <c r="C100" s="242" t="s">
        <v>9</v>
      </c>
      <c r="D100" s="137"/>
      <c r="E100" s="273">
        <f>'DADOS A INSERIR'!$E$34</f>
        <v>1.5</v>
      </c>
      <c r="F100" s="283">
        <f t="shared" si="12"/>
        <v>0</v>
      </c>
      <c r="G100" s="273">
        <f>'DADOS A INSERIR'!$F$34</f>
        <v>1.5</v>
      </c>
      <c r="H100" s="237">
        <f t="shared" si="13"/>
        <v>0</v>
      </c>
      <c r="J100" s="253"/>
      <c r="K100" s="253"/>
      <c r="L100" s="253"/>
      <c r="M100" s="253"/>
    </row>
    <row r="101" spans="1:13">
      <c r="A101" s="270" t="s">
        <v>465</v>
      </c>
      <c r="B101" s="272" t="s">
        <v>94</v>
      </c>
      <c r="C101" s="242" t="s">
        <v>9</v>
      </c>
      <c r="D101" s="137"/>
      <c r="E101" s="273">
        <f>'DADOS A INSERIR'!$E$43</f>
        <v>35</v>
      </c>
      <c r="F101" s="283">
        <f t="shared" si="12"/>
        <v>0</v>
      </c>
      <c r="G101" s="273">
        <f>'DADOS A INSERIR'!$F$43</f>
        <v>35</v>
      </c>
      <c r="H101" s="237">
        <f t="shared" si="13"/>
        <v>0</v>
      </c>
      <c r="J101" s="253"/>
      <c r="K101" s="253"/>
      <c r="L101" s="253"/>
      <c r="M101" s="253"/>
    </row>
    <row r="102" spans="1:13">
      <c r="A102" s="275"/>
      <c r="B102" s="303"/>
      <c r="C102" s="304"/>
      <c r="D102" s="305"/>
      <c r="E102" s="306" t="s">
        <v>416</v>
      </c>
      <c r="F102" s="296">
        <f>SUM(F89:F101)</f>
        <v>7794.079999999999</v>
      </c>
      <c r="G102" s="252"/>
      <c r="H102" s="296">
        <f>SUM(H89:H101)</f>
        <v>6784.9700000000012</v>
      </c>
      <c r="J102" s="253"/>
      <c r="K102" s="253"/>
      <c r="L102" s="253"/>
      <c r="M102" s="253"/>
    </row>
    <row r="103" spans="1:13">
      <c r="A103" s="277" t="s">
        <v>260</v>
      </c>
      <c r="B103" s="309" t="s">
        <v>445</v>
      </c>
      <c r="C103" s="279"/>
      <c r="D103" s="280"/>
      <c r="E103" s="281"/>
      <c r="F103" s="282"/>
      <c r="G103" s="308"/>
      <c r="H103" s="230"/>
      <c r="J103" s="253"/>
      <c r="K103" s="253"/>
      <c r="L103" s="253"/>
      <c r="M103" s="253"/>
    </row>
    <row r="104" spans="1:13">
      <c r="A104" s="270" t="s">
        <v>290</v>
      </c>
      <c r="B104" s="271" t="s">
        <v>17</v>
      </c>
      <c r="C104" s="233" t="s">
        <v>89</v>
      </c>
      <c r="D104" s="138">
        <f>'Composições-Projetos'!D9</f>
        <v>16</v>
      </c>
      <c r="E104" s="235">
        <f>'DADOS A INSERIR'!$E$6/(44*4)</f>
        <v>140.38193181818181</v>
      </c>
      <c r="F104" s="283">
        <f t="shared" ref="F104:F114" si="14">ROUND(E104*D104,2)</f>
        <v>2246.11</v>
      </c>
      <c r="G104" s="235">
        <f>'DADOS A INSERIR'!$F$6/(44*4)</f>
        <v>121.39267045454545</v>
      </c>
      <c r="H104" s="237">
        <f t="shared" ref="H104:H114" si="15">ROUND(G104*D104,2)</f>
        <v>1942.28</v>
      </c>
      <c r="J104" s="253"/>
      <c r="K104" s="253"/>
      <c r="L104" s="253"/>
      <c r="M104" s="253"/>
    </row>
    <row r="105" spans="1:13">
      <c r="A105" s="270" t="s">
        <v>291</v>
      </c>
      <c r="B105" s="272" t="s">
        <v>269</v>
      </c>
      <c r="C105" s="242" t="s">
        <v>89</v>
      </c>
      <c r="D105" s="139">
        <f>'Composições-Projetos'!F9</f>
        <v>64</v>
      </c>
      <c r="E105" s="273">
        <f>'DADOS A INSERIR'!$E$8/(44*4)</f>
        <v>85.032897727272726</v>
      </c>
      <c r="F105" s="283">
        <f t="shared" si="14"/>
        <v>5442.11</v>
      </c>
      <c r="G105" s="273">
        <f>'DADOS A INSERIR'!$F$8/(44*4)</f>
        <v>73.557500000000005</v>
      </c>
      <c r="H105" s="237">
        <f t="shared" si="15"/>
        <v>4707.68</v>
      </c>
      <c r="J105" s="253"/>
      <c r="K105" s="253"/>
      <c r="L105" s="253"/>
      <c r="M105" s="253"/>
    </row>
    <row r="106" spans="1:13">
      <c r="A106" s="270" t="s">
        <v>292</v>
      </c>
      <c r="B106" s="272" t="s">
        <v>271</v>
      </c>
      <c r="C106" s="242" t="s">
        <v>89</v>
      </c>
      <c r="D106" s="139">
        <f>'Composições-Projetos'!H9</f>
        <v>80</v>
      </c>
      <c r="E106" s="273">
        <f>'DADOS A INSERIR'!$E$12/(44*4)</f>
        <v>15.219431818181818</v>
      </c>
      <c r="F106" s="283">
        <f t="shared" si="14"/>
        <v>1217.55</v>
      </c>
      <c r="G106" s="273">
        <f>'DADOS A INSERIR'!$F$12/(44*4)</f>
        <v>13.154318181818182</v>
      </c>
      <c r="H106" s="237">
        <f t="shared" si="15"/>
        <v>1052.3499999999999</v>
      </c>
      <c r="J106" s="253"/>
      <c r="K106" s="253"/>
      <c r="L106" s="253"/>
      <c r="M106" s="253"/>
    </row>
    <row r="107" spans="1:13">
      <c r="A107" s="270" t="s">
        <v>293</v>
      </c>
      <c r="B107" s="272" t="s">
        <v>125</v>
      </c>
      <c r="C107" s="242" t="s">
        <v>89</v>
      </c>
      <c r="D107" s="139">
        <f>'Composições-Projetos'!I9</f>
        <v>80</v>
      </c>
      <c r="E107" s="273">
        <f>'DADOS A INSERIR'!$E$13/(44*4)</f>
        <v>31.824261363636364</v>
      </c>
      <c r="F107" s="283">
        <f t="shared" si="14"/>
        <v>2545.94</v>
      </c>
      <c r="G107" s="273">
        <f>'DADOS A INSERIR'!$F$13/(44*4)</f>
        <v>28.009034090909093</v>
      </c>
      <c r="H107" s="237">
        <f t="shared" si="15"/>
        <v>2240.7199999999998</v>
      </c>
      <c r="J107" s="253"/>
      <c r="K107" s="253"/>
      <c r="L107" s="253"/>
      <c r="M107" s="253"/>
    </row>
    <row r="108" spans="1:13">
      <c r="A108" s="270" t="s">
        <v>294</v>
      </c>
      <c r="B108" s="272" t="s">
        <v>18</v>
      </c>
      <c r="C108" s="242" t="s">
        <v>89</v>
      </c>
      <c r="D108" s="139">
        <f>'Composições-Projetos'!J9</f>
        <v>80</v>
      </c>
      <c r="E108" s="273">
        <f>'DADOS A INSERIR'!$E$14/(44*4)</f>
        <v>19.298749999999998</v>
      </c>
      <c r="F108" s="283">
        <f t="shared" si="14"/>
        <v>1543.9</v>
      </c>
      <c r="G108" s="273">
        <f>'DADOS A INSERIR'!$F$14/(44*4)</f>
        <v>17.272897727272728</v>
      </c>
      <c r="H108" s="237">
        <f t="shared" si="15"/>
        <v>1381.83</v>
      </c>
      <c r="J108" s="253"/>
      <c r="K108" s="253"/>
      <c r="L108" s="253"/>
      <c r="M108" s="253"/>
    </row>
    <row r="109" spans="1:13">
      <c r="A109" s="270" t="s">
        <v>295</v>
      </c>
      <c r="B109" s="274" t="s">
        <v>354</v>
      </c>
      <c r="C109" s="242" t="s">
        <v>193</v>
      </c>
      <c r="D109" s="137"/>
      <c r="E109" s="273">
        <f>'DADOS A INSERIR'!$E$27</f>
        <v>45.4</v>
      </c>
      <c r="F109" s="283">
        <f t="shared" si="14"/>
        <v>0</v>
      </c>
      <c r="G109" s="273">
        <f>'DADOS A INSERIR'!$F$27</f>
        <v>45.4</v>
      </c>
      <c r="H109" s="237">
        <f t="shared" si="15"/>
        <v>0</v>
      </c>
      <c r="J109" s="253"/>
    </row>
    <row r="110" spans="1:13">
      <c r="A110" s="270" t="s">
        <v>296</v>
      </c>
      <c r="B110" s="272" t="s">
        <v>329</v>
      </c>
      <c r="C110" s="242" t="s">
        <v>9</v>
      </c>
      <c r="D110" s="137"/>
      <c r="E110" s="273">
        <f>'DADOS A INSERIR'!$E$40</f>
        <v>0.15</v>
      </c>
      <c r="F110" s="283">
        <f t="shared" si="14"/>
        <v>0</v>
      </c>
      <c r="G110" s="273">
        <f>'DADOS A INSERIR'!$F$40</f>
        <v>0.15</v>
      </c>
      <c r="H110" s="237">
        <f t="shared" si="15"/>
        <v>0</v>
      </c>
      <c r="J110" s="253"/>
      <c r="K110" s="253"/>
      <c r="L110" s="253"/>
      <c r="M110" s="253"/>
    </row>
    <row r="111" spans="1:13">
      <c r="A111" s="270" t="s">
        <v>297</v>
      </c>
      <c r="B111" s="272" t="s">
        <v>91</v>
      </c>
      <c r="C111" s="242" t="s">
        <v>9</v>
      </c>
      <c r="D111" s="137"/>
      <c r="E111" s="273">
        <f>'DADOS A INSERIR'!$E$41</f>
        <v>2</v>
      </c>
      <c r="F111" s="283">
        <f t="shared" si="14"/>
        <v>0</v>
      </c>
      <c r="G111" s="273">
        <f>'DADOS A INSERIR'!$F$41</f>
        <v>2</v>
      </c>
      <c r="H111" s="237">
        <f t="shared" si="15"/>
        <v>0</v>
      </c>
      <c r="J111" s="253"/>
      <c r="K111" s="253"/>
      <c r="L111" s="253"/>
      <c r="M111" s="253"/>
    </row>
    <row r="112" spans="1:13">
      <c r="A112" s="270" t="s">
        <v>298</v>
      </c>
      <c r="B112" s="272" t="s">
        <v>336</v>
      </c>
      <c r="C112" s="242" t="s">
        <v>9</v>
      </c>
      <c r="D112" s="139">
        <f>'Composições-Projetos'!C9</f>
        <v>8</v>
      </c>
      <c r="E112" s="273">
        <f>'DADOS A INSERIR'!$E$42</f>
        <v>30</v>
      </c>
      <c r="F112" s="283">
        <f t="shared" si="14"/>
        <v>240</v>
      </c>
      <c r="G112" s="273">
        <f>'DADOS A INSERIR'!$F$42</f>
        <v>30</v>
      </c>
      <c r="H112" s="237">
        <f t="shared" si="15"/>
        <v>240</v>
      </c>
      <c r="K112" s="253"/>
      <c r="L112" s="253"/>
      <c r="M112" s="253"/>
    </row>
    <row r="113" spans="1:13">
      <c r="A113" s="270" t="s">
        <v>341</v>
      </c>
      <c r="B113" s="272" t="s">
        <v>327</v>
      </c>
      <c r="C113" s="242" t="s">
        <v>9</v>
      </c>
      <c r="D113" s="137"/>
      <c r="E113" s="273">
        <f>'DADOS A INSERIR'!$E$34</f>
        <v>1.5</v>
      </c>
      <c r="F113" s="283">
        <f t="shared" si="14"/>
        <v>0</v>
      </c>
      <c r="G113" s="273">
        <f>'DADOS A INSERIR'!$F$34</f>
        <v>1.5</v>
      </c>
      <c r="H113" s="237">
        <f t="shared" si="15"/>
        <v>0</v>
      </c>
      <c r="J113" s="253"/>
      <c r="K113" s="253"/>
      <c r="L113" s="253"/>
      <c r="M113" s="253"/>
    </row>
    <row r="114" spans="1:13">
      <c r="A114" s="270" t="s">
        <v>342</v>
      </c>
      <c r="B114" s="272" t="s">
        <v>94</v>
      </c>
      <c r="C114" s="242" t="s">
        <v>9</v>
      </c>
      <c r="D114" s="137"/>
      <c r="E114" s="273">
        <f>'DADOS A INSERIR'!$E$43</f>
        <v>35</v>
      </c>
      <c r="F114" s="283">
        <f t="shared" si="14"/>
        <v>0</v>
      </c>
      <c r="G114" s="273">
        <f>'DADOS A INSERIR'!$F$43</f>
        <v>35</v>
      </c>
      <c r="H114" s="237">
        <f t="shared" si="15"/>
        <v>0</v>
      </c>
      <c r="J114" s="253"/>
      <c r="K114" s="253"/>
      <c r="L114" s="253"/>
      <c r="M114" s="253"/>
    </row>
    <row r="115" spans="1:13">
      <c r="A115" s="275"/>
      <c r="B115" s="303"/>
      <c r="C115" s="304"/>
      <c r="D115" s="305"/>
      <c r="E115" s="306" t="s">
        <v>419</v>
      </c>
      <c r="F115" s="296">
        <f>SUM(F104:F114)</f>
        <v>13235.609999999999</v>
      </c>
      <c r="G115" s="252"/>
      <c r="H115" s="296">
        <f>SUM(H104:H114)</f>
        <v>11564.859999999999</v>
      </c>
      <c r="J115" s="253"/>
      <c r="K115" s="253"/>
      <c r="L115" s="253"/>
      <c r="M115" s="253"/>
    </row>
    <row r="116" spans="1:13">
      <c r="A116" s="277" t="s">
        <v>261</v>
      </c>
      <c r="B116" s="307" t="s">
        <v>446</v>
      </c>
      <c r="C116" s="279"/>
      <c r="D116" s="280"/>
      <c r="E116" s="281"/>
      <c r="F116" s="282"/>
      <c r="G116" s="308"/>
      <c r="H116" s="230"/>
      <c r="J116" s="253"/>
      <c r="K116" s="253"/>
      <c r="L116" s="253"/>
      <c r="M116" s="253"/>
    </row>
    <row r="117" spans="1:13">
      <c r="A117" s="270" t="s">
        <v>299</v>
      </c>
      <c r="B117" s="271" t="s">
        <v>17</v>
      </c>
      <c r="C117" s="234" t="s">
        <v>89</v>
      </c>
      <c r="D117" s="139">
        <f>'Composições-Projetos'!D10</f>
        <v>4</v>
      </c>
      <c r="E117" s="235">
        <f>'DADOS A INSERIR'!$E$6/(44*4)</f>
        <v>140.38193181818181</v>
      </c>
      <c r="F117" s="283">
        <f t="shared" ref="F117:F128" si="16">ROUND(E117*D117,2)</f>
        <v>561.53</v>
      </c>
      <c r="G117" s="235">
        <f>'DADOS A INSERIR'!$F$6/(44*4)</f>
        <v>121.39267045454545</v>
      </c>
      <c r="H117" s="237">
        <f t="shared" ref="H117:H128" si="17">ROUND(G117*D117,2)</f>
        <v>485.57</v>
      </c>
      <c r="J117" s="253"/>
      <c r="K117" s="253"/>
      <c r="L117" s="253"/>
      <c r="M117" s="253"/>
    </row>
    <row r="118" spans="1:13">
      <c r="A118" s="270" t="s">
        <v>300</v>
      </c>
      <c r="B118" s="272" t="s">
        <v>268</v>
      </c>
      <c r="C118" s="310" t="s">
        <v>89</v>
      </c>
      <c r="D118" s="139">
        <f>'Composições-Projetos'!E10</f>
        <v>4</v>
      </c>
      <c r="E118" s="273">
        <f>'DADOS A INSERIR'!$E$7/(44*4)</f>
        <v>85.032897727272726</v>
      </c>
      <c r="F118" s="283">
        <f t="shared" si="16"/>
        <v>340.13</v>
      </c>
      <c r="G118" s="235">
        <f>'DADOS A INSERIR'!$F$7/(44*4)</f>
        <v>73.557500000000005</v>
      </c>
      <c r="H118" s="237">
        <f t="shared" si="17"/>
        <v>294.23</v>
      </c>
      <c r="J118" s="253"/>
      <c r="K118" s="253"/>
      <c r="L118" s="253"/>
      <c r="M118" s="253"/>
    </row>
    <row r="119" spans="1:13">
      <c r="A119" s="270" t="s">
        <v>301</v>
      </c>
      <c r="B119" s="272" t="s">
        <v>269</v>
      </c>
      <c r="C119" s="310" t="s">
        <v>89</v>
      </c>
      <c r="D119" s="139">
        <f>'Composições-Projetos'!F10</f>
        <v>16</v>
      </c>
      <c r="E119" s="273">
        <f>'DADOS A INSERIR'!$E$8/(44*4)</f>
        <v>85.032897727272726</v>
      </c>
      <c r="F119" s="283">
        <f t="shared" si="16"/>
        <v>1360.53</v>
      </c>
      <c r="G119" s="273">
        <f>'DADOS A INSERIR'!$F$8/(44*4)</f>
        <v>73.557500000000005</v>
      </c>
      <c r="H119" s="237">
        <f t="shared" si="17"/>
        <v>1176.92</v>
      </c>
      <c r="J119" s="253"/>
      <c r="K119" s="253"/>
      <c r="L119" s="253"/>
      <c r="M119" s="253"/>
    </row>
    <row r="120" spans="1:13">
      <c r="A120" s="270" t="s">
        <v>302</v>
      </c>
      <c r="B120" s="272" t="s">
        <v>271</v>
      </c>
      <c r="C120" s="310" t="s">
        <v>89</v>
      </c>
      <c r="D120" s="139">
        <f>'Composições-Projetos'!H10</f>
        <v>20</v>
      </c>
      <c r="E120" s="273">
        <f>'DADOS A INSERIR'!$E$12/(44*4)</f>
        <v>15.219431818181818</v>
      </c>
      <c r="F120" s="283">
        <f t="shared" si="16"/>
        <v>304.39</v>
      </c>
      <c r="G120" s="273">
        <f>'DADOS A INSERIR'!$F$12/(44*4)</f>
        <v>13.154318181818182</v>
      </c>
      <c r="H120" s="237">
        <f t="shared" si="17"/>
        <v>263.08999999999997</v>
      </c>
      <c r="J120" s="253"/>
      <c r="K120" s="253"/>
      <c r="L120" s="253"/>
      <c r="M120" s="253"/>
    </row>
    <row r="121" spans="1:13">
      <c r="A121" s="270" t="s">
        <v>303</v>
      </c>
      <c r="B121" s="272" t="s">
        <v>125</v>
      </c>
      <c r="C121" s="310" t="s">
        <v>89</v>
      </c>
      <c r="D121" s="139">
        <f>'Composições-Projetos'!I10</f>
        <v>20</v>
      </c>
      <c r="E121" s="273">
        <f>'DADOS A INSERIR'!$E$13/(44*4)</f>
        <v>31.824261363636364</v>
      </c>
      <c r="F121" s="283">
        <f t="shared" si="16"/>
        <v>636.49</v>
      </c>
      <c r="G121" s="273">
        <f>'DADOS A INSERIR'!$F$13/(44*4)</f>
        <v>28.009034090909093</v>
      </c>
      <c r="H121" s="237">
        <f t="shared" si="17"/>
        <v>560.17999999999995</v>
      </c>
      <c r="J121" s="253"/>
      <c r="K121" s="253"/>
      <c r="L121" s="253"/>
      <c r="M121" s="253"/>
    </row>
    <row r="122" spans="1:13">
      <c r="A122" s="270" t="s">
        <v>304</v>
      </c>
      <c r="B122" s="272" t="s">
        <v>18</v>
      </c>
      <c r="C122" s="310" t="s">
        <v>89</v>
      </c>
      <c r="D122" s="139">
        <f>'Composições-Projetos'!J10</f>
        <v>20</v>
      </c>
      <c r="E122" s="273">
        <f>'DADOS A INSERIR'!$E$14/(44*4)</f>
        <v>19.298749999999998</v>
      </c>
      <c r="F122" s="283">
        <f t="shared" si="16"/>
        <v>385.98</v>
      </c>
      <c r="G122" s="273">
        <f>'DADOS A INSERIR'!$F$14/(44*4)</f>
        <v>17.272897727272728</v>
      </c>
      <c r="H122" s="237">
        <f t="shared" si="17"/>
        <v>345.46</v>
      </c>
      <c r="J122" s="253"/>
      <c r="K122" s="253"/>
      <c r="L122" s="253"/>
      <c r="M122" s="253"/>
    </row>
    <row r="123" spans="1:13">
      <c r="A123" s="270" t="s">
        <v>305</v>
      </c>
      <c r="B123" s="274" t="s">
        <v>354</v>
      </c>
      <c r="C123" s="242" t="s">
        <v>193</v>
      </c>
      <c r="D123" s="137"/>
      <c r="E123" s="273">
        <f>'DADOS A INSERIR'!$E$27</f>
        <v>45.4</v>
      </c>
      <c r="F123" s="283">
        <f t="shared" si="16"/>
        <v>0</v>
      </c>
      <c r="G123" s="273">
        <f>'DADOS A INSERIR'!$F$27</f>
        <v>45.4</v>
      </c>
      <c r="H123" s="237">
        <f t="shared" si="17"/>
        <v>0</v>
      </c>
      <c r="J123" s="253"/>
      <c r="K123" s="253"/>
      <c r="L123" s="253"/>
      <c r="M123" s="253"/>
    </row>
    <row r="124" spans="1:13">
      <c r="A124" s="270" t="s">
        <v>306</v>
      </c>
      <c r="B124" s="272" t="s">
        <v>329</v>
      </c>
      <c r="C124" s="242" t="s">
        <v>9</v>
      </c>
      <c r="D124" s="137"/>
      <c r="E124" s="273">
        <f>'DADOS A INSERIR'!$E$40</f>
        <v>0.15</v>
      </c>
      <c r="F124" s="283">
        <f t="shared" si="16"/>
        <v>0</v>
      </c>
      <c r="G124" s="273">
        <f>'DADOS A INSERIR'!$F$40</f>
        <v>0.15</v>
      </c>
      <c r="H124" s="237">
        <f t="shared" si="17"/>
        <v>0</v>
      </c>
      <c r="J124" s="253"/>
    </row>
    <row r="125" spans="1:13">
      <c r="A125" s="270" t="s">
        <v>337</v>
      </c>
      <c r="B125" s="272" t="s">
        <v>91</v>
      </c>
      <c r="C125" s="242" t="s">
        <v>9</v>
      </c>
      <c r="D125" s="137"/>
      <c r="E125" s="273">
        <f>'DADOS A INSERIR'!$E$41</f>
        <v>2</v>
      </c>
      <c r="F125" s="283">
        <f t="shared" si="16"/>
        <v>0</v>
      </c>
      <c r="G125" s="273">
        <f>'DADOS A INSERIR'!$F$41</f>
        <v>2</v>
      </c>
      <c r="H125" s="237">
        <f t="shared" si="17"/>
        <v>0</v>
      </c>
      <c r="J125" s="253"/>
    </row>
    <row r="126" spans="1:13">
      <c r="A126" s="270" t="s">
        <v>338</v>
      </c>
      <c r="B126" s="272" t="s">
        <v>336</v>
      </c>
      <c r="C126" s="242" t="s">
        <v>9</v>
      </c>
      <c r="D126" s="139">
        <f>'Composições-Projetos'!C10</f>
        <v>2</v>
      </c>
      <c r="E126" s="273">
        <f>'DADOS A INSERIR'!$E$42</f>
        <v>30</v>
      </c>
      <c r="F126" s="283">
        <f t="shared" si="16"/>
        <v>60</v>
      </c>
      <c r="G126" s="273">
        <f>'DADOS A INSERIR'!$F$42</f>
        <v>30</v>
      </c>
      <c r="H126" s="237">
        <f t="shared" si="17"/>
        <v>60</v>
      </c>
      <c r="J126" s="253"/>
    </row>
    <row r="127" spans="1:13">
      <c r="A127" s="270" t="s">
        <v>339</v>
      </c>
      <c r="B127" s="272" t="s">
        <v>327</v>
      </c>
      <c r="C127" s="242" t="s">
        <v>9</v>
      </c>
      <c r="D127" s="137"/>
      <c r="E127" s="273">
        <f>'DADOS A INSERIR'!$E$34</f>
        <v>1.5</v>
      </c>
      <c r="F127" s="283">
        <f t="shared" si="16"/>
        <v>0</v>
      </c>
      <c r="G127" s="273">
        <f>'DADOS A INSERIR'!$F$34</f>
        <v>1.5</v>
      </c>
      <c r="H127" s="237">
        <f t="shared" si="17"/>
        <v>0</v>
      </c>
    </row>
    <row r="128" spans="1:13">
      <c r="A128" s="270" t="s">
        <v>340</v>
      </c>
      <c r="B128" s="272" t="s">
        <v>94</v>
      </c>
      <c r="C128" s="242" t="s">
        <v>9</v>
      </c>
      <c r="D128" s="137"/>
      <c r="E128" s="273">
        <f>'DADOS A INSERIR'!$E$43</f>
        <v>35</v>
      </c>
      <c r="F128" s="283">
        <f t="shared" si="16"/>
        <v>0</v>
      </c>
      <c r="G128" s="273">
        <f>'DADOS A INSERIR'!$F$43</f>
        <v>35</v>
      </c>
      <c r="H128" s="237">
        <f t="shared" si="17"/>
        <v>0</v>
      </c>
    </row>
    <row r="129" spans="1:13">
      <c r="A129" s="275"/>
      <c r="B129" s="303"/>
      <c r="C129" s="304"/>
      <c r="D129" s="305"/>
      <c r="E129" s="306" t="s">
        <v>447</v>
      </c>
      <c r="F129" s="296">
        <f>SUM(F117:F128)</f>
        <v>3649.0499999999997</v>
      </c>
      <c r="G129" s="252"/>
      <c r="H129" s="296">
        <f>SUM(H117:H128)</f>
        <v>3185.45</v>
      </c>
    </row>
    <row r="130" spans="1:13">
      <c r="A130" s="277" t="s">
        <v>448</v>
      </c>
      <c r="B130" s="307" t="s">
        <v>418</v>
      </c>
      <c r="C130" s="279"/>
      <c r="D130" s="280"/>
      <c r="E130" s="281"/>
      <c r="F130" s="282"/>
      <c r="G130" s="308"/>
      <c r="H130" s="230"/>
      <c r="J130" s="253"/>
      <c r="K130" s="253"/>
      <c r="L130" s="253"/>
      <c r="M130" s="253"/>
    </row>
    <row r="131" spans="1:13">
      <c r="A131" s="270" t="s">
        <v>449</v>
      </c>
      <c r="B131" s="271" t="s">
        <v>17</v>
      </c>
      <c r="C131" s="234" t="s">
        <v>89</v>
      </c>
      <c r="D131" s="137"/>
      <c r="E131" s="235">
        <f>'DADOS A INSERIR'!$E$6/(44*4)</f>
        <v>140.38193181818181</v>
      </c>
      <c r="F131" s="283">
        <f t="shared" ref="F131:F143" si="18">ROUND(E131*D131,2)</f>
        <v>0</v>
      </c>
      <c r="G131" s="235">
        <f>'DADOS A INSERIR'!$F$6/(44*4)</f>
        <v>121.39267045454545</v>
      </c>
      <c r="H131" s="237">
        <f t="shared" ref="H131:H143" si="19">ROUND(G131*D131,2)</f>
        <v>0</v>
      </c>
      <c r="J131" s="253"/>
      <c r="K131" s="253"/>
      <c r="L131" s="253"/>
      <c r="M131" s="253"/>
    </row>
    <row r="132" spans="1:13">
      <c r="A132" s="270" t="s">
        <v>450</v>
      </c>
      <c r="B132" s="272" t="s">
        <v>268</v>
      </c>
      <c r="C132" s="310" t="s">
        <v>89</v>
      </c>
      <c r="D132" s="137"/>
      <c r="E132" s="273">
        <f>'DADOS A INSERIR'!$E$7/(44*4)</f>
        <v>85.032897727272726</v>
      </c>
      <c r="F132" s="283">
        <f t="shared" si="18"/>
        <v>0</v>
      </c>
      <c r="G132" s="235">
        <f>'DADOS A INSERIR'!$F$7/(44*4)</f>
        <v>73.557500000000005</v>
      </c>
      <c r="H132" s="237">
        <f t="shared" si="19"/>
        <v>0</v>
      </c>
      <c r="J132" s="253"/>
      <c r="K132" s="253"/>
      <c r="L132" s="253"/>
      <c r="M132" s="253"/>
    </row>
    <row r="133" spans="1:13">
      <c r="A133" s="270" t="s">
        <v>451</v>
      </c>
      <c r="B133" s="272" t="s">
        <v>269</v>
      </c>
      <c r="C133" s="310" t="s">
        <v>89</v>
      </c>
      <c r="D133" s="137"/>
      <c r="E133" s="273">
        <f>'DADOS A INSERIR'!$E$8/(44*4)</f>
        <v>85.032897727272726</v>
      </c>
      <c r="F133" s="283">
        <f t="shared" si="18"/>
        <v>0</v>
      </c>
      <c r="G133" s="273">
        <f>'DADOS A INSERIR'!$F$8/(44*4)</f>
        <v>73.557500000000005</v>
      </c>
      <c r="H133" s="237">
        <f t="shared" si="19"/>
        <v>0</v>
      </c>
      <c r="J133" s="253"/>
      <c r="K133" s="253"/>
      <c r="L133" s="253"/>
      <c r="M133" s="253"/>
    </row>
    <row r="134" spans="1:13">
      <c r="A134" s="270" t="s">
        <v>452</v>
      </c>
      <c r="B134" s="272" t="s">
        <v>270</v>
      </c>
      <c r="C134" s="310" t="s">
        <v>89</v>
      </c>
      <c r="D134" s="137"/>
      <c r="E134" s="273">
        <f>'DADOS A INSERIR'!$E$10/(44*4)</f>
        <v>85.032897727272726</v>
      </c>
      <c r="F134" s="283">
        <f t="shared" si="18"/>
        <v>0</v>
      </c>
      <c r="G134" s="273">
        <f>'DADOS A INSERIR'!$F$10/(44*4)</f>
        <v>73.557500000000005</v>
      </c>
      <c r="H134" s="237">
        <f t="shared" si="19"/>
        <v>0</v>
      </c>
      <c r="J134" s="253"/>
      <c r="K134" s="253"/>
      <c r="L134" s="253"/>
      <c r="M134" s="253"/>
    </row>
    <row r="135" spans="1:13">
      <c r="A135" s="270" t="s">
        <v>453</v>
      </c>
      <c r="B135" s="272" t="s">
        <v>271</v>
      </c>
      <c r="C135" s="310" t="s">
        <v>89</v>
      </c>
      <c r="D135" s="137"/>
      <c r="E135" s="273">
        <f>'DADOS A INSERIR'!$E$12/(44*4)</f>
        <v>15.219431818181818</v>
      </c>
      <c r="F135" s="283">
        <f t="shared" si="18"/>
        <v>0</v>
      </c>
      <c r="G135" s="273">
        <f>'DADOS A INSERIR'!$F$12/(44*4)</f>
        <v>13.154318181818182</v>
      </c>
      <c r="H135" s="237">
        <f t="shared" si="19"/>
        <v>0</v>
      </c>
      <c r="J135" s="253"/>
      <c r="K135" s="253"/>
      <c r="L135" s="253"/>
      <c r="M135" s="253"/>
    </row>
    <row r="136" spans="1:13">
      <c r="A136" s="270" t="s">
        <v>454</v>
      </c>
      <c r="B136" s="272" t="s">
        <v>125</v>
      </c>
      <c r="C136" s="310" t="s">
        <v>89</v>
      </c>
      <c r="D136" s="137"/>
      <c r="E136" s="273">
        <f>'DADOS A INSERIR'!$E$13/(44*4)</f>
        <v>31.824261363636364</v>
      </c>
      <c r="F136" s="283">
        <f t="shared" si="18"/>
        <v>0</v>
      </c>
      <c r="G136" s="273">
        <f>'DADOS A INSERIR'!$F$13/(44*4)</f>
        <v>28.009034090909093</v>
      </c>
      <c r="H136" s="237">
        <f t="shared" si="19"/>
        <v>0</v>
      </c>
      <c r="J136" s="253"/>
      <c r="K136" s="253"/>
      <c r="L136" s="253"/>
      <c r="M136" s="253"/>
    </row>
    <row r="137" spans="1:13">
      <c r="A137" s="270" t="s">
        <v>455</v>
      </c>
      <c r="B137" s="272" t="s">
        <v>18</v>
      </c>
      <c r="C137" s="310" t="s">
        <v>89</v>
      </c>
      <c r="D137" s="137"/>
      <c r="E137" s="273">
        <f>'DADOS A INSERIR'!$E$14/(44*4)</f>
        <v>19.298749999999998</v>
      </c>
      <c r="F137" s="283">
        <f t="shared" si="18"/>
        <v>0</v>
      </c>
      <c r="G137" s="273">
        <f>'DADOS A INSERIR'!$F$14/(44*4)</f>
        <v>17.272897727272728</v>
      </c>
      <c r="H137" s="237">
        <f t="shared" si="19"/>
        <v>0</v>
      </c>
      <c r="J137" s="253"/>
      <c r="K137" s="253"/>
      <c r="L137" s="253"/>
      <c r="M137" s="253"/>
    </row>
    <row r="138" spans="1:13">
      <c r="A138" s="270" t="s">
        <v>456</v>
      </c>
      <c r="B138" s="274" t="s">
        <v>354</v>
      </c>
      <c r="C138" s="242" t="s">
        <v>193</v>
      </c>
      <c r="D138" s="137"/>
      <c r="E138" s="273">
        <f>'DADOS A INSERIR'!$E$27</f>
        <v>45.4</v>
      </c>
      <c r="F138" s="283">
        <f t="shared" si="18"/>
        <v>0</v>
      </c>
      <c r="G138" s="273">
        <f>'DADOS A INSERIR'!$F$27</f>
        <v>45.4</v>
      </c>
      <c r="H138" s="237">
        <f t="shared" si="19"/>
        <v>0</v>
      </c>
      <c r="J138" s="253"/>
      <c r="K138" s="253"/>
      <c r="L138" s="253"/>
      <c r="M138" s="253"/>
    </row>
    <row r="139" spans="1:13">
      <c r="A139" s="270" t="s">
        <v>457</v>
      </c>
      <c r="B139" s="272" t="s">
        <v>329</v>
      </c>
      <c r="C139" s="242" t="s">
        <v>9</v>
      </c>
      <c r="D139" s="137"/>
      <c r="E139" s="273">
        <f>'DADOS A INSERIR'!$E$40</f>
        <v>0.15</v>
      </c>
      <c r="F139" s="283">
        <f t="shared" si="18"/>
        <v>0</v>
      </c>
      <c r="G139" s="273">
        <f>'DADOS A INSERIR'!$F$40</f>
        <v>0.15</v>
      </c>
      <c r="H139" s="237">
        <f t="shared" si="19"/>
        <v>0</v>
      </c>
      <c r="J139" s="253"/>
    </row>
    <row r="140" spans="1:13">
      <c r="A140" s="270" t="s">
        <v>458</v>
      </c>
      <c r="B140" s="272" t="s">
        <v>91</v>
      </c>
      <c r="C140" s="242" t="s">
        <v>9</v>
      </c>
      <c r="D140" s="137"/>
      <c r="E140" s="273">
        <f>'DADOS A INSERIR'!$E$41</f>
        <v>2</v>
      </c>
      <c r="F140" s="283">
        <f t="shared" si="18"/>
        <v>0</v>
      </c>
      <c r="G140" s="273">
        <f>'DADOS A INSERIR'!$F$41</f>
        <v>2</v>
      </c>
      <c r="H140" s="237">
        <f t="shared" si="19"/>
        <v>0</v>
      </c>
      <c r="J140" s="253"/>
    </row>
    <row r="141" spans="1:13">
      <c r="A141" s="270" t="s">
        <v>459</v>
      </c>
      <c r="B141" s="272" t="s">
        <v>336</v>
      </c>
      <c r="C141" s="242" t="s">
        <v>9</v>
      </c>
      <c r="D141" s="137"/>
      <c r="E141" s="273">
        <f>'DADOS A INSERIR'!$E$42</f>
        <v>30</v>
      </c>
      <c r="F141" s="283">
        <f t="shared" si="18"/>
        <v>0</v>
      </c>
      <c r="G141" s="273">
        <f>'DADOS A INSERIR'!$F$42</f>
        <v>30</v>
      </c>
      <c r="H141" s="237">
        <f t="shared" si="19"/>
        <v>0</v>
      </c>
      <c r="J141" s="253"/>
    </row>
    <row r="142" spans="1:13">
      <c r="A142" s="270" t="s">
        <v>460</v>
      </c>
      <c r="B142" s="272" t="s">
        <v>327</v>
      </c>
      <c r="C142" s="242" t="s">
        <v>9</v>
      </c>
      <c r="D142" s="137"/>
      <c r="E142" s="273">
        <f>'DADOS A INSERIR'!$E$34</f>
        <v>1.5</v>
      </c>
      <c r="F142" s="283">
        <f t="shared" si="18"/>
        <v>0</v>
      </c>
      <c r="G142" s="273">
        <f>'DADOS A INSERIR'!$F$34</f>
        <v>1.5</v>
      </c>
      <c r="H142" s="237">
        <f t="shared" si="19"/>
        <v>0</v>
      </c>
    </row>
    <row r="143" spans="1:13">
      <c r="A143" s="270" t="s">
        <v>461</v>
      </c>
      <c r="B143" s="272" t="s">
        <v>94</v>
      </c>
      <c r="C143" s="242" t="s">
        <v>9</v>
      </c>
      <c r="D143" s="137"/>
      <c r="E143" s="273">
        <f>'DADOS A INSERIR'!$E$43</f>
        <v>35</v>
      </c>
      <c r="F143" s="283">
        <f t="shared" si="18"/>
        <v>0</v>
      </c>
      <c r="G143" s="273">
        <f>'DADOS A INSERIR'!$F$43</f>
        <v>35</v>
      </c>
      <c r="H143" s="237">
        <f t="shared" si="19"/>
        <v>0</v>
      </c>
    </row>
    <row r="144" spans="1:13">
      <c r="A144" s="275"/>
      <c r="B144" s="303"/>
      <c r="C144" s="304"/>
      <c r="D144" s="305"/>
      <c r="E144" s="306" t="s">
        <v>462</v>
      </c>
      <c r="F144" s="296">
        <f>SUM(F131:F143)</f>
        <v>0</v>
      </c>
      <c r="G144" s="252"/>
      <c r="H144" s="296">
        <f>SUM(H131:H143)</f>
        <v>0</v>
      </c>
    </row>
    <row r="145" spans="1:8" ht="18.75">
      <c r="A145" s="367" t="s">
        <v>424</v>
      </c>
      <c r="B145" s="368"/>
      <c r="C145" s="368"/>
      <c r="D145" s="368"/>
      <c r="E145" s="369"/>
      <c r="F145" s="311">
        <f>SUM(F144,F129,F115,F102,F87,F70,F55,F41,F26)</f>
        <v>175839.77</v>
      </c>
      <c r="G145" s="311"/>
      <c r="H145" s="311">
        <f>SUM(H144,H129,H115,H102,H87,H70,H55,H41,H26)</f>
        <v>153222.91999999998</v>
      </c>
    </row>
    <row r="146" spans="1:8">
      <c r="A146" s="312"/>
      <c r="B146" s="313"/>
      <c r="C146" s="314"/>
      <c r="D146" s="313"/>
      <c r="E146" s="313"/>
      <c r="F146" s="315"/>
      <c r="G146" s="316"/>
      <c r="H146" s="317"/>
    </row>
    <row r="147" spans="1:8" ht="18.75">
      <c r="A147" s="367" t="s">
        <v>425</v>
      </c>
      <c r="B147" s="368"/>
      <c r="C147" s="368"/>
      <c r="D147" s="368"/>
      <c r="E147" s="369"/>
      <c r="F147" s="311">
        <f>F145*F8/100</f>
        <v>48585.057061536376</v>
      </c>
      <c r="G147" s="311"/>
      <c r="H147" s="311">
        <f>H145*H8/100</f>
        <v>52129.341247268792</v>
      </c>
    </row>
    <row r="148" spans="1:8">
      <c r="A148" s="312"/>
      <c r="B148" s="313"/>
      <c r="C148" s="314"/>
      <c r="D148" s="313"/>
      <c r="E148" s="313"/>
      <c r="F148" s="315"/>
      <c r="G148" s="316"/>
      <c r="H148" s="317"/>
    </row>
    <row r="149" spans="1:8" ht="18.75">
      <c r="A149" s="370" t="s">
        <v>426</v>
      </c>
      <c r="B149" s="371"/>
      <c r="C149" s="371"/>
      <c r="D149" s="371"/>
      <c r="E149" s="372"/>
      <c r="F149" s="318">
        <f>F145+F147</f>
        <v>224424.82706153637</v>
      </c>
      <c r="G149" s="318"/>
      <c r="H149" s="318">
        <f>H145+H147</f>
        <v>205352.26124726876</v>
      </c>
    </row>
    <row r="151" spans="1:8">
      <c r="F151" s="320"/>
    </row>
  </sheetData>
  <sheetProtection algorithmName="SHA-512" hashValue="mnSNrSLAj41yIEQpA9/sIbI2CLmDCa2injJtxqAaYtkCFfFAV3nT6dIxeyRbIzK2k4ShdnbLejBh0N00u1aDsQ==" saltValue="csiOuawFrniYVMemXMkH6g==" spinCount="100000" sheet="1" objects="1" scenarios="1" autoFilter="0"/>
  <autoFilter ref="A10:H145"/>
  <mergeCells count="14">
    <mergeCell ref="A3:B3"/>
    <mergeCell ref="A2:B2"/>
    <mergeCell ref="A1:B1"/>
    <mergeCell ref="A147:E147"/>
    <mergeCell ref="A149:E149"/>
    <mergeCell ref="A5:H5"/>
    <mergeCell ref="A145:E145"/>
    <mergeCell ref="A8:A9"/>
    <mergeCell ref="B8:B9"/>
    <mergeCell ref="C8:C9"/>
    <mergeCell ref="D8:D9"/>
    <mergeCell ref="D7:E7"/>
    <mergeCell ref="G7:H7"/>
    <mergeCell ref="C6:D6"/>
  </mergeCells>
  <pageMargins left="0.3" right="0.17" top="0.78740157480314965" bottom="0.78740157480314965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2:Q302"/>
  <sheetViews>
    <sheetView zoomScale="85" zoomScaleNormal="85" workbookViewId="0">
      <pane ySplit="2" topLeftCell="A3" activePane="bottomLeft" state="frozen"/>
      <selection pane="bottomLeft" activeCell="A3" sqref="A3:XFD3"/>
    </sheetView>
  </sheetViews>
  <sheetFormatPr defaultRowHeight="15"/>
  <cols>
    <col min="1" max="1" width="10.42578125" style="57" customWidth="1"/>
    <col min="2" max="2" width="65.7109375" style="57" customWidth="1"/>
    <col min="3" max="5" width="10.7109375" style="57" customWidth="1"/>
    <col min="6" max="6" width="14.7109375" style="101" bestFit="1" customWidth="1"/>
    <col min="7" max="7" width="10.7109375" style="57" customWidth="1"/>
    <col min="8" max="8" width="12.7109375" style="57" customWidth="1"/>
    <col min="9" max="9" width="10.7109375" style="41" customWidth="1"/>
    <col min="10" max="10" width="10.7109375" style="57" customWidth="1"/>
    <col min="11" max="11" width="65.7109375" style="57" customWidth="1"/>
    <col min="12" max="14" width="10.7109375" style="57" customWidth="1"/>
    <col min="15" max="15" width="14.7109375" style="57" customWidth="1"/>
    <col min="16" max="17" width="10.7109375" style="57" customWidth="1"/>
    <col min="18" max="16384" width="9.140625" style="41"/>
  </cols>
  <sheetData>
    <row r="2" spans="1:17">
      <c r="A2" s="443" t="s">
        <v>221</v>
      </c>
      <c r="B2" s="444"/>
      <c r="C2" s="444"/>
      <c r="D2" s="444"/>
      <c r="E2" s="444"/>
      <c r="F2" s="444"/>
      <c r="G2" s="444"/>
      <c r="H2" s="445"/>
      <c r="J2" s="442" t="s">
        <v>222</v>
      </c>
      <c r="K2" s="442"/>
      <c r="L2" s="442"/>
      <c r="M2" s="442"/>
      <c r="N2" s="442"/>
      <c r="O2" s="442"/>
      <c r="P2" s="442"/>
      <c r="Q2" s="442"/>
    </row>
    <row r="3" spans="1:17">
      <c r="A3" s="41"/>
      <c r="J3" s="41"/>
    </row>
    <row r="4" spans="1:17">
      <c r="A4" s="415" t="s">
        <v>167</v>
      </c>
      <c r="B4" s="415"/>
      <c r="C4" s="415"/>
      <c r="D4" s="415"/>
      <c r="E4" s="415"/>
      <c r="F4" s="415"/>
      <c r="G4" s="415"/>
      <c r="H4" s="415"/>
      <c r="J4" s="415" t="s">
        <v>330</v>
      </c>
      <c r="K4" s="415"/>
      <c r="L4" s="415"/>
      <c r="M4" s="415"/>
      <c r="N4" s="415"/>
      <c r="O4" s="415"/>
      <c r="P4" s="415"/>
      <c r="Q4" s="415"/>
    </row>
    <row r="5" spans="1:17">
      <c r="A5" s="398" t="s">
        <v>113</v>
      </c>
      <c r="B5" s="398"/>
      <c r="C5" s="398"/>
      <c r="D5" s="398"/>
      <c r="E5" s="398"/>
      <c r="F5" s="398"/>
      <c r="G5" s="398"/>
      <c r="H5" s="398"/>
      <c r="J5" s="398" t="s">
        <v>113</v>
      </c>
      <c r="K5" s="398"/>
      <c r="L5" s="398"/>
      <c r="M5" s="398"/>
      <c r="N5" s="398"/>
      <c r="O5" s="398"/>
      <c r="P5" s="398"/>
      <c r="Q5" s="398"/>
    </row>
    <row r="6" spans="1:17" ht="15" customHeight="1">
      <c r="A6" s="408" t="s">
        <v>188</v>
      </c>
      <c r="B6" s="409"/>
      <c r="C6" s="410"/>
      <c r="D6" s="109"/>
      <c r="E6" s="411" t="s">
        <v>140</v>
      </c>
      <c r="F6" s="412"/>
      <c r="G6" s="412"/>
      <c r="H6" s="413"/>
      <c r="J6" s="408" t="s">
        <v>188</v>
      </c>
      <c r="K6" s="409"/>
      <c r="L6" s="410"/>
      <c r="M6" s="109"/>
      <c r="N6" s="411" t="s">
        <v>140</v>
      </c>
      <c r="O6" s="412"/>
      <c r="P6" s="412"/>
      <c r="Q6" s="413"/>
    </row>
    <row r="7" spans="1:17">
      <c r="A7" s="416" t="s">
        <v>139</v>
      </c>
      <c r="B7" s="388"/>
      <c r="C7" s="388"/>
      <c r="D7" s="388"/>
      <c r="E7" s="388"/>
      <c r="F7" s="388"/>
      <c r="G7" s="388"/>
      <c r="H7" s="389"/>
      <c r="J7" s="416" t="s">
        <v>139</v>
      </c>
      <c r="K7" s="388"/>
      <c r="L7" s="388"/>
      <c r="M7" s="388"/>
      <c r="N7" s="388"/>
      <c r="O7" s="388"/>
      <c r="P7" s="388"/>
      <c r="Q7" s="389"/>
    </row>
    <row r="8" spans="1:17">
      <c r="A8" s="417" t="s">
        <v>117</v>
      </c>
      <c r="B8" s="388"/>
      <c r="C8" s="388"/>
      <c r="D8" s="388"/>
      <c r="E8" s="388"/>
      <c r="F8" s="388"/>
      <c r="G8" s="388"/>
      <c r="H8" s="389"/>
      <c r="J8" s="417" t="s">
        <v>117</v>
      </c>
      <c r="K8" s="388"/>
      <c r="L8" s="388"/>
      <c r="M8" s="388"/>
      <c r="N8" s="388"/>
      <c r="O8" s="388"/>
      <c r="P8" s="388"/>
      <c r="Q8" s="389"/>
    </row>
    <row r="9" spans="1:17">
      <c r="A9" s="418"/>
      <c r="B9" s="419"/>
      <c r="C9" s="419"/>
      <c r="D9" s="419"/>
      <c r="E9" s="419"/>
      <c r="F9" s="419"/>
      <c r="G9" s="419"/>
      <c r="H9" s="420"/>
      <c r="J9" s="418"/>
      <c r="K9" s="419"/>
      <c r="L9" s="419"/>
      <c r="M9" s="419"/>
      <c r="N9" s="419"/>
      <c r="O9" s="419"/>
      <c r="P9" s="419"/>
      <c r="Q9" s="420"/>
    </row>
    <row r="10" spans="1:17">
      <c r="A10" s="421" t="s">
        <v>118</v>
      </c>
      <c r="B10" s="421" t="s">
        <v>16</v>
      </c>
      <c r="C10" s="422" t="s">
        <v>162</v>
      </c>
      <c r="D10" s="422" t="s">
        <v>223</v>
      </c>
      <c r="E10" s="421" t="s">
        <v>19</v>
      </c>
      <c r="F10" s="441" t="s">
        <v>28</v>
      </c>
      <c r="G10" s="421" t="s">
        <v>119</v>
      </c>
      <c r="H10" s="421"/>
      <c r="J10" s="421" t="s">
        <v>118</v>
      </c>
      <c r="K10" s="421" t="s">
        <v>16</v>
      </c>
      <c r="L10" s="422" t="s">
        <v>162</v>
      </c>
      <c r="M10" s="422" t="s">
        <v>223</v>
      </c>
      <c r="N10" s="421" t="s">
        <v>19</v>
      </c>
      <c r="O10" s="421" t="s">
        <v>28</v>
      </c>
      <c r="P10" s="421" t="s">
        <v>119</v>
      </c>
      <c r="Q10" s="421"/>
    </row>
    <row r="11" spans="1:17" ht="30">
      <c r="A11" s="421"/>
      <c r="B11" s="421"/>
      <c r="C11" s="423"/>
      <c r="D11" s="423"/>
      <c r="E11" s="421"/>
      <c r="F11" s="441"/>
      <c r="G11" s="58" t="s">
        <v>120</v>
      </c>
      <c r="H11" s="58" t="s">
        <v>121</v>
      </c>
      <c r="J11" s="421"/>
      <c r="K11" s="421"/>
      <c r="L11" s="423"/>
      <c r="M11" s="423"/>
      <c r="N11" s="421"/>
      <c r="O11" s="421"/>
      <c r="P11" s="58" t="s">
        <v>120</v>
      </c>
      <c r="Q11" s="58" t="s">
        <v>121</v>
      </c>
    </row>
    <row r="12" spans="1:17">
      <c r="A12" s="52" t="s">
        <v>34</v>
      </c>
      <c r="B12" s="402" t="s">
        <v>41</v>
      </c>
      <c r="C12" s="402"/>
      <c r="D12" s="402"/>
      <c r="E12" s="402"/>
      <c r="F12" s="402"/>
      <c r="G12" s="402"/>
      <c r="H12" s="402"/>
      <c r="J12" s="52" t="s">
        <v>34</v>
      </c>
      <c r="K12" s="402" t="s">
        <v>41</v>
      </c>
      <c r="L12" s="402"/>
      <c r="M12" s="402"/>
      <c r="N12" s="402"/>
      <c r="O12" s="402"/>
      <c r="P12" s="402"/>
      <c r="Q12" s="402"/>
    </row>
    <row r="13" spans="1:17">
      <c r="A13" s="52" t="s">
        <v>35</v>
      </c>
      <c r="B13" s="54" t="s">
        <v>122</v>
      </c>
      <c r="C13" s="66">
        <v>7592</v>
      </c>
      <c r="D13" s="45" t="s">
        <v>228</v>
      </c>
      <c r="E13" s="52" t="s">
        <v>89</v>
      </c>
      <c r="F13" s="49">
        <v>1.6666E-2</v>
      </c>
      <c r="G13" s="141">
        <f>G37</f>
        <v>33.520000000000003</v>
      </c>
      <c r="H13" s="113">
        <f>ROUND(F13*G13,2)</f>
        <v>0.56000000000000005</v>
      </c>
      <c r="J13" s="52" t="s">
        <v>35</v>
      </c>
      <c r="K13" s="54" t="s">
        <v>122</v>
      </c>
      <c r="L13" s="66">
        <v>7592</v>
      </c>
      <c r="M13" s="45" t="s">
        <v>228</v>
      </c>
      <c r="N13" s="52" t="s">
        <v>89</v>
      </c>
      <c r="O13" s="49">
        <v>1.6666E-2</v>
      </c>
      <c r="P13" s="141">
        <f>P37</f>
        <v>29.54</v>
      </c>
      <c r="Q13" s="113">
        <f>ROUND(O13*P13,2)</f>
        <v>0.49</v>
      </c>
    </row>
    <row r="14" spans="1:17">
      <c r="A14" s="52" t="s">
        <v>36</v>
      </c>
      <c r="B14" s="54" t="s">
        <v>123</v>
      </c>
      <c r="C14" s="53">
        <v>244</v>
      </c>
      <c r="D14" s="45" t="s">
        <v>228</v>
      </c>
      <c r="E14" s="52" t="s">
        <v>89</v>
      </c>
      <c r="F14" s="49">
        <v>1.6666E-2</v>
      </c>
      <c r="G14" s="141">
        <f>G38</f>
        <v>27.35</v>
      </c>
      <c r="H14" s="113">
        <f>ROUND(F14*G14,2)</f>
        <v>0.46</v>
      </c>
      <c r="J14" s="52" t="s">
        <v>36</v>
      </c>
      <c r="K14" s="54" t="s">
        <v>123</v>
      </c>
      <c r="L14" s="53">
        <v>244</v>
      </c>
      <c r="M14" s="45" t="s">
        <v>228</v>
      </c>
      <c r="N14" s="52" t="s">
        <v>89</v>
      </c>
      <c r="O14" s="49">
        <v>1.6666E-2</v>
      </c>
      <c r="P14" s="141">
        <f>P38</f>
        <v>24.36</v>
      </c>
      <c r="Q14" s="113">
        <f>ROUND(O14*P14,2)</f>
        <v>0.41</v>
      </c>
    </row>
    <row r="15" spans="1:17">
      <c r="A15" s="52" t="s">
        <v>37</v>
      </c>
      <c r="B15" s="54" t="s">
        <v>124</v>
      </c>
      <c r="C15" s="53">
        <f>C39</f>
        <v>88241</v>
      </c>
      <c r="D15" s="45" t="s">
        <v>228</v>
      </c>
      <c r="E15" s="52" t="s">
        <v>89</v>
      </c>
      <c r="F15" s="49">
        <v>1.6666E-2</v>
      </c>
      <c r="G15" s="141">
        <f>G39</f>
        <v>15.78</v>
      </c>
      <c r="H15" s="113">
        <f>ROUND(F15*G15,2)</f>
        <v>0.26</v>
      </c>
      <c r="J15" s="52" t="s">
        <v>37</v>
      </c>
      <c r="K15" s="54" t="s">
        <v>124</v>
      </c>
      <c r="L15" s="53">
        <f>C39</f>
        <v>88241</v>
      </c>
      <c r="M15" s="45" t="s">
        <v>228</v>
      </c>
      <c r="N15" s="52" t="s">
        <v>89</v>
      </c>
      <c r="O15" s="49">
        <v>1.6666E-2</v>
      </c>
      <c r="P15" s="141">
        <f>P39</f>
        <v>14.36</v>
      </c>
      <c r="Q15" s="113">
        <f>ROUND(O15*P15,2)</f>
        <v>0.24</v>
      </c>
    </row>
    <row r="16" spans="1:17">
      <c r="A16" s="395" t="s">
        <v>126</v>
      </c>
      <c r="B16" s="396"/>
      <c r="C16" s="396"/>
      <c r="D16" s="396"/>
      <c r="E16" s="396"/>
      <c r="F16" s="397"/>
      <c r="G16" s="393">
        <f>H13+H14+H15</f>
        <v>1.28</v>
      </c>
      <c r="H16" s="414"/>
      <c r="J16" s="395" t="s">
        <v>126</v>
      </c>
      <c r="K16" s="396"/>
      <c r="L16" s="396"/>
      <c r="M16" s="396"/>
      <c r="N16" s="396"/>
      <c r="O16" s="397"/>
      <c r="P16" s="393">
        <f>Q13+Q14+Q15</f>
        <v>1.1399999999999999</v>
      </c>
      <c r="Q16" s="414"/>
    </row>
    <row r="17" spans="1:17">
      <c r="A17" s="52" t="s">
        <v>42</v>
      </c>
      <c r="B17" s="387" t="s">
        <v>128</v>
      </c>
      <c r="C17" s="388"/>
      <c r="D17" s="388"/>
      <c r="E17" s="388"/>
      <c r="F17" s="388"/>
      <c r="G17" s="388"/>
      <c r="H17" s="389"/>
      <c r="J17" s="52" t="s">
        <v>42</v>
      </c>
      <c r="K17" s="387" t="s">
        <v>128</v>
      </c>
      <c r="L17" s="388"/>
      <c r="M17" s="388"/>
      <c r="N17" s="388"/>
      <c r="O17" s="388"/>
      <c r="P17" s="388"/>
      <c r="Q17" s="389"/>
    </row>
    <row r="18" spans="1:17" ht="30">
      <c r="A18" s="103" t="s">
        <v>165</v>
      </c>
      <c r="B18" s="106" t="s">
        <v>317</v>
      </c>
      <c r="C18" s="66">
        <v>7592</v>
      </c>
      <c r="D18" s="45" t="s">
        <v>228</v>
      </c>
      <c r="E18" s="103" t="s">
        <v>89</v>
      </c>
      <c r="F18" s="49">
        <v>1.6666E-2</v>
      </c>
      <c r="G18" s="114">
        <f>G52</f>
        <v>33.520000000000003</v>
      </c>
      <c r="H18" s="115">
        <f>ROUND(F18*G18,2)</f>
        <v>0.56000000000000005</v>
      </c>
      <c r="J18" s="103" t="s">
        <v>165</v>
      </c>
      <c r="K18" s="106" t="s">
        <v>317</v>
      </c>
      <c r="L18" s="66">
        <v>7592</v>
      </c>
      <c r="M18" s="45" t="s">
        <v>228</v>
      </c>
      <c r="N18" s="103" t="s">
        <v>89</v>
      </c>
      <c r="O18" s="49">
        <v>1.6666E-2</v>
      </c>
      <c r="P18" s="114">
        <f>P52</f>
        <v>29.54</v>
      </c>
      <c r="Q18" s="115">
        <f>ROUND(O18*P18,2)</f>
        <v>0.49</v>
      </c>
    </row>
    <row r="19" spans="1:17" ht="30">
      <c r="A19" s="103" t="s">
        <v>189</v>
      </c>
      <c r="B19" s="62" t="s">
        <v>309</v>
      </c>
      <c r="C19" s="44">
        <v>7247</v>
      </c>
      <c r="D19" s="45" t="s">
        <v>228</v>
      </c>
      <c r="E19" s="52" t="s">
        <v>89</v>
      </c>
      <c r="F19" s="49">
        <v>1.6666E-2</v>
      </c>
      <c r="G19" s="116">
        <f>G43</f>
        <v>2.27</v>
      </c>
      <c r="H19" s="115">
        <f>ROUND(F19*G19,2)</f>
        <v>0.04</v>
      </c>
      <c r="J19" s="103" t="s">
        <v>189</v>
      </c>
      <c r="K19" s="62" t="s">
        <v>309</v>
      </c>
      <c r="L19" s="44">
        <v>7247</v>
      </c>
      <c r="M19" s="45" t="s">
        <v>228</v>
      </c>
      <c r="N19" s="52" t="s">
        <v>89</v>
      </c>
      <c r="O19" s="49">
        <v>1.6666E-2</v>
      </c>
      <c r="P19" s="116">
        <f>P43</f>
        <v>2.27</v>
      </c>
      <c r="Q19" s="115">
        <f>ROUND(O19*P19,2)</f>
        <v>0.04</v>
      </c>
    </row>
    <row r="20" spans="1:17">
      <c r="A20" s="103" t="s">
        <v>190</v>
      </c>
      <c r="B20" s="62" t="s">
        <v>308</v>
      </c>
      <c r="C20" s="44">
        <v>7252</v>
      </c>
      <c r="D20" s="45" t="s">
        <v>228</v>
      </c>
      <c r="E20" s="52" t="s">
        <v>89</v>
      </c>
      <c r="F20" s="49">
        <v>1.6666E-2</v>
      </c>
      <c r="G20" s="116">
        <f>G44</f>
        <v>2.27</v>
      </c>
      <c r="H20" s="115">
        <f>ROUND(F20*G20,2)</f>
        <v>0.04</v>
      </c>
      <c r="J20" s="103" t="s">
        <v>190</v>
      </c>
      <c r="K20" s="62" t="s">
        <v>308</v>
      </c>
      <c r="L20" s="44">
        <v>7252</v>
      </c>
      <c r="M20" s="45" t="s">
        <v>228</v>
      </c>
      <c r="N20" s="52" t="s">
        <v>89</v>
      </c>
      <c r="O20" s="49">
        <v>1.6666E-2</v>
      </c>
      <c r="P20" s="116">
        <f>P44</f>
        <v>2.27</v>
      </c>
      <c r="Q20" s="115">
        <f>ROUND(O20*P20,2)</f>
        <v>0.04</v>
      </c>
    </row>
    <row r="21" spans="1:17">
      <c r="A21" s="390" t="s">
        <v>127</v>
      </c>
      <c r="B21" s="391"/>
      <c r="C21" s="391"/>
      <c r="D21" s="391"/>
      <c r="E21" s="391"/>
      <c r="F21" s="392"/>
      <c r="G21" s="393">
        <f>H18+H19+H20</f>
        <v>0.64000000000000012</v>
      </c>
      <c r="H21" s="394"/>
      <c r="J21" s="390" t="s">
        <v>127</v>
      </c>
      <c r="K21" s="391"/>
      <c r="L21" s="391"/>
      <c r="M21" s="391"/>
      <c r="N21" s="391"/>
      <c r="O21" s="392"/>
      <c r="P21" s="393">
        <f>Q18+Q19+Q20</f>
        <v>0.57000000000000006</v>
      </c>
      <c r="Q21" s="394"/>
    </row>
    <row r="22" spans="1:17">
      <c r="A22" s="52" t="s">
        <v>43</v>
      </c>
      <c r="B22" s="387" t="s">
        <v>130</v>
      </c>
      <c r="C22" s="388"/>
      <c r="D22" s="388"/>
      <c r="E22" s="388"/>
      <c r="F22" s="388"/>
      <c r="G22" s="388"/>
      <c r="H22" s="389"/>
      <c r="J22" s="52" t="s">
        <v>43</v>
      </c>
      <c r="K22" s="387" t="s">
        <v>130</v>
      </c>
      <c r="L22" s="388"/>
      <c r="M22" s="388"/>
      <c r="N22" s="388"/>
      <c r="O22" s="388"/>
      <c r="P22" s="388"/>
      <c r="Q22" s="389"/>
    </row>
    <row r="23" spans="1:17">
      <c r="A23" s="52" t="s">
        <v>46</v>
      </c>
      <c r="B23" s="62" t="s">
        <v>360</v>
      </c>
      <c r="C23" s="45">
        <v>92138</v>
      </c>
      <c r="D23" s="45" t="s">
        <v>228</v>
      </c>
      <c r="E23" s="52" t="s">
        <v>191</v>
      </c>
      <c r="F23" s="49">
        <v>1.6666E-2</v>
      </c>
      <c r="G23" s="116">
        <f>G47</f>
        <v>120</v>
      </c>
      <c r="H23" s="113">
        <f>ROUND(F23*G23,2)</f>
        <v>2</v>
      </c>
      <c r="J23" s="52" t="s">
        <v>46</v>
      </c>
      <c r="K23" s="62" t="s">
        <v>360</v>
      </c>
      <c r="L23" s="45">
        <v>92138</v>
      </c>
      <c r="M23" s="45" t="s">
        <v>228</v>
      </c>
      <c r="N23" s="52" t="s">
        <v>191</v>
      </c>
      <c r="O23" s="49">
        <v>1.6666E-2</v>
      </c>
      <c r="P23" s="116">
        <f>P47</f>
        <v>117.57</v>
      </c>
      <c r="Q23" s="113">
        <f>ROUND(O23*P23,2)</f>
        <v>1.96</v>
      </c>
    </row>
    <row r="24" spans="1:17">
      <c r="A24" s="403" t="s">
        <v>126</v>
      </c>
      <c r="B24" s="404"/>
      <c r="C24" s="404"/>
      <c r="D24" s="404"/>
      <c r="E24" s="404"/>
      <c r="F24" s="405"/>
      <c r="G24" s="406">
        <f>H23</f>
        <v>2</v>
      </c>
      <c r="H24" s="407"/>
      <c r="J24" s="403" t="s">
        <v>126</v>
      </c>
      <c r="K24" s="404"/>
      <c r="L24" s="404"/>
      <c r="M24" s="404"/>
      <c r="N24" s="404"/>
      <c r="O24" s="405"/>
      <c r="P24" s="406">
        <f>Q23</f>
        <v>1.96</v>
      </c>
      <c r="Q24" s="407"/>
    </row>
    <row r="25" spans="1:17">
      <c r="A25" s="387"/>
      <c r="B25" s="388"/>
      <c r="C25" s="388"/>
      <c r="D25" s="388"/>
      <c r="E25" s="388"/>
      <c r="F25" s="388"/>
      <c r="G25" s="388"/>
      <c r="H25" s="389"/>
      <c r="J25" s="387"/>
      <c r="K25" s="388"/>
      <c r="L25" s="388"/>
      <c r="M25" s="388"/>
      <c r="N25" s="388"/>
      <c r="O25" s="388"/>
      <c r="P25" s="388"/>
      <c r="Q25" s="389"/>
    </row>
    <row r="26" spans="1:17">
      <c r="A26" s="382" t="s">
        <v>423</v>
      </c>
      <c r="B26" s="383"/>
      <c r="C26" s="383"/>
      <c r="D26" s="383"/>
      <c r="E26" s="383"/>
      <c r="F26" s="384"/>
      <c r="G26" s="385">
        <f>ROUND(G24+G21+G16,2)</f>
        <v>3.92</v>
      </c>
      <c r="H26" s="386"/>
      <c r="J26" s="382" t="s">
        <v>423</v>
      </c>
      <c r="K26" s="383"/>
      <c r="L26" s="383"/>
      <c r="M26" s="383"/>
      <c r="N26" s="383"/>
      <c r="O26" s="384"/>
      <c r="P26" s="385">
        <f>ROUND(P24+P21+P16,2)</f>
        <v>3.67</v>
      </c>
      <c r="Q26" s="386"/>
    </row>
    <row r="28" spans="1:17">
      <c r="A28" s="415" t="s">
        <v>163</v>
      </c>
      <c r="B28" s="415"/>
      <c r="C28" s="415"/>
      <c r="D28" s="415"/>
      <c r="E28" s="415"/>
      <c r="F28" s="415"/>
      <c r="G28" s="415"/>
      <c r="H28" s="415"/>
      <c r="J28" s="415" t="s">
        <v>330</v>
      </c>
      <c r="K28" s="415"/>
      <c r="L28" s="415"/>
      <c r="M28" s="415"/>
      <c r="N28" s="415"/>
      <c r="O28" s="415"/>
      <c r="P28" s="415"/>
      <c r="Q28" s="415"/>
    </row>
    <row r="29" spans="1:17">
      <c r="A29" s="398" t="s">
        <v>113</v>
      </c>
      <c r="B29" s="398"/>
      <c r="C29" s="398"/>
      <c r="D29" s="398"/>
      <c r="E29" s="398"/>
      <c r="F29" s="398"/>
      <c r="G29" s="398"/>
      <c r="H29" s="398"/>
      <c r="J29" s="398" t="s">
        <v>113</v>
      </c>
      <c r="K29" s="398"/>
      <c r="L29" s="398"/>
      <c r="M29" s="398"/>
      <c r="N29" s="398"/>
      <c r="O29" s="398"/>
      <c r="P29" s="398"/>
      <c r="Q29" s="398"/>
    </row>
    <row r="30" spans="1:17" ht="30" customHeight="1">
      <c r="A30" s="399" t="s">
        <v>114</v>
      </c>
      <c r="B30" s="400"/>
      <c r="C30" s="401"/>
      <c r="D30" s="102"/>
      <c r="E30" s="411" t="s">
        <v>115</v>
      </c>
      <c r="F30" s="412"/>
      <c r="G30" s="412"/>
      <c r="H30" s="413"/>
      <c r="J30" s="399" t="s">
        <v>114</v>
      </c>
      <c r="K30" s="400"/>
      <c r="L30" s="401"/>
      <c r="M30" s="102"/>
      <c r="N30" s="411" t="s">
        <v>115</v>
      </c>
      <c r="O30" s="412"/>
      <c r="P30" s="412"/>
      <c r="Q30" s="413"/>
    </row>
    <row r="31" spans="1:17">
      <c r="A31" s="416" t="s">
        <v>116</v>
      </c>
      <c r="B31" s="388"/>
      <c r="C31" s="388"/>
      <c r="D31" s="388"/>
      <c r="E31" s="388"/>
      <c r="F31" s="388"/>
      <c r="G31" s="388"/>
      <c r="H31" s="389"/>
      <c r="J31" s="416" t="s">
        <v>116</v>
      </c>
      <c r="K31" s="388"/>
      <c r="L31" s="388"/>
      <c r="M31" s="388"/>
      <c r="N31" s="388"/>
      <c r="O31" s="388"/>
      <c r="P31" s="388"/>
      <c r="Q31" s="389"/>
    </row>
    <row r="32" spans="1:17">
      <c r="A32" s="417" t="s">
        <v>117</v>
      </c>
      <c r="B32" s="388"/>
      <c r="C32" s="388"/>
      <c r="D32" s="388"/>
      <c r="E32" s="388"/>
      <c r="F32" s="388"/>
      <c r="G32" s="388"/>
      <c r="H32" s="389"/>
      <c r="J32" s="417" t="s">
        <v>117</v>
      </c>
      <c r="K32" s="439"/>
      <c r="L32" s="439"/>
      <c r="M32" s="439"/>
      <c r="N32" s="439"/>
      <c r="O32" s="439"/>
      <c r="P32" s="439"/>
      <c r="Q32" s="440"/>
    </row>
    <row r="33" spans="1:17">
      <c r="A33" s="418"/>
      <c r="B33" s="419"/>
      <c r="C33" s="419"/>
      <c r="D33" s="419"/>
      <c r="E33" s="419"/>
      <c r="F33" s="419"/>
      <c r="G33" s="419"/>
      <c r="H33" s="420"/>
      <c r="J33" s="418"/>
      <c r="K33" s="419"/>
      <c r="L33" s="419"/>
      <c r="M33" s="419"/>
      <c r="N33" s="419"/>
      <c r="O33" s="419"/>
      <c r="P33" s="419"/>
      <c r="Q33" s="420"/>
    </row>
    <row r="34" spans="1:17" s="57" customFormat="1">
      <c r="A34" s="421" t="s">
        <v>118</v>
      </c>
      <c r="B34" s="421" t="s">
        <v>16</v>
      </c>
      <c r="C34" s="422" t="s">
        <v>162</v>
      </c>
      <c r="D34" s="422" t="s">
        <v>223</v>
      </c>
      <c r="E34" s="421" t="s">
        <v>19</v>
      </c>
      <c r="F34" s="441" t="s">
        <v>28</v>
      </c>
      <c r="G34" s="421" t="s">
        <v>119</v>
      </c>
      <c r="H34" s="421"/>
      <c r="J34" s="421" t="s">
        <v>118</v>
      </c>
      <c r="K34" s="421" t="s">
        <v>16</v>
      </c>
      <c r="L34" s="422" t="s">
        <v>162</v>
      </c>
      <c r="M34" s="422" t="s">
        <v>223</v>
      </c>
      <c r="N34" s="421" t="s">
        <v>19</v>
      </c>
      <c r="O34" s="421" t="s">
        <v>28</v>
      </c>
      <c r="P34" s="421" t="s">
        <v>119</v>
      </c>
      <c r="Q34" s="421"/>
    </row>
    <row r="35" spans="1:17" s="57" customFormat="1" ht="30">
      <c r="A35" s="421"/>
      <c r="B35" s="421"/>
      <c r="C35" s="423"/>
      <c r="D35" s="423"/>
      <c r="E35" s="421"/>
      <c r="F35" s="441"/>
      <c r="G35" s="58" t="s">
        <v>120</v>
      </c>
      <c r="H35" s="58" t="s">
        <v>121</v>
      </c>
      <c r="J35" s="421"/>
      <c r="K35" s="421"/>
      <c r="L35" s="423"/>
      <c r="M35" s="423"/>
      <c r="N35" s="421"/>
      <c r="O35" s="421"/>
      <c r="P35" s="58" t="s">
        <v>120</v>
      </c>
      <c r="Q35" s="58" t="s">
        <v>121</v>
      </c>
    </row>
    <row r="36" spans="1:17">
      <c r="A36" s="52" t="s">
        <v>34</v>
      </c>
      <c r="B36" s="402" t="s">
        <v>41</v>
      </c>
      <c r="C36" s="402"/>
      <c r="D36" s="402"/>
      <c r="E36" s="402"/>
      <c r="F36" s="402"/>
      <c r="G36" s="402"/>
      <c r="H36" s="402"/>
      <c r="J36" s="52" t="s">
        <v>34</v>
      </c>
      <c r="K36" s="402" t="s">
        <v>41</v>
      </c>
      <c r="L36" s="402"/>
      <c r="M36" s="402"/>
      <c r="N36" s="402"/>
      <c r="O36" s="402"/>
      <c r="P36" s="402"/>
      <c r="Q36" s="402"/>
    </row>
    <row r="37" spans="1:17">
      <c r="A37" s="52" t="s">
        <v>35</v>
      </c>
      <c r="B37" s="54" t="s">
        <v>122</v>
      </c>
      <c r="C37" s="66">
        <v>90781</v>
      </c>
      <c r="D37" s="45" t="s">
        <v>228</v>
      </c>
      <c r="E37" s="52" t="s">
        <v>89</v>
      </c>
      <c r="F37" s="49">
        <v>67.253471999999988</v>
      </c>
      <c r="G37" s="47">
        <f>'DADOS A INSERIR'!E17</f>
        <v>33.520000000000003</v>
      </c>
      <c r="H37" s="54">
        <f>G37*F37</f>
        <v>2254.33638144</v>
      </c>
      <c r="J37" s="52" t="s">
        <v>35</v>
      </c>
      <c r="K37" s="54" t="s">
        <v>122</v>
      </c>
      <c r="L37" s="66">
        <f>C37</f>
        <v>90781</v>
      </c>
      <c r="M37" s="45" t="s">
        <v>228</v>
      </c>
      <c r="N37" s="52" t="s">
        <v>89</v>
      </c>
      <c r="O37" s="53">
        <v>67.253471999999988</v>
      </c>
      <c r="P37" s="47">
        <f>'DADOS A INSERIR'!F17</f>
        <v>29.54</v>
      </c>
      <c r="Q37" s="54">
        <f>P37*O37</f>
        <v>1986.6675628799997</v>
      </c>
    </row>
    <row r="38" spans="1:17">
      <c r="A38" s="103" t="s">
        <v>36</v>
      </c>
      <c r="B38" s="54" t="s">
        <v>123</v>
      </c>
      <c r="C38" s="53">
        <v>88253</v>
      </c>
      <c r="D38" s="45" t="s">
        <v>228</v>
      </c>
      <c r="E38" s="52" t="s">
        <v>89</v>
      </c>
      <c r="F38" s="49">
        <v>67.253471999999988</v>
      </c>
      <c r="G38" s="47">
        <f>'DADOS A INSERIR'!E18</f>
        <v>27.35</v>
      </c>
      <c r="H38" s="54">
        <f>G38*F38</f>
        <v>1839.3824591999999</v>
      </c>
      <c r="J38" s="103" t="s">
        <v>36</v>
      </c>
      <c r="K38" s="54" t="s">
        <v>123</v>
      </c>
      <c r="L38" s="66">
        <f>C38</f>
        <v>88253</v>
      </c>
      <c r="M38" s="45" t="s">
        <v>228</v>
      </c>
      <c r="N38" s="52" t="s">
        <v>89</v>
      </c>
      <c r="O38" s="53">
        <v>67.253471999999988</v>
      </c>
      <c r="P38" s="47">
        <f>'DADOS A INSERIR'!F18</f>
        <v>24.36</v>
      </c>
      <c r="Q38" s="54">
        <f>P38*O38</f>
        <v>1638.2945779199997</v>
      </c>
    </row>
    <row r="39" spans="1:17">
      <c r="A39" s="103" t="s">
        <v>37</v>
      </c>
      <c r="B39" s="54" t="s">
        <v>124</v>
      </c>
      <c r="C39" s="53">
        <v>88241</v>
      </c>
      <c r="D39" s="45" t="s">
        <v>228</v>
      </c>
      <c r="E39" s="52" t="s">
        <v>89</v>
      </c>
      <c r="F39" s="49">
        <v>134.50694399999998</v>
      </c>
      <c r="G39" s="47">
        <f>'DADOS A INSERIR'!E19</f>
        <v>15.78</v>
      </c>
      <c r="H39" s="54">
        <f>G39*F39</f>
        <v>2122.5195763199995</v>
      </c>
      <c r="J39" s="103" t="s">
        <v>37</v>
      </c>
      <c r="K39" s="54" t="s">
        <v>124</v>
      </c>
      <c r="L39" s="66">
        <f>C39</f>
        <v>88241</v>
      </c>
      <c r="M39" s="45" t="s">
        <v>228</v>
      </c>
      <c r="N39" s="52" t="s">
        <v>89</v>
      </c>
      <c r="O39" s="53">
        <v>134.50694399999998</v>
      </c>
      <c r="P39" s="47">
        <f>'DADOS A INSERIR'!F19</f>
        <v>14.36</v>
      </c>
      <c r="Q39" s="54">
        <f>P39*O39</f>
        <v>1931.5197158399997</v>
      </c>
    </row>
    <row r="40" spans="1:17">
      <c r="A40" s="103" t="s">
        <v>38</v>
      </c>
      <c r="B40" s="54" t="s">
        <v>125</v>
      </c>
      <c r="C40" s="53">
        <v>90775</v>
      </c>
      <c r="D40" s="45" t="s">
        <v>228</v>
      </c>
      <c r="E40" s="52" t="s">
        <v>89</v>
      </c>
      <c r="F40" s="49">
        <v>16.813367999999997</v>
      </c>
      <c r="G40" s="47">
        <f>'DADOS A INSERIR'!E15</f>
        <v>28.65</v>
      </c>
      <c r="H40" s="54">
        <f>G40*F40</f>
        <v>481.70299319999987</v>
      </c>
      <c r="J40" s="103" t="s">
        <v>38</v>
      </c>
      <c r="K40" s="54" t="s">
        <v>125</v>
      </c>
      <c r="L40" s="66">
        <f>C40</f>
        <v>90775</v>
      </c>
      <c r="M40" s="45" t="s">
        <v>228</v>
      </c>
      <c r="N40" s="52" t="s">
        <v>89</v>
      </c>
      <c r="O40" s="53">
        <v>16.813367999999997</v>
      </c>
      <c r="P40" s="47">
        <f>'DADOS A INSERIR'!F15</f>
        <v>24.82</v>
      </c>
      <c r="Q40" s="54">
        <f>P40*O40</f>
        <v>417.30779375999992</v>
      </c>
    </row>
    <row r="41" spans="1:17">
      <c r="A41" s="395" t="s">
        <v>126</v>
      </c>
      <c r="B41" s="396"/>
      <c r="C41" s="396"/>
      <c r="D41" s="396"/>
      <c r="E41" s="396"/>
      <c r="F41" s="397"/>
      <c r="G41" s="393">
        <f>H37+H38+H39+H40</f>
        <v>6697.9414101599987</v>
      </c>
      <c r="H41" s="414"/>
      <c r="J41" s="395" t="s">
        <v>126</v>
      </c>
      <c r="K41" s="396"/>
      <c r="L41" s="396"/>
      <c r="M41" s="396"/>
      <c r="N41" s="396"/>
      <c r="O41" s="397"/>
      <c r="P41" s="393">
        <f>Q37+Q38+Q39+Q40</f>
        <v>5973.7896503999991</v>
      </c>
      <c r="Q41" s="414"/>
    </row>
    <row r="42" spans="1:17">
      <c r="A42" s="52" t="s">
        <v>42</v>
      </c>
      <c r="B42" s="387" t="s">
        <v>128</v>
      </c>
      <c r="C42" s="388"/>
      <c r="D42" s="388"/>
      <c r="E42" s="388"/>
      <c r="F42" s="388"/>
      <c r="G42" s="388"/>
      <c r="H42" s="389"/>
      <c r="J42" s="52" t="s">
        <v>42</v>
      </c>
      <c r="K42" s="387" t="s">
        <v>128</v>
      </c>
      <c r="L42" s="388"/>
      <c r="M42" s="388"/>
      <c r="N42" s="388"/>
      <c r="O42" s="388"/>
      <c r="P42" s="388"/>
      <c r="Q42" s="389"/>
    </row>
    <row r="43" spans="1:17" ht="30">
      <c r="A43" s="52" t="s">
        <v>164</v>
      </c>
      <c r="B43" s="62" t="s">
        <v>309</v>
      </c>
      <c r="C43" s="44">
        <v>7247</v>
      </c>
      <c r="D43" s="45" t="s">
        <v>228</v>
      </c>
      <c r="E43" s="52" t="s">
        <v>89</v>
      </c>
      <c r="F43" s="49">
        <v>67.253471999999988</v>
      </c>
      <c r="G43" s="48">
        <f>'DADOS A INSERIR'!E24</f>
        <v>2.27</v>
      </c>
      <c r="H43" s="54">
        <f>G43*F43</f>
        <v>152.66538143999998</v>
      </c>
      <c r="J43" s="52" t="s">
        <v>164</v>
      </c>
      <c r="K43" s="62" t="s">
        <v>309</v>
      </c>
      <c r="L43" s="44">
        <v>7247</v>
      </c>
      <c r="M43" s="45" t="s">
        <v>228</v>
      </c>
      <c r="N43" s="52" t="s">
        <v>89</v>
      </c>
      <c r="O43" s="53">
        <v>67.253471999999988</v>
      </c>
      <c r="P43" s="48">
        <f>'DADOS A INSERIR'!F24</f>
        <v>2.27</v>
      </c>
      <c r="Q43" s="54">
        <f>P43*O43</f>
        <v>152.66538143999998</v>
      </c>
    </row>
    <row r="44" spans="1:17">
      <c r="A44" s="52" t="s">
        <v>165</v>
      </c>
      <c r="B44" s="62" t="s">
        <v>308</v>
      </c>
      <c r="C44" s="44">
        <v>7252</v>
      </c>
      <c r="D44" s="45" t="s">
        <v>228</v>
      </c>
      <c r="E44" s="52" t="s">
        <v>89</v>
      </c>
      <c r="F44" s="49">
        <v>67.253471999999988</v>
      </c>
      <c r="G44" s="48">
        <f>'DADOS A INSERIR'!E25</f>
        <v>2.27</v>
      </c>
      <c r="H44" s="54">
        <f>G44*F44</f>
        <v>152.66538143999998</v>
      </c>
      <c r="J44" s="52" t="s">
        <v>165</v>
      </c>
      <c r="K44" s="62" t="s">
        <v>308</v>
      </c>
      <c r="L44" s="44">
        <v>7252</v>
      </c>
      <c r="M44" s="45" t="s">
        <v>228</v>
      </c>
      <c r="N44" s="52" t="s">
        <v>89</v>
      </c>
      <c r="O44" s="53">
        <v>67.253471999999988</v>
      </c>
      <c r="P44" s="48">
        <f>'DADOS A INSERIR'!F25</f>
        <v>2.27</v>
      </c>
      <c r="Q44" s="54">
        <f>P44*O44</f>
        <v>152.66538143999998</v>
      </c>
    </row>
    <row r="45" spans="1:17">
      <c r="A45" s="390" t="s">
        <v>127</v>
      </c>
      <c r="B45" s="391"/>
      <c r="C45" s="391"/>
      <c r="D45" s="391"/>
      <c r="E45" s="391"/>
      <c r="F45" s="392"/>
      <c r="G45" s="393">
        <f>H43+H44</f>
        <v>305.33076287999995</v>
      </c>
      <c r="H45" s="394"/>
      <c r="J45" s="390" t="s">
        <v>127</v>
      </c>
      <c r="K45" s="391"/>
      <c r="L45" s="391"/>
      <c r="M45" s="391"/>
      <c r="N45" s="391"/>
      <c r="O45" s="392"/>
      <c r="P45" s="393">
        <f>Q43+Q44</f>
        <v>305.33076287999995</v>
      </c>
      <c r="Q45" s="394"/>
    </row>
    <row r="46" spans="1:17">
      <c r="A46" s="52" t="s">
        <v>43</v>
      </c>
      <c r="B46" s="387" t="s">
        <v>130</v>
      </c>
      <c r="C46" s="388"/>
      <c r="D46" s="388"/>
      <c r="E46" s="388"/>
      <c r="F46" s="388"/>
      <c r="G46" s="388"/>
      <c r="H46" s="389"/>
      <c r="J46" s="52" t="s">
        <v>43</v>
      </c>
      <c r="K46" s="387" t="s">
        <v>130</v>
      </c>
      <c r="L46" s="388"/>
      <c r="M46" s="388"/>
      <c r="N46" s="388"/>
      <c r="O46" s="388"/>
      <c r="P46" s="388"/>
      <c r="Q46" s="389"/>
    </row>
    <row r="47" spans="1:17">
      <c r="A47" s="52" t="s">
        <v>46</v>
      </c>
      <c r="B47" s="62" t="s">
        <v>360</v>
      </c>
      <c r="C47" s="45">
        <v>92138</v>
      </c>
      <c r="D47" s="45" t="s">
        <v>228</v>
      </c>
      <c r="E47" s="52" t="s">
        <v>193</v>
      </c>
      <c r="F47" s="49">
        <v>67.253471999999988</v>
      </c>
      <c r="G47" s="50">
        <f>'DADOS A INSERIR'!E26</f>
        <v>120</v>
      </c>
      <c r="H47" s="54">
        <f>F47*G47</f>
        <v>8070.4166399999986</v>
      </c>
      <c r="J47" s="52" t="s">
        <v>46</v>
      </c>
      <c r="K47" s="62" t="s">
        <v>360</v>
      </c>
      <c r="L47" s="45">
        <v>92138</v>
      </c>
      <c r="M47" s="45" t="s">
        <v>228</v>
      </c>
      <c r="N47" s="52" t="s">
        <v>193</v>
      </c>
      <c r="O47" s="53">
        <v>67.253471999999988</v>
      </c>
      <c r="P47" s="50">
        <f>'DADOS A INSERIR'!F26</f>
        <v>117.57</v>
      </c>
      <c r="Q47" s="54">
        <f>O47*P47</f>
        <v>7906.9907030399982</v>
      </c>
    </row>
    <row r="48" spans="1:17">
      <c r="A48" s="395" t="s">
        <v>129</v>
      </c>
      <c r="B48" s="396"/>
      <c r="C48" s="396"/>
      <c r="D48" s="396"/>
      <c r="E48" s="396"/>
      <c r="F48" s="397"/>
      <c r="G48" s="393">
        <f>H47</f>
        <v>8070.4166399999986</v>
      </c>
      <c r="H48" s="394"/>
      <c r="I48" s="104"/>
      <c r="J48" s="395" t="s">
        <v>129</v>
      </c>
      <c r="K48" s="396"/>
      <c r="L48" s="396"/>
      <c r="M48" s="396"/>
      <c r="N48" s="396"/>
      <c r="O48" s="397"/>
      <c r="P48" s="393">
        <f>Q47</f>
        <v>7906.9907030399982</v>
      </c>
      <c r="Q48" s="394"/>
    </row>
    <row r="49" spans="1:17">
      <c r="A49" s="424"/>
      <c r="B49" s="425"/>
      <c r="C49" s="425"/>
      <c r="D49" s="425"/>
      <c r="E49" s="425"/>
      <c r="F49" s="425"/>
      <c r="G49" s="425"/>
      <c r="H49" s="426"/>
      <c r="I49" s="104"/>
      <c r="J49" s="424"/>
      <c r="K49" s="425"/>
      <c r="L49" s="425"/>
      <c r="M49" s="425"/>
      <c r="N49" s="425"/>
      <c r="O49" s="425"/>
      <c r="P49" s="425"/>
      <c r="Q49" s="426"/>
    </row>
    <row r="50" spans="1:17">
      <c r="A50" s="52" t="s">
        <v>52</v>
      </c>
      <c r="B50" s="402" t="s">
        <v>132</v>
      </c>
      <c r="C50" s="402"/>
      <c r="D50" s="402"/>
      <c r="E50" s="402"/>
      <c r="F50" s="402"/>
      <c r="G50" s="402"/>
      <c r="H50" s="402"/>
      <c r="I50" s="104"/>
      <c r="J50" s="52" t="s">
        <v>52</v>
      </c>
      <c r="K50" s="402" t="s">
        <v>132</v>
      </c>
      <c r="L50" s="402"/>
      <c r="M50" s="402"/>
      <c r="N50" s="402"/>
      <c r="O50" s="402"/>
      <c r="P50" s="402"/>
      <c r="Q50" s="402"/>
    </row>
    <row r="51" spans="1:17">
      <c r="A51" s="52" t="s">
        <v>53</v>
      </c>
      <c r="B51" s="62" t="s">
        <v>310</v>
      </c>
      <c r="C51" s="105">
        <v>4517</v>
      </c>
      <c r="D51" s="45" t="s">
        <v>228</v>
      </c>
      <c r="E51" s="52" t="s">
        <v>10</v>
      </c>
      <c r="F51" s="49">
        <v>55</v>
      </c>
      <c r="G51" s="51">
        <f>'DADOS A INSERIR'!E32</f>
        <v>0.81</v>
      </c>
      <c r="H51" s="54">
        <f>G51*F51</f>
        <v>44.550000000000004</v>
      </c>
      <c r="I51" s="104"/>
      <c r="J51" s="52" t="s">
        <v>53</v>
      </c>
      <c r="K51" s="62" t="s">
        <v>310</v>
      </c>
      <c r="L51" s="46">
        <v>4517</v>
      </c>
      <c r="M51" s="45" t="s">
        <v>228</v>
      </c>
      <c r="N51" s="52" t="s">
        <v>10</v>
      </c>
      <c r="O51" s="53">
        <v>55</v>
      </c>
      <c r="P51" s="51">
        <f>'DADOS A INSERIR'!F32</f>
        <v>0.81</v>
      </c>
      <c r="Q51" s="54">
        <f>P51*O51</f>
        <v>44.550000000000004</v>
      </c>
    </row>
    <row r="52" spans="1:17">
      <c r="A52" s="52" t="s">
        <v>54</v>
      </c>
      <c r="B52" s="106" t="s">
        <v>315</v>
      </c>
      <c r="C52" s="107">
        <v>7592</v>
      </c>
      <c r="D52" s="45" t="s">
        <v>228</v>
      </c>
      <c r="E52" s="52" t="s">
        <v>89</v>
      </c>
      <c r="F52" s="49">
        <v>18</v>
      </c>
      <c r="G52" s="44">
        <f>'DADOS A INSERIR'!E17</f>
        <v>33.520000000000003</v>
      </c>
      <c r="H52" s="54">
        <f>G52*F52</f>
        <v>603.36</v>
      </c>
      <c r="I52" s="104"/>
      <c r="J52" s="52" t="s">
        <v>54</v>
      </c>
      <c r="K52" s="106" t="s">
        <v>315</v>
      </c>
      <c r="L52" s="65">
        <v>7592</v>
      </c>
      <c r="M52" s="45" t="s">
        <v>228</v>
      </c>
      <c r="N52" s="52" t="s">
        <v>89</v>
      </c>
      <c r="O52" s="53">
        <v>18</v>
      </c>
      <c r="P52" s="44">
        <f>'DADOS A INSERIR'!F17</f>
        <v>29.54</v>
      </c>
      <c r="Q52" s="54">
        <f>P52*O52</f>
        <v>531.72</v>
      </c>
    </row>
    <row r="53" spans="1:17">
      <c r="A53" s="52" t="s">
        <v>90</v>
      </c>
      <c r="B53" s="106" t="s">
        <v>316</v>
      </c>
      <c r="C53" s="105">
        <v>4513</v>
      </c>
      <c r="D53" s="45" t="s">
        <v>228</v>
      </c>
      <c r="E53" s="52" t="s">
        <v>10</v>
      </c>
      <c r="F53" s="49">
        <f>840*0.3</f>
        <v>252</v>
      </c>
      <c r="G53" s="51">
        <f>'DADOS A INSERIR'!E33</f>
        <v>1.17</v>
      </c>
      <c r="H53" s="54">
        <f>G53*F53</f>
        <v>294.83999999999997</v>
      </c>
      <c r="I53" s="104"/>
      <c r="J53" s="52" t="s">
        <v>90</v>
      </c>
      <c r="K53" s="106" t="s">
        <v>316</v>
      </c>
      <c r="L53" s="46">
        <v>4513</v>
      </c>
      <c r="M53" s="45" t="s">
        <v>228</v>
      </c>
      <c r="N53" s="52" t="s">
        <v>10</v>
      </c>
      <c r="O53" s="53">
        <f>840*0.3</f>
        <v>252</v>
      </c>
      <c r="P53" s="51">
        <f>'DADOS A INSERIR'!F33</f>
        <v>1.17</v>
      </c>
      <c r="Q53" s="54">
        <f>P53*O53</f>
        <v>294.83999999999997</v>
      </c>
    </row>
    <row r="54" spans="1:17">
      <c r="A54" s="395" t="s">
        <v>131</v>
      </c>
      <c r="B54" s="396"/>
      <c r="C54" s="396"/>
      <c r="D54" s="396"/>
      <c r="E54" s="396"/>
      <c r="F54" s="397"/>
      <c r="G54" s="393">
        <f>H53+H52+H51</f>
        <v>942.75</v>
      </c>
      <c r="H54" s="394"/>
      <c r="I54" s="104"/>
      <c r="J54" s="395" t="s">
        <v>131</v>
      </c>
      <c r="K54" s="396"/>
      <c r="L54" s="396"/>
      <c r="M54" s="396"/>
      <c r="N54" s="396"/>
      <c r="O54" s="397"/>
      <c r="P54" s="393">
        <f>Q53+Q52+Q51</f>
        <v>871.1099999999999</v>
      </c>
      <c r="Q54" s="394"/>
    </row>
    <row r="55" spans="1:17">
      <c r="A55" s="52" t="s">
        <v>92</v>
      </c>
      <c r="B55" s="402" t="s">
        <v>136</v>
      </c>
      <c r="C55" s="402"/>
      <c r="D55" s="402"/>
      <c r="E55" s="402"/>
      <c r="F55" s="402"/>
      <c r="G55" s="402"/>
      <c r="H55" s="402"/>
      <c r="I55" s="104"/>
      <c r="J55" s="52" t="s">
        <v>92</v>
      </c>
      <c r="K55" s="402" t="s">
        <v>136</v>
      </c>
      <c r="L55" s="402"/>
      <c r="M55" s="402"/>
      <c r="N55" s="402"/>
      <c r="O55" s="402"/>
      <c r="P55" s="402"/>
      <c r="Q55" s="402"/>
    </row>
    <row r="56" spans="1:17">
      <c r="A56" s="52" t="s">
        <v>93</v>
      </c>
      <c r="B56" s="108" t="s">
        <v>329</v>
      </c>
      <c r="C56" s="45" t="s">
        <v>228</v>
      </c>
      <c r="D56" s="45" t="s">
        <v>228</v>
      </c>
      <c r="E56" s="52" t="s">
        <v>134</v>
      </c>
      <c r="F56" s="49">
        <v>40</v>
      </c>
      <c r="G56" s="55">
        <f>'DADOS A INSERIR'!E40</f>
        <v>0.15</v>
      </c>
      <c r="H56" s="55">
        <f>G56*F56</f>
        <v>6</v>
      </c>
      <c r="I56" s="104"/>
      <c r="J56" s="52" t="s">
        <v>93</v>
      </c>
      <c r="K56" s="108" t="s">
        <v>329</v>
      </c>
      <c r="L56" s="45" t="s">
        <v>228</v>
      </c>
      <c r="M56" s="45" t="s">
        <v>228</v>
      </c>
      <c r="N56" s="52" t="s">
        <v>134</v>
      </c>
      <c r="O56" s="49">
        <v>40</v>
      </c>
      <c r="P56" s="55">
        <f>'DADOS A INSERIR'!F40</f>
        <v>0.15</v>
      </c>
      <c r="Q56" s="55">
        <f>P56*O56</f>
        <v>6</v>
      </c>
    </row>
    <row r="57" spans="1:17">
      <c r="A57" s="52" t="s">
        <v>133</v>
      </c>
      <c r="B57" s="108" t="s">
        <v>91</v>
      </c>
      <c r="C57" s="45" t="s">
        <v>228</v>
      </c>
      <c r="D57" s="45" t="s">
        <v>228</v>
      </c>
      <c r="E57" s="52" t="s">
        <v>134</v>
      </c>
      <c r="F57" s="49">
        <v>2</v>
      </c>
      <c r="G57" s="55">
        <f>'DADOS A INSERIR'!E41</f>
        <v>2</v>
      </c>
      <c r="H57" s="55">
        <f>G57*F57</f>
        <v>4</v>
      </c>
      <c r="I57" s="104"/>
      <c r="J57" s="52" t="s">
        <v>133</v>
      </c>
      <c r="K57" s="108" t="s">
        <v>91</v>
      </c>
      <c r="L57" s="45" t="s">
        <v>228</v>
      </c>
      <c r="M57" s="45" t="s">
        <v>228</v>
      </c>
      <c r="N57" s="52" t="s">
        <v>134</v>
      </c>
      <c r="O57" s="49">
        <v>2</v>
      </c>
      <c r="P57" s="55">
        <f>'DADOS A INSERIR'!F41</f>
        <v>2</v>
      </c>
      <c r="Q57" s="55"/>
    </row>
    <row r="58" spans="1:17">
      <c r="A58" s="52" t="s">
        <v>249</v>
      </c>
      <c r="B58" s="108" t="s">
        <v>327</v>
      </c>
      <c r="C58" s="45" t="s">
        <v>228</v>
      </c>
      <c r="D58" s="45" t="s">
        <v>228</v>
      </c>
      <c r="E58" s="52" t="s">
        <v>134</v>
      </c>
      <c r="F58" s="49">
        <v>2</v>
      </c>
      <c r="G58" s="55">
        <f>'DADOS A INSERIR'!E34</f>
        <v>1.5</v>
      </c>
      <c r="H58" s="55">
        <f>G58*F58</f>
        <v>3</v>
      </c>
      <c r="I58" s="104"/>
      <c r="J58" s="52" t="s">
        <v>249</v>
      </c>
      <c r="K58" s="108" t="s">
        <v>327</v>
      </c>
      <c r="L58" s="45" t="s">
        <v>228</v>
      </c>
      <c r="M58" s="45" t="s">
        <v>228</v>
      </c>
      <c r="N58" s="52" t="s">
        <v>134</v>
      </c>
      <c r="O58" s="49">
        <v>2</v>
      </c>
      <c r="P58" s="55">
        <f>'DADOS A INSERIR'!F34</f>
        <v>1.5</v>
      </c>
      <c r="Q58" s="55">
        <f>P58*O58</f>
        <v>3</v>
      </c>
    </row>
    <row r="59" spans="1:17">
      <c r="A59" s="53"/>
      <c r="B59" s="427" t="s">
        <v>135</v>
      </c>
      <c r="C59" s="427"/>
      <c r="D59" s="427"/>
      <c r="E59" s="427"/>
      <c r="F59" s="427"/>
      <c r="G59" s="428">
        <f>SUM(H56:H58)</f>
        <v>13</v>
      </c>
      <c r="H59" s="429"/>
      <c r="J59" s="53"/>
      <c r="K59" s="427" t="s">
        <v>135</v>
      </c>
      <c r="L59" s="427"/>
      <c r="M59" s="427"/>
      <c r="N59" s="427"/>
      <c r="O59" s="427"/>
      <c r="P59" s="428">
        <f>SUM(Q56:Q58)</f>
        <v>9</v>
      </c>
      <c r="Q59" s="429"/>
    </row>
    <row r="60" spans="1:17">
      <c r="A60" s="387"/>
      <c r="B60" s="388"/>
      <c r="C60" s="388"/>
      <c r="D60" s="388"/>
      <c r="E60" s="388"/>
      <c r="F60" s="388"/>
      <c r="G60" s="388"/>
      <c r="H60" s="389"/>
      <c r="J60" s="387"/>
      <c r="K60" s="388"/>
      <c r="L60" s="388"/>
      <c r="M60" s="388"/>
      <c r="N60" s="388"/>
      <c r="O60" s="388"/>
      <c r="P60" s="388"/>
      <c r="Q60" s="389"/>
    </row>
    <row r="61" spans="1:17">
      <c r="A61" s="382" t="s">
        <v>423</v>
      </c>
      <c r="B61" s="383"/>
      <c r="C61" s="383"/>
      <c r="D61" s="383"/>
      <c r="E61" s="383"/>
      <c r="F61" s="384"/>
      <c r="G61" s="385">
        <f>G41+G45+G48+G54+G59</f>
        <v>16029.438813039997</v>
      </c>
      <c r="H61" s="386"/>
      <c r="J61" s="382" t="s">
        <v>423</v>
      </c>
      <c r="K61" s="383"/>
      <c r="L61" s="383"/>
      <c r="M61" s="383"/>
      <c r="N61" s="383"/>
      <c r="O61" s="384"/>
      <c r="P61" s="385">
        <f>P41+P45+P48+P54+P59</f>
        <v>15066.221116319997</v>
      </c>
      <c r="Q61" s="386"/>
    </row>
    <row r="62" spans="1:17">
      <c r="A62" s="41"/>
      <c r="B62" s="430"/>
      <c r="C62" s="430"/>
      <c r="D62" s="430"/>
      <c r="E62" s="430"/>
      <c r="F62" s="430"/>
      <c r="G62" s="430"/>
      <c r="H62" s="430"/>
      <c r="J62" s="41"/>
      <c r="K62" s="430"/>
      <c r="L62" s="430"/>
      <c r="M62" s="430"/>
      <c r="N62" s="430"/>
      <c r="O62" s="430"/>
      <c r="P62" s="430"/>
      <c r="Q62" s="430"/>
    </row>
    <row r="63" spans="1:17">
      <c r="A63" s="415" t="s">
        <v>163</v>
      </c>
      <c r="B63" s="415"/>
      <c r="C63" s="415"/>
      <c r="D63" s="415"/>
      <c r="E63" s="415"/>
      <c r="F63" s="415"/>
      <c r="G63" s="415"/>
      <c r="H63" s="415"/>
      <c r="J63" s="415" t="s">
        <v>330</v>
      </c>
      <c r="K63" s="415"/>
      <c r="L63" s="415"/>
      <c r="M63" s="415"/>
      <c r="N63" s="415"/>
      <c r="O63" s="415"/>
      <c r="P63" s="415"/>
      <c r="Q63" s="415"/>
    </row>
    <row r="64" spans="1:17">
      <c r="A64" s="398" t="s">
        <v>113</v>
      </c>
      <c r="B64" s="398"/>
      <c r="C64" s="398"/>
      <c r="D64" s="398"/>
      <c r="E64" s="398"/>
      <c r="F64" s="398"/>
      <c r="G64" s="398"/>
      <c r="H64" s="398"/>
      <c r="J64" s="398" t="s">
        <v>113</v>
      </c>
      <c r="K64" s="398"/>
      <c r="L64" s="398"/>
      <c r="M64" s="398"/>
      <c r="N64" s="398"/>
      <c r="O64" s="398"/>
      <c r="P64" s="398"/>
      <c r="Q64" s="398"/>
    </row>
    <row r="65" spans="1:17">
      <c r="A65" s="408" t="s">
        <v>138</v>
      </c>
      <c r="B65" s="409"/>
      <c r="C65" s="410"/>
      <c r="D65" s="109"/>
      <c r="E65" s="411" t="s">
        <v>115</v>
      </c>
      <c r="F65" s="412"/>
      <c r="G65" s="412"/>
      <c r="H65" s="413"/>
      <c r="J65" s="408" t="s">
        <v>138</v>
      </c>
      <c r="K65" s="409"/>
      <c r="L65" s="410"/>
      <c r="M65" s="109"/>
      <c r="N65" s="411" t="s">
        <v>115</v>
      </c>
      <c r="O65" s="412"/>
      <c r="P65" s="412"/>
      <c r="Q65" s="413"/>
    </row>
    <row r="66" spans="1:17">
      <c r="A66" s="416" t="s">
        <v>139</v>
      </c>
      <c r="B66" s="388"/>
      <c r="C66" s="388"/>
      <c r="D66" s="388"/>
      <c r="E66" s="388"/>
      <c r="F66" s="388"/>
      <c r="G66" s="388"/>
      <c r="H66" s="389"/>
      <c r="J66" s="416" t="s">
        <v>139</v>
      </c>
      <c r="K66" s="388"/>
      <c r="L66" s="388"/>
      <c r="M66" s="388"/>
      <c r="N66" s="388"/>
      <c r="O66" s="388"/>
      <c r="P66" s="388"/>
      <c r="Q66" s="389"/>
    </row>
    <row r="67" spans="1:17">
      <c r="A67" s="417" t="s">
        <v>117</v>
      </c>
      <c r="B67" s="388"/>
      <c r="C67" s="388"/>
      <c r="D67" s="388"/>
      <c r="E67" s="388"/>
      <c r="F67" s="388"/>
      <c r="G67" s="388"/>
      <c r="H67" s="389"/>
      <c r="J67" s="417" t="s">
        <v>117</v>
      </c>
      <c r="K67" s="388"/>
      <c r="L67" s="388"/>
      <c r="M67" s="388"/>
      <c r="N67" s="388"/>
      <c r="O67" s="388"/>
      <c r="P67" s="388"/>
      <c r="Q67" s="389"/>
    </row>
    <row r="68" spans="1:17">
      <c r="A68" s="418"/>
      <c r="B68" s="419"/>
      <c r="C68" s="419"/>
      <c r="D68" s="419"/>
      <c r="E68" s="419"/>
      <c r="F68" s="419"/>
      <c r="G68" s="419"/>
      <c r="H68" s="420"/>
      <c r="J68" s="418"/>
      <c r="K68" s="419"/>
      <c r="L68" s="419"/>
      <c r="M68" s="419"/>
      <c r="N68" s="419"/>
      <c r="O68" s="419"/>
      <c r="P68" s="419"/>
      <c r="Q68" s="420"/>
    </row>
    <row r="69" spans="1:17">
      <c r="A69" s="421" t="s">
        <v>118</v>
      </c>
      <c r="B69" s="421" t="s">
        <v>16</v>
      </c>
      <c r="C69" s="422" t="s">
        <v>162</v>
      </c>
      <c r="D69" s="422" t="s">
        <v>223</v>
      </c>
      <c r="E69" s="421" t="s">
        <v>19</v>
      </c>
      <c r="F69" s="441" t="s">
        <v>28</v>
      </c>
      <c r="G69" s="421" t="s">
        <v>119</v>
      </c>
      <c r="H69" s="421"/>
      <c r="J69" s="421" t="s">
        <v>118</v>
      </c>
      <c r="K69" s="421" t="s">
        <v>16</v>
      </c>
      <c r="L69" s="422" t="s">
        <v>162</v>
      </c>
      <c r="M69" s="422" t="s">
        <v>223</v>
      </c>
      <c r="N69" s="421" t="s">
        <v>19</v>
      </c>
      <c r="O69" s="421" t="s">
        <v>28</v>
      </c>
      <c r="P69" s="421" t="s">
        <v>119</v>
      </c>
      <c r="Q69" s="421"/>
    </row>
    <row r="70" spans="1:17" ht="30">
      <c r="A70" s="421"/>
      <c r="B70" s="421"/>
      <c r="C70" s="423"/>
      <c r="D70" s="423"/>
      <c r="E70" s="421"/>
      <c r="F70" s="441"/>
      <c r="G70" s="58" t="s">
        <v>120</v>
      </c>
      <c r="H70" s="58" t="s">
        <v>121</v>
      </c>
      <c r="J70" s="421"/>
      <c r="K70" s="421"/>
      <c r="L70" s="423"/>
      <c r="M70" s="423"/>
      <c r="N70" s="421"/>
      <c r="O70" s="421"/>
      <c r="P70" s="58" t="s">
        <v>120</v>
      </c>
      <c r="Q70" s="58" t="s">
        <v>121</v>
      </c>
    </row>
    <row r="71" spans="1:17">
      <c r="A71" s="52" t="s">
        <v>34</v>
      </c>
      <c r="B71" s="402" t="s">
        <v>41</v>
      </c>
      <c r="C71" s="402"/>
      <c r="D71" s="402"/>
      <c r="E71" s="402"/>
      <c r="F71" s="402"/>
      <c r="G71" s="402"/>
      <c r="H71" s="402"/>
      <c r="J71" s="52" t="s">
        <v>34</v>
      </c>
      <c r="K71" s="402" t="s">
        <v>41</v>
      </c>
      <c r="L71" s="402"/>
      <c r="M71" s="402"/>
      <c r="N71" s="402"/>
      <c r="O71" s="402"/>
      <c r="P71" s="402"/>
      <c r="Q71" s="402"/>
    </row>
    <row r="72" spans="1:17">
      <c r="A72" s="52" t="s">
        <v>35</v>
      </c>
      <c r="B72" s="54" t="s">
        <v>122</v>
      </c>
      <c r="C72" s="66">
        <f>C37</f>
        <v>90781</v>
      </c>
      <c r="D72" s="45" t="s">
        <v>228</v>
      </c>
      <c r="E72" s="52" t="s">
        <v>89</v>
      </c>
      <c r="F72" s="49">
        <v>48.265331399999994</v>
      </c>
      <c r="G72" s="66">
        <f>G37</f>
        <v>33.520000000000003</v>
      </c>
      <c r="H72" s="54">
        <f>G72*F72</f>
        <v>1617.8539085279999</v>
      </c>
      <c r="J72" s="52" t="s">
        <v>35</v>
      </c>
      <c r="K72" s="54" t="s">
        <v>122</v>
      </c>
      <c r="L72" s="66">
        <f>C37</f>
        <v>90781</v>
      </c>
      <c r="M72" s="45" t="s">
        <v>228</v>
      </c>
      <c r="N72" s="52" t="s">
        <v>89</v>
      </c>
      <c r="O72" s="49">
        <v>48.265331399999994</v>
      </c>
      <c r="P72" s="66">
        <f>P37</f>
        <v>29.54</v>
      </c>
      <c r="Q72" s="54">
        <f>P72*O72</f>
        <v>1425.7578895559998</v>
      </c>
    </row>
    <row r="73" spans="1:17">
      <c r="A73" s="103" t="s">
        <v>36</v>
      </c>
      <c r="B73" s="54" t="s">
        <v>123</v>
      </c>
      <c r="C73" s="66">
        <f>C38</f>
        <v>88253</v>
      </c>
      <c r="D73" s="45" t="s">
        <v>228</v>
      </c>
      <c r="E73" s="52" t="s">
        <v>89</v>
      </c>
      <c r="F73" s="49">
        <v>48.265331399999994</v>
      </c>
      <c r="G73" s="66">
        <f>G38</f>
        <v>27.35</v>
      </c>
      <c r="H73" s="54">
        <f>G73*F73</f>
        <v>1320.05681379</v>
      </c>
      <c r="J73" s="103" t="s">
        <v>36</v>
      </c>
      <c r="K73" s="54" t="s">
        <v>123</v>
      </c>
      <c r="L73" s="66">
        <f>C38</f>
        <v>88253</v>
      </c>
      <c r="M73" s="45" t="s">
        <v>228</v>
      </c>
      <c r="N73" s="52" t="s">
        <v>89</v>
      </c>
      <c r="O73" s="49">
        <v>48.265331399999994</v>
      </c>
      <c r="P73" s="66">
        <f>P38</f>
        <v>24.36</v>
      </c>
      <c r="Q73" s="54">
        <f>P73*O73</f>
        <v>1175.7434729039999</v>
      </c>
    </row>
    <row r="74" spans="1:17">
      <c r="A74" s="103" t="s">
        <v>37</v>
      </c>
      <c r="B74" s="54" t="s">
        <v>124</v>
      </c>
      <c r="C74" s="66">
        <f>C39</f>
        <v>88241</v>
      </c>
      <c r="D74" s="45" t="s">
        <v>228</v>
      </c>
      <c r="E74" s="52" t="s">
        <v>89</v>
      </c>
      <c r="F74" s="49">
        <v>96.530662799999988</v>
      </c>
      <c r="G74" s="66">
        <f>G39</f>
        <v>15.78</v>
      </c>
      <c r="H74" s="54">
        <f>G74*F74</f>
        <v>1523.2538589839996</v>
      </c>
      <c r="J74" s="103" t="s">
        <v>37</v>
      </c>
      <c r="K74" s="54" t="s">
        <v>124</v>
      </c>
      <c r="L74" s="66">
        <f>C39</f>
        <v>88241</v>
      </c>
      <c r="M74" s="45" t="s">
        <v>228</v>
      </c>
      <c r="N74" s="52" t="s">
        <v>89</v>
      </c>
      <c r="O74" s="49">
        <v>96.530662799999988</v>
      </c>
      <c r="P74" s="66">
        <f>P39</f>
        <v>14.36</v>
      </c>
      <c r="Q74" s="54">
        <f>P74*O74</f>
        <v>1386.1803178079997</v>
      </c>
    </row>
    <row r="75" spans="1:17">
      <c r="A75" s="103" t="s">
        <v>38</v>
      </c>
      <c r="B75" s="54" t="s">
        <v>125</v>
      </c>
      <c r="C75" s="66">
        <f>C40</f>
        <v>90775</v>
      </c>
      <c r="D75" s="45" t="s">
        <v>228</v>
      </c>
      <c r="E75" s="52" t="s">
        <v>89</v>
      </c>
      <c r="F75" s="49">
        <v>12.066332849999998</v>
      </c>
      <c r="G75" s="66">
        <f>G40</f>
        <v>28.65</v>
      </c>
      <c r="H75" s="54">
        <f>G75*F75</f>
        <v>345.70043615249995</v>
      </c>
      <c r="J75" s="103" t="s">
        <v>38</v>
      </c>
      <c r="K75" s="54" t="s">
        <v>125</v>
      </c>
      <c r="L75" s="66">
        <f>C40</f>
        <v>90775</v>
      </c>
      <c r="M75" s="45" t="s">
        <v>228</v>
      </c>
      <c r="N75" s="52" t="s">
        <v>89</v>
      </c>
      <c r="O75" s="49">
        <v>12.066332849999998</v>
      </c>
      <c r="P75" s="66">
        <f>P40</f>
        <v>24.82</v>
      </c>
      <c r="Q75" s="54">
        <f>P75*O75</f>
        <v>299.48638133699995</v>
      </c>
    </row>
    <row r="76" spans="1:17">
      <c r="A76" s="395" t="s">
        <v>126</v>
      </c>
      <c r="B76" s="396"/>
      <c r="C76" s="396"/>
      <c r="D76" s="396"/>
      <c r="E76" s="396"/>
      <c r="F76" s="397"/>
      <c r="G76" s="393">
        <f>H72+H73+H74+H75</f>
        <v>4806.8650174544991</v>
      </c>
      <c r="H76" s="414"/>
      <c r="J76" s="395" t="s">
        <v>126</v>
      </c>
      <c r="K76" s="396"/>
      <c r="L76" s="396"/>
      <c r="M76" s="396"/>
      <c r="N76" s="396"/>
      <c r="O76" s="397"/>
      <c r="P76" s="393">
        <f>Q72+Q73+Q74+Q75</f>
        <v>4287.1680616049998</v>
      </c>
      <c r="Q76" s="414"/>
    </row>
    <row r="77" spans="1:17">
      <c r="A77" s="52" t="s">
        <v>42</v>
      </c>
      <c r="B77" s="387" t="s">
        <v>128</v>
      </c>
      <c r="C77" s="388"/>
      <c r="D77" s="388"/>
      <c r="E77" s="388"/>
      <c r="F77" s="388"/>
      <c r="G77" s="388"/>
      <c r="H77" s="389"/>
      <c r="J77" s="52" t="s">
        <v>42</v>
      </c>
      <c r="K77" s="387" t="s">
        <v>128</v>
      </c>
      <c r="L77" s="388"/>
      <c r="M77" s="388"/>
      <c r="N77" s="388"/>
      <c r="O77" s="388"/>
      <c r="P77" s="388"/>
      <c r="Q77" s="389"/>
    </row>
    <row r="78" spans="1:17" ht="30">
      <c r="A78" s="52" t="s">
        <v>164</v>
      </c>
      <c r="B78" s="62" t="s">
        <v>309</v>
      </c>
      <c r="C78" s="44">
        <v>7247</v>
      </c>
      <c r="D78" s="45" t="s">
        <v>228</v>
      </c>
      <c r="E78" s="52" t="s">
        <v>89</v>
      </c>
      <c r="F78" s="49">
        <v>48.265331399999994</v>
      </c>
      <c r="G78" s="48">
        <f>G43</f>
        <v>2.27</v>
      </c>
      <c r="H78" s="54">
        <f>G78*F78</f>
        <v>109.56230227799999</v>
      </c>
      <c r="J78" s="52" t="s">
        <v>164</v>
      </c>
      <c r="K78" s="62" t="s">
        <v>309</v>
      </c>
      <c r="L78" s="44">
        <v>7247</v>
      </c>
      <c r="M78" s="45" t="s">
        <v>228</v>
      </c>
      <c r="N78" s="52" t="s">
        <v>89</v>
      </c>
      <c r="O78" s="49">
        <v>48.265331399999994</v>
      </c>
      <c r="P78" s="48">
        <f>P43</f>
        <v>2.27</v>
      </c>
      <c r="Q78" s="54">
        <f>P78*O78</f>
        <v>109.56230227799999</v>
      </c>
    </row>
    <row r="79" spans="1:17">
      <c r="A79" s="52" t="s">
        <v>165</v>
      </c>
      <c r="B79" s="62" t="s">
        <v>308</v>
      </c>
      <c r="C79" s="44">
        <v>7252</v>
      </c>
      <c r="D79" s="45" t="s">
        <v>228</v>
      </c>
      <c r="E79" s="52" t="s">
        <v>89</v>
      </c>
      <c r="F79" s="49">
        <v>48.265331399999994</v>
      </c>
      <c r="G79" s="48">
        <f>G44</f>
        <v>2.27</v>
      </c>
      <c r="H79" s="54">
        <f>G79*F79</f>
        <v>109.56230227799999</v>
      </c>
      <c r="J79" s="52" t="s">
        <v>165</v>
      </c>
      <c r="K79" s="62" t="s">
        <v>308</v>
      </c>
      <c r="L79" s="44">
        <v>7252</v>
      </c>
      <c r="M79" s="45" t="s">
        <v>228</v>
      </c>
      <c r="N79" s="52" t="s">
        <v>89</v>
      </c>
      <c r="O79" s="49">
        <v>48.265331399999994</v>
      </c>
      <c r="P79" s="48">
        <f>P44</f>
        <v>2.27</v>
      </c>
      <c r="Q79" s="54">
        <f>P79*O79</f>
        <v>109.56230227799999</v>
      </c>
    </row>
    <row r="80" spans="1:17">
      <c r="A80" s="390" t="s">
        <v>127</v>
      </c>
      <c r="B80" s="391"/>
      <c r="C80" s="391"/>
      <c r="D80" s="391"/>
      <c r="E80" s="391"/>
      <c r="F80" s="392"/>
      <c r="G80" s="393">
        <f>H78+H79</f>
        <v>219.12460455599998</v>
      </c>
      <c r="H80" s="394"/>
      <c r="J80" s="390" t="s">
        <v>127</v>
      </c>
      <c r="K80" s="391"/>
      <c r="L80" s="391"/>
      <c r="M80" s="391"/>
      <c r="N80" s="391"/>
      <c r="O80" s="392"/>
      <c r="P80" s="393">
        <f>Q78+Q79</f>
        <v>219.12460455599998</v>
      </c>
      <c r="Q80" s="394"/>
    </row>
    <row r="81" spans="1:17">
      <c r="A81" s="52" t="s">
        <v>43</v>
      </c>
      <c r="B81" s="387" t="s">
        <v>130</v>
      </c>
      <c r="C81" s="388"/>
      <c r="D81" s="388"/>
      <c r="E81" s="388"/>
      <c r="F81" s="388"/>
      <c r="G81" s="388"/>
      <c r="H81" s="389"/>
      <c r="J81" s="52" t="s">
        <v>43</v>
      </c>
      <c r="K81" s="387" t="s">
        <v>130</v>
      </c>
      <c r="L81" s="388"/>
      <c r="M81" s="388"/>
      <c r="N81" s="388"/>
      <c r="O81" s="388"/>
      <c r="P81" s="388"/>
      <c r="Q81" s="389"/>
    </row>
    <row r="82" spans="1:17">
      <c r="A82" s="52" t="s">
        <v>46</v>
      </c>
      <c r="B82" s="62" t="s">
        <v>360</v>
      </c>
      <c r="C82" s="45">
        <v>92138</v>
      </c>
      <c r="D82" s="45" t="s">
        <v>228</v>
      </c>
      <c r="E82" s="52" t="s">
        <v>193</v>
      </c>
      <c r="F82" s="49">
        <v>48.265331399999994</v>
      </c>
      <c r="G82" s="51">
        <f>G47</f>
        <v>120</v>
      </c>
      <c r="H82" s="54">
        <f>F82*G82</f>
        <v>5791.8397679999989</v>
      </c>
      <c r="J82" s="52" t="s">
        <v>46</v>
      </c>
      <c r="K82" s="62" t="s">
        <v>360</v>
      </c>
      <c r="L82" s="45">
        <v>92138</v>
      </c>
      <c r="M82" s="45" t="s">
        <v>228</v>
      </c>
      <c r="N82" s="52" t="s">
        <v>193</v>
      </c>
      <c r="O82" s="49">
        <v>48.265331399999994</v>
      </c>
      <c r="P82" s="51">
        <f>P47</f>
        <v>117.57</v>
      </c>
      <c r="Q82" s="54">
        <f>O82*P82</f>
        <v>5674.5550126979988</v>
      </c>
    </row>
    <row r="83" spans="1:17">
      <c r="A83" s="395" t="s">
        <v>129</v>
      </c>
      <c r="B83" s="396"/>
      <c r="C83" s="396"/>
      <c r="D83" s="396"/>
      <c r="E83" s="396"/>
      <c r="F83" s="397"/>
      <c r="G83" s="393">
        <f>H82</f>
        <v>5791.8397679999989</v>
      </c>
      <c r="H83" s="394"/>
      <c r="J83" s="395" t="s">
        <v>129</v>
      </c>
      <c r="K83" s="396"/>
      <c r="L83" s="396"/>
      <c r="M83" s="396"/>
      <c r="N83" s="396"/>
      <c r="O83" s="397"/>
      <c r="P83" s="393">
        <f>Q82</f>
        <v>5674.5550126979988</v>
      </c>
      <c r="Q83" s="394"/>
    </row>
    <row r="84" spans="1:17">
      <c r="A84" s="424"/>
      <c r="B84" s="425"/>
      <c r="C84" s="425"/>
      <c r="D84" s="425"/>
      <c r="E84" s="425"/>
      <c r="F84" s="425"/>
      <c r="G84" s="425"/>
      <c r="H84" s="426"/>
      <c r="J84" s="424"/>
      <c r="K84" s="425"/>
      <c r="L84" s="425"/>
      <c r="M84" s="425"/>
      <c r="N84" s="425"/>
      <c r="O84" s="425"/>
      <c r="P84" s="425"/>
      <c r="Q84" s="426"/>
    </row>
    <row r="85" spans="1:17">
      <c r="A85" s="52" t="s">
        <v>52</v>
      </c>
      <c r="B85" s="402" t="s">
        <v>132</v>
      </c>
      <c r="C85" s="402"/>
      <c r="D85" s="402"/>
      <c r="E85" s="402"/>
      <c r="F85" s="402"/>
      <c r="G85" s="402"/>
      <c r="H85" s="402"/>
      <c r="J85" s="52" t="s">
        <v>52</v>
      </c>
      <c r="K85" s="402" t="s">
        <v>132</v>
      </c>
      <c r="L85" s="402"/>
      <c r="M85" s="402"/>
      <c r="N85" s="402"/>
      <c r="O85" s="402"/>
      <c r="P85" s="402"/>
      <c r="Q85" s="402"/>
    </row>
    <row r="86" spans="1:17">
      <c r="A86" s="52" t="s">
        <v>53</v>
      </c>
      <c r="B86" s="62" t="s">
        <v>310</v>
      </c>
      <c r="C86" s="46">
        <v>4517</v>
      </c>
      <c r="D86" s="45" t="s">
        <v>228</v>
      </c>
      <c r="E86" s="52" t="s">
        <v>10</v>
      </c>
      <c r="F86" s="49">
        <v>42</v>
      </c>
      <c r="G86" s="51">
        <f>G51</f>
        <v>0.81</v>
      </c>
      <c r="H86" s="54">
        <f>G86*F86</f>
        <v>34.020000000000003</v>
      </c>
      <c r="J86" s="52" t="s">
        <v>53</v>
      </c>
      <c r="K86" s="62" t="s">
        <v>310</v>
      </c>
      <c r="L86" s="46">
        <v>4517</v>
      </c>
      <c r="M86" s="45" t="s">
        <v>228</v>
      </c>
      <c r="N86" s="52" t="s">
        <v>10</v>
      </c>
      <c r="O86" s="53">
        <v>42</v>
      </c>
      <c r="P86" s="51">
        <f>P51</f>
        <v>0.81</v>
      </c>
      <c r="Q86" s="54">
        <f>P86*O86</f>
        <v>34.020000000000003</v>
      </c>
    </row>
    <row r="87" spans="1:17">
      <c r="A87" s="52" t="s">
        <v>54</v>
      </c>
      <c r="B87" s="106" t="s">
        <v>315</v>
      </c>
      <c r="C87" s="65">
        <v>7592</v>
      </c>
      <c r="D87" s="45" t="s">
        <v>228</v>
      </c>
      <c r="E87" s="52" t="s">
        <v>89</v>
      </c>
      <c r="F87" s="49">
        <v>13</v>
      </c>
      <c r="G87" s="51">
        <f>G52</f>
        <v>33.520000000000003</v>
      </c>
      <c r="H87" s="54">
        <f>G87*F87</f>
        <v>435.76000000000005</v>
      </c>
      <c r="J87" s="52" t="s">
        <v>54</v>
      </c>
      <c r="K87" s="106" t="s">
        <v>315</v>
      </c>
      <c r="L87" s="65">
        <v>7592</v>
      </c>
      <c r="M87" s="45" t="s">
        <v>228</v>
      </c>
      <c r="N87" s="52" t="s">
        <v>89</v>
      </c>
      <c r="O87" s="53">
        <v>13</v>
      </c>
      <c r="P87" s="51">
        <f>P52</f>
        <v>29.54</v>
      </c>
      <c r="Q87" s="54">
        <f>P87*O87</f>
        <v>384.02</v>
      </c>
    </row>
    <row r="88" spans="1:17">
      <c r="A88" s="52" t="s">
        <v>90</v>
      </c>
      <c r="B88" s="106" t="s">
        <v>316</v>
      </c>
      <c r="C88" s="46">
        <v>4513</v>
      </c>
      <c r="D88" s="45" t="s">
        <v>228</v>
      </c>
      <c r="E88" s="52" t="s">
        <v>10</v>
      </c>
      <c r="F88" s="49">
        <f>595*0.3</f>
        <v>178.5</v>
      </c>
      <c r="G88" s="51">
        <f>G53</f>
        <v>1.17</v>
      </c>
      <c r="H88" s="54">
        <f>G88*F88</f>
        <v>208.845</v>
      </c>
      <c r="J88" s="52" t="s">
        <v>90</v>
      </c>
      <c r="K88" s="106" t="s">
        <v>316</v>
      </c>
      <c r="L88" s="46">
        <v>4513</v>
      </c>
      <c r="M88" s="45" t="s">
        <v>228</v>
      </c>
      <c r="N88" s="52" t="s">
        <v>10</v>
      </c>
      <c r="O88" s="53">
        <f>595*0.3</f>
        <v>178.5</v>
      </c>
      <c r="P88" s="51">
        <f>P53</f>
        <v>1.17</v>
      </c>
      <c r="Q88" s="54">
        <f>P88*O88</f>
        <v>208.845</v>
      </c>
    </row>
    <row r="89" spans="1:17">
      <c r="A89" s="395" t="s">
        <v>131</v>
      </c>
      <c r="B89" s="396"/>
      <c r="C89" s="396"/>
      <c r="D89" s="396"/>
      <c r="E89" s="396"/>
      <c r="F89" s="397"/>
      <c r="G89" s="393">
        <f>H86+H87+H88</f>
        <v>678.625</v>
      </c>
      <c r="H89" s="394"/>
      <c r="J89" s="395" t="s">
        <v>131</v>
      </c>
      <c r="K89" s="396"/>
      <c r="L89" s="396"/>
      <c r="M89" s="396"/>
      <c r="N89" s="396"/>
      <c r="O89" s="397"/>
      <c r="P89" s="393">
        <f>Q86+Q87+Q88</f>
        <v>626.88499999999999</v>
      </c>
      <c r="Q89" s="394"/>
    </row>
    <row r="90" spans="1:17">
      <c r="A90" s="52" t="s">
        <v>92</v>
      </c>
      <c r="B90" s="402" t="s">
        <v>136</v>
      </c>
      <c r="C90" s="402"/>
      <c r="D90" s="402"/>
      <c r="E90" s="402"/>
      <c r="F90" s="402"/>
      <c r="G90" s="402"/>
      <c r="H90" s="402"/>
      <c r="J90" s="52" t="s">
        <v>92</v>
      </c>
      <c r="K90" s="402" t="s">
        <v>136</v>
      </c>
      <c r="L90" s="402"/>
      <c r="M90" s="402"/>
      <c r="N90" s="402"/>
      <c r="O90" s="402"/>
      <c r="P90" s="402"/>
      <c r="Q90" s="402"/>
    </row>
    <row r="91" spans="1:17">
      <c r="A91" s="52" t="s">
        <v>93</v>
      </c>
      <c r="B91" s="108" t="s">
        <v>329</v>
      </c>
      <c r="C91" s="45" t="s">
        <v>228</v>
      </c>
      <c r="D91" s="45" t="s">
        <v>228</v>
      </c>
      <c r="E91" s="52" t="s">
        <v>134</v>
      </c>
      <c r="F91" s="49">
        <v>40</v>
      </c>
      <c r="G91" s="55">
        <f>G56</f>
        <v>0.15</v>
      </c>
      <c r="H91" s="55">
        <f>G91*F91</f>
        <v>6</v>
      </c>
      <c r="J91" s="52" t="s">
        <v>93</v>
      </c>
      <c r="K91" s="108" t="s">
        <v>329</v>
      </c>
      <c r="L91" s="45" t="s">
        <v>228</v>
      </c>
      <c r="M91" s="45" t="s">
        <v>228</v>
      </c>
      <c r="N91" s="52" t="s">
        <v>134</v>
      </c>
      <c r="O91" s="49">
        <v>40</v>
      </c>
      <c r="P91" s="55">
        <f>P56</f>
        <v>0.15</v>
      </c>
      <c r="Q91" s="55">
        <f>P91*O91</f>
        <v>6</v>
      </c>
    </row>
    <row r="92" spans="1:17">
      <c r="A92" s="52" t="s">
        <v>133</v>
      </c>
      <c r="B92" s="108" t="s">
        <v>91</v>
      </c>
      <c r="C92" s="45" t="s">
        <v>228</v>
      </c>
      <c r="D92" s="45" t="s">
        <v>228</v>
      </c>
      <c r="E92" s="52" t="s">
        <v>134</v>
      </c>
      <c r="F92" s="49">
        <v>2</v>
      </c>
      <c r="G92" s="55">
        <f>G57</f>
        <v>2</v>
      </c>
      <c r="H92" s="55">
        <f>G92*F92</f>
        <v>4</v>
      </c>
      <c r="J92" s="52" t="s">
        <v>133</v>
      </c>
      <c r="K92" s="108" t="s">
        <v>91</v>
      </c>
      <c r="L92" s="45" t="s">
        <v>228</v>
      </c>
      <c r="M92" s="45" t="s">
        <v>228</v>
      </c>
      <c r="N92" s="52" t="s">
        <v>134</v>
      </c>
      <c r="O92" s="49">
        <v>2</v>
      </c>
      <c r="P92" s="55">
        <f>P57</f>
        <v>2</v>
      </c>
      <c r="Q92" s="55">
        <f>P92*O92</f>
        <v>4</v>
      </c>
    </row>
    <row r="93" spans="1:17">
      <c r="A93" s="52" t="s">
        <v>249</v>
      </c>
      <c r="B93" s="108" t="s">
        <v>327</v>
      </c>
      <c r="C93" s="45" t="s">
        <v>228</v>
      </c>
      <c r="D93" s="45" t="s">
        <v>228</v>
      </c>
      <c r="E93" s="52" t="s">
        <v>134</v>
      </c>
      <c r="F93" s="49">
        <v>2</v>
      </c>
      <c r="G93" s="55">
        <f>G58</f>
        <v>1.5</v>
      </c>
      <c r="H93" s="55">
        <f>G93*F93</f>
        <v>3</v>
      </c>
      <c r="J93" s="52" t="s">
        <v>249</v>
      </c>
      <c r="K93" s="108" t="s">
        <v>327</v>
      </c>
      <c r="L93" s="45" t="s">
        <v>228</v>
      </c>
      <c r="M93" s="45" t="s">
        <v>228</v>
      </c>
      <c r="N93" s="52" t="s">
        <v>134</v>
      </c>
      <c r="O93" s="49">
        <v>2</v>
      </c>
      <c r="P93" s="55">
        <f>P58</f>
        <v>1.5</v>
      </c>
      <c r="Q93" s="55">
        <f>P93*O93</f>
        <v>3</v>
      </c>
    </row>
    <row r="94" spans="1:17">
      <c r="A94" s="53"/>
      <c r="B94" s="427" t="s">
        <v>135</v>
      </c>
      <c r="C94" s="427"/>
      <c r="D94" s="427"/>
      <c r="E94" s="427"/>
      <c r="F94" s="427"/>
      <c r="G94" s="428">
        <f>SUM(H91:H93)</f>
        <v>13</v>
      </c>
      <c r="H94" s="429"/>
      <c r="J94" s="53"/>
      <c r="K94" s="427" t="s">
        <v>135</v>
      </c>
      <c r="L94" s="427"/>
      <c r="M94" s="427"/>
      <c r="N94" s="427"/>
      <c r="O94" s="427"/>
      <c r="P94" s="428">
        <f>SUM(Q91:Q93)</f>
        <v>13</v>
      </c>
      <c r="Q94" s="429"/>
    </row>
    <row r="95" spans="1:17">
      <c r="A95" s="387"/>
      <c r="B95" s="388"/>
      <c r="C95" s="388"/>
      <c r="D95" s="388"/>
      <c r="E95" s="388"/>
      <c r="F95" s="388"/>
      <c r="G95" s="388"/>
      <c r="H95" s="389"/>
      <c r="J95" s="387"/>
      <c r="K95" s="388"/>
      <c r="L95" s="388"/>
      <c r="M95" s="388"/>
      <c r="N95" s="388"/>
      <c r="O95" s="388"/>
      <c r="P95" s="388"/>
      <c r="Q95" s="389"/>
    </row>
    <row r="96" spans="1:17">
      <c r="A96" s="382" t="s">
        <v>423</v>
      </c>
      <c r="B96" s="383"/>
      <c r="C96" s="383"/>
      <c r="D96" s="383"/>
      <c r="E96" s="383"/>
      <c r="F96" s="384"/>
      <c r="G96" s="385">
        <f>ROUND(G76+G80+G83+G89+G94,2)</f>
        <v>11509.45</v>
      </c>
      <c r="H96" s="386"/>
      <c r="I96" s="110"/>
      <c r="J96" s="382" t="s">
        <v>423</v>
      </c>
      <c r="K96" s="383"/>
      <c r="L96" s="383"/>
      <c r="M96" s="383"/>
      <c r="N96" s="383"/>
      <c r="O96" s="384"/>
      <c r="P96" s="385">
        <f>ROUND(P76+P80+P83+P89+P94,2)</f>
        <v>10820.73</v>
      </c>
      <c r="Q96" s="386"/>
    </row>
    <row r="97" spans="1:17">
      <c r="A97" s="41"/>
      <c r="B97" s="430"/>
      <c r="C97" s="430"/>
      <c r="D97" s="430"/>
      <c r="E97" s="430"/>
      <c r="F97" s="430"/>
      <c r="G97" s="430"/>
      <c r="H97" s="430"/>
      <c r="J97" s="41"/>
      <c r="K97" s="430"/>
      <c r="L97" s="430"/>
      <c r="M97" s="430"/>
      <c r="N97" s="430"/>
      <c r="O97" s="430"/>
      <c r="P97" s="430"/>
      <c r="Q97" s="430"/>
    </row>
    <row r="98" spans="1:17">
      <c r="A98" s="41"/>
      <c r="J98" s="41"/>
    </row>
    <row r="99" spans="1:17">
      <c r="A99" s="415" t="s">
        <v>167</v>
      </c>
      <c r="B99" s="415"/>
      <c r="C99" s="415"/>
      <c r="D99" s="415"/>
      <c r="E99" s="415"/>
      <c r="F99" s="415"/>
      <c r="G99" s="415"/>
      <c r="H99" s="415"/>
      <c r="J99" s="415" t="s">
        <v>330</v>
      </c>
      <c r="K99" s="415"/>
      <c r="L99" s="415"/>
      <c r="M99" s="415"/>
      <c r="N99" s="415"/>
      <c r="O99" s="415"/>
      <c r="P99" s="415"/>
      <c r="Q99" s="415"/>
    </row>
    <row r="100" spans="1:17">
      <c r="A100" s="398" t="s">
        <v>113</v>
      </c>
      <c r="B100" s="398"/>
      <c r="C100" s="398"/>
      <c r="D100" s="398"/>
      <c r="E100" s="398"/>
      <c r="F100" s="398"/>
      <c r="G100" s="398"/>
      <c r="H100" s="398"/>
      <c r="J100" s="398" t="s">
        <v>113</v>
      </c>
      <c r="K100" s="398"/>
      <c r="L100" s="398"/>
      <c r="M100" s="398"/>
      <c r="N100" s="398"/>
      <c r="O100" s="398"/>
      <c r="P100" s="398"/>
      <c r="Q100" s="398"/>
    </row>
    <row r="101" spans="1:17" ht="32.25" customHeight="1">
      <c r="A101" s="408" t="s">
        <v>141</v>
      </c>
      <c r="B101" s="409"/>
      <c r="C101" s="410"/>
      <c r="D101" s="109"/>
      <c r="E101" s="436" t="s">
        <v>142</v>
      </c>
      <c r="F101" s="437"/>
      <c r="G101" s="437"/>
      <c r="H101" s="438"/>
      <c r="J101" s="408" t="s">
        <v>141</v>
      </c>
      <c r="K101" s="409"/>
      <c r="L101" s="410"/>
      <c r="M101" s="109"/>
      <c r="N101" s="436" t="s">
        <v>142</v>
      </c>
      <c r="O101" s="437"/>
      <c r="P101" s="437"/>
      <c r="Q101" s="438"/>
    </row>
    <row r="102" spans="1:17">
      <c r="A102" s="416" t="s">
        <v>116</v>
      </c>
      <c r="B102" s="388"/>
      <c r="C102" s="388"/>
      <c r="D102" s="388"/>
      <c r="E102" s="388"/>
      <c r="F102" s="388"/>
      <c r="G102" s="388"/>
      <c r="H102" s="389"/>
      <c r="J102" s="416" t="s">
        <v>116</v>
      </c>
      <c r="K102" s="388"/>
      <c r="L102" s="388"/>
      <c r="M102" s="388"/>
      <c r="N102" s="388"/>
      <c r="O102" s="388"/>
      <c r="P102" s="388"/>
      <c r="Q102" s="389"/>
    </row>
    <row r="103" spans="1:17">
      <c r="A103" s="417" t="s">
        <v>117</v>
      </c>
      <c r="B103" s="388"/>
      <c r="C103" s="388"/>
      <c r="D103" s="388"/>
      <c r="E103" s="388"/>
      <c r="F103" s="388"/>
      <c r="G103" s="388"/>
      <c r="H103" s="389"/>
      <c r="J103" s="417" t="s">
        <v>117</v>
      </c>
      <c r="K103" s="388"/>
      <c r="L103" s="388"/>
      <c r="M103" s="388"/>
      <c r="N103" s="388"/>
      <c r="O103" s="388"/>
      <c r="P103" s="388"/>
      <c r="Q103" s="389"/>
    </row>
    <row r="104" spans="1:17">
      <c r="A104" s="418"/>
      <c r="B104" s="419"/>
      <c r="C104" s="419"/>
      <c r="D104" s="419"/>
      <c r="E104" s="419"/>
      <c r="F104" s="419"/>
      <c r="G104" s="419"/>
      <c r="H104" s="420"/>
      <c r="J104" s="418"/>
      <c r="K104" s="419"/>
      <c r="L104" s="419"/>
      <c r="M104" s="419"/>
      <c r="N104" s="419"/>
      <c r="O104" s="419"/>
      <c r="P104" s="419"/>
      <c r="Q104" s="420"/>
    </row>
    <row r="105" spans="1:17">
      <c r="A105" s="421" t="s">
        <v>118</v>
      </c>
      <c r="B105" s="421" t="s">
        <v>16</v>
      </c>
      <c r="C105" s="422" t="s">
        <v>162</v>
      </c>
      <c r="D105" s="422" t="s">
        <v>223</v>
      </c>
      <c r="E105" s="421" t="s">
        <v>19</v>
      </c>
      <c r="F105" s="441" t="s">
        <v>143</v>
      </c>
      <c r="G105" s="421" t="s">
        <v>119</v>
      </c>
      <c r="H105" s="421"/>
      <c r="J105" s="421" t="s">
        <v>118</v>
      </c>
      <c r="K105" s="421" t="s">
        <v>16</v>
      </c>
      <c r="L105" s="422" t="s">
        <v>162</v>
      </c>
      <c r="M105" s="422" t="s">
        <v>223</v>
      </c>
      <c r="N105" s="421" t="s">
        <v>19</v>
      </c>
      <c r="O105" s="421" t="s">
        <v>143</v>
      </c>
      <c r="P105" s="421" t="s">
        <v>119</v>
      </c>
      <c r="Q105" s="421"/>
    </row>
    <row r="106" spans="1:17" ht="30">
      <c r="A106" s="421"/>
      <c r="B106" s="421"/>
      <c r="C106" s="423"/>
      <c r="D106" s="423"/>
      <c r="E106" s="421"/>
      <c r="F106" s="441"/>
      <c r="G106" s="58" t="s">
        <v>120</v>
      </c>
      <c r="H106" s="58" t="s">
        <v>121</v>
      </c>
      <c r="J106" s="421"/>
      <c r="K106" s="421"/>
      <c r="L106" s="423"/>
      <c r="M106" s="423"/>
      <c r="N106" s="421"/>
      <c r="O106" s="421"/>
      <c r="P106" s="58" t="s">
        <v>120</v>
      </c>
      <c r="Q106" s="58" t="s">
        <v>121</v>
      </c>
    </row>
    <row r="107" spans="1:17">
      <c r="A107" s="52" t="s">
        <v>34</v>
      </c>
      <c r="B107" s="402" t="s">
        <v>41</v>
      </c>
      <c r="C107" s="402"/>
      <c r="D107" s="402"/>
      <c r="E107" s="402"/>
      <c r="F107" s="402"/>
      <c r="G107" s="402"/>
      <c r="H107" s="402"/>
      <c r="J107" s="52" t="s">
        <v>34</v>
      </c>
      <c r="K107" s="402" t="s">
        <v>41</v>
      </c>
      <c r="L107" s="402"/>
      <c r="M107" s="402"/>
      <c r="N107" s="402"/>
      <c r="O107" s="402"/>
      <c r="P107" s="402"/>
      <c r="Q107" s="402"/>
    </row>
    <row r="108" spans="1:17">
      <c r="A108" s="52" t="s">
        <v>35</v>
      </c>
      <c r="B108" s="54" t="s">
        <v>122</v>
      </c>
      <c r="C108" s="66">
        <f>C37</f>
        <v>90781</v>
      </c>
      <c r="D108" s="45" t="s">
        <v>228</v>
      </c>
      <c r="E108" s="52" t="s">
        <v>89</v>
      </c>
      <c r="F108" s="49">
        <v>0.28699999999999998</v>
      </c>
      <c r="G108" s="66">
        <f>G37</f>
        <v>33.520000000000003</v>
      </c>
      <c r="H108" s="54">
        <f>G108*F108</f>
        <v>9.6202400000000008</v>
      </c>
      <c r="J108" s="52" t="s">
        <v>35</v>
      </c>
      <c r="K108" s="54" t="s">
        <v>122</v>
      </c>
      <c r="L108" s="66">
        <f>C37</f>
        <v>90781</v>
      </c>
      <c r="M108" s="45" t="s">
        <v>228</v>
      </c>
      <c r="N108" s="52" t="s">
        <v>89</v>
      </c>
      <c r="O108" s="53">
        <v>0.28699999999999998</v>
      </c>
      <c r="P108" s="66">
        <f>P37</f>
        <v>29.54</v>
      </c>
      <c r="Q108" s="54">
        <f>P108*O108</f>
        <v>8.4779799999999987</v>
      </c>
    </row>
    <row r="109" spans="1:17">
      <c r="A109" s="103" t="s">
        <v>36</v>
      </c>
      <c r="B109" s="54" t="s">
        <v>123</v>
      </c>
      <c r="C109" s="66">
        <f>C38</f>
        <v>88253</v>
      </c>
      <c r="D109" s="45" t="s">
        <v>228</v>
      </c>
      <c r="E109" s="52" t="s">
        <v>89</v>
      </c>
      <c r="F109" s="49">
        <v>1.1479999999999999</v>
      </c>
      <c r="G109" s="66">
        <f>G38</f>
        <v>27.35</v>
      </c>
      <c r="H109" s="54">
        <f>G109*F109</f>
        <v>31.3978</v>
      </c>
      <c r="J109" s="103" t="s">
        <v>36</v>
      </c>
      <c r="K109" s="54" t="s">
        <v>123</v>
      </c>
      <c r="L109" s="66">
        <f>C38</f>
        <v>88253</v>
      </c>
      <c r="M109" s="45" t="s">
        <v>228</v>
      </c>
      <c r="N109" s="52" t="s">
        <v>89</v>
      </c>
      <c r="O109" s="53">
        <v>1.1479999999999999</v>
      </c>
      <c r="P109" s="66">
        <f>P38</f>
        <v>24.36</v>
      </c>
      <c r="Q109" s="54">
        <f>P109*O109</f>
        <v>27.965279999999996</v>
      </c>
    </row>
    <row r="110" spans="1:17">
      <c r="A110" s="52" t="s">
        <v>37</v>
      </c>
      <c r="B110" s="54" t="s">
        <v>144</v>
      </c>
      <c r="C110" s="53">
        <v>88597</v>
      </c>
      <c r="D110" s="45" t="s">
        <v>228</v>
      </c>
      <c r="E110" s="52" t="s">
        <v>89</v>
      </c>
      <c r="F110" s="49">
        <v>0.28699999999999998</v>
      </c>
      <c r="G110" s="47">
        <f>'DADOS A INSERIR'!E16</f>
        <v>22.98</v>
      </c>
      <c r="H110" s="54">
        <f>G110*F110</f>
        <v>6.5952599999999997</v>
      </c>
      <c r="J110" s="52" t="s">
        <v>37</v>
      </c>
      <c r="K110" s="54" t="s">
        <v>144</v>
      </c>
      <c r="L110" s="53">
        <v>88597</v>
      </c>
      <c r="M110" s="45" t="s">
        <v>228</v>
      </c>
      <c r="N110" s="52" t="s">
        <v>89</v>
      </c>
      <c r="O110" s="53">
        <v>0.28699999999999998</v>
      </c>
      <c r="P110" s="47">
        <f>'DADOS A INSERIR'!F16</f>
        <v>20.420000000000002</v>
      </c>
      <c r="Q110" s="54">
        <f>P110*O110</f>
        <v>5.8605400000000003</v>
      </c>
    </row>
    <row r="111" spans="1:17">
      <c r="A111" s="52" t="s">
        <v>38</v>
      </c>
      <c r="B111" s="54" t="s">
        <v>125</v>
      </c>
      <c r="C111" s="53">
        <f>C40</f>
        <v>90775</v>
      </c>
      <c r="D111" s="45" t="s">
        <v>228</v>
      </c>
      <c r="E111" s="52" t="s">
        <v>89</v>
      </c>
      <c r="F111" s="49">
        <v>0.28699999999999998</v>
      </c>
      <c r="G111" s="66">
        <f>G40</f>
        <v>28.65</v>
      </c>
      <c r="H111" s="54">
        <f>G111*F111</f>
        <v>8.2225499999999982</v>
      </c>
      <c r="J111" s="52" t="s">
        <v>38</v>
      </c>
      <c r="K111" s="54" t="s">
        <v>125</v>
      </c>
      <c r="L111" s="53">
        <f>C40</f>
        <v>90775</v>
      </c>
      <c r="M111" s="45" t="s">
        <v>228</v>
      </c>
      <c r="N111" s="52" t="s">
        <v>89</v>
      </c>
      <c r="O111" s="53">
        <v>0.28699999999999998</v>
      </c>
      <c r="P111" s="66">
        <f>P40</f>
        <v>24.82</v>
      </c>
      <c r="Q111" s="54">
        <f>P111*O111</f>
        <v>7.1233399999999998</v>
      </c>
    </row>
    <row r="112" spans="1:17">
      <c r="A112" s="395" t="s">
        <v>126</v>
      </c>
      <c r="B112" s="396"/>
      <c r="C112" s="396"/>
      <c r="D112" s="396"/>
      <c r="E112" s="396"/>
      <c r="F112" s="397"/>
      <c r="G112" s="393">
        <f>H108+H109+H110+H111</f>
        <v>55.835849999999994</v>
      </c>
      <c r="H112" s="414"/>
      <c r="J112" s="395" t="s">
        <v>126</v>
      </c>
      <c r="K112" s="396"/>
      <c r="L112" s="396"/>
      <c r="M112" s="396"/>
      <c r="N112" s="396"/>
      <c r="O112" s="397"/>
      <c r="P112" s="393">
        <f>Q108+Q109+Q110+Q111</f>
        <v>49.427139999999994</v>
      </c>
      <c r="Q112" s="414"/>
    </row>
    <row r="113" spans="1:17">
      <c r="A113" s="52" t="s">
        <v>42</v>
      </c>
      <c r="B113" s="387" t="s">
        <v>128</v>
      </c>
      <c r="C113" s="388"/>
      <c r="D113" s="388"/>
      <c r="E113" s="388"/>
      <c r="F113" s="388"/>
      <c r="G113" s="388"/>
      <c r="H113" s="389"/>
      <c r="J113" s="52" t="s">
        <v>42</v>
      </c>
      <c r="K113" s="387" t="s">
        <v>128</v>
      </c>
      <c r="L113" s="388"/>
      <c r="M113" s="388"/>
      <c r="N113" s="388"/>
      <c r="O113" s="388"/>
      <c r="P113" s="388"/>
      <c r="Q113" s="389"/>
    </row>
    <row r="114" spans="1:17" ht="30">
      <c r="A114" s="52" t="s">
        <v>164</v>
      </c>
      <c r="B114" s="62" t="s">
        <v>309</v>
      </c>
      <c r="C114" s="44">
        <v>7247</v>
      </c>
      <c r="D114" s="45" t="s">
        <v>228</v>
      </c>
      <c r="E114" s="52" t="s">
        <v>89</v>
      </c>
      <c r="F114" s="49">
        <v>0.28699999999999998</v>
      </c>
      <c r="G114" s="48">
        <f>G43</f>
        <v>2.27</v>
      </c>
      <c r="H114" s="54">
        <f>G114*F114</f>
        <v>0.6514899999999999</v>
      </c>
      <c r="J114" s="52" t="s">
        <v>164</v>
      </c>
      <c r="K114" s="62" t="s">
        <v>309</v>
      </c>
      <c r="L114" s="44">
        <v>7247</v>
      </c>
      <c r="M114" s="45" t="s">
        <v>228</v>
      </c>
      <c r="N114" s="52" t="s">
        <v>89</v>
      </c>
      <c r="O114" s="53">
        <v>0.28699999999999998</v>
      </c>
      <c r="P114" s="48">
        <f>P43</f>
        <v>2.27</v>
      </c>
      <c r="Q114" s="54">
        <f>P114*O114</f>
        <v>0.6514899999999999</v>
      </c>
    </row>
    <row r="115" spans="1:17">
      <c r="A115" s="52" t="s">
        <v>165</v>
      </c>
      <c r="B115" s="62" t="s">
        <v>308</v>
      </c>
      <c r="C115" s="44">
        <v>7252</v>
      </c>
      <c r="D115" s="45" t="s">
        <v>228</v>
      </c>
      <c r="E115" s="52" t="s">
        <v>89</v>
      </c>
      <c r="F115" s="49">
        <v>0.28699999999999998</v>
      </c>
      <c r="G115" s="48">
        <f>G44</f>
        <v>2.27</v>
      </c>
      <c r="H115" s="54">
        <f>G115*F115</f>
        <v>0.6514899999999999</v>
      </c>
      <c r="J115" s="52" t="s">
        <v>165</v>
      </c>
      <c r="K115" s="62" t="s">
        <v>308</v>
      </c>
      <c r="L115" s="44">
        <v>7252</v>
      </c>
      <c r="M115" s="45" t="s">
        <v>228</v>
      </c>
      <c r="N115" s="52" t="s">
        <v>89</v>
      </c>
      <c r="O115" s="53">
        <v>0.28699999999999998</v>
      </c>
      <c r="P115" s="48">
        <f>P44</f>
        <v>2.27</v>
      </c>
      <c r="Q115" s="54">
        <f>P115*O115</f>
        <v>0.6514899999999999</v>
      </c>
    </row>
    <row r="116" spans="1:17">
      <c r="A116" s="390" t="s">
        <v>127</v>
      </c>
      <c r="B116" s="391"/>
      <c r="C116" s="391"/>
      <c r="D116" s="391"/>
      <c r="E116" s="391"/>
      <c r="F116" s="392"/>
      <c r="G116" s="393">
        <f>H114+H115</f>
        <v>1.3029799999999998</v>
      </c>
      <c r="H116" s="394"/>
      <c r="J116" s="390" t="s">
        <v>127</v>
      </c>
      <c r="K116" s="391"/>
      <c r="L116" s="391"/>
      <c r="M116" s="391"/>
      <c r="N116" s="391"/>
      <c r="O116" s="392"/>
      <c r="P116" s="393">
        <f>Q114+Q115</f>
        <v>1.3029799999999998</v>
      </c>
      <c r="Q116" s="394"/>
    </row>
    <row r="117" spans="1:17">
      <c r="A117" s="52" t="s">
        <v>43</v>
      </c>
      <c r="B117" s="387" t="s">
        <v>130</v>
      </c>
      <c r="C117" s="388"/>
      <c r="D117" s="388"/>
      <c r="E117" s="388"/>
      <c r="F117" s="388"/>
      <c r="G117" s="388"/>
      <c r="H117" s="389"/>
      <c r="J117" s="52" t="s">
        <v>43</v>
      </c>
      <c r="K117" s="387" t="s">
        <v>130</v>
      </c>
      <c r="L117" s="388"/>
      <c r="M117" s="388"/>
      <c r="N117" s="388"/>
      <c r="O117" s="388"/>
      <c r="P117" s="388"/>
      <c r="Q117" s="389"/>
    </row>
    <row r="118" spans="1:17">
      <c r="A118" s="52" t="s">
        <v>46</v>
      </c>
      <c r="B118" s="62" t="s">
        <v>360</v>
      </c>
      <c r="C118" s="45">
        <v>92138</v>
      </c>
      <c r="D118" s="45" t="s">
        <v>228</v>
      </c>
      <c r="E118" s="52" t="s">
        <v>193</v>
      </c>
      <c r="F118" s="101">
        <v>1.1479999999999999</v>
      </c>
      <c r="G118" s="51">
        <f>G47</f>
        <v>120</v>
      </c>
      <c r="H118" s="54">
        <f>G118*F118</f>
        <v>137.76</v>
      </c>
      <c r="J118" s="52" t="s">
        <v>46</v>
      </c>
      <c r="K118" s="62" t="s">
        <v>360</v>
      </c>
      <c r="L118" s="45">
        <v>92138</v>
      </c>
      <c r="M118" s="45" t="s">
        <v>228</v>
      </c>
      <c r="N118" s="52" t="s">
        <v>193</v>
      </c>
      <c r="O118" s="57">
        <v>1.1479999999999999</v>
      </c>
      <c r="P118" s="51">
        <f>P47</f>
        <v>117.57</v>
      </c>
      <c r="Q118" s="54">
        <f>P118*O118</f>
        <v>134.97035999999997</v>
      </c>
    </row>
    <row r="119" spans="1:17">
      <c r="A119" s="395" t="s">
        <v>129</v>
      </c>
      <c r="B119" s="396"/>
      <c r="C119" s="396"/>
      <c r="D119" s="396"/>
      <c r="E119" s="396"/>
      <c r="F119" s="397"/>
      <c r="G119" s="393">
        <f>H118</f>
        <v>137.76</v>
      </c>
      <c r="H119" s="394"/>
      <c r="J119" s="395" t="s">
        <v>129</v>
      </c>
      <c r="K119" s="396"/>
      <c r="L119" s="396"/>
      <c r="M119" s="396"/>
      <c r="N119" s="396"/>
      <c r="O119" s="397"/>
      <c r="P119" s="393">
        <f>Q118</f>
        <v>134.97035999999997</v>
      </c>
      <c r="Q119" s="394"/>
    </row>
    <row r="120" spans="1:17">
      <c r="A120" s="433"/>
      <c r="B120" s="433"/>
      <c r="C120" s="433"/>
      <c r="D120" s="433"/>
      <c r="E120" s="433"/>
      <c r="F120" s="433"/>
      <c r="G120" s="433"/>
      <c r="H120" s="433"/>
      <c r="J120" s="433"/>
      <c r="K120" s="433"/>
      <c r="L120" s="433"/>
      <c r="M120" s="433"/>
      <c r="N120" s="433"/>
      <c r="O120" s="433"/>
      <c r="P120" s="433"/>
      <c r="Q120" s="433"/>
    </row>
    <row r="121" spans="1:17">
      <c r="A121" s="52" t="s">
        <v>52</v>
      </c>
      <c r="B121" s="402" t="s">
        <v>132</v>
      </c>
      <c r="C121" s="402"/>
      <c r="D121" s="402"/>
      <c r="E121" s="402"/>
      <c r="F121" s="402"/>
      <c r="G121" s="402"/>
      <c r="H121" s="402"/>
      <c r="J121" s="52" t="s">
        <v>52</v>
      </c>
      <c r="K121" s="402" t="s">
        <v>132</v>
      </c>
      <c r="L121" s="402"/>
      <c r="M121" s="402"/>
      <c r="N121" s="402"/>
      <c r="O121" s="402"/>
      <c r="P121" s="402"/>
      <c r="Q121" s="402"/>
    </row>
    <row r="122" spans="1:17" ht="17.25" customHeight="1">
      <c r="A122" s="52" t="s">
        <v>53</v>
      </c>
      <c r="B122" s="62" t="s">
        <v>310</v>
      </c>
      <c r="C122" s="46">
        <v>4517</v>
      </c>
      <c r="D122" s="45" t="s">
        <v>228</v>
      </c>
      <c r="E122" s="52" t="s">
        <v>10</v>
      </c>
      <c r="F122" s="49">
        <v>5.6</v>
      </c>
      <c r="G122" s="51">
        <f>G51</f>
        <v>0.81</v>
      </c>
      <c r="H122" s="54">
        <f>G122*F122</f>
        <v>4.5359999999999996</v>
      </c>
      <c r="J122" s="52" t="s">
        <v>53</v>
      </c>
      <c r="K122" s="62" t="s">
        <v>310</v>
      </c>
      <c r="L122" s="46">
        <v>4517</v>
      </c>
      <c r="M122" s="45" t="s">
        <v>228</v>
      </c>
      <c r="N122" s="52" t="s">
        <v>10</v>
      </c>
      <c r="O122" s="53">
        <v>5.6</v>
      </c>
      <c r="P122" s="51">
        <f>P51</f>
        <v>0.81</v>
      </c>
      <c r="Q122" s="54">
        <f>P122*O122</f>
        <v>4.5359999999999996</v>
      </c>
    </row>
    <row r="123" spans="1:17">
      <c r="A123" s="52" t="s">
        <v>54</v>
      </c>
      <c r="B123" s="106" t="s">
        <v>315</v>
      </c>
      <c r="C123" s="65">
        <v>7592</v>
      </c>
      <c r="D123" s="45" t="s">
        <v>228</v>
      </c>
      <c r="E123" s="52" t="s">
        <v>89</v>
      </c>
      <c r="F123" s="49">
        <v>7</v>
      </c>
      <c r="G123" s="51">
        <f>G52</f>
        <v>33.520000000000003</v>
      </c>
      <c r="H123" s="54">
        <f>G123*F123</f>
        <v>234.64000000000001</v>
      </c>
      <c r="J123" s="52" t="s">
        <v>54</v>
      </c>
      <c r="K123" s="106" t="s">
        <v>315</v>
      </c>
      <c r="L123" s="65">
        <v>7592</v>
      </c>
      <c r="M123" s="45" t="s">
        <v>228</v>
      </c>
      <c r="N123" s="52" t="s">
        <v>89</v>
      </c>
      <c r="O123" s="53">
        <v>7</v>
      </c>
      <c r="P123" s="51">
        <f>P52</f>
        <v>29.54</v>
      </c>
      <c r="Q123" s="54">
        <f>P123*O123</f>
        <v>206.78</v>
      </c>
    </row>
    <row r="124" spans="1:17">
      <c r="A124" s="52" t="s">
        <v>90</v>
      </c>
      <c r="B124" s="106" t="s">
        <v>316</v>
      </c>
      <c r="C124" s="46">
        <v>4513</v>
      </c>
      <c r="D124" s="45" t="s">
        <v>228</v>
      </c>
      <c r="E124" s="52" t="s">
        <v>10</v>
      </c>
      <c r="F124" s="49">
        <f>7*0.3</f>
        <v>2.1</v>
      </c>
      <c r="G124" s="51">
        <f>G53</f>
        <v>1.17</v>
      </c>
      <c r="H124" s="54">
        <f>G124*F124</f>
        <v>2.4569999999999999</v>
      </c>
      <c r="J124" s="52" t="s">
        <v>90</v>
      </c>
      <c r="K124" s="106" t="s">
        <v>316</v>
      </c>
      <c r="L124" s="46">
        <v>4513</v>
      </c>
      <c r="M124" s="45" t="s">
        <v>228</v>
      </c>
      <c r="N124" s="52" t="s">
        <v>10</v>
      </c>
      <c r="O124" s="53">
        <f>7*0.3</f>
        <v>2.1</v>
      </c>
      <c r="P124" s="51">
        <f>P53</f>
        <v>1.17</v>
      </c>
      <c r="Q124" s="54">
        <f>P124*O124</f>
        <v>2.4569999999999999</v>
      </c>
    </row>
    <row r="125" spans="1:17">
      <c r="A125" s="427" t="s">
        <v>131</v>
      </c>
      <c r="B125" s="427"/>
      <c r="C125" s="427"/>
      <c r="D125" s="427"/>
      <c r="E125" s="427"/>
      <c r="F125" s="427"/>
      <c r="G125" s="434">
        <f>H122+H123+H124</f>
        <v>241.63300000000001</v>
      </c>
      <c r="H125" s="435"/>
      <c r="J125" s="427" t="s">
        <v>131</v>
      </c>
      <c r="K125" s="427"/>
      <c r="L125" s="427"/>
      <c r="M125" s="427"/>
      <c r="N125" s="427"/>
      <c r="O125" s="427"/>
      <c r="P125" s="434">
        <f>Q122+Q123+Q124</f>
        <v>213.773</v>
      </c>
      <c r="Q125" s="435"/>
    </row>
    <row r="126" spans="1:17">
      <c r="A126" s="52" t="s">
        <v>92</v>
      </c>
      <c r="B126" s="402" t="s">
        <v>136</v>
      </c>
      <c r="C126" s="402"/>
      <c r="D126" s="402"/>
      <c r="E126" s="402"/>
      <c r="F126" s="402"/>
      <c r="G126" s="402"/>
      <c r="H126" s="402"/>
      <c r="J126" s="52" t="s">
        <v>92</v>
      </c>
      <c r="K126" s="402" t="s">
        <v>136</v>
      </c>
      <c r="L126" s="402"/>
      <c r="M126" s="402"/>
      <c r="N126" s="402"/>
      <c r="O126" s="402"/>
      <c r="P126" s="402"/>
      <c r="Q126" s="402"/>
    </row>
    <row r="127" spans="1:17">
      <c r="A127" s="52" t="s">
        <v>93</v>
      </c>
      <c r="B127" s="108" t="s">
        <v>329</v>
      </c>
      <c r="C127" s="45" t="s">
        <v>228</v>
      </c>
      <c r="D127" s="45" t="s">
        <v>228</v>
      </c>
      <c r="E127" s="52" t="s">
        <v>134</v>
      </c>
      <c r="F127" s="49">
        <v>40</v>
      </c>
      <c r="G127" s="55">
        <f>G56</f>
        <v>0.15</v>
      </c>
      <c r="H127" s="55">
        <f>G127*F127</f>
        <v>6</v>
      </c>
      <c r="J127" s="52" t="s">
        <v>93</v>
      </c>
      <c r="K127" s="108" t="s">
        <v>329</v>
      </c>
      <c r="L127" s="45" t="s">
        <v>228</v>
      </c>
      <c r="M127" s="45" t="s">
        <v>228</v>
      </c>
      <c r="N127" s="52" t="s">
        <v>134</v>
      </c>
      <c r="O127" s="49">
        <v>40</v>
      </c>
      <c r="P127" s="55">
        <f>P56</f>
        <v>0.15</v>
      </c>
      <c r="Q127" s="55">
        <f>P127*O127</f>
        <v>6</v>
      </c>
    </row>
    <row r="128" spans="1:17">
      <c r="A128" s="52" t="s">
        <v>133</v>
      </c>
      <c r="B128" s="108" t="s">
        <v>91</v>
      </c>
      <c r="C128" s="45" t="s">
        <v>228</v>
      </c>
      <c r="D128" s="45" t="s">
        <v>228</v>
      </c>
      <c r="E128" s="52" t="s">
        <v>134</v>
      </c>
      <c r="F128" s="49">
        <v>2</v>
      </c>
      <c r="G128" s="55">
        <f>G57</f>
        <v>2</v>
      </c>
      <c r="H128" s="55">
        <f>G128*F128</f>
        <v>4</v>
      </c>
      <c r="J128" s="52" t="s">
        <v>133</v>
      </c>
      <c r="K128" s="108" t="s">
        <v>91</v>
      </c>
      <c r="L128" s="45" t="s">
        <v>228</v>
      </c>
      <c r="M128" s="45" t="s">
        <v>228</v>
      </c>
      <c r="N128" s="52" t="s">
        <v>134</v>
      </c>
      <c r="O128" s="49">
        <v>2</v>
      </c>
      <c r="P128" s="55">
        <f>P57</f>
        <v>2</v>
      </c>
      <c r="Q128" s="55">
        <f>P128*O128</f>
        <v>4</v>
      </c>
    </row>
    <row r="129" spans="1:17">
      <c r="A129" s="52" t="s">
        <v>249</v>
      </c>
      <c r="B129" s="108" t="s">
        <v>327</v>
      </c>
      <c r="C129" s="45" t="s">
        <v>228</v>
      </c>
      <c r="D129" s="45" t="s">
        <v>228</v>
      </c>
      <c r="E129" s="52" t="s">
        <v>134</v>
      </c>
      <c r="F129" s="49">
        <v>2</v>
      </c>
      <c r="G129" s="55">
        <f>G58</f>
        <v>1.5</v>
      </c>
      <c r="H129" s="55">
        <f>G129*F129</f>
        <v>3</v>
      </c>
      <c r="J129" s="52" t="s">
        <v>249</v>
      </c>
      <c r="K129" s="108" t="s">
        <v>327</v>
      </c>
      <c r="L129" s="45" t="s">
        <v>228</v>
      </c>
      <c r="M129" s="45" t="s">
        <v>228</v>
      </c>
      <c r="N129" s="52" t="s">
        <v>134</v>
      </c>
      <c r="O129" s="49">
        <v>2</v>
      </c>
      <c r="P129" s="55">
        <f>P58</f>
        <v>1.5</v>
      </c>
      <c r="Q129" s="55">
        <f>P129*O129</f>
        <v>3</v>
      </c>
    </row>
    <row r="130" spans="1:17">
      <c r="A130" s="53"/>
      <c r="B130" s="427" t="s">
        <v>135</v>
      </c>
      <c r="C130" s="427"/>
      <c r="D130" s="427"/>
      <c r="E130" s="427"/>
      <c r="F130" s="427"/>
      <c r="G130" s="428">
        <f>SUM(H127:H129)</f>
        <v>13</v>
      </c>
      <c r="H130" s="429"/>
      <c r="J130" s="53"/>
      <c r="K130" s="427" t="s">
        <v>135</v>
      </c>
      <c r="L130" s="427"/>
      <c r="M130" s="427"/>
      <c r="N130" s="427"/>
      <c r="O130" s="427"/>
      <c r="P130" s="428">
        <f>SUM(Q127:Q129)</f>
        <v>13</v>
      </c>
      <c r="Q130" s="429"/>
    </row>
    <row r="131" spans="1:17">
      <c r="A131" s="387"/>
      <c r="B131" s="388"/>
      <c r="C131" s="388"/>
      <c r="D131" s="388"/>
      <c r="E131" s="388"/>
      <c r="F131" s="388"/>
      <c r="G131" s="388"/>
      <c r="H131" s="389"/>
      <c r="J131" s="387"/>
      <c r="K131" s="388"/>
      <c r="L131" s="388"/>
      <c r="M131" s="388"/>
      <c r="N131" s="388"/>
      <c r="O131" s="388"/>
      <c r="P131" s="388"/>
      <c r="Q131" s="389"/>
    </row>
    <row r="132" spans="1:17">
      <c r="A132" s="382" t="s">
        <v>423</v>
      </c>
      <c r="B132" s="383"/>
      <c r="C132" s="383"/>
      <c r="D132" s="383"/>
      <c r="E132" s="383"/>
      <c r="F132" s="384"/>
      <c r="G132" s="385">
        <f>G112+G116+G119+G125+G130</f>
        <v>449.53183000000001</v>
      </c>
      <c r="H132" s="386"/>
      <c r="I132" s="110"/>
      <c r="J132" s="382" t="s">
        <v>423</v>
      </c>
      <c r="K132" s="383"/>
      <c r="L132" s="383"/>
      <c r="M132" s="383"/>
      <c r="N132" s="383"/>
      <c r="O132" s="384"/>
      <c r="P132" s="385">
        <f>P112+P116+P119+P125+P130</f>
        <v>412.47348</v>
      </c>
      <c r="Q132" s="386"/>
    </row>
    <row r="133" spans="1:17">
      <c r="A133" s="41"/>
      <c r="B133" s="430"/>
      <c r="C133" s="430"/>
      <c r="D133" s="430"/>
      <c r="E133" s="430"/>
      <c r="F133" s="430"/>
      <c r="G133" s="430"/>
      <c r="H133" s="430"/>
      <c r="J133" s="41"/>
      <c r="K133" s="430"/>
      <c r="L133" s="430"/>
      <c r="M133" s="430"/>
      <c r="N133" s="430"/>
      <c r="O133" s="430"/>
      <c r="P133" s="430"/>
      <c r="Q133" s="430"/>
    </row>
    <row r="134" spans="1:17">
      <c r="A134" s="415" t="s">
        <v>167</v>
      </c>
      <c r="B134" s="415"/>
      <c r="C134" s="415"/>
      <c r="D134" s="415"/>
      <c r="E134" s="415"/>
      <c r="F134" s="415"/>
      <c r="G134" s="415"/>
      <c r="H134" s="415"/>
      <c r="J134" s="415" t="s">
        <v>330</v>
      </c>
      <c r="K134" s="415"/>
      <c r="L134" s="415"/>
      <c r="M134" s="415"/>
      <c r="N134" s="415"/>
      <c r="O134" s="415"/>
      <c r="P134" s="415"/>
      <c r="Q134" s="415"/>
    </row>
    <row r="135" spans="1:17">
      <c r="A135" s="398" t="s">
        <v>113</v>
      </c>
      <c r="B135" s="398"/>
      <c r="C135" s="398"/>
      <c r="D135" s="398"/>
      <c r="E135" s="398"/>
      <c r="F135" s="398"/>
      <c r="G135" s="398"/>
      <c r="H135" s="398"/>
      <c r="J135" s="398" t="s">
        <v>113</v>
      </c>
      <c r="K135" s="398"/>
      <c r="L135" s="398"/>
      <c r="M135" s="398"/>
      <c r="N135" s="398"/>
      <c r="O135" s="398"/>
      <c r="P135" s="398"/>
      <c r="Q135" s="398"/>
    </row>
    <row r="136" spans="1:17" ht="30.75" customHeight="1">
      <c r="A136" s="408" t="s">
        <v>160</v>
      </c>
      <c r="B136" s="409"/>
      <c r="C136" s="410"/>
      <c r="D136" s="109"/>
      <c r="E136" s="436" t="s">
        <v>142</v>
      </c>
      <c r="F136" s="437"/>
      <c r="G136" s="437"/>
      <c r="H136" s="438"/>
      <c r="J136" s="408" t="s">
        <v>160</v>
      </c>
      <c r="K136" s="409"/>
      <c r="L136" s="410"/>
      <c r="M136" s="109"/>
      <c r="N136" s="436" t="s">
        <v>142</v>
      </c>
      <c r="O136" s="437"/>
      <c r="P136" s="437"/>
      <c r="Q136" s="438"/>
    </row>
    <row r="137" spans="1:17">
      <c r="A137" s="416" t="s">
        <v>116</v>
      </c>
      <c r="B137" s="388"/>
      <c r="C137" s="388"/>
      <c r="D137" s="388"/>
      <c r="E137" s="388"/>
      <c r="F137" s="388"/>
      <c r="G137" s="388"/>
      <c r="H137" s="389"/>
      <c r="J137" s="416" t="s">
        <v>116</v>
      </c>
      <c r="K137" s="388"/>
      <c r="L137" s="388"/>
      <c r="M137" s="388"/>
      <c r="N137" s="388"/>
      <c r="O137" s="388"/>
      <c r="P137" s="388"/>
      <c r="Q137" s="389"/>
    </row>
    <row r="138" spans="1:17">
      <c r="A138" s="417" t="s">
        <v>117</v>
      </c>
      <c r="B138" s="388"/>
      <c r="C138" s="388"/>
      <c r="D138" s="388"/>
      <c r="E138" s="388"/>
      <c r="F138" s="388"/>
      <c r="G138" s="388"/>
      <c r="H138" s="389"/>
      <c r="J138" s="417" t="s">
        <v>117</v>
      </c>
      <c r="K138" s="388"/>
      <c r="L138" s="388"/>
      <c r="M138" s="388"/>
      <c r="N138" s="388"/>
      <c r="O138" s="388"/>
      <c r="P138" s="388"/>
      <c r="Q138" s="389"/>
    </row>
    <row r="139" spans="1:17">
      <c r="A139" s="418"/>
      <c r="B139" s="419"/>
      <c r="C139" s="419"/>
      <c r="D139" s="419"/>
      <c r="E139" s="419"/>
      <c r="F139" s="419"/>
      <c r="G139" s="419"/>
      <c r="H139" s="420"/>
      <c r="J139" s="418"/>
      <c r="K139" s="419"/>
      <c r="L139" s="419"/>
      <c r="M139" s="419"/>
      <c r="N139" s="419"/>
      <c r="O139" s="419"/>
      <c r="P139" s="419"/>
      <c r="Q139" s="420"/>
    </row>
    <row r="140" spans="1:17">
      <c r="A140" s="421" t="s">
        <v>118</v>
      </c>
      <c r="B140" s="421" t="s">
        <v>16</v>
      </c>
      <c r="C140" s="422" t="s">
        <v>162</v>
      </c>
      <c r="D140" s="422" t="s">
        <v>223</v>
      </c>
      <c r="E140" s="421" t="s">
        <v>19</v>
      </c>
      <c r="F140" s="441" t="s">
        <v>143</v>
      </c>
      <c r="G140" s="421" t="s">
        <v>119</v>
      </c>
      <c r="H140" s="421"/>
      <c r="J140" s="421" t="s">
        <v>118</v>
      </c>
      <c r="K140" s="421" t="s">
        <v>16</v>
      </c>
      <c r="L140" s="422" t="s">
        <v>162</v>
      </c>
      <c r="M140" s="422" t="s">
        <v>223</v>
      </c>
      <c r="N140" s="421" t="s">
        <v>19</v>
      </c>
      <c r="O140" s="421" t="s">
        <v>143</v>
      </c>
      <c r="P140" s="421" t="s">
        <v>119</v>
      </c>
      <c r="Q140" s="421"/>
    </row>
    <row r="141" spans="1:17" ht="30">
      <c r="A141" s="421"/>
      <c r="B141" s="421"/>
      <c r="C141" s="423"/>
      <c r="D141" s="423"/>
      <c r="E141" s="421"/>
      <c r="F141" s="441"/>
      <c r="G141" s="58" t="s">
        <v>120</v>
      </c>
      <c r="H141" s="58" t="s">
        <v>121</v>
      </c>
      <c r="J141" s="421"/>
      <c r="K141" s="421"/>
      <c r="L141" s="423"/>
      <c r="M141" s="423"/>
      <c r="N141" s="421"/>
      <c r="O141" s="421"/>
      <c r="P141" s="58" t="s">
        <v>120</v>
      </c>
      <c r="Q141" s="58" t="s">
        <v>121</v>
      </c>
    </row>
    <row r="142" spans="1:17">
      <c r="A142" s="52" t="s">
        <v>34</v>
      </c>
      <c r="B142" s="402" t="s">
        <v>41</v>
      </c>
      <c r="C142" s="402"/>
      <c r="D142" s="402"/>
      <c r="E142" s="402"/>
      <c r="F142" s="402"/>
      <c r="G142" s="402"/>
      <c r="H142" s="402"/>
      <c r="J142" s="52" t="s">
        <v>34</v>
      </c>
      <c r="K142" s="402" t="s">
        <v>41</v>
      </c>
      <c r="L142" s="402"/>
      <c r="M142" s="402"/>
      <c r="N142" s="402"/>
      <c r="O142" s="402"/>
      <c r="P142" s="402"/>
      <c r="Q142" s="402"/>
    </row>
    <row r="143" spans="1:17">
      <c r="A143" s="52" t="s">
        <v>35</v>
      </c>
      <c r="B143" s="54" t="s">
        <v>122</v>
      </c>
      <c r="C143" s="66">
        <f>C37</f>
        <v>90781</v>
      </c>
      <c r="D143" s="45" t="s">
        <v>228</v>
      </c>
      <c r="E143" s="52" t="s">
        <v>89</v>
      </c>
      <c r="F143" s="49">
        <v>2.496</v>
      </c>
      <c r="G143" s="66">
        <f>G37</f>
        <v>33.520000000000003</v>
      </c>
      <c r="H143" s="54">
        <f>G143*F143</f>
        <v>83.665920000000014</v>
      </c>
      <c r="J143" s="52" t="s">
        <v>35</v>
      </c>
      <c r="K143" s="54" t="s">
        <v>122</v>
      </c>
      <c r="L143" s="66">
        <f>C37</f>
        <v>90781</v>
      </c>
      <c r="M143" s="45" t="s">
        <v>228</v>
      </c>
      <c r="N143" s="52" t="s">
        <v>89</v>
      </c>
      <c r="O143" s="53">
        <v>2.496</v>
      </c>
      <c r="P143" s="66">
        <f>P37</f>
        <v>29.54</v>
      </c>
      <c r="Q143" s="54">
        <f>P143*O143</f>
        <v>73.731839999999991</v>
      </c>
    </row>
    <row r="144" spans="1:17">
      <c r="A144" s="103" t="s">
        <v>36</v>
      </c>
      <c r="B144" s="54" t="s">
        <v>123</v>
      </c>
      <c r="C144" s="66">
        <f>C38</f>
        <v>88253</v>
      </c>
      <c r="D144" s="45" t="s">
        <v>228</v>
      </c>
      <c r="E144" s="52" t="s">
        <v>89</v>
      </c>
      <c r="F144" s="49">
        <v>4.992</v>
      </c>
      <c r="G144" s="66">
        <f>G38</f>
        <v>27.35</v>
      </c>
      <c r="H144" s="54">
        <f>G144*F144</f>
        <v>136.53120000000001</v>
      </c>
      <c r="J144" s="103" t="s">
        <v>36</v>
      </c>
      <c r="K144" s="54" t="s">
        <v>123</v>
      </c>
      <c r="L144" s="53">
        <f>C38</f>
        <v>88253</v>
      </c>
      <c r="M144" s="45" t="s">
        <v>228</v>
      </c>
      <c r="N144" s="52" t="s">
        <v>89</v>
      </c>
      <c r="O144" s="53">
        <v>4.992</v>
      </c>
      <c r="P144" s="66">
        <f>P38</f>
        <v>24.36</v>
      </c>
      <c r="Q144" s="54">
        <f>P144*O144</f>
        <v>121.60512</v>
      </c>
    </row>
    <row r="145" spans="1:17">
      <c r="A145" s="52" t="s">
        <v>37</v>
      </c>
      <c r="B145" s="54" t="s">
        <v>144</v>
      </c>
      <c r="C145" s="53">
        <f>C110</f>
        <v>88597</v>
      </c>
      <c r="D145" s="45" t="s">
        <v>228</v>
      </c>
      <c r="E145" s="52" t="s">
        <v>89</v>
      </c>
      <c r="F145" s="49">
        <v>0.49920000000000003</v>
      </c>
      <c r="G145" s="47">
        <f>'DADOS A INSERIR'!E16</f>
        <v>22.98</v>
      </c>
      <c r="H145" s="54">
        <f>G145*F145</f>
        <v>11.471616000000001</v>
      </c>
      <c r="J145" s="52" t="s">
        <v>37</v>
      </c>
      <c r="K145" s="54" t="s">
        <v>144</v>
      </c>
      <c r="L145" s="53">
        <f>C110</f>
        <v>88597</v>
      </c>
      <c r="M145" s="45" t="s">
        <v>228</v>
      </c>
      <c r="N145" s="52" t="s">
        <v>89</v>
      </c>
      <c r="O145" s="53">
        <v>0.49920000000000003</v>
      </c>
      <c r="P145" s="47">
        <f>'DADOS A INSERIR'!F16</f>
        <v>20.420000000000002</v>
      </c>
      <c r="Q145" s="54">
        <f>P145*O145</f>
        <v>10.193664000000002</v>
      </c>
    </row>
    <row r="146" spans="1:17">
      <c r="A146" s="52" t="s">
        <v>38</v>
      </c>
      <c r="B146" s="54" t="s">
        <v>125</v>
      </c>
      <c r="C146" s="53">
        <f>C40</f>
        <v>90775</v>
      </c>
      <c r="D146" s="45" t="s">
        <v>228</v>
      </c>
      <c r="E146" s="52" t="s">
        <v>89</v>
      </c>
      <c r="F146" s="49">
        <v>0.49920000000000003</v>
      </c>
      <c r="G146" s="66">
        <f>G40</f>
        <v>28.65</v>
      </c>
      <c r="H146" s="54">
        <f>G146*F146</f>
        <v>14.30208</v>
      </c>
      <c r="J146" s="52" t="s">
        <v>38</v>
      </c>
      <c r="K146" s="54" t="s">
        <v>125</v>
      </c>
      <c r="L146" s="53">
        <f>C40</f>
        <v>90775</v>
      </c>
      <c r="M146" s="45" t="s">
        <v>228</v>
      </c>
      <c r="N146" s="52" t="s">
        <v>89</v>
      </c>
      <c r="O146" s="53">
        <v>0.49920000000000003</v>
      </c>
      <c r="P146" s="66">
        <f>P40</f>
        <v>24.82</v>
      </c>
      <c r="Q146" s="54">
        <f>P146*O146</f>
        <v>12.390144000000001</v>
      </c>
    </row>
    <row r="147" spans="1:17">
      <c r="A147" s="395" t="s">
        <v>126</v>
      </c>
      <c r="B147" s="396"/>
      <c r="C147" s="396"/>
      <c r="D147" s="396"/>
      <c r="E147" s="396"/>
      <c r="F147" s="397"/>
      <c r="G147" s="393">
        <f>H143+H144+H145+H146</f>
        <v>245.97081600000004</v>
      </c>
      <c r="H147" s="414"/>
      <c r="J147" s="395" t="s">
        <v>126</v>
      </c>
      <c r="K147" s="396"/>
      <c r="L147" s="396"/>
      <c r="M147" s="396"/>
      <c r="N147" s="396"/>
      <c r="O147" s="397"/>
      <c r="P147" s="393">
        <f>Q143+Q144+Q145+Q146</f>
        <v>217.92076799999998</v>
      </c>
      <c r="Q147" s="414"/>
    </row>
    <row r="148" spans="1:17">
      <c r="A148" s="52" t="s">
        <v>42</v>
      </c>
      <c r="B148" s="387" t="s">
        <v>128</v>
      </c>
      <c r="C148" s="388"/>
      <c r="D148" s="388"/>
      <c r="E148" s="388"/>
      <c r="F148" s="388"/>
      <c r="G148" s="388"/>
      <c r="H148" s="389"/>
      <c r="J148" s="52" t="s">
        <v>42</v>
      </c>
      <c r="K148" s="387" t="s">
        <v>128</v>
      </c>
      <c r="L148" s="388"/>
      <c r="M148" s="388"/>
      <c r="N148" s="388"/>
      <c r="O148" s="388"/>
      <c r="P148" s="388"/>
      <c r="Q148" s="389"/>
    </row>
    <row r="149" spans="1:17" ht="30">
      <c r="A149" s="52" t="s">
        <v>164</v>
      </c>
      <c r="B149" s="62" t="s">
        <v>309</v>
      </c>
      <c r="C149" s="44">
        <v>7247</v>
      </c>
      <c r="D149" s="45" t="s">
        <v>228</v>
      </c>
      <c r="E149" s="52" t="s">
        <v>89</v>
      </c>
      <c r="F149" s="49">
        <v>2.496</v>
      </c>
      <c r="G149" s="48">
        <f>G43</f>
        <v>2.27</v>
      </c>
      <c r="H149" s="54">
        <f>G149*F149</f>
        <v>5.6659199999999998</v>
      </c>
      <c r="J149" s="52" t="s">
        <v>164</v>
      </c>
      <c r="K149" s="62" t="s">
        <v>309</v>
      </c>
      <c r="L149" s="44">
        <v>7247</v>
      </c>
      <c r="M149" s="45" t="s">
        <v>228</v>
      </c>
      <c r="N149" s="52" t="s">
        <v>89</v>
      </c>
      <c r="O149" s="53">
        <v>2.496</v>
      </c>
      <c r="P149" s="48">
        <f>P43</f>
        <v>2.27</v>
      </c>
      <c r="Q149" s="54">
        <f>P149*O149</f>
        <v>5.6659199999999998</v>
      </c>
    </row>
    <row r="150" spans="1:17">
      <c r="A150" s="52" t="s">
        <v>165</v>
      </c>
      <c r="B150" s="62" t="s">
        <v>308</v>
      </c>
      <c r="C150" s="44">
        <v>7252</v>
      </c>
      <c r="D150" s="45" t="s">
        <v>228</v>
      </c>
      <c r="E150" s="52" t="s">
        <v>89</v>
      </c>
      <c r="F150" s="49">
        <v>1.248</v>
      </c>
      <c r="G150" s="48">
        <f>G44</f>
        <v>2.27</v>
      </c>
      <c r="H150" s="54">
        <f>G150*F150</f>
        <v>2.8329599999999999</v>
      </c>
      <c r="J150" s="52" t="s">
        <v>165</v>
      </c>
      <c r="K150" s="62" t="s">
        <v>308</v>
      </c>
      <c r="L150" s="44">
        <v>7252</v>
      </c>
      <c r="M150" s="45" t="s">
        <v>228</v>
      </c>
      <c r="N150" s="52" t="s">
        <v>89</v>
      </c>
      <c r="O150" s="53">
        <v>1.248</v>
      </c>
      <c r="P150" s="48">
        <f>P44</f>
        <v>2.27</v>
      </c>
      <c r="Q150" s="54">
        <f>P150*O150</f>
        <v>2.8329599999999999</v>
      </c>
    </row>
    <row r="151" spans="1:17">
      <c r="A151" s="390" t="s">
        <v>127</v>
      </c>
      <c r="B151" s="391"/>
      <c r="C151" s="391"/>
      <c r="D151" s="391"/>
      <c r="E151" s="391"/>
      <c r="F151" s="392"/>
      <c r="G151" s="393">
        <f>H149+H150</f>
        <v>8.4988799999999998</v>
      </c>
      <c r="H151" s="394"/>
      <c r="J151" s="390" t="s">
        <v>127</v>
      </c>
      <c r="K151" s="391"/>
      <c r="L151" s="391"/>
      <c r="M151" s="391"/>
      <c r="N151" s="391"/>
      <c r="O151" s="392"/>
      <c r="P151" s="393">
        <f>Q149+Q150</f>
        <v>8.4988799999999998</v>
      </c>
      <c r="Q151" s="394"/>
    </row>
    <row r="152" spans="1:17">
      <c r="A152" s="52" t="s">
        <v>43</v>
      </c>
      <c r="B152" s="387" t="s">
        <v>130</v>
      </c>
      <c r="C152" s="388"/>
      <c r="D152" s="388"/>
      <c r="E152" s="388"/>
      <c r="F152" s="388"/>
      <c r="G152" s="388"/>
      <c r="H152" s="389"/>
      <c r="J152" s="52" t="s">
        <v>43</v>
      </c>
      <c r="K152" s="387" t="s">
        <v>130</v>
      </c>
      <c r="L152" s="388"/>
      <c r="M152" s="388"/>
      <c r="N152" s="388"/>
      <c r="O152" s="388"/>
      <c r="P152" s="388"/>
      <c r="Q152" s="389"/>
    </row>
    <row r="153" spans="1:17">
      <c r="A153" s="52" t="s">
        <v>46</v>
      </c>
      <c r="B153" s="62" t="s">
        <v>360</v>
      </c>
      <c r="C153" s="45">
        <v>92138</v>
      </c>
      <c r="D153" s="45" t="s">
        <v>228</v>
      </c>
      <c r="E153" s="52" t="s">
        <v>193</v>
      </c>
      <c r="F153" s="101">
        <v>4.992</v>
      </c>
      <c r="G153" s="51">
        <f>G47</f>
        <v>120</v>
      </c>
      <c r="H153" s="54">
        <f>G153*F153</f>
        <v>599.04</v>
      </c>
      <c r="J153" s="52" t="s">
        <v>46</v>
      </c>
      <c r="K153" s="62" t="s">
        <v>360</v>
      </c>
      <c r="L153" s="45">
        <v>92138</v>
      </c>
      <c r="M153" s="45" t="s">
        <v>228</v>
      </c>
      <c r="N153" s="52" t="s">
        <v>193</v>
      </c>
      <c r="O153" s="57">
        <v>4.992</v>
      </c>
      <c r="P153" s="51">
        <f>P47</f>
        <v>117.57</v>
      </c>
      <c r="Q153" s="54">
        <f>P153*O153</f>
        <v>586.90944000000002</v>
      </c>
    </row>
    <row r="154" spans="1:17">
      <c r="A154" s="395" t="s">
        <v>129</v>
      </c>
      <c r="B154" s="396"/>
      <c r="C154" s="396"/>
      <c r="D154" s="396"/>
      <c r="E154" s="396"/>
      <c r="F154" s="397"/>
      <c r="G154" s="393">
        <f>H153</f>
        <v>599.04</v>
      </c>
      <c r="H154" s="394"/>
      <c r="J154" s="395" t="s">
        <v>129</v>
      </c>
      <c r="K154" s="396"/>
      <c r="L154" s="396"/>
      <c r="M154" s="396"/>
      <c r="N154" s="396"/>
      <c r="O154" s="397"/>
      <c r="P154" s="393">
        <f>Q153</f>
        <v>586.90944000000002</v>
      </c>
      <c r="Q154" s="394"/>
    </row>
    <row r="155" spans="1:17">
      <c r="A155" s="433"/>
      <c r="B155" s="433"/>
      <c r="C155" s="433"/>
      <c r="D155" s="433"/>
      <c r="E155" s="433"/>
      <c r="F155" s="433"/>
      <c r="G155" s="433"/>
      <c r="H155" s="433"/>
      <c r="J155" s="433"/>
      <c r="K155" s="433"/>
      <c r="L155" s="433"/>
      <c r="M155" s="433"/>
      <c r="N155" s="433"/>
      <c r="O155" s="433"/>
      <c r="P155" s="433"/>
      <c r="Q155" s="433"/>
    </row>
    <row r="156" spans="1:17">
      <c r="A156" s="52" t="s">
        <v>52</v>
      </c>
      <c r="B156" s="387" t="s">
        <v>132</v>
      </c>
      <c r="C156" s="388"/>
      <c r="D156" s="388"/>
      <c r="E156" s="388"/>
      <c r="F156" s="388"/>
      <c r="G156" s="388"/>
      <c r="H156" s="389"/>
      <c r="J156" s="52" t="s">
        <v>52</v>
      </c>
      <c r="K156" s="402" t="s">
        <v>132</v>
      </c>
      <c r="L156" s="402"/>
      <c r="M156" s="402"/>
      <c r="N156" s="402"/>
      <c r="O156" s="402"/>
      <c r="P156" s="402"/>
      <c r="Q156" s="402"/>
    </row>
    <row r="157" spans="1:17">
      <c r="A157" s="52" t="s">
        <v>53</v>
      </c>
      <c r="B157" s="62" t="s">
        <v>310</v>
      </c>
      <c r="C157" s="46">
        <v>4517</v>
      </c>
      <c r="D157" s="45" t="s">
        <v>228</v>
      </c>
      <c r="E157" s="52" t="s">
        <v>10</v>
      </c>
      <c r="F157" s="49">
        <v>11.231999999999999</v>
      </c>
      <c r="G157" s="51">
        <f>G51</f>
        <v>0.81</v>
      </c>
      <c r="H157" s="54">
        <f>G157*F157</f>
        <v>9.0979200000000002</v>
      </c>
      <c r="J157" s="52" t="s">
        <v>53</v>
      </c>
      <c r="K157" s="62" t="s">
        <v>310</v>
      </c>
      <c r="L157" s="46">
        <v>4517</v>
      </c>
      <c r="M157" s="45" t="s">
        <v>228</v>
      </c>
      <c r="N157" s="52" t="s">
        <v>10</v>
      </c>
      <c r="O157" s="53">
        <v>11.231999999999999</v>
      </c>
      <c r="P157" s="51">
        <f>P51</f>
        <v>0.81</v>
      </c>
      <c r="Q157" s="54">
        <f>P157*O157</f>
        <v>9.0979200000000002</v>
      </c>
    </row>
    <row r="158" spans="1:17">
      <c r="A158" s="52" t="s">
        <v>54</v>
      </c>
      <c r="B158" s="106" t="s">
        <v>315</v>
      </c>
      <c r="C158" s="65">
        <v>7592</v>
      </c>
      <c r="D158" s="45" t="s">
        <v>228</v>
      </c>
      <c r="E158" s="52" t="s">
        <v>89</v>
      </c>
      <c r="F158" s="49">
        <v>13.728000000000002</v>
      </c>
      <c r="G158" s="51">
        <f>G52</f>
        <v>33.520000000000003</v>
      </c>
      <c r="H158" s="54">
        <f>G158*F158</f>
        <v>460.1625600000001</v>
      </c>
      <c r="J158" s="52" t="s">
        <v>54</v>
      </c>
      <c r="K158" s="106" t="s">
        <v>315</v>
      </c>
      <c r="L158" s="65">
        <v>7592</v>
      </c>
      <c r="M158" s="45" t="s">
        <v>228</v>
      </c>
      <c r="N158" s="52" t="s">
        <v>89</v>
      </c>
      <c r="O158" s="53">
        <v>13.728000000000002</v>
      </c>
      <c r="P158" s="51">
        <f>P52</f>
        <v>29.54</v>
      </c>
      <c r="Q158" s="54">
        <f>P158*O158</f>
        <v>405.52512000000002</v>
      </c>
    </row>
    <row r="159" spans="1:17">
      <c r="A159" s="52" t="s">
        <v>90</v>
      </c>
      <c r="B159" s="106" t="s">
        <v>316</v>
      </c>
      <c r="C159" s="46">
        <v>4513</v>
      </c>
      <c r="D159" s="45" t="s">
        <v>228</v>
      </c>
      <c r="E159" s="52" t="s">
        <v>10</v>
      </c>
      <c r="F159" s="49">
        <f>9.984*0.3</f>
        <v>2.9952000000000001</v>
      </c>
      <c r="G159" s="51">
        <f>G53</f>
        <v>1.17</v>
      </c>
      <c r="H159" s="54">
        <f>G159*F159</f>
        <v>3.5043839999999999</v>
      </c>
      <c r="J159" s="52" t="s">
        <v>90</v>
      </c>
      <c r="K159" s="106" t="s">
        <v>316</v>
      </c>
      <c r="L159" s="46">
        <v>4513</v>
      </c>
      <c r="M159" s="45" t="s">
        <v>228</v>
      </c>
      <c r="N159" s="52" t="s">
        <v>10</v>
      </c>
      <c r="O159" s="53">
        <f>9.984*0.3</f>
        <v>2.9952000000000001</v>
      </c>
      <c r="P159" s="51">
        <f>P53</f>
        <v>1.17</v>
      </c>
      <c r="Q159" s="54">
        <f>P159*O159</f>
        <v>3.5043839999999999</v>
      </c>
    </row>
    <row r="160" spans="1:17">
      <c r="A160" s="427" t="s">
        <v>131</v>
      </c>
      <c r="B160" s="427"/>
      <c r="C160" s="427"/>
      <c r="D160" s="427"/>
      <c r="E160" s="427"/>
      <c r="F160" s="427"/>
      <c r="G160" s="434">
        <f>H157+H158+H159</f>
        <v>472.7648640000001</v>
      </c>
      <c r="H160" s="435"/>
      <c r="J160" s="427" t="s">
        <v>131</v>
      </c>
      <c r="K160" s="427"/>
      <c r="L160" s="427"/>
      <c r="M160" s="427"/>
      <c r="N160" s="427"/>
      <c r="O160" s="427"/>
      <c r="P160" s="434">
        <f>Q157+Q158+Q159</f>
        <v>418.12742400000002</v>
      </c>
      <c r="Q160" s="435"/>
    </row>
    <row r="161" spans="1:17">
      <c r="A161" s="52" t="s">
        <v>92</v>
      </c>
      <c r="B161" s="402" t="s">
        <v>136</v>
      </c>
      <c r="C161" s="402"/>
      <c r="D161" s="402"/>
      <c r="E161" s="402"/>
      <c r="F161" s="402"/>
      <c r="G161" s="402"/>
      <c r="H161" s="402"/>
      <c r="J161" s="52" t="s">
        <v>92</v>
      </c>
      <c r="K161" s="402" t="s">
        <v>136</v>
      </c>
      <c r="L161" s="402"/>
      <c r="M161" s="402"/>
      <c r="N161" s="402"/>
      <c r="O161" s="402"/>
      <c r="P161" s="402"/>
      <c r="Q161" s="402"/>
    </row>
    <row r="162" spans="1:17">
      <c r="A162" s="52" t="s">
        <v>93</v>
      </c>
      <c r="B162" s="108" t="s">
        <v>329</v>
      </c>
      <c r="C162" s="45" t="s">
        <v>228</v>
      </c>
      <c r="D162" s="45" t="s">
        <v>228</v>
      </c>
      <c r="E162" s="52" t="s">
        <v>134</v>
      </c>
      <c r="F162" s="49">
        <v>40</v>
      </c>
      <c r="G162" s="55">
        <f>G56</f>
        <v>0.15</v>
      </c>
      <c r="H162" s="55">
        <f>G162*F162</f>
        <v>6</v>
      </c>
      <c r="J162" s="52" t="s">
        <v>93</v>
      </c>
      <c r="K162" s="108" t="s">
        <v>329</v>
      </c>
      <c r="L162" s="45" t="s">
        <v>228</v>
      </c>
      <c r="M162" s="45" t="s">
        <v>228</v>
      </c>
      <c r="N162" s="52" t="s">
        <v>134</v>
      </c>
      <c r="O162" s="49">
        <v>40</v>
      </c>
      <c r="P162" s="55">
        <f>P56</f>
        <v>0.15</v>
      </c>
      <c r="Q162" s="55">
        <f>P162*O162</f>
        <v>6</v>
      </c>
    </row>
    <row r="163" spans="1:17">
      <c r="A163" s="52" t="s">
        <v>133</v>
      </c>
      <c r="B163" s="108" t="s">
        <v>91</v>
      </c>
      <c r="C163" s="45" t="s">
        <v>228</v>
      </c>
      <c r="D163" s="45" t="s">
        <v>228</v>
      </c>
      <c r="E163" s="52" t="s">
        <v>134</v>
      </c>
      <c r="F163" s="49">
        <v>2</v>
      </c>
      <c r="G163" s="55">
        <f>G57</f>
        <v>2</v>
      </c>
      <c r="H163" s="55">
        <f>G163*F163</f>
        <v>4</v>
      </c>
      <c r="J163" s="52" t="s">
        <v>133</v>
      </c>
      <c r="K163" s="108" t="s">
        <v>91</v>
      </c>
      <c r="L163" s="45" t="s">
        <v>228</v>
      </c>
      <c r="M163" s="45" t="s">
        <v>228</v>
      </c>
      <c r="N163" s="52" t="s">
        <v>134</v>
      </c>
      <c r="O163" s="49">
        <v>2</v>
      </c>
      <c r="P163" s="55">
        <f>P57</f>
        <v>2</v>
      </c>
      <c r="Q163" s="55">
        <f>P163*O163</f>
        <v>4</v>
      </c>
    </row>
    <row r="164" spans="1:17">
      <c r="A164" s="52" t="s">
        <v>249</v>
      </c>
      <c r="B164" s="108" t="s">
        <v>327</v>
      </c>
      <c r="C164" s="45" t="s">
        <v>228</v>
      </c>
      <c r="D164" s="45" t="s">
        <v>228</v>
      </c>
      <c r="E164" s="52" t="s">
        <v>134</v>
      </c>
      <c r="F164" s="49">
        <v>2</v>
      </c>
      <c r="G164" s="55">
        <f>G58</f>
        <v>1.5</v>
      </c>
      <c r="H164" s="55">
        <f>G164*F164</f>
        <v>3</v>
      </c>
      <c r="J164" s="52" t="s">
        <v>249</v>
      </c>
      <c r="K164" s="108" t="s">
        <v>327</v>
      </c>
      <c r="L164" s="45" t="s">
        <v>228</v>
      </c>
      <c r="M164" s="45" t="s">
        <v>228</v>
      </c>
      <c r="N164" s="52" t="s">
        <v>134</v>
      </c>
      <c r="O164" s="49">
        <v>2</v>
      </c>
      <c r="P164" s="55">
        <f>P58</f>
        <v>1.5</v>
      </c>
      <c r="Q164" s="55">
        <f>P164*O164</f>
        <v>3</v>
      </c>
    </row>
    <row r="165" spans="1:17">
      <c r="A165" s="53"/>
      <c r="B165" s="427" t="s">
        <v>137</v>
      </c>
      <c r="C165" s="427"/>
      <c r="D165" s="427"/>
      <c r="E165" s="427"/>
      <c r="F165" s="427"/>
      <c r="G165" s="428">
        <f>SUM(H162:H164)</f>
        <v>13</v>
      </c>
      <c r="H165" s="429"/>
      <c r="J165" s="53"/>
      <c r="K165" s="427" t="s">
        <v>137</v>
      </c>
      <c r="L165" s="427"/>
      <c r="M165" s="427"/>
      <c r="N165" s="427"/>
      <c r="O165" s="427"/>
      <c r="P165" s="428">
        <f>SUM(Q162:Q164)</f>
        <v>13</v>
      </c>
      <c r="Q165" s="429"/>
    </row>
    <row r="166" spans="1:17">
      <c r="A166" s="387"/>
      <c r="B166" s="388"/>
      <c r="C166" s="388"/>
      <c r="D166" s="388"/>
      <c r="E166" s="388"/>
      <c r="F166" s="388"/>
      <c r="G166" s="388"/>
      <c r="H166" s="389"/>
      <c r="J166" s="387"/>
      <c r="K166" s="388"/>
      <c r="L166" s="388"/>
      <c r="M166" s="388"/>
      <c r="N166" s="388"/>
      <c r="O166" s="388"/>
      <c r="P166" s="388"/>
      <c r="Q166" s="389"/>
    </row>
    <row r="167" spans="1:17">
      <c r="A167" s="382" t="s">
        <v>423</v>
      </c>
      <c r="B167" s="383"/>
      <c r="C167" s="383"/>
      <c r="D167" s="383"/>
      <c r="E167" s="383"/>
      <c r="F167" s="384"/>
      <c r="G167" s="385">
        <f>G147+G151+G154+G160+G165</f>
        <v>1339.2745600000003</v>
      </c>
      <c r="H167" s="386"/>
      <c r="J167" s="382" t="s">
        <v>423</v>
      </c>
      <c r="K167" s="383"/>
      <c r="L167" s="383"/>
      <c r="M167" s="383"/>
      <c r="N167" s="383"/>
      <c r="O167" s="384"/>
      <c r="P167" s="385">
        <f>P147+P151+P154+P160+P165</f>
        <v>1244.456512</v>
      </c>
      <c r="Q167" s="386"/>
    </row>
    <row r="168" spans="1:17">
      <c r="A168" s="41"/>
      <c r="B168" s="430"/>
      <c r="C168" s="430"/>
      <c r="D168" s="430"/>
      <c r="E168" s="430"/>
      <c r="F168" s="430"/>
      <c r="G168" s="430"/>
      <c r="H168" s="430"/>
      <c r="J168" s="41"/>
      <c r="K168" s="430"/>
      <c r="L168" s="430"/>
      <c r="M168" s="430"/>
      <c r="N168" s="430"/>
      <c r="O168" s="430"/>
      <c r="P168" s="430"/>
      <c r="Q168" s="430"/>
    </row>
    <row r="169" spans="1:17">
      <c r="A169" s="415" t="s">
        <v>166</v>
      </c>
      <c r="B169" s="415"/>
      <c r="C169" s="415"/>
      <c r="D169" s="415"/>
      <c r="E169" s="415"/>
      <c r="F169" s="415"/>
      <c r="G169" s="415"/>
      <c r="H169" s="415"/>
      <c r="J169" s="415" t="s">
        <v>330</v>
      </c>
      <c r="K169" s="415"/>
      <c r="L169" s="415"/>
      <c r="M169" s="415"/>
      <c r="N169" s="415"/>
      <c r="O169" s="415"/>
      <c r="P169" s="415"/>
      <c r="Q169" s="415"/>
    </row>
    <row r="170" spans="1:17">
      <c r="A170" s="398" t="s">
        <v>113</v>
      </c>
      <c r="B170" s="398"/>
      <c r="C170" s="398"/>
      <c r="D170" s="398"/>
      <c r="E170" s="398"/>
      <c r="F170" s="398"/>
      <c r="G170" s="398"/>
      <c r="H170" s="398"/>
      <c r="J170" s="398" t="s">
        <v>113</v>
      </c>
      <c r="K170" s="398"/>
      <c r="L170" s="398"/>
      <c r="M170" s="398"/>
      <c r="N170" s="398"/>
      <c r="O170" s="398"/>
      <c r="P170" s="398"/>
      <c r="Q170" s="398"/>
    </row>
    <row r="171" spans="1:17" ht="45.75" customHeight="1">
      <c r="A171" s="408" t="s">
        <v>145</v>
      </c>
      <c r="B171" s="409"/>
      <c r="C171" s="410"/>
      <c r="D171" s="109"/>
      <c r="E171" s="411" t="s">
        <v>161</v>
      </c>
      <c r="F171" s="412"/>
      <c r="G171" s="412"/>
      <c r="H171" s="413"/>
      <c r="J171" s="408" t="s">
        <v>145</v>
      </c>
      <c r="K171" s="409"/>
      <c r="L171" s="410"/>
      <c r="M171" s="109"/>
      <c r="N171" s="411" t="s">
        <v>161</v>
      </c>
      <c r="O171" s="412"/>
      <c r="P171" s="412"/>
      <c r="Q171" s="413"/>
    </row>
    <row r="172" spans="1:17">
      <c r="A172" s="416" t="s">
        <v>139</v>
      </c>
      <c r="B172" s="388"/>
      <c r="C172" s="388"/>
      <c r="D172" s="388"/>
      <c r="E172" s="388"/>
      <c r="F172" s="388"/>
      <c r="G172" s="388"/>
      <c r="H172" s="389"/>
      <c r="J172" s="416" t="s">
        <v>139</v>
      </c>
      <c r="K172" s="388"/>
      <c r="L172" s="388"/>
      <c r="M172" s="388"/>
      <c r="N172" s="388"/>
      <c r="O172" s="388"/>
      <c r="P172" s="388"/>
      <c r="Q172" s="389"/>
    </row>
    <row r="173" spans="1:17">
      <c r="A173" s="417" t="s">
        <v>117</v>
      </c>
      <c r="B173" s="388"/>
      <c r="C173" s="388"/>
      <c r="D173" s="388"/>
      <c r="E173" s="388"/>
      <c r="F173" s="388"/>
      <c r="G173" s="388"/>
      <c r="H173" s="389"/>
      <c r="J173" s="417" t="s">
        <v>117</v>
      </c>
      <c r="K173" s="388"/>
      <c r="L173" s="388"/>
      <c r="M173" s="388"/>
      <c r="N173" s="388"/>
      <c r="O173" s="388"/>
      <c r="P173" s="388"/>
      <c r="Q173" s="389"/>
    </row>
    <row r="174" spans="1:17">
      <c r="A174" s="418"/>
      <c r="B174" s="419"/>
      <c r="C174" s="419"/>
      <c r="D174" s="419"/>
      <c r="E174" s="419"/>
      <c r="F174" s="419"/>
      <c r="G174" s="419"/>
      <c r="H174" s="420"/>
      <c r="J174" s="418"/>
      <c r="K174" s="419"/>
      <c r="L174" s="419"/>
      <c r="M174" s="419"/>
      <c r="N174" s="419"/>
      <c r="O174" s="419"/>
      <c r="P174" s="419"/>
      <c r="Q174" s="420"/>
    </row>
    <row r="175" spans="1:17">
      <c r="A175" s="421" t="s">
        <v>118</v>
      </c>
      <c r="B175" s="421" t="s">
        <v>16</v>
      </c>
      <c r="C175" s="422" t="s">
        <v>162</v>
      </c>
      <c r="D175" s="422" t="s">
        <v>223</v>
      </c>
      <c r="E175" s="421" t="s">
        <v>19</v>
      </c>
      <c r="F175" s="441" t="s">
        <v>28</v>
      </c>
      <c r="G175" s="421" t="s">
        <v>119</v>
      </c>
      <c r="H175" s="421"/>
      <c r="J175" s="421" t="s">
        <v>118</v>
      </c>
      <c r="K175" s="421" t="s">
        <v>16</v>
      </c>
      <c r="L175" s="422" t="s">
        <v>162</v>
      </c>
      <c r="M175" s="422" t="s">
        <v>223</v>
      </c>
      <c r="N175" s="421" t="s">
        <v>19</v>
      </c>
      <c r="O175" s="421" t="s">
        <v>28</v>
      </c>
      <c r="P175" s="421" t="s">
        <v>119</v>
      </c>
      <c r="Q175" s="421"/>
    </row>
    <row r="176" spans="1:17" ht="30">
      <c r="A176" s="421"/>
      <c r="B176" s="421"/>
      <c r="C176" s="423"/>
      <c r="D176" s="423"/>
      <c r="E176" s="421"/>
      <c r="F176" s="441"/>
      <c r="G176" s="58" t="s">
        <v>120</v>
      </c>
      <c r="H176" s="58" t="s">
        <v>121</v>
      </c>
      <c r="J176" s="421"/>
      <c r="K176" s="421"/>
      <c r="L176" s="423"/>
      <c r="M176" s="423"/>
      <c r="N176" s="421"/>
      <c r="O176" s="421"/>
      <c r="P176" s="58" t="s">
        <v>120</v>
      </c>
      <c r="Q176" s="58" t="s">
        <v>121</v>
      </c>
    </row>
    <row r="177" spans="1:17">
      <c r="A177" s="52" t="s">
        <v>34</v>
      </c>
      <c r="B177" s="402" t="s">
        <v>41</v>
      </c>
      <c r="C177" s="402"/>
      <c r="D177" s="402"/>
      <c r="E177" s="402"/>
      <c r="F177" s="402"/>
      <c r="G177" s="402"/>
      <c r="H177" s="402"/>
      <c r="J177" s="52" t="s">
        <v>34</v>
      </c>
      <c r="K177" s="402" t="s">
        <v>41</v>
      </c>
      <c r="L177" s="402"/>
      <c r="M177" s="402"/>
      <c r="N177" s="402"/>
      <c r="O177" s="402"/>
      <c r="P177" s="402"/>
      <c r="Q177" s="402"/>
    </row>
    <row r="178" spans="1:17">
      <c r="A178" s="52" t="s">
        <v>35</v>
      </c>
      <c r="B178" s="54" t="s">
        <v>122</v>
      </c>
      <c r="C178" s="66">
        <f>C37</f>
        <v>90781</v>
      </c>
      <c r="D178" s="45" t="s">
        <v>228</v>
      </c>
      <c r="E178" s="52" t="s">
        <v>89</v>
      </c>
      <c r="F178" s="49">
        <v>4.8909000000000008E-4</v>
      </c>
      <c r="G178" s="66">
        <f>G37</f>
        <v>33.520000000000003</v>
      </c>
      <c r="H178" s="112">
        <f>G178*F178</f>
        <v>1.6394296800000003E-2</v>
      </c>
      <c r="J178" s="52" t="s">
        <v>35</v>
      </c>
      <c r="K178" s="54" t="s">
        <v>122</v>
      </c>
      <c r="L178" s="66">
        <f>C37</f>
        <v>90781</v>
      </c>
      <c r="M178" s="45" t="s">
        <v>228</v>
      </c>
      <c r="N178" s="52" t="s">
        <v>89</v>
      </c>
      <c r="O178" s="53">
        <v>4.8909000000000008E-4</v>
      </c>
      <c r="P178" s="66">
        <f>P37</f>
        <v>29.54</v>
      </c>
      <c r="Q178" s="112">
        <f>P178*O178</f>
        <v>1.4447718600000001E-2</v>
      </c>
    </row>
    <row r="179" spans="1:17">
      <c r="A179" s="103" t="s">
        <v>36</v>
      </c>
      <c r="B179" s="54" t="s">
        <v>123</v>
      </c>
      <c r="C179" s="66">
        <f>C38</f>
        <v>88253</v>
      </c>
      <c r="D179" s="45" t="s">
        <v>228</v>
      </c>
      <c r="E179" s="52" t="s">
        <v>89</v>
      </c>
      <c r="F179" s="49">
        <v>4.8909000000000008E-4</v>
      </c>
      <c r="G179" s="66">
        <f>G38</f>
        <v>27.35</v>
      </c>
      <c r="H179" s="112">
        <f>G179*F179</f>
        <v>1.3376611500000003E-2</v>
      </c>
      <c r="J179" s="103" t="s">
        <v>36</v>
      </c>
      <c r="K179" s="54" t="s">
        <v>123</v>
      </c>
      <c r="L179" s="66">
        <f>C38</f>
        <v>88253</v>
      </c>
      <c r="M179" s="45" t="s">
        <v>228</v>
      </c>
      <c r="N179" s="52" t="s">
        <v>89</v>
      </c>
      <c r="O179" s="53">
        <v>4.8909000000000008E-4</v>
      </c>
      <c r="P179" s="66">
        <f>P38</f>
        <v>24.36</v>
      </c>
      <c r="Q179" s="112">
        <f>P179*O179</f>
        <v>1.1914232400000002E-2</v>
      </c>
    </row>
    <row r="180" spans="1:17">
      <c r="A180" s="103" t="s">
        <v>37</v>
      </c>
      <c r="B180" s="54" t="s">
        <v>124</v>
      </c>
      <c r="C180" s="66">
        <f>C39</f>
        <v>88241</v>
      </c>
      <c r="D180" s="45" t="s">
        <v>228</v>
      </c>
      <c r="E180" s="52" t="s">
        <v>89</v>
      </c>
      <c r="F180" s="49">
        <v>9.3801707999999998E-4</v>
      </c>
      <c r="G180" s="66">
        <f>G39</f>
        <v>15.78</v>
      </c>
      <c r="H180" s="112">
        <f>G180*F180</f>
        <v>1.4801909522399999E-2</v>
      </c>
      <c r="J180" s="103" t="s">
        <v>37</v>
      </c>
      <c r="K180" s="54" t="s">
        <v>124</v>
      </c>
      <c r="L180" s="66">
        <f>C39</f>
        <v>88241</v>
      </c>
      <c r="M180" s="45" t="s">
        <v>228</v>
      </c>
      <c r="N180" s="52" t="s">
        <v>89</v>
      </c>
      <c r="O180" s="53">
        <v>9.3801707999999998E-4</v>
      </c>
      <c r="P180" s="66">
        <f>P39</f>
        <v>14.36</v>
      </c>
      <c r="Q180" s="112">
        <f>P180*O180</f>
        <v>1.3469925268799999E-2</v>
      </c>
    </row>
    <row r="181" spans="1:17">
      <c r="A181" s="103" t="s">
        <v>38</v>
      </c>
      <c r="B181" s="54" t="s">
        <v>125</v>
      </c>
      <c r="C181" s="66">
        <f>C40</f>
        <v>90775</v>
      </c>
      <c r="D181" s="45" t="s">
        <v>228</v>
      </c>
      <c r="E181" s="52" t="s">
        <v>89</v>
      </c>
      <c r="F181" s="49">
        <v>1.1699799999999999E-4</v>
      </c>
      <c r="G181" s="66">
        <f>G40</f>
        <v>28.65</v>
      </c>
      <c r="H181" s="112">
        <f>G181*F181</f>
        <v>3.3519926999999996E-3</v>
      </c>
      <c r="J181" s="103" t="s">
        <v>38</v>
      </c>
      <c r="K181" s="54" t="s">
        <v>125</v>
      </c>
      <c r="L181" s="66">
        <f>C40</f>
        <v>90775</v>
      </c>
      <c r="M181" s="45" t="s">
        <v>228</v>
      </c>
      <c r="N181" s="52" t="s">
        <v>89</v>
      </c>
      <c r="O181" s="53">
        <v>1.1699799999999999E-4</v>
      </c>
      <c r="P181" s="66">
        <f>P40</f>
        <v>24.82</v>
      </c>
      <c r="Q181" s="112">
        <f>P181*O181</f>
        <v>2.90389036E-3</v>
      </c>
    </row>
    <row r="182" spans="1:17">
      <c r="A182" s="395" t="s">
        <v>126</v>
      </c>
      <c r="B182" s="396"/>
      <c r="C182" s="396"/>
      <c r="D182" s="396"/>
      <c r="E182" s="396"/>
      <c r="F182" s="397"/>
      <c r="G182" s="431">
        <f>H178+H179+H180+H181</f>
        <v>4.7924810522400003E-2</v>
      </c>
      <c r="H182" s="432"/>
      <c r="J182" s="395" t="s">
        <v>126</v>
      </c>
      <c r="K182" s="396"/>
      <c r="L182" s="396"/>
      <c r="M182" s="396"/>
      <c r="N182" s="396"/>
      <c r="O182" s="397"/>
      <c r="P182" s="431">
        <f>Q178+Q179+Q180+Q181</f>
        <v>4.27357666288E-2</v>
      </c>
      <c r="Q182" s="432"/>
    </row>
    <row r="183" spans="1:17">
      <c r="A183" s="52" t="s">
        <v>42</v>
      </c>
      <c r="B183" s="387" t="s">
        <v>128</v>
      </c>
      <c r="C183" s="388"/>
      <c r="D183" s="388"/>
      <c r="E183" s="388"/>
      <c r="F183" s="388"/>
      <c r="G183" s="388"/>
      <c r="H183" s="389"/>
      <c r="J183" s="52" t="s">
        <v>42</v>
      </c>
      <c r="K183" s="387" t="s">
        <v>128</v>
      </c>
      <c r="L183" s="388"/>
      <c r="M183" s="388"/>
      <c r="N183" s="388"/>
      <c r="O183" s="388"/>
      <c r="P183" s="388"/>
      <c r="Q183" s="389"/>
    </row>
    <row r="184" spans="1:17" ht="30">
      <c r="A184" s="52" t="s">
        <v>164</v>
      </c>
      <c r="B184" s="62" t="s">
        <v>309</v>
      </c>
      <c r="C184" s="44">
        <v>7247</v>
      </c>
      <c r="D184" s="45" t="s">
        <v>228</v>
      </c>
      <c r="E184" s="52" t="s">
        <v>89</v>
      </c>
      <c r="F184" s="49">
        <v>4.8909000000000008E-4</v>
      </c>
      <c r="G184" s="48">
        <f>G43</f>
        <v>2.27</v>
      </c>
      <c r="H184" s="112">
        <f>G184*F184</f>
        <v>1.1102343000000002E-3</v>
      </c>
      <c r="J184" s="52" t="s">
        <v>164</v>
      </c>
      <c r="K184" s="62" t="s">
        <v>309</v>
      </c>
      <c r="L184" s="44">
        <v>7247</v>
      </c>
      <c r="M184" s="45" t="s">
        <v>228</v>
      </c>
      <c r="N184" s="52" t="s">
        <v>89</v>
      </c>
      <c r="O184" s="53">
        <v>4.8909000000000008E-4</v>
      </c>
      <c r="P184" s="48">
        <f>P43</f>
        <v>2.27</v>
      </c>
      <c r="Q184" s="112">
        <f>P184*O184</f>
        <v>1.1102343000000002E-3</v>
      </c>
    </row>
    <row r="185" spans="1:17">
      <c r="A185" s="52" t="s">
        <v>165</v>
      </c>
      <c r="B185" s="62" t="s">
        <v>308</v>
      </c>
      <c r="C185" s="44">
        <v>7252</v>
      </c>
      <c r="D185" s="45" t="s">
        <v>228</v>
      </c>
      <c r="E185" s="52" t="s">
        <v>89</v>
      </c>
      <c r="F185" s="49">
        <v>4.8909000000000008E-4</v>
      </c>
      <c r="G185" s="48">
        <f>G44</f>
        <v>2.27</v>
      </c>
      <c r="H185" s="112">
        <f>G185*F185</f>
        <v>1.1102343000000002E-3</v>
      </c>
      <c r="J185" s="52" t="s">
        <v>165</v>
      </c>
      <c r="K185" s="62" t="s">
        <v>308</v>
      </c>
      <c r="L185" s="44">
        <v>7252</v>
      </c>
      <c r="M185" s="45" t="s">
        <v>228</v>
      </c>
      <c r="N185" s="52" t="s">
        <v>89</v>
      </c>
      <c r="O185" s="53">
        <v>4.8909000000000008E-4</v>
      </c>
      <c r="P185" s="48">
        <f>P44</f>
        <v>2.27</v>
      </c>
      <c r="Q185" s="112">
        <f>P185*O185</f>
        <v>1.1102343000000002E-3</v>
      </c>
    </row>
    <row r="186" spans="1:17">
      <c r="A186" s="390" t="s">
        <v>129</v>
      </c>
      <c r="B186" s="391"/>
      <c r="C186" s="391"/>
      <c r="D186" s="391"/>
      <c r="E186" s="391"/>
      <c r="F186" s="392"/>
      <c r="G186" s="431">
        <f>H184+H185</f>
        <v>2.2204686000000004E-3</v>
      </c>
      <c r="H186" s="432"/>
      <c r="J186" s="390" t="s">
        <v>129</v>
      </c>
      <c r="K186" s="391"/>
      <c r="L186" s="391"/>
      <c r="M186" s="391"/>
      <c r="N186" s="391"/>
      <c r="O186" s="392"/>
      <c r="P186" s="431">
        <f>Q184+Q185</f>
        <v>2.2204686000000004E-3</v>
      </c>
      <c r="Q186" s="432"/>
    </row>
    <row r="187" spans="1:17">
      <c r="A187" s="52" t="s">
        <v>43</v>
      </c>
      <c r="B187" s="387" t="s">
        <v>130</v>
      </c>
      <c r="C187" s="388"/>
      <c r="D187" s="388"/>
      <c r="E187" s="388"/>
      <c r="F187" s="388"/>
      <c r="G187" s="388"/>
      <c r="H187" s="389"/>
      <c r="J187" s="52" t="s">
        <v>43</v>
      </c>
      <c r="K187" s="387" t="s">
        <v>130</v>
      </c>
      <c r="L187" s="388"/>
      <c r="M187" s="388"/>
      <c r="N187" s="388"/>
      <c r="O187" s="388"/>
      <c r="P187" s="388"/>
      <c r="Q187" s="389"/>
    </row>
    <row r="188" spans="1:17">
      <c r="A188" s="52" t="s">
        <v>46</v>
      </c>
      <c r="B188" s="62" t="s">
        <v>360</v>
      </c>
      <c r="C188" s="45">
        <v>92138</v>
      </c>
      <c r="D188" s="45" t="s">
        <v>228</v>
      </c>
      <c r="E188" s="52" t="s">
        <v>193</v>
      </c>
      <c r="F188" s="49">
        <v>4.8909000000000008E-4</v>
      </c>
      <c r="G188" s="51">
        <f>G47</f>
        <v>120</v>
      </c>
      <c r="H188" s="112">
        <f>F188*G188</f>
        <v>5.8690800000000008E-2</v>
      </c>
      <c r="J188" s="52" t="s">
        <v>46</v>
      </c>
      <c r="K188" s="62" t="s">
        <v>360</v>
      </c>
      <c r="L188" s="45">
        <v>92138</v>
      </c>
      <c r="M188" s="45" t="s">
        <v>228</v>
      </c>
      <c r="N188" s="52" t="s">
        <v>193</v>
      </c>
      <c r="O188" s="53">
        <v>4.8909000000000008E-4</v>
      </c>
      <c r="P188" s="51">
        <f>P47</f>
        <v>117.57</v>
      </c>
      <c r="Q188" s="112">
        <f>O188*P188</f>
        <v>5.7502311300000004E-2</v>
      </c>
    </row>
    <row r="189" spans="1:17">
      <c r="A189" s="395" t="s">
        <v>131</v>
      </c>
      <c r="B189" s="396"/>
      <c r="C189" s="396"/>
      <c r="D189" s="396"/>
      <c r="E189" s="396"/>
      <c r="F189" s="397"/>
      <c r="G189" s="431">
        <f>H188</f>
        <v>5.8690800000000008E-2</v>
      </c>
      <c r="H189" s="432"/>
      <c r="J189" s="395" t="s">
        <v>131</v>
      </c>
      <c r="K189" s="396"/>
      <c r="L189" s="396"/>
      <c r="M189" s="396"/>
      <c r="N189" s="396"/>
      <c r="O189" s="397"/>
      <c r="P189" s="431">
        <f>Q188</f>
        <v>5.7502311300000004E-2</v>
      </c>
      <c r="Q189" s="432"/>
    </row>
    <row r="190" spans="1:17">
      <c r="A190" s="424"/>
      <c r="B190" s="425"/>
      <c r="C190" s="425"/>
      <c r="D190" s="425"/>
      <c r="E190" s="425"/>
      <c r="F190" s="425"/>
      <c r="G190" s="425"/>
      <c r="H190" s="426"/>
      <c r="J190" s="424"/>
      <c r="K190" s="425"/>
      <c r="L190" s="425"/>
      <c r="M190" s="425"/>
      <c r="N190" s="425"/>
      <c r="O190" s="425"/>
      <c r="P190" s="425"/>
      <c r="Q190" s="426"/>
    </row>
    <row r="191" spans="1:17">
      <c r="A191" s="52" t="s">
        <v>52</v>
      </c>
      <c r="B191" s="387" t="s">
        <v>132</v>
      </c>
      <c r="C191" s="388"/>
      <c r="D191" s="388"/>
      <c r="E191" s="388"/>
      <c r="F191" s="388"/>
      <c r="G191" s="388"/>
      <c r="H191" s="389"/>
      <c r="J191" s="52" t="s">
        <v>52</v>
      </c>
      <c r="K191" s="402" t="s">
        <v>132</v>
      </c>
      <c r="L191" s="402"/>
      <c r="M191" s="402"/>
      <c r="N191" s="402"/>
      <c r="O191" s="402"/>
      <c r="P191" s="402"/>
      <c r="Q191" s="402"/>
    </row>
    <row r="192" spans="1:17">
      <c r="A192" s="52" t="s">
        <v>53</v>
      </c>
      <c r="B192" s="62" t="s">
        <v>310</v>
      </c>
      <c r="C192" s="46">
        <v>4517</v>
      </c>
      <c r="D192" s="45" t="s">
        <v>228</v>
      </c>
      <c r="E192" s="52" t="s">
        <v>10</v>
      </c>
      <c r="F192" s="49">
        <v>4.0278000000000004E-4</v>
      </c>
      <c r="G192" s="51">
        <f>G51</f>
        <v>0.81</v>
      </c>
      <c r="H192" s="112">
        <f>G192*F192</f>
        <v>3.2625180000000006E-4</v>
      </c>
      <c r="J192" s="52" t="s">
        <v>53</v>
      </c>
      <c r="K192" s="62" t="s">
        <v>310</v>
      </c>
      <c r="L192" s="46">
        <v>4517</v>
      </c>
      <c r="M192" s="45" t="s">
        <v>228</v>
      </c>
      <c r="N192" s="52" t="s">
        <v>10</v>
      </c>
      <c r="O192" s="53">
        <v>4.0278000000000004E-4</v>
      </c>
      <c r="P192" s="51">
        <f>P51</f>
        <v>0.81</v>
      </c>
      <c r="Q192" s="112">
        <f>P192*O192</f>
        <v>3.2625180000000006E-4</v>
      </c>
    </row>
    <row r="193" spans="1:17">
      <c r="A193" s="52" t="s">
        <v>54</v>
      </c>
      <c r="B193" s="106" t="s">
        <v>315</v>
      </c>
      <c r="C193" s="65">
        <v>7592</v>
      </c>
      <c r="D193" s="45" t="s">
        <v>228</v>
      </c>
      <c r="E193" s="52" t="s">
        <v>89</v>
      </c>
      <c r="F193" s="49">
        <v>1.2466999999999998E-4</v>
      </c>
      <c r="G193" s="51">
        <f>G52</f>
        <v>33.520000000000003</v>
      </c>
      <c r="H193" s="112">
        <f>G193*F193</f>
        <v>4.1789384000000002E-3</v>
      </c>
      <c r="J193" s="52" t="s">
        <v>54</v>
      </c>
      <c r="K193" s="106" t="s">
        <v>315</v>
      </c>
      <c r="L193" s="65">
        <v>7592</v>
      </c>
      <c r="M193" s="45" t="s">
        <v>228</v>
      </c>
      <c r="N193" s="52" t="s">
        <v>89</v>
      </c>
      <c r="O193" s="53">
        <v>1.2466999999999998E-4</v>
      </c>
      <c r="P193" s="51">
        <f>P52</f>
        <v>29.54</v>
      </c>
      <c r="Q193" s="112">
        <f>P193*O193</f>
        <v>3.6827517999999996E-3</v>
      </c>
    </row>
    <row r="194" spans="1:17">
      <c r="A194" s="52" t="s">
        <v>90</v>
      </c>
      <c r="B194" s="106" t="s">
        <v>316</v>
      </c>
      <c r="C194" s="46">
        <v>4513</v>
      </c>
      <c r="D194" s="45" t="s">
        <v>228</v>
      </c>
      <c r="E194" s="52" t="s">
        <v>10</v>
      </c>
      <c r="F194" s="49">
        <f>0.00586260675*0.3</f>
        <v>1.7587820249999999E-3</v>
      </c>
      <c r="G194" s="51">
        <f>G53</f>
        <v>1.17</v>
      </c>
      <c r="H194" s="112">
        <f>G194*F194</f>
        <v>2.0577749692499998E-3</v>
      </c>
      <c r="J194" s="52" t="s">
        <v>90</v>
      </c>
      <c r="K194" s="106" t="s">
        <v>316</v>
      </c>
      <c r="L194" s="46">
        <v>4513</v>
      </c>
      <c r="M194" s="45" t="s">
        <v>228</v>
      </c>
      <c r="N194" s="52" t="s">
        <v>10</v>
      </c>
      <c r="O194" s="53">
        <f>0.00586260675*0.3</f>
        <v>1.7587820249999999E-3</v>
      </c>
      <c r="P194" s="51">
        <f>P53</f>
        <v>1.17</v>
      </c>
      <c r="Q194" s="112">
        <f>P194*O194</f>
        <v>2.0577749692499998E-3</v>
      </c>
    </row>
    <row r="195" spans="1:17">
      <c r="A195" s="395" t="s">
        <v>135</v>
      </c>
      <c r="B195" s="396"/>
      <c r="C195" s="396"/>
      <c r="D195" s="396"/>
      <c r="E195" s="396"/>
      <c r="F195" s="397"/>
      <c r="G195" s="431">
        <f>H192+H193+H194</f>
        <v>6.5629651692499999E-3</v>
      </c>
      <c r="H195" s="432"/>
      <c r="J195" s="395" t="s">
        <v>135</v>
      </c>
      <c r="K195" s="396"/>
      <c r="L195" s="396"/>
      <c r="M195" s="396"/>
      <c r="N195" s="396"/>
      <c r="O195" s="397"/>
      <c r="P195" s="431">
        <f>Q192+Q193+Q194</f>
        <v>6.0667785692499997E-3</v>
      </c>
      <c r="Q195" s="432"/>
    </row>
    <row r="196" spans="1:17">
      <c r="A196" s="387"/>
      <c r="B196" s="388"/>
      <c r="C196" s="388"/>
      <c r="D196" s="388"/>
      <c r="E196" s="388"/>
      <c r="F196" s="388"/>
      <c r="G196" s="388"/>
      <c r="H196" s="389"/>
      <c r="J196" s="387"/>
      <c r="K196" s="388"/>
      <c r="L196" s="388"/>
      <c r="M196" s="388"/>
      <c r="N196" s="388"/>
      <c r="O196" s="388"/>
      <c r="P196" s="388"/>
      <c r="Q196" s="389"/>
    </row>
    <row r="197" spans="1:17">
      <c r="A197" s="382" t="s">
        <v>423</v>
      </c>
      <c r="B197" s="383"/>
      <c r="C197" s="383"/>
      <c r="D197" s="383"/>
      <c r="E197" s="383"/>
      <c r="F197" s="384"/>
      <c r="G197" s="385">
        <f>G182+G186+G189+G195</f>
        <v>0.11539904429165002</v>
      </c>
      <c r="H197" s="386"/>
      <c r="I197" s="110"/>
      <c r="J197" s="382" t="s">
        <v>423</v>
      </c>
      <c r="K197" s="383"/>
      <c r="L197" s="383"/>
      <c r="M197" s="383"/>
      <c r="N197" s="383"/>
      <c r="O197" s="384"/>
      <c r="P197" s="385">
        <f>P182+P186+P189+P195</f>
        <v>0.10852532509805</v>
      </c>
      <c r="Q197" s="386"/>
    </row>
    <row r="198" spans="1:17">
      <c r="A198" s="41"/>
      <c r="B198" s="430"/>
      <c r="C198" s="430"/>
      <c r="D198" s="430"/>
      <c r="E198" s="430"/>
      <c r="F198" s="430"/>
      <c r="G198" s="430"/>
      <c r="H198" s="430"/>
      <c r="J198" s="41"/>
      <c r="K198" s="430"/>
      <c r="L198" s="430"/>
      <c r="M198" s="430"/>
      <c r="N198" s="430"/>
      <c r="O198" s="430"/>
      <c r="P198" s="430"/>
      <c r="Q198" s="430"/>
    </row>
    <row r="199" spans="1:17">
      <c r="A199" s="415" t="s">
        <v>166</v>
      </c>
      <c r="B199" s="415"/>
      <c r="C199" s="415"/>
      <c r="D199" s="415"/>
      <c r="E199" s="415"/>
      <c r="F199" s="415"/>
      <c r="G199" s="415"/>
      <c r="H199" s="415"/>
      <c r="J199" s="415" t="s">
        <v>330</v>
      </c>
      <c r="K199" s="415"/>
      <c r="L199" s="415"/>
      <c r="M199" s="415"/>
      <c r="N199" s="415"/>
      <c r="O199" s="415"/>
      <c r="P199" s="415"/>
      <c r="Q199" s="415"/>
    </row>
    <row r="200" spans="1:17">
      <c r="A200" s="398" t="s">
        <v>113</v>
      </c>
      <c r="B200" s="398"/>
      <c r="C200" s="398"/>
      <c r="D200" s="398"/>
      <c r="E200" s="398"/>
      <c r="F200" s="398"/>
      <c r="G200" s="398"/>
      <c r="H200" s="398"/>
      <c r="J200" s="398" t="s">
        <v>113</v>
      </c>
      <c r="K200" s="398"/>
      <c r="L200" s="398"/>
      <c r="M200" s="398"/>
      <c r="N200" s="398"/>
      <c r="O200" s="398"/>
      <c r="P200" s="398"/>
      <c r="Q200" s="398"/>
    </row>
    <row r="201" spans="1:17" ht="33" customHeight="1">
      <c r="A201" s="399" t="s">
        <v>146</v>
      </c>
      <c r="B201" s="400"/>
      <c r="C201" s="401"/>
      <c r="D201" s="102"/>
      <c r="E201" s="411" t="s">
        <v>140</v>
      </c>
      <c r="F201" s="412"/>
      <c r="G201" s="412"/>
      <c r="H201" s="413"/>
      <c r="J201" s="399" t="s">
        <v>146</v>
      </c>
      <c r="K201" s="400"/>
      <c r="L201" s="401"/>
      <c r="M201" s="102"/>
      <c r="N201" s="411" t="s">
        <v>140</v>
      </c>
      <c r="O201" s="412"/>
      <c r="P201" s="412"/>
      <c r="Q201" s="413"/>
    </row>
    <row r="202" spans="1:17">
      <c r="A202" s="416" t="s">
        <v>139</v>
      </c>
      <c r="B202" s="388"/>
      <c r="C202" s="388"/>
      <c r="D202" s="388"/>
      <c r="E202" s="388"/>
      <c r="F202" s="388"/>
      <c r="G202" s="388"/>
      <c r="H202" s="389"/>
      <c r="J202" s="416" t="s">
        <v>139</v>
      </c>
      <c r="K202" s="388"/>
      <c r="L202" s="388"/>
      <c r="M202" s="388"/>
      <c r="N202" s="388"/>
      <c r="O202" s="388"/>
      <c r="P202" s="388"/>
      <c r="Q202" s="389"/>
    </row>
    <row r="203" spans="1:17">
      <c r="A203" s="417" t="s">
        <v>117</v>
      </c>
      <c r="B203" s="388"/>
      <c r="C203" s="388"/>
      <c r="D203" s="388"/>
      <c r="E203" s="388"/>
      <c r="F203" s="388"/>
      <c r="G203" s="388"/>
      <c r="H203" s="389"/>
      <c r="J203" s="417" t="s">
        <v>117</v>
      </c>
      <c r="K203" s="388"/>
      <c r="L203" s="388"/>
      <c r="M203" s="388"/>
      <c r="N203" s="388"/>
      <c r="O203" s="388"/>
      <c r="P203" s="388"/>
      <c r="Q203" s="389"/>
    </row>
    <row r="204" spans="1:17">
      <c r="A204" s="418"/>
      <c r="B204" s="419"/>
      <c r="C204" s="419"/>
      <c r="D204" s="419"/>
      <c r="E204" s="419"/>
      <c r="F204" s="419"/>
      <c r="G204" s="419"/>
      <c r="H204" s="420"/>
      <c r="J204" s="418"/>
      <c r="K204" s="419"/>
      <c r="L204" s="419"/>
      <c r="M204" s="419"/>
      <c r="N204" s="419"/>
      <c r="O204" s="419"/>
      <c r="P204" s="419"/>
      <c r="Q204" s="420"/>
    </row>
    <row r="205" spans="1:17">
      <c r="A205" s="421" t="s">
        <v>118</v>
      </c>
      <c r="B205" s="421" t="s">
        <v>16</v>
      </c>
      <c r="C205" s="422" t="s">
        <v>162</v>
      </c>
      <c r="D205" s="422" t="s">
        <v>223</v>
      </c>
      <c r="E205" s="421" t="s">
        <v>19</v>
      </c>
      <c r="F205" s="441" t="s">
        <v>28</v>
      </c>
      <c r="G205" s="421" t="s">
        <v>119</v>
      </c>
      <c r="H205" s="421"/>
      <c r="J205" s="421" t="s">
        <v>118</v>
      </c>
      <c r="K205" s="421" t="s">
        <v>16</v>
      </c>
      <c r="L205" s="422" t="s">
        <v>162</v>
      </c>
      <c r="M205" s="422" t="s">
        <v>223</v>
      </c>
      <c r="N205" s="421" t="s">
        <v>19</v>
      </c>
      <c r="O205" s="421" t="s">
        <v>28</v>
      </c>
      <c r="P205" s="421" t="s">
        <v>119</v>
      </c>
      <c r="Q205" s="421"/>
    </row>
    <row r="206" spans="1:17" ht="30">
      <c r="A206" s="421"/>
      <c r="B206" s="421"/>
      <c r="C206" s="423"/>
      <c r="D206" s="423"/>
      <c r="E206" s="421"/>
      <c r="F206" s="441"/>
      <c r="G206" s="58" t="s">
        <v>120</v>
      </c>
      <c r="H206" s="58" t="s">
        <v>121</v>
      </c>
      <c r="J206" s="421"/>
      <c r="K206" s="421"/>
      <c r="L206" s="423"/>
      <c r="M206" s="423"/>
      <c r="N206" s="421"/>
      <c r="O206" s="421"/>
      <c r="P206" s="58" t="s">
        <v>120</v>
      </c>
      <c r="Q206" s="58" t="s">
        <v>121</v>
      </c>
    </row>
    <row r="207" spans="1:17">
      <c r="A207" s="52" t="s">
        <v>34</v>
      </c>
      <c r="B207" s="402" t="s">
        <v>41</v>
      </c>
      <c r="C207" s="402"/>
      <c r="D207" s="402"/>
      <c r="E207" s="402"/>
      <c r="F207" s="402"/>
      <c r="G207" s="402"/>
      <c r="H207" s="402"/>
      <c r="J207" s="52" t="s">
        <v>34</v>
      </c>
      <c r="K207" s="402" t="s">
        <v>41</v>
      </c>
      <c r="L207" s="402"/>
      <c r="M207" s="402"/>
      <c r="N207" s="402"/>
      <c r="O207" s="402"/>
      <c r="P207" s="402"/>
      <c r="Q207" s="402"/>
    </row>
    <row r="208" spans="1:17">
      <c r="A208" s="52" t="s">
        <v>35</v>
      </c>
      <c r="B208" s="54" t="s">
        <v>122</v>
      </c>
      <c r="C208" s="66">
        <f>C37</f>
        <v>90781</v>
      </c>
      <c r="D208" s="45" t="s">
        <v>228</v>
      </c>
      <c r="E208" s="52" t="s">
        <v>89</v>
      </c>
      <c r="F208" s="49">
        <v>12.144</v>
      </c>
      <c r="G208" s="66">
        <f>G37</f>
        <v>33.520000000000003</v>
      </c>
      <c r="H208" s="54">
        <f>G208*F208</f>
        <v>407.06688000000003</v>
      </c>
      <c r="J208" s="52" t="s">
        <v>35</v>
      </c>
      <c r="K208" s="54" t="s">
        <v>122</v>
      </c>
      <c r="L208" s="66">
        <f>C37</f>
        <v>90781</v>
      </c>
      <c r="M208" s="45" t="s">
        <v>228</v>
      </c>
      <c r="N208" s="52" t="s">
        <v>89</v>
      </c>
      <c r="O208" s="53">
        <v>12.144</v>
      </c>
      <c r="P208" s="66">
        <f>P37</f>
        <v>29.54</v>
      </c>
      <c r="Q208" s="54">
        <f>P208*O208</f>
        <v>358.73376000000002</v>
      </c>
    </row>
    <row r="209" spans="1:17">
      <c r="A209" s="103" t="s">
        <v>36</v>
      </c>
      <c r="B209" s="54" t="s">
        <v>123</v>
      </c>
      <c r="C209" s="66">
        <f>C38</f>
        <v>88253</v>
      </c>
      <c r="D209" s="45" t="s">
        <v>228</v>
      </c>
      <c r="E209" s="52" t="s">
        <v>89</v>
      </c>
      <c r="F209" s="49">
        <v>12.144</v>
      </c>
      <c r="G209" s="66">
        <f>G38</f>
        <v>27.35</v>
      </c>
      <c r="H209" s="54">
        <f>G209*F209</f>
        <v>332.13840000000005</v>
      </c>
      <c r="J209" s="103" t="s">
        <v>36</v>
      </c>
      <c r="K209" s="54" t="s">
        <v>123</v>
      </c>
      <c r="L209" s="66">
        <f>C38</f>
        <v>88253</v>
      </c>
      <c r="M209" s="45" t="s">
        <v>228</v>
      </c>
      <c r="N209" s="52" t="s">
        <v>89</v>
      </c>
      <c r="O209" s="53">
        <v>12.144</v>
      </c>
      <c r="P209" s="66">
        <f>P38</f>
        <v>24.36</v>
      </c>
      <c r="Q209" s="54">
        <f>P209*O209</f>
        <v>295.82783999999998</v>
      </c>
    </row>
    <row r="210" spans="1:17">
      <c r="A210" s="52" t="s">
        <v>37</v>
      </c>
      <c r="B210" s="54" t="s">
        <v>124</v>
      </c>
      <c r="C210" s="66">
        <f>C39</f>
        <v>88241</v>
      </c>
      <c r="D210" s="45" t="s">
        <v>228</v>
      </c>
      <c r="E210" s="52" t="s">
        <v>89</v>
      </c>
      <c r="F210" s="49">
        <v>24.288</v>
      </c>
      <c r="G210" s="66">
        <f>G39</f>
        <v>15.78</v>
      </c>
      <c r="H210" s="54">
        <f>G210*F210</f>
        <v>383.26463999999999</v>
      </c>
      <c r="J210" s="52" t="s">
        <v>37</v>
      </c>
      <c r="K210" s="54" t="s">
        <v>124</v>
      </c>
      <c r="L210" s="66">
        <f>C39</f>
        <v>88241</v>
      </c>
      <c r="M210" s="45" t="s">
        <v>228</v>
      </c>
      <c r="N210" s="52" t="s">
        <v>89</v>
      </c>
      <c r="O210" s="53">
        <v>24.288</v>
      </c>
      <c r="P210" s="66">
        <f>P39</f>
        <v>14.36</v>
      </c>
      <c r="Q210" s="54">
        <f>P210*O210</f>
        <v>348.77567999999997</v>
      </c>
    </row>
    <row r="211" spans="1:17">
      <c r="A211" s="52" t="s">
        <v>37</v>
      </c>
      <c r="B211" s="54" t="s">
        <v>125</v>
      </c>
      <c r="C211" s="66">
        <f>C40</f>
        <v>90775</v>
      </c>
      <c r="D211" s="45" t="s">
        <v>228</v>
      </c>
      <c r="E211" s="52" t="s">
        <v>89</v>
      </c>
      <c r="F211" s="49">
        <v>3.036</v>
      </c>
      <c r="G211" s="66">
        <f>G40</f>
        <v>28.65</v>
      </c>
      <c r="H211" s="54">
        <f>G211*F211</f>
        <v>86.981399999999994</v>
      </c>
      <c r="J211" s="52" t="s">
        <v>37</v>
      </c>
      <c r="K211" s="54" t="s">
        <v>125</v>
      </c>
      <c r="L211" s="66">
        <f>C40</f>
        <v>90775</v>
      </c>
      <c r="M211" s="45" t="s">
        <v>228</v>
      </c>
      <c r="N211" s="52" t="s">
        <v>89</v>
      </c>
      <c r="O211" s="53">
        <v>3.036</v>
      </c>
      <c r="P211" s="66">
        <f>P40</f>
        <v>24.82</v>
      </c>
      <c r="Q211" s="54">
        <f>P211*O211</f>
        <v>75.353520000000003</v>
      </c>
    </row>
    <row r="212" spans="1:17">
      <c r="A212" s="395" t="s">
        <v>126</v>
      </c>
      <c r="B212" s="396"/>
      <c r="C212" s="396"/>
      <c r="D212" s="396"/>
      <c r="E212" s="396"/>
      <c r="F212" s="397"/>
      <c r="G212" s="393">
        <f>H208+H209+H210+H211</f>
        <v>1209.4513199999999</v>
      </c>
      <c r="H212" s="414"/>
      <c r="J212" s="395" t="s">
        <v>126</v>
      </c>
      <c r="K212" s="396"/>
      <c r="L212" s="396"/>
      <c r="M212" s="396"/>
      <c r="N212" s="396"/>
      <c r="O212" s="397"/>
      <c r="P212" s="393">
        <f>Q208+Q209+Q210+Q211</f>
        <v>1078.6907999999999</v>
      </c>
      <c r="Q212" s="414"/>
    </row>
    <row r="213" spans="1:17">
      <c r="A213" s="52" t="s">
        <v>42</v>
      </c>
      <c r="B213" s="387" t="s">
        <v>128</v>
      </c>
      <c r="C213" s="388"/>
      <c r="D213" s="388"/>
      <c r="E213" s="388"/>
      <c r="F213" s="388"/>
      <c r="G213" s="388"/>
      <c r="H213" s="389"/>
      <c r="J213" s="52" t="s">
        <v>42</v>
      </c>
      <c r="K213" s="387" t="s">
        <v>128</v>
      </c>
      <c r="L213" s="388"/>
      <c r="M213" s="388"/>
      <c r="N213" s="388"/>
      <c r="O213" s="388"/>
      <c r="P213" s="388"/>
      <c r="Q213" s="389"/>
    </row>
    <row r="214" spans="1:17" ht="30">
      <c r="A214" s="52" t="s">
        <v>164</v>
      </c>
      <c r="B214" s="62" t="s">
        <v>309</v>
      </c>
      <c r="C214" s="44">
        <v>7247</v>
      </c>
      <c r="D214" s="45" t="s">
        <v>228</v>
      </c>
      <c r="E214" s="52" t="s">
        <v>89</v>
      </c>
      <c r="F214" s="49">
        <v>12.144</v>
      </c>
      <c r="G214" s="48">
        <f>G43</f>
        <v>2.27</v>
      </c>
      <c r="H214" s="54">
        <f>G214*F214</f>
        <v>27.566880000000001</v>
      </c>
      <c r="J214" s="52" t="s">
        <v>164</v>
      </c>
      <c r="K214" s="62" t="s">
        <v>309</v>
      </c>
      <c r="L214" s="44">
        <v>7247</v>
      </c>
      <c r="M214" s="45" t="s">
        <v>228</v>
      </c>
      <c r="N214" s="52" t="s">
        <v>89</v>
      </c>
      <c r="O214" s="53">
        <v>12.144</v>
      </c>
      <c r="P214" s="48">
        <f>P43</f>
        <v>2.27</v>
      </c>
      <c r="Q214" s="54">
        <f>P214*O214</f>
        <v>27.566880000000001</v>
      </c>
    </row>
    <row r="215" spans="1:17">
      <c r="A215" s="52" t="s">
        <v>165</v>
      </c>
      <c r="B215" s="62" t="s">
        <v>308</v>
      </c>
      <c r="C215" s="44">
        <v>7252</v>
      </c>
      <c r="D215" s="45" t="s">
        <v>228</v>
      </c>
      <c r="E215" s="52" t="s">
        <v>89</v>
      </c>
      <c r="F215" s="49">
        <v>12.144</v>
      </c>
      <c r="G215" s="48">
        <f>G44</f>
        <v>2.27</v>
      </c>
      <c r="H215" s="54">
        <f>G215*F215</f>
        <v>27.566880000000001</v>
      </c>
      <c r="J215" s="52" t="s">
        <v>165</v>
      </c>
      <c r="K215" s="62" t="s">
        <v>308</v>
      </c>
      <c r="L215" s="44">
        <v>7252</v>
      </c>
      <c r="M215" s="45" t="s">
        <v>228</v>
      </c>
      <c r="N215" s="52" t="s">
        <v>89</v>
      </c>
      <c r="O215" s="53">
        <v>12.144</v>
      </c>
      <c r="P215" s="48">
        <f>P44</f>
        <v>2.27</v>
      </c>
      <c r="Q215" s="54">
        <f>P215*O215</f>
        <v>27.566880000000001</v>
      </c>
    </row>
    <row r="216" spans="1:17">
      <c r="A216" s="390" t="s">
        <v>129</v>
      </c>
      <c r="B216" s="391"/>
      <c r="C216" s="391"/>
      <c r="D216" s="391"/>
      <c r="E216" s="391"/>
      <c r="F216" s="392"/>
      <c r="G216" s="393">
        <f>H214+H215</f>
        <v>55.133760000000002</v>
      </c>
      <c r="H216" s="394"/>
      <c r="J216" s="390" t="s">
        <v>129</v>
      </c>
      <c r="K216" s="391"/>
      <c r="L216" s="391"/>
      <c r="M216" s="391"/>
      <c r="N216" s="391"/>
      <c r="O216" s="392"/>
      <c r="P216" s="393">
        <f>Q214+Q215</f>
        <v>55.133760000000002</v>
      </c>
      <c r="Q216" s="394"/>
    </row>
    <row r="217" spans="1:17">
      <c r="A217" s="52" t="s">
        <v>43</v>
      </c>
      <c r="B217" s="387" t="s">
        <v>130</v>
      </c>
      <c r="C217" s="388"/>
      <c r="D217" s="388"/>
      <c r="E217" s="388"/>
      <c r="F217" s="388"/>
      <c r="G217" s="388"/>
      <c r="H217" s="389"/>
      <c r="J217" s="52" t="s">
        <v>43</v>
      </c>
      <c r="K217" s="387" t="s">
        <v>130</v>
      </c>
      <c r="L217" s="388"/>
      <c r="M217" s="388"/>
      <c r="N217" s="388"/>
      <c r="O217" s="388"/>
      <c r="P217" s="388"/>
      <c r="Q217" s="389"/>
    </row>
    <row r="218" spans="1:17">
      <c r="A218" s="52" t="s">
        <v>46</v>
      </c>
      <c r="B218" s="62" t="s">
        <v>360</v>
      </c>
      <c r="C218" s="45">
        <v>92138</v>
      </c>
      <c r="D218" s="45" t="s">
        <v>228</v>
      </c>
      <c r="E218" s="52" t="s">
        <v>193</v>
      </c>
      <c r="F218" s="101">
        <v>12.144</v>
      </c>
      <c r="G218" s="51">
        <f>G47</f>
        <v>120</v>
      </c>
      <c r="H218" s="54">
        <f>F218*G218</f>
        <v>1457.28</v>
      </c>
      <c r="J218" s="52" t="s">
        <v>46</v>
      </c>
      <c r="K218" s="62" t="s">
        <v>360</v>
      </c>
      <c r="L218" s="45">
        <v>92138</v>
      </c>
      <c r="M218" s="45" t="s">
        <v>228</v>
      </c>
      <c r="N218" s="52" t="s">
        <v>193</v>
      </c>
      <c r="O218" s="57">
        <v>12.144</v>
      </c>
      <c r="P218" s="51">
        <f>P47</f>
        <v>117.57</v>
      </c>
      <c r="Q218" s="54">
        <f>O218*P218</f>
        <v>1427.77008</v>
      </c>
    </row>
    <row r="219" spans="1:17">
      <c r="A219" s="395" t="s">
        <v>131</v>
      </c>
      <c r="B219" s="396"/>
      <c r="C219" s="396"/>
      <c r="D219" s="396"/>
      <c r="E219" s="396"/>
      <c r="F219" s="397"/>
      <c r="G219" s="393">
        <f>H218</f>
        <v>1457.28</v>
      </c>
      <c r="H219" s="394"/>
      <c r="J219" s="395" t="s">
        <v>131</v>
      </c>
      <c r="K219" s="396"/>
      <c r="L219" s="396"/>
      <c r="M219" s="396"/>
      <c r="N219" s="396"/>
      <c r="O219" s="397"/>
      <c r="P219" s="393">
        <f>Q218</f>
        <v>1427.77008</v>
      </c>
      <c r="Q219" s="394"/>
    </row>
    <row r="220" spans="1:17">
      <c r="A220" s="424"/>
      <c r="B220" s="425"/>
      <c r="C220" s="425"/>
      <c r="D220" s="425"/>
      <c r="E220" s="425"/>
      <c r="F220" s="425"/>
      <c r="G220" s="425"/>
      <c r="H220" s="426"/>
      <c r="J220" s="424"/>
      <c r="K220" s="425"/>
      <c r="L220" s="425"/>
      <c r="M220" s="425"/>
      <c r="N220" s="425"/>
      <c r="O220" s="425"/>
      <c r="P220" s="425"/>
      <c r="Q220" s="426"/>
    </row>
    <row r="221" spans="1:17">
      <c r="A221" s="52" t="s">
        <v>52</v>
      </c>
      <c r="B221" s="387" t="s">
        <v>132</v>
      </c>
      <c r="C221" s="388"/>
      <c r="D221" s="388"/>
      <c r="E221" s="388"/>
      <c r="F221" s="388"/>
      <c r="G221" s="388"/>
      <c r="H221" s="389"/>
      <c r="J221" s="52" t="s">
        <v>52</v>
      </c>
      <c r="K221" s="402" t="s">
        <v>132</v>
      </c>
      <c r="L221" s="402"/>
      <c r="M221" s="402"/>
      <c r="N221" s="402"/>
      <c r="O221" s="402"/>
      <c r="P221" s="402"/>
      <c r="Q221" s="402"/>
    </row>
    <row r="222" spans="1:17">
      <c r="A222" s="52" t="s">
        <v>53</v>
      </c>
      <c r="B222" s="62" t="s">
        <v>310</v>
      </c>
      <c r="C222" s="46">
        <v>4517</v>
      </c>
      <c r="D222" s="45" t="s">
        <v>228</v>
      </c>
      <c r="E222" s="67" t="s">
        <v>10</v>
      </c>
      <c r="F222" s="49">
        <v>8.8000000000000007</v>
      </c>
      <c r="G222" s="51">
        <f>G51</f>
        <v>0.81</v>
      </c>
      <c r="H222" s="54">
        <f>G222*F222</f>
        <v>7.128000000000001</v>
      </c>
      <c r="J222" s="52" t="s">
        <v>53</v>
      </c>
      <c r="K222" s="62" t="s">
        <v>310</v>
      </c>
      <c r="L222" s="46">
        <v>4517</v>
      </c>
      <c r="M222" s="45" t="s">
        <v>228</v>
      </c>
      <c r="N222" s="67" t="s">
        <v>10</v>
      </c>
      <c r="O222" s="53">
        <v>8.8000000000000007</v>
      </c>
      <c r="P222" s="51">
        <f>P51</f>
        <v>0.81</v>
      </c>
      <c r="Q222" s="54">
        <f>P222*O222</f>
        <v>7.128000000000001</v>
      </c>
    </row>
    <row r="223" spans="1:17">
      <c r="A223" s="52" t="s">
        <v>54</v>
      </c>
      <c r="B223" s="106" t="s">
        <v>315</v>
      </c>
      <c r="C223" s="65">
        <v>7592</v>
      </c>
      <c r="D223" s="45" t="s">
        <v>228</v>
      </c>
      <c r="E223" s="67" t="s">
        <v>89</v>
      </c>
      <c r="F223" s="49">
        <v>9</v>
      </c>
      <c r="G223" s="51">
        <f>G52</f>
        <v>33.520000000000003</v>
      </c>
      <c r="H223" s="54">
        <f>G223*F223</f>
        <v>301.68</v>
      </c>
      <c r="J223" s="52" t="s">
        <v>54</v>
      </c>
      <c r="K223" s="106" t="s">
        <v>315</v>
      </c>
      <c r="L223" s="65">
        <v>7592</v>
      </c>
      <c r="M223" s="45" t="s">
        <v>228</v>
      </c>
      <c r="N223" s="67" t="s">
        <v>89</v>
      </c>
      <c r="O223" s="53">
        <v>9</v>
      </c>
      <c r="P223" s="51">
        <f>P52</f>
        <v>29.54</v>
      </c>
      <c r="Q223" s="54">
        <f>P223*O223</f>
        <v>265.86</v>
      </c>
    </row>
    <row r="224" spans="1:17">
      <c r="A224" s="52" t="s">
        <v>90</v>
      </c>
      <c r="B224" s="106" t="s">
        <v>316</v>
      </c>
      <c r="C224" s="46">
        <v>4513</v>
      </c>
      <c r="D224" s="45" t="s">
        <v>228</v>
      </c>
      <c r="E224" s="52" t="s">
        <v>10</v>
      </c>
      <c r="F224" s="49">
        <f>154*0.3</f>
        <v>46.199999999999996</v>
      </c>
      <c r="G224" s="51">
        <f>G53</f>
        <v>1.17</v>
      </c>
      <c r="H224" s="54">
        <f>G224*F224</f>
        <v>54.053999999999995</v>
      </c>
      <c r="J224" s="52" t="s">
        <v>90</v>
      </c>
      <c r="K224" s="106" t="s">
        <v>316</v>
      </c>
      <c r="L224" s="46">
        <v>4513</v>
      </c>
      <c r="M224" s="45" t="s">
        <v>228</v>
      </c>
      <c r="N224" s="52" t="s">
        <v>10</v>
      </c>
      <c r="O224" s="53">
        <f>154*0.3</f>
        <v>46.199999999999996</v>
      </c>
      <c r="P224" s="51">
        <f>P53</f>
        <v>1.17</v>
      </c>
      <c r="Q224" s="54">
        <f>P224*O224</f>
        <v>54.053999999999995</v>
      </c>
    </row>
    <row r="225" spans="1:17">
      <c r="A225" s="395" t="s">
        <v>135</v>
      </c>
      <c r="B225" s="396"/>
      <c r="C225" s="396"/>
      <c r="D225" s="396"/>
      <c r="E225" s="396"/>
      <c r="F225" s="397"/>
      <c r="G225" s="393">
        <f>H222+H223+H224</f>
        <v>362.86199999999997</v>
      </c>
      <c r="H225" s="394"/>
      <c r="J225" s="395" t="s">
        <v>135</v>
      </c>
      <c r="K225" s="396"/>
      <c r="L225" s="396"/>
      <c r="M225" s="396"/>
      <c r="N225" s="396"/>
      <c r="O225" s="397"/>
      <c r="P225" s="393">
        <f>Q222+Q223+Q224</f>
        <v>327.04199999999997</v>
      </c>
      <c r="Q225" s="394"/>
    </row>
    <row r="226" spans="1:17">
      <c r="A226" s="52" t="s">
        <v>92</v>
      </c>
      <c r="B226" s="402" t="s">
        <v>136</v>
      </c>
      <c r="C226" s="402"/>
      <c r="D226" s="402"/>
      <c r="E226" s="402"/>
      <c r="F226" s="402"/>
      <c r="G226" s="402"/>
      <c r="H226" s="402"/>
      <c r="J226" s="52" t="s">
        <v>92</v>
      </c>
      <c r="K226" s="402" t="s">
        <v>136</v>
      </c>
      <c r="L226" s="402"/>
      <c r="M226" s="402"/>
      <c r="N226" s="402"/>
      <c r="O226" s="402"/>
      <c r="P226" s="402"/>
      <c r="Q226" s="402"/>
    </row>
    <row r="227" spans="1:17">
      <c r="A227" s="52" t="s">
        <v>93</v>
      </c>
      <c r="B227" s="108" t="s">
        <v>329</v>
      </c>
      <c r="C227" s="45" t="s">
        <v>228</v>
      </c>
      <c r="D227" s="45" t="s">
        <v>228</v>
      </c>
      <c r="E227" s="52" t="s">
        <v>134</v>
      </c>
      <c r="F227" s="49">
        <v>40</v>
      </c>
      <c r="G227" s="55">
        <f>G56</f>
        <v>0.15</v>
      </c>
      <c r="H227" s="55">
        <f>G227*F227</f>
        <v>6</v>
      </c>
      <c r="J227" s="52" t="s">
        <v>93</v>
      </c>
      <c r="K227" s="108" t="s">
        <v>329</v>
      </c>
      <c r="L227" s="45" t="s">
        <v>228</v>
      </c>
      <c r="M227" s="45" t="s">
        <v>228</v>
      </c>
      <c r="N227" s="52" t="s">
        <v>134</v>
      </c>
      <c r="O227" s="49">
        <v>40</v>
      </c>
      <c r="P227" s="55">
        <f>P56</f>
        <v>0.15</v>
      </c>
      <c r="Q227" s="55">
        <f>P227*O227</f>
        <v>6</v>
      </c>
    </row>
    <row r="228" spans="1:17">
      <c r="A228" s="52" t="s">
        <v>133</v>
      </c>
      <c r="B228" s="108" t="s">
        <v>91</v>
      </c>
      <c r="C228" s="45" t="s">
        <v>228</v>
      </c>
      <c r="D228" s="45" t="s">
        <v>228</v>
      </c>
      <c r="E228" s="52" t="s">
        <v>134</v>
      </c>
      <c r="F228" s="49">
        <v>2</v>
      </c>
      <c r="G228" s="55">
        <f>G57</f>
        <v>2</v>
      </c>
      <c r="H228" s="55">
        <f>G228*F228</f>
        <v>4</v>
      </c>
      <c r="J228" s="52" t="s">
        <v>133</v>
      </c>
      <c r="K228" s="108" t="s">
        <v>91</v>
      </c>
      <c r="L228" s="45" t="s">
        <v>228</v>
      </c>
      <c r="M228" s="45" t="s">
        <v>228</v>
      </c>
      <c r="N228" s="52" t="s">
        <v>134</v>
      </c>
      <c r="O228" s="49">
        <v>2</v>
      </c>
      <c r="P228" s="55">
        <f>P57</f>
        <v>2</v>
      </c>
      <c r="Q228" s="55">
        <f>P228*O228</f>
        <v>4</v>
      </c>
    </row>
    <row r="229" spans="1:17">
      <c r="A229" s="52" t="s">
        <v>249</v>
      </c>
      <c r="B229" s="108" t="s">
        <v>327</v>
      </c>
      <c r="C229" s="45" t="s">
        <v>228</v>
      </c>
      <c r="D229" s="45" t="s">
        <v>228</v>
      </c>
      <c r="E229" s="52" t="s">
        <v>134</v>
      </c>
      <c r="F229" s="49">
        <v>2</v>
      </c>
      <c r="G229" s="55">
        <f>G58</f>
        <v>1.5</v>
      </c>
      <c r="H229" s="55">
        <f>G229*F229</f>
        <v>3</v>
      </c>
      <c r="J229" s="52" t="s">
        <v>249</v>
      </c>
      <c r="K229" s="108" t="s">
        <v>327</v>
      </c>
      <c r="L229" s="45" t="s">
        <v>228</v>
      </c>
      <c r="M229" s="45" t="s">
        <v>228</v>
      </c>
      <c r="N229" s="52" t="s">
        <v>134</v>
      </c>
      <c r="O229" s="49">
        <v>2</v>
      </c>
      <c r="P229" s="55">
        <f>P58</f>
        <v>1.5</v>
      </c>
      <c r="Q229" s="55">
        <f>P229*O229</f>
        <v>3</v>
      </c>
    </row>
    <row r="230" spans="1:17">
      <c r="A230" s="53"/>
      <c r="B230" s="427" t="s">
        <v>137</v>
      </c>
      <c r="C230" s="427"/>
      <c r="D230" s="427"/>
      <c r="E230" s="427"/>
      <c r="F230" s="427"/>
      <c r="G230" s="428">
        <f>SUM(H227:H229)</f>
        <v>13</v>
      </c>
      <c r="H230" s="429"/>
      <c r="J230" s="53"/>
      <c r="K230" s="427" t="s">
        <v>137</v>
      </c>
      <c r="L230" s="427"/>
      <c r="M230" s="427"/>
      <c r="N230" s="427"/>
      <c r="O230" s="427"/>
      <c r="P230" s="428">
        <f>SUM(Q227:Q229)</f>
        <v>13</v>
      </c>
      <c r="Q230" s="429"/>
    </row>
    <row r="231" spans="1:17">
      <c r="A231" s="387"/>
      <c r="B231" s="388"/>
      <c r="C231" s="388"/>
      <c r="D231" s="388"/>
      <c r="E231" s="388"/>
      <c r="F231" s="388"/>
      <c r="G231" s="388"/>
      <c r="H231" s="389"/>
      <c r="J231" s="387"/>
      <c r="K231" s="388"/>
      <c r="L231" s="388"/>
      <c r="M231" s="388"/>
      <c r="N231" s="388"/>
      <c r="O231" s="388"/>
      <c r="P231" s="388"/>
      <c r="Q231" s="389"/>
    </row>
    <row r="232" spans="1:17">
      <c r="A232" s="382" t="s">
        <v>423</v>
      </c>
      <c r="B232" s="383"/>
      <c r="C232" s="383"/>
      <c r="D232" s="383"/>
      <c r="E232" s="383"/>
      <c r="F232" s="384"/>
      <c r="G232" s="385">
        <f>G212+G216+G219+G225+G230</f>
        <v>3097.7270799999997</v>
      </c>
      <c r="H232" s="386"/>
      <c r="J232" s="382" t="s">
        <v>423</v>
      </c>
      <c r="K232" s="383"/>
      <c r="L232" s="383"/>
      <c r="M232" s="383"/>
      <c r="N232" s="383"/>
      <c r="O232" s="384"/>
      <c r="P232" s="385">
        <f>P212+P216+P219+P225+P230</f>
        <v>2901.6366399999997</v>
      </c>
      <c r="Q232" s="386"/>
    </row>
    <row r="233" spans="1:17">
      <c r="A233" s="41"/>
      <c r="B233" s="430"/>
      <c r="C233" s="430"/>
      <c r="D233" s="430"/>
      <c r="E233" s="430"/>
      <c r="F233" s="430"/>
      <c r="G233" s="430"/>
      <c r="H233" s="430"/>
      <c r="J233" s="41"/>
      <c r="K233" s="430"/>
      <c r="L233" s="430"/>
      <c r="M233" s="430"/>
      <c r="N233" s="430"/>
      <c r="O233" s="430"/>
      <c r="P233" s="430"/>
      <c r="Q233" s="430"/>
    </row>
    <row r="234" spans="1:17">
      <c r="A234" s="415" t="s">
        <v>167</v>
      </c>
      <c r="B234" s="415"/>
      <c r="C234" s="415"/>
      <c r="D234" s="415"/>
      <c r="E234" s="415"/>
      <c r="F234" s="415"/>
      <c r="G234" s="415"/>
      <c r="H234" s="415"/>
      <c r="J234" s="415" t="s">
        <v>330</v>
      </c>
      <c r="K234" s="415"/>
      <c r="L234" s="415"/>
      <c r="M234" s="415"/>
      <c r="N234" s="415"/>
      <c r="O234" s="415"/>
      <c r="P234" s="415"/>
      <c r="Q234" s="415"/>
    </row>
    <row r="235" spans="1:17">
      <c r="A235" s="398" t="s">
        <v>113</v>
      </c>
      <c r="B235" s="398"/>
      <c r="C235" s="398"/>
      <c r="D235" s="398"/>
      <c r="E235" s="398"/>
      <c r="F235" s="398"/>
      <c r="G235" s="398"/>
      <c r="H235" s="398"/>
      <c r="J235" s="398" t="s">
        <v>113</v>
      </c>
      <c r="K235" s="398"/>
      <c r="L235" s="398"/>
      <c r="M235" s="398"/>
      <c r="N235" s="398"/>
      <c r="O235" s="398"/>
      <c r="P235" s="398"/>
      <c r="Q235" s="398"/>
    </row>
    <row r="236" spans="1:17" ht="30" customHeight="1">
      <c r="A236" s="408" t="s">
        <v>439</v>
      </c>
      <c r="B236" s="400"/>
      <c r="C236" s="401"/>
      <c r="D236" s="102"/>
      <c r="E236" s="411" t="s">
        <v>140</v>
      </c>
      <c r="F236" s="412"/>
      <c r="G236" s="412"/>
      <c r="H236" s="413"/>
      <c r="J236" s="399" t="s">
        <v>147</v>
      </c>
      <c r="K236" s="400"/>
      <c r="L236" s="401"/>
      <c r="M236" s="102"/>
      <c r="N236" s="411" t="s">
        <v>140</v>
      </c>
      <c r="O236" s="412"/>
      <c r="P236" s="412"/>
      <c r="Q236" s="413"/>
    </row>
    <row r="237" spans="1:17">
      <c r="A237" s="416" t="s">
        <v>139</v>
      </c>
      <c r="B237" s="388"/>
      <c r="C237" s="388"/>
      <c r="D237" s="388"/>
      <c r="E237" s="388"/>
      <c r="F237" s="388"/>
      <c r="G237" s="388"/>
      <c r="H237" s="389"/>
      <c r="J237" s="416" t="s">
        <v>139</v>
      </c>
      <c r="K237" s="388"/>
      <c r="L237" s="388"/>
      <c r="M237" s="388"/>
      <c r="N237" s="388"/>
      <c r="O237" s="388"/>
      <c r="P237" s="388"/>
      <c r="Q237" s="389"/>
    </row>
    <row r="238" spans="1:17">
      <c r="A238" s="417" t="s">
        <v>117</v>
      </c>
      <c r="B238" s="388"/>
      <c r="C238" s="388"/>
      <c r="D238" s="388"/>
      <c r="E238" s="388"/>
      <c r="F238" s="388"/>
      <c r="G238" s="388"/>
      <c r="H238" s="389"/>
      <c r="J238" s="417" t="s">
        <v>117</v>
      </c>
      <c r="K238" s="388"/>
      <c r="L238" s="388"/>
      <c r="M238" s="388"/>
      <c r="N238" s="388"/>
      <c r="O238" s="388"/>
      <c r="P238" s="388"/>
      <c r="Q238" s="389"/>
    </row>
    <row r="239" spans="1:17">
      <c r="A239" s="418"/>
      <c r="B239" s="419"/>
      <c r="C239" s="419"/>
      <c r="D239" s="419"/>
      <c r="E239" s="419"/>
      <c r="F239" s="419"/>
      <c r="G239" s="419"/>
      <c r="H239" s="420"/>
      <c r="J239" s="418"/>
      <c r="K239" s="419"/>
      <c r="L239" s="419"/>
      <c r="M239" s="419"/>
      <c r="N239" s="419"/>
      <c r="O239" s="419"/>
      <c r="P239" s="419"/>
      <c r="Q239" s="420"/>
    </row>
    <row r="240" spans="1:17">
      <c r="A240" s="421" t="s">
        <v>118</v>
      </c>
      <c r="B240" s="421" t="s">
        <v>16</v>
      </c>
      <c r="C240" s="422" t="s">
        <v>162</v>
      </c>
      <c r="D240" s="422" t="s">
        <v>223</v>
      </c>
      <c r="E240" s="421" t="s">
        <v>19</v>
      </c>
      <c r="F240" s="441" t="s">
        <v>28</v>
      </c>
      <c r="G240" s="421" t="s">
        <v>119</v>
      </c>
      <c r="H240" s="421"/>
      <c r="J240" s="421" t="s">
        <v>118</v>
      </c>
      <c r="K240" s="421" t="s">
        <v>16</v>
      </c>
      <c r="L240" s="422" t="s">
        <v>162</v>
      </c>
      <c r="M240" s="422" t="s">
        <v>223</v>
      </c>
      <c r="N240" s="421" t="s">
        <v>19</v>
      </c>
      <c r="O240" s="421" t="s">
        <v>28</v>
      </c>
      <c r="P240" s="421" t="s">
        <v>119</v>
      </c>
      <c r="Q240" s="421"/>
    </row>
    <row r="241" spans="1:17" ht="30">
      <c r="A241" s="421"/>
      <c r="B241" s="421"/>
      <c r="C241" s="423"/>
      <c r="D241" s="423"/>
      <c r="E241" s="421"/>
      <c r="F241" s="441"/>
      <c r="G241" s="58" t="s">
        <v>120</v>
      </c>
      <c r="H241" s="58" t="s">
        <v>121</v>
      </c>
      <c r="J241" s="421"/>
      <c r="K241" s="421"/>
      <c r="L241" s="423"/>
      <c r="M241" s="423"/>
      <c r="N241" s="421"/>
      <c r="O241" s="421"/>
      <c r="P241" s="58" t="s">
        <v>120</v>
      </c>
      <c r="Q241" s="58" t="s">
        <v>121</v>
      </c>
    </row>
    <row r="242" spans="1:17">
      <c r="A242" s="52" t="s">
        <v>34</v>
      </c>
      <c r="B242" s="402" t="s">
        <v>41</v>
      </c>
      <c r="C242" s="402"/>
      <c r="D242" s="402"/>
      <c r="E242" s="402"/>
      <c r="F242" s="402"/>
      <c r="G242" s="402"/>
      <c r="H242" s="402"/>
      <c r="J242" s="52" t="s">
        <v>34</v>
      </c>
      <c r="K242" s="402" t="s">
        <v>41</v>
      </c>
      <c r="L242" s="402"/>
      <c r="M242" s="402"/>
      <c r="N242" s="402"/>
      <c r="O242" s="402"/>
      <c r="P242" s="402"/>
      <c r="Q242" s="402"/>
    </row>
    <row r="243" spans="1:17">
      <c r="A243" s="52" t="s">
        <v>35</v>
      </c>
      <c r="B243" s="54" t="s">
        <v>122</v>
      </c>
      <c r="C243" s="66">
        <f>C37</f>
        <v>90781</v>
      </c>
      <c r="D243" s="45" t="s">
        <v>228</v>
      </c>
      <c r="E243" s="52" t="s">
        <v>89</v>
      </c>
      <c r="F243" s="49">
        <v>3.3540000000000001</v>
      </c>
      <c r="G243" s="66">
        <f>G37</f>
        <v>33.520000000000003</v>
      </c>
      <c r="H243" s="54">
        <f>G243*F243</f>
        <v>112.42608000000001</v>
      </c>
      <c r="J243" s="52" t="s">
        <v>35</v>
      </c>
      <c r="K243" s="54" t="s">
        <v>122</v>
      </c>
      <c r="L243" s="66">
        <f>C37</f>
        <v>90781</v>
      </c>
      <c r="M243" s="45" t="s">
        <v>228</v>
      </c>
      <c r="N243" s="52" t="s">
        <v>89</v>
      </c>
      <c r="O243" s="53">
        <v>3.3540000000000001</v>
      </c>
      <c r="P243" s="66">
        <f>P37</f>
        <v>29.54</v>
      </c>
      <c r="Q243" s="54">
        <f>P243*O243</f>
        <v>99.077160000000006</v>
      </c>
    </row>
    <row r="244" spans="1:17">
      <c r="A244" s="103" t="s">
        <v>36</v>
      </c>
      <c r="B244" s="54" t="s">
        <v>123</v>
      </c>
      <c r="C244" s="66">
        <f>C38</f>
        <v>88253</v>
      </c>
      <c r="D244" s="45" t="s">
        <v>228</v>
      </c>
      <c r="E244" s="52" t="s">
        <v>89</v>
      </c>
      <c r="F244" s="49">
        <v>3.3540000000000001</v>
      </c>
      <c r="G244" s="66">
        <f>G38</f>
        <v>27.35</v>
      </c>
      <c r="H244" s="54">
        <f>G244*F244</f>
        <v>91.73190000000001</v>
      </c>
      <c r="J244" s="103" t="s">
        <v>36</v>
      </c>
      <c r="K244" s="54" t="s">
        <v>123</v>
      </c>
      <c r="L244" s="66">
        <f>C38</f>
        <v>88253</v>
      </c>
      <c r="M244" s="45" t="s">
        <v>228</v>
      </c>
      <c r="N244" s="52" t="s">
        <v>89</v>
      </c>
      <c r="O244" s="53">
        <v>3.3540000000000001</v>
      </c>
      <c r="P244" s="66">
        <f>P38</f>
        <v>24.36</v>
      </c>
      <c r="Q244" s="54">
        <f>P244*O244</f>
        <v>81.703440000000001</v>
      </c>
    </row>
    <row r="245" spans="1:17">
      <c r="A245" s="52" t="s">
        <v>37</v>
      </c>
      <c r="B245" s="54" t="s">
        <v>124</v>
      </c>
      <c r="C245" s="66">
        <f>C39</f>
        <v>88241</v>
      </c>
      <c r="D245" s="45" t="s">
        <v>228</v>
      </c>
      <c r="E245" s="52" t="s">
        <v>89</v>
      </c>
      <c r="F245" s="49">
        <v>6.7080000000000002</v>
      </c>
      <c r="G245" s="66">
        <f>G39</f>
        <v>15.78</v>
      </c>
      <c r="H245" s="54">
        <f>G245*F245</f>
        <v>105.85223999999999</v>
      </c>
      <c r="J245" s="52" t="s">
        <v>37</v>
      </c>
      <c r="K245" s="54" t="s">
        <v>124</v>
      </c>
      <c r="L245" s="66">
        <f>C39</f>
        <v>88241</v>
      </c>
      <c r="M245" s="45" t="s">
        <v>228</v>
      </c>
      <c r="N245" s="52" t="s">
        <v>89</v>
      </c>
      <c r="O245" s="53">
        <v>6.7080000000000002</v>
      </c>
      <c r="P245" s="66">
        <f>P39</f>
        <v>14.36</v>
      </c>
      <c r="Q245" s="54">
        <f>P245*O245</f>
        <v>96.326880000000003</v>
      </c>
    </row>
    <row r="246" spans="1:17">
      <c r="A246" s="52" t="s">
        <v>37</v>
      </c>
      <c r="B246" s="54" t="s">
        <v>125</v>
      </c>
      <c r="C246" s="66">
        <f>C40</f>
        <v>90775</v>
      </c>
      <c r="D246" s="45" t="s">
        <v>228</v>
      </c>
      <c r="E246" s="52" t="s">
        <v>89</v>
      </c>
      <c r="F246" s="49">
        <v>1.677</v>
      </c>
      <c r="G246" s="66">
        <f>G40</f>
        <v>28.65</v>
      </c>
      <c r="H246" s="54">
        <f>G246*F246</f>
        <v>48.046050000000001</v>
      </c>
      <c r="J246" s="52" t="s">
        <v>37</v>
      </c>
      <c r="K246" s="54" t="s">
        <v>125</v>
      </c>
      <c r="L246" s="66">
        <f>C40</f>
        <v>90775</v>
      </c>
      <c r="M246" s="45" t="s">
        <v>228</v>
      </c>
      <c r="N246" s="52" t="s">
        <v>89</v>
      </c>
      <c r="O246" s="53">
        <v>1.677</v>
      </c>
      <c r="P246" s="66">
        <f>P40</f>
        <v>24.82</v>
      </c>
      <c r="Q246" s="54">
        <f>P246*O246</f>
        <v>41.623139999999999</v>
      </c>
    </row>
    <row r="247" spans="1:17">
      <c r="A247" s="395" t="s">
        <v>126</v>
      </c>
      <c r="B247" s="396"/>
      <c r="C247" s="396"/>
      <c r="D247" s="396"/>
      <c r="E247" s="396"/>
      <c r="F247" s="397"/>
      <c r="G247" s="393">
        <f>H243+H244+H245+H246</f>
        <v>358.05626999999998</v>
      </c>
      <c r="H247" s="414"/>
      <c r="J247" s="395" t="s">
        <v>126</v>
      </c>
      <c r="K247" s="396"/>
      <c r="L247" s="396"/>
      <c r="M247" s="396"/>
      <c r="N247" s="396"/>
      <c r="O247" s="397"/>
      <c r="P247" s="393">
        <f>Q243+Q244+Q245+Q246</f>
        <v>318.73061999999999</v>
      </c>
      <c r="Q247" s="414"/>
    </row>
    <row r="248" spans="1:17">
      <c r="A248" s="52" t="s">
        <v>42</v>
      </c>
      <c r="B248" s="387" t="s">
        <v>128</v>
      </c>
      <c r="C248" s="388"/>
      <c r="D248" s="388"/>
      <c r="E248" s="388"/>
      <c r="F248" s="388"/>
      <c r="G248" s="388"/>
      <c r="H248" s="389"/>
      <c r="J248" s="52" t="s">
        <v>42</v>
      </c>
      <c r="K248" s="387" t="s">
        <v>128</v>
      </c>
      <c r="L248" s="388"/>
      <c r="M248" s="388"/>
      <c r="N248" s="388"/>
      <c r="O248" s="388"/>
      <c r="P248" s="388"/>
      <c r="Q248" s="389"/>
    </row>
    <row r="249" spans="1:17" ht="30">
      <c r="A249" s="52" t="s">
        <v>164</v>
      </c>
      <c r="B249" s="62" t="s">
        <v>309</v>
      </c>
      <c r="C249" s="44">
        <v>7247</v>
      </c>
      <c r="D249" s="45" t="s">
        <v>228</v>
      </c>
      <c r="E249" s="52" t="s">
        <v>89</v>
      </c>
      <c r="F249" s="49">
        <v>3.3540000000000001</v>
      </c>
      <c r="G249" s="48">
        <f>G43</f>
        <v>2.27</v>
      </c>
      <c r="H249" s="54">
        <f>G249*F249</f>
        <v>7.6135800000000007</v>
      </c>
      <c r="J249" s="52" t="s">
        <v>164</v>
      </c>
      <c r="K249" s="62" t="s">
        <v>309</v>
      </c>
      <c r="L249" s="44">
        <v>7247</v>
      </c>
      <c r="M249" s="45" t="s">
        <v>228</v>
      </c>
      <c r="N249" s="52" t="s">
        <v>89</v>
      </c>
      <c r="O249" s="53">
        <v>3.3540000000000001</v>
      </c>
      <c r="P249" s="48">
        <f>P43</f>
        <v>2.27</v>
      </c>
      <c r="Q249" s="54">
        <f>P249*O249</f>
        <v>7.6135800000000007</v>
      </c>
    </row>
    <row r="250" spans="1:17">
      <c r="A250" s="52" t="s">
        <v>165</v>
      </c>
      <c r="B250" s="62" t="s">
        <v>308</v>
      </c>
      <c r="C250" s="44">
        <v>7252</v>
      </c>
      <c r="D250" s="45" t="s">
        <v>228</v>
      </c>
      <c r="E250" s="52" t="s">
        <v>89</v>
      </c>
      <c r="F250" s="49">
        <v>3.3540000000000001</v>
      </c>
      <c r="G250" s="48">
        <f>G44</f>
        <v>2.27</v>
      </c>
      <c r="H250" s="54">
        <f>G250*F250</f>
        <v>7.6135800000000007</v>
      </c>
      <c r="J250" s="52" t="s">
        <v>165</v>
      </c>
      <c r="K250" s="62" t="s">
        <v>308</v>
      </c>
      <c r="L250" s="44">
        <v>7252</v>
      </c>
      <c r="M250" s="45" t="s">
        <v>228</v>
      </c>
      <c r="N250" s="52" t="s">
        <v>89</v>
      </c>
      <c r="O250" s="53">
        <v>3.3540000000000001</v>
      </c>
      <c r="P250" s="48">
        <f>P44</f>
        <v>2.27</v>
      </c>
      <c r="Q250" s="54">
        <f>P250*O250</f>
        <v>7.6135800000000007</v>
      </c>
    </row>
    <row r="251" spans="1:17">
      <c r="A251" s="390" t="s">
        <v>129</v>
      </c>
      <c r="B251" s="391"/>
      <c r="C251" s="391"/>
      <c r="D251" s="391"/>
      <c r="E251" s="391"/>
      <c r="F251" s="392"/>
      <c r="G251" s="393">
        <f>H249+H250</f>
        <v>15.227160000000001</v>
      </c>
      <c r="H251" s="394"/>
      <c r="J251" s="390" t="s">
        <v>129</v>
      </c>
      <c r="K251" s="391"/>
      <c r="L251" s="391"/>
      <c r="M251" s="391"/>
      <c r="N251" s="391"/>
      <c r="O251" s="392"/>
      <c r="P251" s="393">
        <f>Q249+Q250</f>
        <v>15.227160000000001</v>
      </c>
      <c r="Q251" s="394"/>
    </row>
    <row r="252" spans="1:17">
      <c r="A252" s="52" t="s">
        <v>43</v>
      </c>
      <c r="B252" s="387" t="s">
        <v>130</v>
      </c>
      <c r="C252" s="388"/>
      <c r="D252" s="388"/>
      <c r="E252" s="388"/>
      <c r="F252" s="388"/>
      <c r="G252" s="388"/>
      <c r="H252" s="389"/>
      <c r="J252" s="52" t="s">
        <v>43</v>
      </c>
      <c r="K252" s="387" t="s">
        <v>130</v>
      </c>
      <c r="L252" s="388"/>
      <c r="M252" s="388"/>
      <c r="N252" s="388"/>
      <c r="O252" s="388"/>
      <c r="P252" s="388"/>
      <c r="Q252" s="389"/>
    </row>
    <row r="253" spans="1:17">
      <c r="A253" s="52" t="s">
        <v>46</v>
      </c>
      <c r="B253" s="62" t="s">
        <v>360</v>
      </c>
      <c r="C253" s="45">
        <v>92138</v>
      </c>
      <c r="D253" s="45" t="s">
        <v>228</v>
      </c>
      <c r="E253" s="52" t="s">
        <v>193</v>
      </c>
      <c r="F253" s="111">
        <v>3.3540000000000001</v>
      </c>
      <c r="G253" s="51">
        <f>G47</f>
        <v>120</v>
      </c>
      <c r="H253" s="54">
        <f>F253*G253</f>
        <v>402.48</v>
      </c>
      <c r="J253" s="52" t="s">
        <v>46</v>
      </c>
      <c r="K253" s="62" t="s">
        <v>360</v>
      </c>
      <c r="L253" s="45">
        <v>92138</v>
      </c>
      <c r="M253" s="45" t="s">
        <v>228</v>
      </c>
      <c r="N253" s="52" t="s">
        <v>193</v>
      </c>
      <c r="O253" s="111">
        <v>3.3540000000000001</v>
      </c>
      <c r="P253" s="51">
        <f>P47</f>
        <v>117.57</v>
      </c>
      <c r="Q253" s="54">
        <f>O253*P253</f>
        <v>394.32977999999997</v>
      </c>
    </row>
    <row r="254" spans="1:17">
      <c r="A254" s="395" t="s">
        <v>131</v>
      </c>
      <c r="B254" s="396"/>
      <c r="C254" s="396"/>
      <c r="D254" s="396"/>
      <c r="E254" s="396"/>
      <c r="F254" s="397"/>
      <c r="G254" s="393">
        <f>H253</f>
        <v>402.48</v>
      </c>
      <c r="H254" s="394"/>
      <c r="J254" s="395" t="s">
        <v>131</v>
      </c>
      <c r="K254" s="396"/>
      <c r="L254" s="396"/>
      <c r="M254" s="396"/>
      <c r="N254" s="396"/>
      <c r="O254" s="397"/>
      <c r="P254" s="393">
        <f>Q253</f>
        <v>394.32977999999997</v>
      </c>
      <c r="Q254" s="394"/>
    </row>
    <row r="255" spans="1:17">
      <c r="A255" s="424"/>
      <c r="B255" s="425"/>
      <c r="C255" s="425"/>
      <c r="D255" s="425"/>
      <c r="E255" s="425"/>
      <c r="F255" s="425"/>
      <c r="G255" s="425"/>
      <c r="H255" s="426"/>
      <c r="J255" s="424"/>
      <c r="K255" s="425"/>
      <c r="L255" s="425"/>
      <c r="M255" s="425"/>
      <c r="N255" s="425"/>
      <c r="O255" s="425"/>
      <c r="P255" s="425"/>
      <c r="Q255" s="426"/>
    </row>
    <row r="256" spans="1:17">
      <c r="A256" s="52" t="s">
        <v>52</v>
      </c>
      <c r="B256" s="387" t="s">
        <v>132</v>
      </c>
      <c r="C256" s="388"/>
      <c r="D256" s="388"/>
      <c r="E256" s="388"/>
      <c r="F256" s="388"/>
      <c r="G256" s="388"/>
      <c r="H256" s="389"/>
      <c r="J256" s="52" t="s">
        <v>52</v>
      </c>
      <c r="K256" s="402" t="s">
        <v>132</v>
      </c>
      <c r="L256" s="402"/>
      <c r="M256" s="402"/>
      <c r="N256" s="402"/>
      <c r="O256" s="402"/>
      <c r="P256" s="402"/>
      <c r="Q256" s="402"/>
    </row>
    <row r="257" spans="1:17">
      <c r="A257" s="52" t="s">
        <v>53</v>
      </c>
      <c r="B257" s="62" t="s">
        <v>310</v>
      </c>
      <c r="C257" s="46">
        <v>4517</v>
      </c>
      <c r="D257" s="45" t="s">
        <v>228</v>
      </c>
      <c r="E257" s="67" t="s">
        <v>10</v>
      </c>
      <c r="F257" s="49">
        <v>10.4</v>
      </c>
      <c r="G257" s="51">
        <f>G51</f>
        <v>0.81</v>
      </c>
      <c r="H257" s="54">
        <f>G257*F257</f>
        <v>8.4240000000000013</v>
      </c>
      <c r="J257" s="52" t="s">
        <v>53</v>
      </c>
      <c r="K257" s="62" t="s">
        <v>310</v>
      </c>
      <c r="L257" s="46">
        <v>4517</v>
      </c>
      <c r="M257" s="45" t="s">
        <v>228</v>
      </c>
      <c r="N257" s="67" t="s">
        <v>10</v>
      </c>
      <c r="O257" s="53">
        <v>10.4</v>
      </c>
      <c r="P257" s="51">
        <f>P51</f>
        <v>0.81</v>
      </c>
      <c r="Q257" s="54">
        <f>P257*O257</f>
        <v>8.4240000000000013</v>
      </c>
    </row>
    <row r="258" spans="1:17">
      <c r="A258" s="52" t="s">
        <v>54</v>
      </c>
      <c r="B258" s="106" t="s">
        <v>315</v>
      </c>
      <c r="C258" s="65">
        <v>7592</v>
      </c>
      <c r="D258" s="45" t="s">
        <v>228</v>
      </c>
      <c r="E258" s="67" t="s">
        <v>89</v>
      </c>
      <c r="F258" s="49">
        <v>7</v>
      </c>
      <c r="G258" s="51">
        <f>G52</f>
        <v>33.520000000000003</v>
      </c>
      <c r="H258" s="54">
        <f>G258*F258</f>
        <v>234.64000000000001</v>
      </c>
      <c r="J258" s="52" t="s">
        <v>54</v>
      </c>
      <c r="K258" s="106" t="s">
        <v>315</v>
      </c>
      <c r="L258" s="65">
        <v>7592</v>
      </c>
      <c r="M258" s="45" t="s">
        <v>228</v>
      </c>
      <c r="N258" s="67" t="s">
        <v>89</v>
      </c>
      <c r="O258" s="53">
        <v>7</v>
      </c>
      <c r="P258" s="51">
        <f>P52</f>
        <v>29.54</v>
      </c>
      <c r="Q258" s="54">
        <f>P258*O258</f>
        <v>206.78</v>
      </c>
    </row>
    <row r="259" spans="1:17">
      <c r="A259" s="52" t="s">
        <v>90</v>
      </c>
      <c r="B259" s="106" t="s">
        <v>316</v>
      </c>
      <c r="C259" s="46">
        <v>4513</v>
      </c>
      <c r="D259" s="45" t="s">
        <v>228</v>
      </c>
      <c r="E259" s="52" t="s">
        <v>10</v>
      </c>
      <c r="F259" s="49">
        <f>85*0.3</f>
        <v>25.5</v>
      </c>
      <c r="G259" s="51">
        <f>G53</f>
        <v>1.17</v>
      </c>
      <c r="H259" s="54">
        <f>G259*F259</f>
        <v>29.834999999999997</v>
      </c>
      <c r="J259" s="52" t="s">
        <v>90</v>
      </c>
      <c r="K259" s="106" t="s">
        <v>316</v>
      </c>
      <c r="L259" s="46">
        <v>4513</v>
      </c>
      <c r="M259" s="45" t="s">
        <v>228</v>
      </c>
      <c r="N259" s="52" t="s">
        <v>10</v>
      </c>
      <c r="O259" s="53">
        <f>85*0.3</f>
        <v>25.5</v>
      </c>
      <c r="P259" s="51">
        <f>P53</f>
        <v>1.17</v>
      </c>
      <c r="Q259" s="54">
        <f>P259*O259</f>
        <v>29.834999999999997</v>
      </c>
    </row>
    <row r="260" spans="1:17">
      <c r="A260" s="395" t="s">
        <v>135</v>
      </c>
      <c r="B260" s="396"/>
      <c r="C260" s="396"/>
      <c r="D260" s="396"/>
      <c r="E260" s="396"/>
      <c r="F260" s="397"/>
      <c r="G260" s="393">
        <f>H257+H258+H259</f>
        <v>272.899</v>
      </c>
      <c r="H260" s="394"/>
      <c r="J260" s="395" t="s">
        <v>135</v>
      </c>
      <c r="K260" s="396"/>
      <c r="L260" s="396"/>
      <c r="M260" s="396"/>
      <c r="N260" s="396"/>
      <c r="O260" s="397"/>
      <c r="P260" s="393">
        <f>Q257+Q258+Q259</f>
        <v>245.03900000000002</v>
      </c>
      <c r="Q260" s="394"/>
    </row>
    <row r="261" spans="1:17">
      <c r="A261" s="52" t="s">
        <v>92</v>
      </c>
      <c r="B261" s="402" t="s">
        <v>136</v>
      </c>
      <c r="C261" s="402"/>
      <c r="D261" s="402"/>
      <c r="E261" s="402"/>
      <c r="F261" s="402"/>
      <c r="G261" s="402"/>
      <c r="H261" s="402"/>
      <c r="J261" s="52" t="s">
        <v>92</v>
      </c>
      <c r="K261" s="402" t="s">
        <v>136</v>
      </c>
      <c r="L261" s="402"/>
      <c r="M261" s="402"/>
      <c r="N261" s="402"/>
      <c r="O261" s="402"/>
      <c r="P261" s="402"/>
      <c r="Q261" s="402"/>
    </row>
    <row r="262" spans="1:17">
      <c r="A262" s="52" t="s">
        <v>93</v>
      </c>
      <c r="B262" s="108" t="s">
        <v>329</v>
      </c>
      <c r="C262" s="45" t="s">
        <v>228</v>
      </c>
      <c r="D262" s="45" t="s">
        <v>228</v>
      </c>
      <c r="E262" s="52" t="s">
        <v>134</v>
      </c>
      <c r="F262" s="49">
        <v>40</v>
      </c>
      <c r="G262" s="55">
        <f>G56</f>
        <v>0.15</v>
      </c>
      <c r="H262" s="55">
        <f>G262*F262</f>
        <v>6</v>
      </c>
      <c r="J262" s="52" t="s">
        <v>93</v>
      </c>
      <c r="K262" s="108" t="s">
        <v>329</v>
      </c>
      <c r="L262" s="45" t="s">
        <v>228</v>
      </c>
      <c r="M262" s="45" t="s">
        <v>228</v>
      </c>
      <c r="N262" s="52" t="s">
        <v>134</v>
      </c>
      <c r="O262" s="49">
        <v>40</v>
      </c>
      <c r="P262" s="55">
        <f>P56</f>
        <v>0.15</v>
      </c>
      <c r="Q262" s="55">
        <f>P262*O262</f>
        <v>6</v>
      </c>
    </row>
    <row r="263" spans="1:17">
      <c r="A263" s="52" t="s">
        <v>133</v>
      </c>
      <c r="B263" s="108" t="s">
        <v>91</v>
      </c>
      <c r="C263" s="45" t="s">
        <v>228</v>
      </c>
      <c r="D263" s="45" t="s">
        <v>228</v>
      </c>
      <c r="E263" s="52" t="s">
        <v>134</v>
      </c>
      <c r="F263" s="49">
        <v>2</v>
      </c>
      <c r="G263" s="55">
        <f>G57</f>
        <v>2</v>
      </c>
      <c r="H263" s="55">
        <f>G263*F263</f>
        <v>4</v>
      </c>
      <c r="J263" s="52" t="s">
        <v>133</v>
      </c>
      <c r="K263" s="108" t="s">
        <v>91</v>
      </c>
      <c r="L263" s="45" t="s">
        <v>228</v>
      </c>
      <c r="M263" s="45" t="s">
        <v>228</v>
      </c>
      <c r="N263" s="52" t="s">
        <v>134</v>
      </c>
      <c r="O263" s="49">
        <v>2</v>
      </c>
      <c r="P263" s="55">
        <f>P57</f>
        <v>2</v>
      </c>
      <c r="Q263" s="55">
        <f>P263*O263</f>
        <v>4</v>
      </c>
    </row>
    <row r="264" spans="1:17">
      <c r="A264" s="52" t="s">
        <v>249</v>
      </c>
      <c r="B264" s="108" t="s">
        <v>327</v>
      </c>
      <c r="C264" s="45" t="s">
        <v>228</v>
      </c>
      <c r="D264" s="45" t="s">
        <v>228</v>
      </c>
      <c r="E264" s="52" t="s">
        <v>134</v>
      </c>
      <c r="F264" s="49">
        <v>2</v>
      </c>
      <c r="G264" s="55">
        <f>G58</f>
        <v>1.5</v>
      </c>
      <c r="H264" s="55">
        <f>G264*F264</f>
        <v>3</v>
      </c>
      <c r="J264" s="52" t="s">
        <v>249</v>
      </c>
      <c r="K264" s="108" t="s">
        <v>327</v>
      </c>
      <c r="L264" s="45" t="s">
        <v>228</v>
      </c>
      <c r="M264" s="45" t="s">
        <v>228</v>
      </c>
      <c r="N264" s="52" t="s">
        <v>134</v>
      </c>
      <c r="O264" s="49">
        <v>2</v>
      </c>
      <c r="P264" s="55">
        <f>P58</f>
        <v>1.5</v>
      </c>
      <c r="Q264" s="55">
        <f>P264*O264</f>
        <v>3</v>
      </c>
    </row>
    <row r="265" spans="1:17">
      <c r="A265" s="53"/>
      <c r="B265" s="427" t="s">
        <v>137</v>
      </c>
      <c r="C265" s="427"/>
      <c r="D265" s="427"/>
      <c r="E265" s="427"/>
      <c r="F265" s="427"/>
      <c r="G265" s="428">
        <f>SUM(H262:H264)</f>
        <v>13</v>
      </c>
      <c r="H265" s="429"/>
      <c r="J265" s="53"/>
      <c r="K265" s="427" t="s">
        <v>137</v>
      </c>
      <c r="L265" s="427"/>
      <c r="M265" s="427"/>
      <c r="N265" s="427"/>
      <c r="O265" s="427"/>
      <c r="P265" s="428">
        <f>SUM(Q262:Q264)</f>
        <v>13</v>
      </c>
      <c r="Q265" s="429"/>
    </row>
    <row r="266" spans="1:17">
      <c r="A266" s="387"/>
      <c r="B266" s="388"/>
      <c r="C266" s="388"/>
      <c r="D266" s="388"/>
      <c r="E266" s="388"/>
      <c r="F266" s="388"/>
      <c r="G266" s="388"/>
      <c r="H266" s="389"/>
      <c r="J266" s="387"/>
      <c r="K266" s="388"/>
      <c r="L266" s="388"/>
      <c r="M266" s="388"/>
      <c r="N266" s="388"/>
      <c r="O266" s="388"/>
      <c r="P266" s="388"/>
      <c r="Q266" s="389"/>
    </row>
    <row r="267" spans="1:17">
      <c r="A267" s="382" t="s">
        <v>423</v>
      </c>
      <c r="B267" s="383"/>
      <c r="C267" s="383"/>
      <c r="D267" s="383"/>
      <c r="E267" s="383"/>
      <c r="F267" s="384"/>
      <c r="G267" s="385">
        <f>G247+G251+G254+G260+G265</f>
        <v>1061.6624299999999</v>
      </c>
      <c r="H267" s="386"/>
      <c r="J267" s="382" t="s">
        <v>423</v>
      </c>
      <c r="K267" s="383"/>
      <c r="L267" s="383"/>
      <c r="M267" s="383"/>
      <c r="N267" s="383"/>
      <c r="O267" s="384"/>
      <c r="P267" s="385">
        <f>P247+P251+P254+P260+P265</f>
        <v>986.32655999999997</v>
      </c>
      <c r="Q267" s="386"/>
    </row>
    <row r="268" spans="1:17">
      <c r="A268" s="41"/>
      <c r="B268" s="430"/>
      <c r="C268" s="430"/>
      <c r="D268" s="430"/>
      <c r="E268" s="430"/>
      <c r="F268" s="430"/>
      <c r="G268" s="430"/>
      <c r="H268" s="430"/>
      <c r="J268" s="41"/>
      <c r="K268" s="430"/>
      <c r="L268" s="430"/>
      <c r="M268" s="430"/>
      <c r="N268" s="430"/>
      <c r="O268" s="430"/>
      <c r="P268" s="430"/>
      <c r="Q268" s="430"/>
    </row>
    <row r="269" spans="1:17">
      <c r="A269" s="415" t="s">
        <v>167</v>
      </c>
      <c r="B269" s="415"/>
      <c r="C269" s="415"/>
      <c r="D269" s="415"/>
      <c r="E269" s="415"/>
      <c r="F269" s="415"/>
      <c r="G269" s="415"/>
      <c r="H269" s="415"/>
      <c r="J269" s="415" t="s">
        <v>330</v>
      </c>
      <c r="K269" s="415"/>
      <c r="L269" s="415"/>
      <c r="M269" s="415"/>
      <c r="N269" s="415"/>
      <c r="O269" s="415"/>
      <c r="P269" s="415"/>
      <c r="Q269" s="415"/>
    </row>
    <row r="270" spans="1:17">
      <c r="A270" s="398" t="s">
        <v>113</v>
      </c>
      <c r="B270" s="398"/>
      <c r="C270" s="398"/>
      <c r="D270" s="398"/>
      <c r="E270" s="398"/>
      <c r="F270" s="398"/>
      <c r="G270" s="398"/>
      <c r="H270" s="398"/>
      <c r="J270" s="398" t="s">
        <v>113</v>
      </c>
      <c r="K270" s="398"/>
      <c r="L270" s="398"/>
      <c r="M270" s="398"/>
      <c r="N270" s="398"/>
      <c r="O270" s="398"/>
      <c r="P270" s="398"/>
      <c r="Q270" s="398"/>
    </row>
    <row r="271" spans="1:17" ht="30.75" customHeight="1">
      <c r="A271" s="399" t="s">
        <v>148</v>
      </c>
      <c r="B271" s="400"/>
      <c r="C271" s="401"/>
      <c r="D271" s="102"/>
      <c r="E271" s="411" t="s">
        <v>140</v>
      </c>
      <c r="F271" s="412"/>
      <c r="G271" s="412"/>
      <c r="H271" s="413"/>
      <c r="J271" s="399" t="s">
        <v>148</v>
      </c>
      <c r="K271" s="400"/>
      <c r="L271" s="401"/>
      <c r="M271" s="102"/>
      <c r="N271" s="411" t="s">
        <v>140</v>
      </c>
      <c r="O271" s="412"/>
      <c r="P271" s="412"/>
      <c r="Q271" s="413"/>
    </row>
    <row r="272" spans="1:17">
      <c r="A272" s="416" t="s">
        <v>139</v>
      </c>
      <c r="B272" s="388"/>
      <c r="C272" s="388"/>
      <c r="D272" s="388"/>
      <c r="E272" s="388"/>
      <c r="F272" s="388"/>
      <c r="G272" s="388"/>
      <c r="H272" s="389"/>
      <c r="J272" s="416" t="s">
        <v>139</v>
      </c>
      <c r="K272" s="388"/>
      <c r="L272" s="388"/>
      <c r="M272" s="388"/>
      <c r="N272" s="388"/>
      <c r="O272" s="388"/>
      <c r="P272" s="388"/>
      <c r="Q272" s="389"/>
    </row>
    <row r="273" spans="1:17">
      <c r="A273" s="417" t="s">
        <v>117</v>
      </c>
      <c r="B273" s="388"/>
      <c r="C273" s="388"/>
      <c r="D273" s="388"/>
      <c r="E273" s="388"/>
      <c r="F273" s="388"/>
      <c r="G273" s="388"/>
      <c r="H273" s="389"/>
      <c r="J273" s="417" t="s">
        <v>117</v>
      </c>
      <c r="K273" s="388"/>
      <c r="L273" s="388"/>
      <c r="M273" s="388"/>
      <c r="N273" s="388"/>
      <c r="O273" s="388"/>
      <c r="P273" s="388"/>
      <c r="Q273" s="389"/>
    </row>
    <row r="274" spans="1:17">
      <c r="A274" s="418"/>
      <c r="B274" s="419"/>
      <c r="C274" s="419"/>
      <c r="D274" s="419"/>
      <c r="E274" s="419"/>
      <c r="F274" s="419"/>
      <c r="G274" s="419"/>
      <c r="H274" s="420"/>
      <c r="J274" s="418"/>
      <c r="K274" s="419"/>
      <c r="L274" s="419"/>
      <c r="M274" s="419"/>
      <c r="N274" s="419"/>
      <c r="O274" s="419"/>
      <c r="P274" s="419"/>
      <c r="Q274" s="420"/>
    </row>
    <row r="275" spans="1:17">
      <c r="A275" s="421" t="s">
        <v>118</v>
      </c>
      <c r="B275" s="421" t="s">
        <v>16</v>
      </c>
      <c r="C275" s="422" t="s">
        <v>162</v>
      </c>
      <c r="D275" s="422" t="s">
        <v>223</v>
      </c>
      <c r="E275" s="421" t="s">
        <v>19</v>
      </c>
      <c r="F275" s="441" t="s">
        <v>28</v>
      </c>
      <c r="G275" s="421" t="s">
        <v>119</v>
      </c>
      <c r="H275" s="421"/>
      <c r="J275" s="421" t="s">
        <v>118</v>
      </c>
      <c r="K275" s="421" t="s">
        <v>16</v>
      </c>
      <c r="L275" s="422" t="s">
        <v>162</v>
      </c>
      <c r="M275" s="422" t="s">
        <v>223</v>
      </c>
      <c r="N275" s="421" t="s">
        <v>19</v>
      </c>
      <c r="O275" s="421" t="s">
        <v>28</v>
      </c>
      <c r="P275" s="421" t="s">
        <v>119</v>
      </c>
      <c r="Q275" s="421"/>
    </row>
    <row r="276" spans="1:17" ht="30">
      <c r="A276" s="421"/>
      <c r="B276" s="421"/>
      <c r="C276" s="423"/>
      <c r="D276" s="423"/>
      <c r="E276" s="421"/>
      <c r="F276" s="441"/>
      <c r="G276" s="58" t="s">
        <v>120</v>
      </c>
      <c r="H276" s="58" t="s">
        <v>121</v>
      </c>
      <c r="J276" s="421"/>
      <c r="K276" s="421"/>
      <c r="L276" s="423"/>
      <c r="M276" s="423"/>
      <c r="N276" s="421"/>
      <c r="O276" s="421"/>
      <c r="P276" s="58" t="s">
        <v>120</v>
      </c>
      <c r="Q276" s="58" t="s">
        <v>121</v>
      </c>
    </row>
    <row r="277" spans="1:17">
      <c r="A277" s="52" t="s">
        <v>34</v>
      </c>
      <c r="B277" s="402" t="s">
        <v>41</v>
      </c>
      <c r="C277" s="402"/>
      <c r="D277" s="402"/>
      <c r="E277" s="402"/>
      <c r="F277" s="402"/>
      <c r="G277" s="402"/>
      <c r="H277" s="402"/>
      <c r="J277" s="52" t="s">
        <v>34</v>
      </c>
      <c r="K277" s="402" t="s">
        <v>41</v>
      </c>
      <c r="L277" s="402"/>
      <c r="M277" s="402"/>
      <c r="N277" s="402"/>
      <c r="O277" s="402"/>
      <c r="P277" s="402"/>
      <c r="Q277" s="402"/>
    </row>
    <row r="278" spans="1:17">
      <c r="A278" s="52" t="s">
        <v>35</v>
      </c>
      <c r="B278" s="54" t="s">
        <v>122</v>
      </c>
      <c r="C278" s="66">
        <f>C37</f>
        <v>90781</v>
      </c>
      <c r="D278" s="45" t="s">
        <v>228</v>
      </c>
      <c r="E278" s="52" t="s">
        <v>89</v>
      </c>
      <c r="F278" s="49">
        <v>4.09375</v>
      </c>
      <c r="G278" s="66">
        <f>G37</f>
        <v>33.520000000000003</v>
      </c>
      <c r="H278" s="54">
        <f>G278*F278</f>
        <v>137.22250000000003</v>
      </c>
      <c r="J278" s="52" t="s">
        <v>35</v>
      </c>
      <c r="K278" s="54" t="s">
        <v>122</v>
      </c>
      <c r="L278" s="66">
        <f>C37</f>
        <v>90781</v>
      </c>
      <c r="M278" s="45" t="s">
        <v>228</v>
      </c>
      <c r="N278" s="52" t="s">
        <v>89</v>
      </c>
      <c r="O278" s="53">
        <v>4.09375</v>
      </c>
      <c r="P278" s="66">
        <f>P37</f>
        <v>29.54</v>
      </c>
      <c r="Q278" s="54">
        <f>P278*O278</f>
        <v>120.92937499999999</v>
      </c>
    </row>
    <row r="279" spans="1:17">
      <c r="A279" s="103" t="s">
        <v>36</v>
      </c>
      <c r="B279" s="54" t="s">
        <v>123</v>
      </c>
      <c r="C279" s="66">
        <f>C38</f>
        <v>88253</v>
      </c>
      <c r="D279" s="45" t="s">
        <v>228</v>
      </c>
      <c r="E279" s="52" t="s">
        <v>89</v>
      </c>
      <c r="F279" s="49">
        <v>4.09375</v>
      </c>
      <c r="G279" s="66">
        <f>G38</f>
        <v>27.35</v>
      </c>
      <c r="H279" s="54">
        <f>G279*F279</f>
        <v>111.96406250000001</v>
      </c>
      <c r="J279" s="103" t="s">
        <v>36</v>
      </c>
      <c r="K279" s="54" t="s">
        <v>123</v>
      </c>
      <c r="L279" s="66">
        <f>C38</f>
        <v>88253</v>
      </c>
      <c r="M279" s="45" t="s">
        <v>228</v>
      </c>
      <c r="N279" s="52" t="s">
        <v>89</v>
      </c>
      <c r="O279" s="53">
        <v>4.09375</v>
      </c>
      <c r="P279" s="66">
        <f>P38</f>
        <v>24.36</v>
      </c>
      <c r="Q279" s="54">
        <f>P279*O279</f>
        <v>99.723749999999995</v>
      </c>
    </row>
    <row r="280" spans="1:17">
      <c r="A280" s="52" t="s">
        <v>37</v>
      </c>
      <c r="B280" s="54" t="s">
        <v>124</v>
      </c>
      <c r="C280" s="66">
        <f>C39</f>
        <v>88241</v>
      </c>
      <c r="D280" s="45" t="s">
        <v>228</v>
      </c>
      <c r="E280" s="52" t="s">
        <v>89</v>
      </c>
      <c r="F280" s="49">
        <v>8.1875</v>
      </c>
      <c r="G280" s="66">
        <f>G39</f>
        <v>15.78</v>
      </c>
      <c r="H280" s="54">
        <f>G280*F280</f>
        <v>129.19874999999999</v>
      </c>
      <c r="J280" s="52" t="s">
        <v>37</v>
      </c>
      <c r="K280" s="54" t="s">
        <v>124</v>
      </c>
      <c r="L280" s="66">
        <f>C39</f>
        <v>88241</v>
      </c>
      <c r="M280" s="45" t="s">
        <v>228</v>
      </c>
      <c r="N280" s="52" t="s">
        <v>89</v>
      </c>
      <c r="O280" s="53">
        <v>8.1875</v>
      </c>
      <c r="P280" s="66">
        <f>P39</f>
        <v>14.36</v>
      </c>
      <c r="Q280" s="54">
        <f>P280*O280</f>
        <v>117.57249999999999</v>
      </c>
    </row>
    <row r="281" spans="1:17">
      <c r="A281" s="52" t="s">
        <v>37</v>
      </c>
      <c r="B281" s="54" t="s">
        <v>125</v>
      </c>
      <c r="C281" s="66">
        <f>C40</f>
        <v>90775</v>
      </c>
      <c r="D281" s="45" t="s">
        <v>228</v>
      </c>
      <c r="E281" s="52" t="s">
        <v>89</v>
      </c>
      <c r="F281" s="49">
        <v>1.6375000000000002</v>
      </c>
      <c r="G281" s="66">
        <f>G40</f>
        <v>28.65</v>
      </c>
      <c r="H281" s="54">
        <f>G281*F281</f>
        <v>46.914375</v>
      </c>
      <c r="J281" s="52" t="s">
        <v>37</v>
      </c>
      <c r="K281" s="54" t="s">
        <v>125</v>
      </c>
      <c r="L281" s="66">
        <f>C40</f>
        <v>90775</v>
      </c>
      <c r="M281" s="45" t="s">
        <v>228</v>
      </c>
      <c r="N281" s="52" t="s">
        <v>89</v>
      </c>
      <c r="O281" s="53">
        <v>1.6375000000000002</v>
      </c>
      <c r="P281" s="66">
        <f>P40</f>
        <v>24.82</v>
      </c>
      <c r="Q281" s="54">
        <f>P281*O281</f>
        <v>40.642750000000007</v>
      </c>
    </row>
    <row r="282" spans="1:17">
      <c r="A282" s="395" t="s">
        <v>126</v>
      </c>
      <c r="B282" s="396"/>
      <c r="C282" s="396"/>
      <c r="D282" s="396"/>
      <c r="E282" s="396"/>
      <c r="F282" s="397"/>
      <c r="G282" s="393">
        <f>H278+H279+H280+H281</f>
        <v>425.29968750000006</v>
      </c>
      <c r="H282" s="414"/>
      <c r="J282" s="395" t="s">
        <v>126</v>
      </c>
      <c r="K282" s="396"/>
      <c r="L282" s="396"/>
      <c r="M282" s="396"/>
      <c r="N282" s="396"/>
      <c r="O282" s="397"/>
      <c r="P282" s="393">
        <f>Q278+Q279+Q280+Q281</f>
        <v>378.86837500000001</v>
      </c>
      <c r="Q282" s="414"/>
    </row>
    <row r="283" spans="1:17">
      <c r="A283" s="52" t="s">
        <v>42</v>
      </c>
      <c r="B283" s="387" t="s">
        <v>128</v>
      </c>
      <c r="C283" s="388"/>
      <c r="D283" s="388"/>
      <c r="E283" s="388"/>
      <c r="F283" s="388"/>
      <c r="G283" s="388"/>
      <c r="H283" s="389"/>
      <c r="J283" s="52" t="s">
        <v>42</v>
      </c>
      <c r="K283" s="387" t="s">
        <v>128</v>
      </c>
      <c r="L283" s="388"/>
      <c r="M283" s="388"/>
      <c r="N283" s="388"/>
      <c r="O283" s="388"/>
      <c r="P283" s="388"/>
      <c r="Q283" s="389"/>
    </row>
    <row r="284" spans="1:17" ht="30">
      <c r="A284" s="52" t="s">
        <v>164</v>
      </c>
      <c r="B284" s="62" t="s">
        <v>309</v>
      </c>
      <c r="C284" s="44">
        <v>7247</v>
      </c>
      <c r="D284" s="45" t="s">
        <v>228</v>
      </c>
      <c r="E284" s="52" t="s">
        <v>89</v>
      </c>
      <c r="F284" s="49">
        <v>4.09375</v>
      </c>
      <c r="G284" s="48">
        <f>G43</f>
        <v>2.27</v>
      </c>
      <c r="H284" s="54">
        <f>G284*F284</f>
        <v>9.2928125000000001</v>
      </c>
      <c r="J284" s="52" t="s">
        <v>164</v>
      </c>
      <c r="K284" s="62" t="s">
        <v>309</v>
      </c>
      <c r="L284" s="44">
        <v>7247</v>
      </c>
      <c r="M284" s="45" t="s">
        <v>228</v>
      </c>
      <c r="N284" s="52" t="s">
        <v>89</v>
      </c>
      <c r="O284" s="53">
        <v>4.09375</v>
      </c>
      <c r="P284" s="48">
        <f>P43</f>
        <v>2.27</v>
      </c>
      <c r="Q284" s="54">
        <f>P284*O284</f>
        <v>9.2928125000000001</v>
      </c>
    </row>
    <row r="285" spans="1:17">
      <c r="A285" s="52" t="s">
        <v>165</v>
      </c>
      <c r="B285" s="62" t="s">
        <v>308</v>
      </c>
      <c r="C285" s="44">
        <v>7252</v>
      </c>
      <c r="D285" s="45" t="s">
        <v>228</v>
      </c>
      <c r="E285" s="52" t="s">
        <v>89</v>
      </c>
      <c r="F285" s="49">
        <v>4.09375</v>
      </c>
      <c r="G285" s="48">
        <f>G44</f>
        <v>2.27</v>
      </c>
      <c r="H285" s="54">
        <f>G285*F285</f>
        <v>9.2928125000000001</v>
      </c>
      <c r="J285" s="52" t="s">
        <v>165</v>
      </c>
      <c r="K285" s="62" t="s">
        <v>308</v>
      </c>
      <c r="L285" s="44">
        <v>7252</v>
      </c>
      <c r="M285" s="45" t="s">
        <v>228</v>
      </c>
      <c r="N285" s="52" t="s">
        <v>89</v>
      </c>
      <c r="O285" s="53">
        <v>4.09375</v>
      </c>
      <c r="P285" s="48">
        <f>P44</f>
        <v>2.27</v>
      </c>
      <c r="Q285" s="54">
        <f>P285*O285</f>
        <v>9.2928125000000001</v>
      </c>
    </row>
    <row r="286" spans="1:17">
      <c r="A286" s="390" t="s">
        <v>129</v>
      </c>
      <c r="B286" s="391"/>
      <c r="C286" s="391"/>
      <c r="D286" s="391"/>
      <c r="E286" s="391"/>
      <c r="F286" s="392"/>
      <c r="G286" s="393">
        <f>H284+H285</f>
        <v>18.585625</v>
      </c>
      <c r="H286" s="394"/>
      <c r="J286" s="390" t="s">
        <v>129</v>
      </c>
      <c r="K286" s="391"/>
      <c r="L286" s="391"/>
      <c r="M286" s="391"/>
      <c r="N286" s="391"/>
      <c r="O286" s="392"/>
      <c r="P286" s="393">
        <f>Q284+Q285</f>
        <v>18.585625</v>
      </c>
      <c r="Q286" s="394"/>
    </row>
    <row r="287" spans="1:17">
      <c r="A287" s="52" t="s">
        <v>43</v>
      </c>
      <c r="B287" s="387" t="s">
        <v>130</v>
      </c>
      <c r="C287" s="388"/>
      <c r="D287" s="388"/>
      <c r="E287" s="388"/>
      <c r="F287" s="388"/>
      <c r="G287" s="388"/>
      <c r="H287" s="389"/>
      <c r="J287" s="52" t="s">
        <v>43</v>
      </c>
      <c r="K287" s="387" t="s">
        <v>130</v>
      </c>
      <c r="L287" s="388"/>
      <c r="M287" s="388"/>
      <c r="N287" s="388"/>
      <c r="O287" s="388"/>
      <c r="P287" s="388"/>
      <c r="Q287" s="389"/>
    </row>
    <row r="288" spans="1:17">
      <c r="A288" s="52" t="s">
        <v>46</v>
      </c>
      <c r="B288" s="62" t="s">
        <v>360</v>
      </c>
      <c r="C288" s="45">
        <v>92138</v>
      </c>
      <c r="D288" s="45" t="s">
        <v>228</v>
      </c>
      <c r="E288" s="52" t="s">
        <v>193</v>
      </c>
      <c r="F288" s="49">
        <v>4.09375</v>
      </c>
      <c r="G288" s="51">
        <f>G47</f>
        <v>120</v>
      </c>
      <c r="H288" s="54">
        <f>F288*G288</f>
        <v>491.25</v>
      </c>
      <c r="J288" s="52" t="s">
        <v>46</v>
      </c>
      <c r="K288" s="62" t="s">
        <v>360</v>
      </c>
      <c r="L288" s="45">
        <v>92138</v>
      </c>
      <c r="M288" s="45" t="s">
        <v>228</v>
      </c>
      <c r="N288" s="52" t="s">
        <v>193</v>
      </c>
      <c r="O288" s="53">
        <v>4.09375</v>
      </c>
      <c r="P288" s="51">
        <f>P47</f>
        <v>117.57</v>
      </c>
      <c r="Q288" s="54">
        <f>O288*P288</f>
        <v>481.30218749999995</v>
      </c>
    </row>
    <row r="289" spans="1:17">
      <c r="A289" s="395" t="s">
        <v>131</v>
      </c>
      <c r="B289" s="396"/>
      <c r="C289" s="396"/>
      <c r="D289" s="396"/>
      <c r="E289" s="396"/>
      <c r="F289" s="397"/>
      <c r="G289" s="393">
        <f>H288</f>
        <v>491.25</v>
      </c>
      <c r="H289" s="394"/>
      <c r="J289" s="395" t="s">
        <v>131</v>
      </c>
      <c r="K289" s="396"/>
      <c r="L289" s="396"/>
      <c r="M289" s="396"/>
      <c r="N289" s="396"/>
      <c r="O289" s="397"/>
      <c r="P289" s="393">
        <f>Q288</f>
        <v>481.30218749999995</v>
      </c>
      <c r="Q289" s="394"/>
    </row>
    <row r="290" spans="1:17">
      <c r="A290" s="424"/>
      <c r="B290" s="425"/>
      <c r="C290" s="425"/>
      <c r="D290" s="425"/>
      <c r="E290" s="425"/>
      <c r="F290" s="425"/>
      <c r="G290" s="425"/>
      <c r="H290" s="426"/>
      <c r="J290" s="424"/>
      <c r="K290" s="425"/>
      <c r="L290" s="425"/>
      <c r="M290" s="425"/>
      <c r="N290" s="425"/>
      <c r="O290" s="425"/>
      <c r="P290" s="425"/>
      <c r="Q290" s="426"/>
    </row>
    <row r="291" spans="1:17">
      <c r="A291" s="52" t="s">
        <v>52</v>
      </c>
      <c r="B291" s="387" t="s">
        <v>132</v>
      </c>
      <c r="C291" s="388"/>
      <c r="D291" s="388"/>
      <c r="E291" s="388"/>
      <c r="F291" s="388"/>
      <c r="G291" s="388"/>
      <c r="H291" s="389"/>
      <c r="J291" s="52" t="s">
        <v>52</v>
      </c>
      <c r="K291" s="402" t="s">
        <v>132</v>
      </c>
      <c r="L291" s="402"/>
      <c r="M291" s="402"/>
      <c r="N291" s="402"/>
      <c r="O291" s="402"/>
      <c r="P291" s="402"/>
      <c r="Q291" s="402"/>
    </row>
    <row r="292" spans="1:17">
      <c r="A292" s="52" t="s">
        <v>53</v>
      </c>
      <c r="B292" s="62" t="s">
        <v>310</v>
      </c>
      <c r="C292" s="46">
        <v>4517</v>
      </c>
      <c r="D292" s="45" t="s">
        <v>228</v>
      </c>
      <c r="E292" s="67" t="s">
        <v>10</v>
      </c>
      <c r="F292" s="49">
        <v>10</v>
      </c>
      <c r="G292" s="51">
        <f>G51</f>
        <v>0.81</v>
      </c>
      <c r="H292" s="54">
        <f>G292*F292</f>
        <v>8.1000000000000014</v>
      </c>
      <c r="J292" s="52" t="s">
        <v>53</v>
      </c>
      <c r="K292" s="62" t="s">
        <v>310</v>
      </c>
      <c r="L292" s="46">
        <v>4517</v>
      </c>
      <c r="M292" s="45" t="s">
        <v>228</v>
      </c>
      <c r="N292" s="67" t="s">
        <v>10</v>
      </c>
      <c r="O292" s="53">
        <v>10</v>
      </c>
      <c r="P292" s="51">
        <f>P51</f>
        <v>0.81</v>
      </c>
      <c r="Q292" s="54">
        <f>P292*O292</f>
        <v>8.1000000000000014</v>
      </c>
    </row>
    <row r="293" spans="1:17">
      <c r="A293" s="52" t="s">
        <v>54</v>
      </c>
      <c r="B293" s="106" t="s">
        <v>315</v>
      </c>
      <c r="C293" s="65">
        <v>7592</v>
      </c>
      <c r="D293" s="45" t="s">
        <v>228</v>
      </c>
      <c r="E293" s="67" t="s">
        <v>89</v>
      </c>
      <c r="F293" s="49">
        <v>3.75</v>
      </c>
      <c r="G293" s="51">
        <f>G52</f>
        <v>33.520000000000003</v>
      </c>
      <c r="H293" s="54">
        <f>G293*F293</f>
        <v>125.70000000000002</v>
      </c>
      <c r="J293" s="52" t="s">
        <v>54</v>
      </c>
      <c r="K293" s="106" t="s">
        <v>315</v>
      </c>
      <c r="L293" s="65">
        <v>7592</v>
      </c>
      <c r="M293" s="45" t="s">
        <v>228</v>
      </c>
      <c r="N293" s="67" t="s">
        <v>89</v>
      </c>
      <c r="O293" s="53">
        <v>3.75</v>
      </c>
      <c r="P293" s="51">
        <f>P52</f>
        <v>29.54</v>
      </c>
      <c r="Q293" s="54">
        <f>P293*O293</f>
        <v>110.77499999999999</v>
      </c>
    </row>
    <row r="294" spans="1:17">
      <c r="A294" s="52" t="s">
        <v>90</v>
      </c>
      <c r="B294" s="106" t="s">
        <v>316</v>
      </c>
      <c r="C294" s="46">
        <v>4513</v>
      </c>
      <c r="D294" s="45" t="s">
        <v>228</v>
      </c>
      <c r="E294" s="52" t="s">
        <v>10</v>
      </c>
      <c r="F294" s="49">
        <f>82.5*0.3</f>
        <v>24.75</v>
      </c>
      <c r="G294" s="51">
        <f>G53</f>
        <v>1.17</v>
      </c>
      <c r="H294" s="54">
        <f>G294*F294</f>
        <v>28.9575</v>
      </c>
      <c r="J294" s="52" t="s">
        <v>90</v>
      </c>
      <c r="K294" s="106" t="s">
        <v>316</v>
      </c>
      <c r="L294" s="46">
        <v>4513</v>
      </c>
      <c r="M294" s="45" t="s">
        <v>228</v>
      </c>
      <c r="N294" s="52" t="s">
        <v>10</v>
      </c>
      <c r="O294" s="53">
        <f>82.5*0.3</f>
        <v>24.75</v>
      </c>
      <c r="P294" s="51">
        <f>P53</f>
        <v>1.17</v>
      </c>
      <c r="Q294" s="54">
        <f>P294*O294</f>
        <v>28.9575</v>
      </c>
    </row>
    <row r="295" spans="1:17">
      <c r="A295" s="395" t="s">
        <v>135</v>
      </c>
      <c r="B295" s="396"/>
      <c r="C295" s="396"/>
      <c r="D295" s="396"/>
      <c r="E295" s="396"/>
      <c r="F295" s="397"/>
      <c r="G295" s="393">
        <f>H292+H293+H294</f>
        <v>162.75750000000002</v>
      </c>
      <c r="H295" s="394"/>
      <c r="J295" s="395" t="s">
        <v>135</v>
      </c>
      <c r="K295" s="396"/>
      <c r="L295" s="396"/>
      <c r="M295" s="396"/>
      <c r="N295" s="396"/>
      <c r="O295" s="397"/>
      <c r="P295" s="393">
        <f>Q292+Q293+Q294</f>
        <v>147.83250000000001</v>
      </c>
      <c r="Q295" s="394"/>
    </row>
    <row r="296" spans="1:17">
      <c r="A296" s="52" t="s">
        <v>92</v>
      </c>
      <c r="B296" s="402" t="s">
        <v>136</v>
      </c>
      <c r="C296" s="402"/>
      <c r="D296" s="402"/>
      <c r="E296" s="402"/>
      <c r="F296" s="402"/>
      <c r="G296" s="402"/>
      <c r="H296" s="402"/>
      <c r="J296" s="52" t="s">
        <v>92</v>
      </c>
      <c r="K296" s="402" t="s">
        <v>136</v>
      </c>
      <c r="L296" s="402"/>
      <c r="M296" s="402"/>
      <c r="N296" s="402"/>
      <c r="O296" s="402"/>
      <c r="P296" s="402"/>
      <c r="Q296" s="402"/>
    </row>
    <row r="297" spans="1:17">
      <c r="A297" s="52" t="s">
        <v>93</v>
      </c>
      <c r="B297" s="108" t="s">
        <v>329</v>
      </c>
      <c r="C297" s="45" t="s">
        <v>228</v>
      </c>
      <c r="D297" s="45" t="s">
        <v>228</v>
      </c>
      <c r="E297" s="52" t="s">
        <v>134</v>
      </c>
      <c r="F297" s="49">
        <v>40</v>
      </c>
      <c r="G297" s="55">
        <f>G56</f>
        <v>0.15</v>
      </c>
      <c r="H297" s="55">
        <f>G297*F297</f>
        <v>6</v>
      </c>
      <c r="J297" s="52" t="s">
        <v>93</v>
      </c>
      <c r="K297" s="108" t="s">
        <v>329</v>
      </c>
      <c r="L297" s="45" t="s">
        <v>228</v>
      </c>
      <c r="M297" s="45" t="s">
        <v>228</v>
      </c>
      <c r="N297" s="52" t="s">
        <v>134</v>
      </c>
      <c r="O297" s="49">
        <v>40</v>
      </c>
      <c r="P297" s="55">
        <f>P56</f>
        <v>0.15</v>
      </c>
      <c r="Q297" s="55">
        <f>P297*O297</f>
        <v>6</v>
      </c>
    </row>
    <row r="298" spans="1:17">
      <c r="A298" s="52" t="s">
        <v>133</v>
      </c>
      <c r="B298" s="108" t="s">
        <v>91</v>
      </c>
      <c r="C298" s="45" t="s">
        <v>228</v>
      </c>
      <c r="D298" s="45" t="s">
        <v>228</v>
      </c>
      <c r="E298" s="52" t="s">
        <v>134</v>
      </c>
      <c r="F298" s="49">
        <v>2</v>
      </c>
      <c r="G298" s="55">
        <f>G57</f>
        <v>2</v>
      </c>
      <c r="H298" s="55">
        <f>G298*F298</f>
        <v>4</v>
      </c>
      <c r="J298" s="52" t="s">
        <v>133</v>
      </c>
      <c r="K298" s="108" t="s">
        <v>91</v>
      </c>
      <c r="L298" s="45" t="s">
        <v>228</v>
      </c>
      <c r="M298" s="45" t="s">
        <v>228</v>
      </c>
      <c r="N298" s="52" t="s">
        <v>134</v>
      </c>
      <c r="O298" s="49">
        <v>2</v>
      </c>
      <c r="P298" s="55">
        <f>P57</f>
        <v>2</v>
      </c>
      <c r="Q298" s="55">
        <f>P298*O298</f>
        <v>4</v>
      </c>
    </row>
    <row r="299" spans="1:17">
      <c r="A299" s="52" t="s">
        <v>249</v>
      </c>
      <c r="B299" s="108" t="s">
        <v>327</v>
      </c>
      <c r="C299" s="45" t="s">
        <v>228</v>
      </c>
      <c r="D299" s="45" t="s">
        <v>228</v>
      </c>
      <c r="E299" s="52" t="s">
        <v>134</v>
      </c>
      <c r="F299" s="49">
        <v>2</v>
      </c>
      <c r="G299" s="55">
        <f>G58</f>
        <v>1.5</v>
      </c>
      <c r="H299" s="55">
        <f>G299*F299</f>
        <v>3</v>
      </c>
      <c r="J299" s="52" t="s">
        <v>249</v>
      </c>
      <c r="K299" s="108" t="s">
        <v>327</v>
      </c>
      <c r="L299" s="45" t="s">
        <v>228</v>
      </c>
      <c r="M299" s="45" t="s">
        <v>228</v>
      </c>
      <c r="N299" s="52" t="s">
        <v>134</v>
      </c>
      <c r="O299" s="49">
        <v>2</v>
      </c>
      <c r="P299" s="55">
        <f>P58</f>
        <v>1.5</v>
      </c>
      <c r="Q299" s="55">
        <f>P299*O299</f>
        <v>3</v>
      </c>
    </row>
    <row r="300" spans="1:17">
      <c r="A300" s="53"/>
      <c r="B300" s="427" t="s">
        <v>137</v>
      </c>
      <c r="C300" s="427"/>
      <c r="D300" s="427"/>
      <c r="E300" s="427"/>
      <c r="F300" s="427"/>
      <c r="G300" s="428">
        <f>SUM(H297:H299)</f>
        <v>13</v>
      </c>
      <c r="H300" s="429"/>
      <c r="J300" s="53"/>
      <c r="K300" s="427" t="s">
        <v>137</v>
      </c>
      <c r="L300" s="427"/>
      <c r="M300" s="427"/>
      <c r="N300" s="427"/>
      <c r="O300" s="427"/>
      <c r="P300" s="428">
        <f>SUM(Q297:Q299)</f>
        <v>13</v>
      </c>
      <c r="Q300" s="429"/>
    </row>
    <row r="301" spans="1:17">
      <c r="A301" s="387"/>
      <c r="B301" s="388"/>
      <c r="C301" s="388"/>
      <c r="D301" s="388"/>
      <c r="E301" s="388"/>
      <c r="F301" s="388"/>
      <c r="G301" s="388"/>
      <c r="H301" s="389"/>
      <c r="J301" s="387"/>
      <c r="K301" s="388"/>
      <c r="L301" s="388"/>
      <c r="M301" s="388"/>
      <c r="N301" s="388"/>
      <c r="O301" s="388"/>
      <c r="P301" s="388"/>
      <c r="Q301" s="389"/>
    </row>
    <row r="302" spans="1:17">
      <c r="A302" s="382" t="s">
        <v>423</v>
      </c>
      <c r="B302" s="383"/>
      <c r="C302" s="383"/>
      <c r="D302" s="383"/>
      <c r="E302" s="383"/>
      <c r="F302" s="384"/>
      <c r="G302" s="385">
        <f>G282+G286+G289+G295+G300</f>
        <v>1110.8928125</v>
      </c>
      <c r="H302" s="386"/>
      <c r="J302" s="382" t="s">
        <v>423</v>
      </c>
      <c r="K302" s="383"/>
      <c r="L302" s="383"/>
      <c r="M302" s="383"/>
      <c r="N302" s="383"/>
      <c r="O302" s="384"/>
      <c r="P302" s="385">
        <f>P282+P286+P289+P295+P300</f>
        <v>1039.5886874999999</v>
      </c>
      <c r="Q302" s="386"/>
    </row>
  </sheetData>
  <sheetProtection algorithmName="SHA-512" hashValue="2kVeb+h1v54nMxyvaB5pBKVp+gtt4JjWwXLDWptG4cX8MM943ovrUMriBIX9izNhioS1tQpnYq8wkgqOdsPfnQ==" saltValue="b7cPx8J5eggeWytxOMmwJA==" spinCount="100000" sheet="1" objects="1" scenarios="1"/>
  <mergeCells count="590">
    <mergeCell ref="A286:F286"/>
    <mergeCell ref="G286:H286"/>
    <mergeCell ref="A272:H272"/>
    <mergeCell ref="A273:H273"/>
    <mergeCell ref="A274:H274"/>
    <mergeCell ref="A275:A276"/>
    <mergeCell ref="B275:B276"/>
    <mergeCell ref="E275:E276"/>
    <mergeCell ref="J2:Q2"/>
    <mergeCell ref="D34:D35"/>
    <mergeCell ref="B277:H277"/>
    <mergeCell ref="A282:F282"/>
    <mergeCell ref="G282:H282"/>
    <mergeCell ref="F275:F276"/>
    <mergeCell ref="A2:H2"/>
    <mergeCell ref="D69:D70"/>
    <mergeCell ref="D105:D106"/>
    <mergeCell ref="D140:D141"/>
    <mergeCell ref="D175:D176"/>
    <mergeCell ref="B283:H283"/>
    <mergeCell ref="A266:H266"/>
    <mergeCell ref="G275:H275"/>
    <mergeCell ref="B268:H268"/>
    <mergeCell ref="A269:H269"/>
    <mergeCell ref="A302:F302"/>
    <mergeCell ref="G302:H302"/>
    <mergeCell ref="B296:H296"/>
    <mergeCell ref="B300:F300"/>
    <mergeCell ref="G300:H300"/>
    <mergeCell ref="B287:H287"/>
    <mergeCell ref="A289:F289"/>
    <mergeCell ref="G289:H289"/>
    <mergeCell ref="A290:H290"/>
    <mergeCell ref="A295:F295"/>
    <mergeCell ref="G295:H295"/>
    <mergeCell ref="B291:H291"/>
    <mergeCell ref="A270:H270"/>
    <mergeCell ref="E271:H271"/>
    <mergeCell ref="C275:C276"/>
    <mergeCell ref="A271:C271"/>
    <mergeCell ref="A267:F267"/>
    <mergeCell ref="G267:H267"/>
    <mergeCell ref="D275:D276"/>
    <mergeCell ref="B261:H261"/>
    <mergeCell ref="B265:F265"/>
    <mergeCell ref="G265:H265"/>
    <mergeCell ref="B252:H252"/>
    <mergeCell ref="A254:F254"/>
    <mergeCell ref="G254:H254"/>
    <mergeCell ref="A255:H255"/>
    <mergeCell ref="A260:F260"/>
    <mergeCell ref="G260:H260"/>
    <mergeCell ref="B256:H256"/>
    <mergeCell ref="B242:H242"/>
    <mergeCell ref="A247:F247"/>
    <mergeCell ref="G247:H247"/>
    <mergeCell ref="B248:H248"/>
    <mergeCell ref="A251:F251"/>
    <mergeCell ref="G251:H251"/>
    <mergeCell ref="A239:H239"/>
    <mergeCell ref="A240:A241"/>
    <mergeCell ref="B240:B241"/>
    <mergeCell ref="E240:E241"/>
    <mergeCell ref="F240:F241"/>
    <mergeCell ref="G240:H240"/>
    <mergeCell ref="D240:D241"/>
    <mergeCell ref="A231:H231"/>
    <mergeCell ref="A234:H234"/>
    <mergeCell ref="A235:H235"/>
    <mergeCell ref="E236:H236"/>
    <mergeCell ref="A237:H237"/>
    <mergeCell ref="A238:H238"/>
    <mergeCell ref="C240:C241"/>
    <mergeCell ref="A236:C236"/>
    <mergeCell ref="A232:F232"/>
    <mergeCell ref="G232:H232"/>
    <mergeCell ref="B233:H233"/>
    <mergeCell ref="B230:F230"/>
    <mergeCell ref="G230:H230"/>
    <mergeCell ref="A219:F219"/>
    <mergeCell ref="G219:H219"/>
    <mergeCell ref="A220:H220"/>
    <mergeCell ref="A225:F225"/>
    <mergeCell ref="G225:H225"/>
    <mergeCell ref="B226:H226"/>
    <mergeCell ref="B221:H221"/>
    <mergeCell ref="A212:F212"/>
    <mergeCell ref="G212:H212"/>
    <mergeCell ref="B213:H213"/>
    <mergeCell ref="A216:F216"/>
    <mergeCell ref="G216:H216"/>
    <mergeCell ref="B217:H217"/>
    <mergeCell ref="A205:A206"/>
    <mergeCell ref="B205:B206"/>
    <mergeCell ref="E205:E206"/>
    <mergeCell ref="F205:F206"/>
    <mergeCell ref="G205:H205"/>
    <mergeCell ref="B207:H207"/>
    <mergeCell ref="D205:D206"/>
    <mergeCell ref="A202:H202"/>
    <mergeCell ref="A203:H203"/>
    <mergeCell ref="A204:H204"/>
    <mergeCell ref="C205:C206"/>
    <mergeCell ref="A201:C201"/>
    <mergeCell ref="A197:F197"/>
    <mergeCell ref="G197:H197"/>
    <mergeCell ref="B198:H198"/>
    <mergeCell ref="A199:H199"/>
    <mergeCell ref="B187:H187"/>
    <mergeCell ref="A189:F189"/>
    <mergeCell ref="G189:H189"/>
    <mergeCell ref="A190:H190"/>
    <mergeCell ref="A195:F195"/>
    <mergeCell ref="G195:H195"/>
    <mergeCell ref="B191:H191"/>
    <mergeCell ref="A200:H200"/>
    <mergeCell ref="E201:H201"/>
    <mergeCell ref="A182:F182"/>
    <mergeCell ref="G182:H182"/>
    <mergeCell ref="B183:H183"/>
    <mergeCell ref="A186:F186"/>
    <mergeCell ref="G186:H186"/>
    <mergeCell ref="A172:H172"/>
    <mergeCell ref="A173:H173"/>
    <mergeCell ref="A174:H174"/>
    <mergeCell ref="A175:A176"/>
    <mergeCell ref="B175:B176"/>
    <mergeCell ref="E175:E176"/>
    <mergeCell ref="F175:F176"/>
    <mergeCell ref="G175:H175"/>
    <mergeCell ref="B168:H168"/>
    <mergeCell ref="A169:H169"/>
    <mergeCell ref="A170:H170"/>
    <mergeCell ref="E171:H171"/>
    <mergeCell ref="C175:C176"/>
    <mergeCell ref="A171:C171"/>
    <mergeCell ref="A167:F167"/>
    <mergeCell ref="G167:H167"/>
    <mergeCell ref="B177:H177"/>
    <mergeCell ref="B161:H161"/>
    <mergeCell ref="B165:F165"/>
    <mergeCell ref="G165:H165"/>
    <mergeCell ref="B152:H152"/>
    <mergeCell ref="A154:F154"/>
    <mergeCell ref="G154:H154"/>
    <mergeCell ref="A155:H155"/>
    <mergeCell ref="A160:F160"/>
    <mergeCell ref="G160:H160"/>
    <mergeCell ref="B156:H156"/>
    <mergeCell ref="A147:F147"/>
    <mergeCell ref="G147:H147"/>
    <mergeCell ref="B148:H148"/>
    <mergeCell ref="A151:F151"/>
    <mergeCell ref="G151:H151"/>
    <mergeCell ref="A137:H137"/>
    <mergeCell ref="A138:H138"/>
    <mergeCell ref="A139:H139"/>
    <mergeCell ref="A140:A141"/>
    <mergeCell ref="B140:B141"/>
    <mergeCell ref="E140:E141"/>
    <mergeCell ref="F140:F141"/>
    <mergeCell ref="G140:H140"/>
    <mergeCell ref="B133:H133"/>
    <mergeCell ref="A134:H134"/>
    <mergeCell ref="A135:H135"/>
    <mergeCell ref="E136:H136"/>
    <mergeCell ref="C140:C141"/>
    <mergeCell ref="A136:C136"/>
    <mergeCell ref="A132:F132"/>
    <mergeCell ref="G132:H132"/>
    <mergeCell ref="B142:H142"/>
    <mergeCell ref="B126:H126"/>
    <mergeCell ref="B130:F130"/>
    <mergeCell ref="G130:H130"/>
    <mergeCell ref="B117:H117"/>
    <mergeCell ref="A119:F119"/>
    <mergeCell ref="G119:H119"/>
    <mergeCell ref="A120:H120"/>
    <mergeCell ref="A125:F125"/>
    <mergeCell ref="G125:H125"/>
    <mergeCell ref="B121:H121"/>
    <mergeCell ref="B107:H107"/>
    <mergeCell ref="A112:F112"/>
    <mergeCell ref="G112:H112"/>
    <mergeCell ref="B113:H113"/>
    <mergeCell ref="A116:F116"/>
    <mergeCell ref="G116:H116"/>
    <mergeCell ref="A104:H104"/>
    <mergeCell ref="A105:A106"/>
    <mergeCell ref="B105:B106"/>
    <mergeCell ref="E105:E106"/>
    <mergeCell ref="F105:F106"/>
    <mergeCell ref="G105:H105"/>
    <mergeCell ref="B97:H97"/>
    <mergeCell ref="A96:F96"/>
    <mergeCell ref="G96:H96"/>
    <mergeCell ref="A99:H99"/>
    <mergeCell ref="A100:H100"/>
    <mergeCell ref="E101:H101"/>
    <mergeCell ref="A102:H102"/>
    <mergeCell ref="A103:H103"/>
    <mergeCell ref="C105:C106"/>
    <mergeCell ref="A101:C101"/>
    <mergeCell ref="B90:H90"/>
    <mergeCell ref="B94:F94"/>
    <mergeCell ref="G94:H94"/>
    <mergeCell ref="B81:H81"/>
    <mergeCell ref="A83:F83"/>
    <mergeCell ref="G83:H83"/>
    <mergeCell ref="A84:H84"/>
    <mergeCell ref="A89:F89"/>
    <mergeCell ref="G89:H89"/>
    <mergeCell ref="B85:H85"/>
    <mergeCell ref="B77:H77"/>
    <mergeCell ref="A80:F80"/>
    <mergeCell ref="G80:H80"/>
    <mergeCell ref="A68:H68"/>
    <mergeCell ref="A69:A70"/>
    <mergeCell ref="B69:B70"/>
    <mergeCell ref="E69:E70"/>
    <mergeCell ref="F69:F70"/>
    <mergeCell ref="G69:H69"/>
    <mergeCell ref="C69:C70"/>
    <mergeCell ref="B71:H71"/>
    <mergeCell ref="A76:F76"/>
    <mergeCell ref="G76:H76"/>
    <mergeCell ref="A66:H66"/>
    <mergeCell ref="A67:H67"/>
    <mergeCell ref="B62:H62"/>
    <mergeCell ref="A63:H63"/>
    <mergeCell ref="A64:H64"/>
    <mergeCell ref="E65:H65"/>
    <mergeCell ref="A28:H28"/>
    <mergeCell ref="A29:H29"/>
    <mergeCell ref="E30:H30"/>
    <mergeCell ref="A31:H31"/>
    <mergeCell ref="A32:H32"/>
    <mergeCell ref="C34:C35"/>
    <mergeCell ref="A30:C30"/>
    <mergeCell ref="A65:C65"/>
    <mergeCell ref="A61:F61"/>
    <mergeCell ref="G61:H61"/>
    <mergeCell ref="B55:H55"/>
    <mergeCell ref="B59:F59"/>
    <mergeCell ref="G59:H59"/>
    <mergeCell ref="B46:H46"/>
    <mergeCell ref="A48:F48"/>
    <mergeCell ref="G48:H48"/>
    <mergeCell ref="A49:H49"/>
    <mergeCell ref="A54:F54"/>
    <mergeCell ref="G54:H54"/>
    <mergeCell ref="B50:H50"/>
    <mergeCell ref="A4:H4"/>
    <mergeCell ref="B36:H36"/>
    <mergeCell ref="A41:F41"/>
    <mergeCell ref="G41:H41"/>
    <mergeCell ref="B42:H42"/>
    <mergeCell ref="A45:F45"/>
    <mergeCell ref="G45:H45"/>
    <mergeCell ref="A33:H33"/>
    <mergeCell ref="A34:A35"/>
    <mergeCell ref="B34:B35"/>
    <mergeCell ref="E34:E35"/>
    <mergeCell ref="F34:F35"/>
    <mergeCell ref="G34:H34"/>
    <mergeCell ref="A5:H5"/>
    <mergeCell ref="E6:H6"/>
    <mergeCell ref="A7:H7"/>
    <mergeCell ref="A8:H8"/>
    <mergeCell ref="A9:H9"/>
    <mergeCell ref="A10:A11"/>
    <mergeCell ref="B10:B11"/>
    <mergeCell ref="E10:E11"/>
    <mergeCell ref="F10:F11"/>
    <mergeCell ref="G10:H10"/>
    <mergeCell ref="C10:C11"/>
    <mergeCell ref="A6:C6"/>
    <mergeCell ref="D10:D11"/>
    <mergeCell ref="A26:F26"/>
    <mergeCell ref="G26:H26"/>
    <mergeCell ref="B12:H12"/>
    <mergeCell ref="A24:F24"/>
    <mergeCell ref="G24:H24"/>
    <mergeCell ref="A16:F16"/>
    <mergeCell ref="G16:H16"/>
    <mergeCell ref="B17:H17"/>
    <mergeCell ref="A21:F21"/>
    <mergeCell ref="G21:H21"/>
    <mergeCell ref="B22:H22"/>
    <mergeCell ref="J28:Q28"/>
    <mergeCell ref="J29:Q29"/>
    <mergeCell ref="J30:L30"/>
    <mergeCell ref="N30:Q30"/>
    <mergeCell ref="J31:Q31"/>
    <mergeCell ref="J32:Q32"/>
    <mergeCell ref="J33:Q33"/>
    <mergeCell ref="J34:J35"/>
    <mergeCell ref="K34:K35"/>
    <mergeCell ref="L34:L35"/>
    <mergeCell ref="M34:M35"/>
    <mergeCell ref="N34:N35"/>
    <mergeCell ref="O34:O35"/>
    <mergeCell ref="P34:Q34"/>
    <mergeCell ref="K36:Q36"/>
    <mergeCell ref="J41:O41"/>
    <mergeCell ref="P41:Q41"/>
    <mergeCell ref="K42:Q42"/>
    <mergeCell ref="J45:O45"/>
    <mergeCell ref="P45:Q45"/>
    <mergeCell ref="K46:Q46"/>
    <mergeCell ref="J48:O48"/>
    <mergeCell ref="P48:Q48"/>
    <mergeCell ref="J61:O61"/>
    <mergeCell ref="P61:Q61"/>
    <mergeCell ref="K62:Q62"/>
    <mergeCell ref="J63:Q63"/>
    <mergeCell ref="J49:Q49"/>
    <mergeCell ref="J54:O54"/>
    <mergeCell ref="P54:Q54"/>
    <mergeCell ref="K55:Q55"/>
    <mergeCell ref="K59:O59"/>
    <mergeCell ref="P59:Q59"/>
    <mergeCell ref="K50:Q50"/>
    <mergeCell ref="J64:Q64"/>
    <mergeCell ref="J65:L65"/>
    <mergeCell ref="N65:Q65"/>
    <mergeCell ref="J66:Q66"/>
    <mergeCell ref="J67:Q67"/>
    <mergeCell ref="J68:Q68"/>
    <mergeCell ref="J69:J70"/>
    <mergeCell ref="K69:K70"/>
    <mergeCell ref="L69:L70"/>
    <mergeCell ref="N69:N70"/>
    <mergeCell ref="O69:O70"/>
    <mergeCell ref="P69:Q69"/>
    <mergeCell ref="M69:M70"/>
    <mergeCell ref="K71:Q71"/>
    <mergeCell ref="J76:O76"/>
    <mergeCell ref="P76:Q76"/>
    <mergeCell ref="K77:Q77"/>
    <mergeCell ref="J80:O80"/>
    <mergeCell ref="P80:Q80"/>
    <mergeCell ref="K81:Q81"/>
    <mergeCell ref="J83:O83"/>
    <mergeCell ref="P83:Q83"/>
    <mergeCell ref="J99:Q99"/>
    <mergeCell ref="J100:Q100"/>
    <mergeCell ref="J101:L101"/>
    <mergeCell ref="N101:Q101"/>
    <mergeCell ref="J96:O96"/>
    <mergeCell ref="P96:Q96"/>
    <mergeCell ref="K97:Q97"/>
    <mergeCell ref="J84:Q84"/>
    <mergeCell ref="J89:O89"/>
    <mergeCell ref="P89:Q89"/>
    <mergeCell ref="K90:Q90"/>
    <mergeCell ref="K94:O94"/>
    <mergeCell ref="P94:Q94"/>
    <mergeCell ref="K85:Q85"/>
    <mergeCell ref="J102:Q102"/>
    <mergeCell ref="J103:Q103"/>
    <mergeCell ref="J104:Q104"/>
    <mergeCell ref="J105:J106"/>
    <mergeCell ref="K105:K106"/>
    <mergeCell ref="L105:L106"/>
    <mergeCell ref="N105:N106"/>
    <mergeCell ref="O105:O106"/>
    <mergeCell ref="P105:Q105"/>
    <mergeCell ref="M105:M106"/>
    <mergeCell ref="K107:Q107"/>
    <mergeCell ref="J112:O112"/>
    <mergeCell ref="P112:Q112"/>
    <mergeCell ref="K113:Q113"/>
    <mergeCell ref="J116:O116"/>
    <mergeCell ref="P116:Q116"/>
    <mergeCell ref="K117:Q117"/>
    <mergeCell ref="J119:O119"/>
    <mergeCell ref="P119:Q119"/>
    <mergeCell ref="J132:O132"/>
    <mergeCell ref="P132:Q132"/>
    <mergeCell ref="K133:Q133"/>
    <mergeCell ref="J134:Q134"/>
    <mergeCell ref="J120:Q120"/>
    <mergeCell ref="J125:O125"/>
    <mergeCell ref="P125:Q125"/>
    <mergeCell ref="K126:Q126"/>
    <mergeCell ref="K130:O130"/>
    <mergeCell ref="P130:Q130"/>
    <mergeCell ref="K121:Q121"/>
    <mergeCell ref="J135:Q135"/>
    <mergeCell ref="J136:L136"/>
    <mergeCell ref="N136:Q136"/>
    <mergeCell ref="J137:Q137"/>
    <mergeCell ref="J138:Q138"/>
    <mergeCell ref="J139:Q139"/>
    <mergeCell ref="J140:J141"/>
    <mergeCell ref="K140:K141"/>
    <mergeCell ref="L140:L141"/>
    <mergeCell ref="N140:N141"/>
    <mergeCell ref="O140:O141"/>
    <mergeCell ref="P140:Q140"/>
    <mergeCell ref="M140:M141"/>
    <mergeCell ref="K142:Q142"/>
    <mergeCell ref="J147:O147"/>
    <mergeCell ref="P147:Q147"/>
    <mergeCell ref="K148:Q148"/>
    <mergeCell ref="J151:O151"/>
    <mergeCell ref="P151:Q151"/>
    <mergeCell ref="K152:Q152"/>
    <mergeCell ref="J154:O154"/>
    <mergeCell ref="P154:Q154"/>
    <mergeCell ref="J167:O167"/>
    <mergeCell ref="P167:Q167"/>
    <mergeCell ref="K168:Q168"/>
    <mergeCell ref="J169:Q169"/>
    <mergeCell ref="J155:Q155"/>
    <mergeCell ref="J160:O160"/>
    <mergeCell ref="P160:Q160"/>
    <mergeCell ref="K161:Q161"/>
    <mergeCell ref="K165:O165"/>
    <mergeCell ref="P165:Q165"/>
    <mergeCell ref="K156:Q156"/>
    <mergeCell ref="J170:Q170"/>
    <mergeCell ref="J171:L171"/>
    <mergeCell ref="N171:Q171"/>
    <mergeCell ref="J172:Q172"/>
    <mergeCell ref="J173:Q173"/>
    <mergeCell ref="J174:Q174"/>
    <mergeCell ref="J175:J176"/>
    <mergeCell ref="K175:K176"/>
    <mergeCell ref="L175:L176"/>
    <mergeCell ref="N175:N176"/>
    <mergeCell ref="O175:O176"/>
    <mergeCell ref="P175:Q175"/>
    <mergeCell ref="M175:M176"/>
    <mergeCell ref="K177:Q177"/>
    <mergeCell ref="J182:O182"/>
    <mergeCell ref="P182:Q182"/>
    <mergeCell ref="K183:Q183"/>
    <mergeCell ref="J186:O186"/>
    <mergeCell ref="P186:Q186"/>
    <mergeCell ref="K187:Q187"/>
    <mergeCell ref="J189:O189"/>
    <mergeCell ref="P189:Q189"/>
    <mergeCell ref="J197:O197"/>
    <mergeCell ref="P197:Q197"/>
    <mergeCell ref="K198:Q198"/>
    <mergeCell ref="J199:Q199"/>
    <mergeCell ref="J200:Q200"/>
    <mergeCell ref="J201:L201"/>
    <mergeCell ref="N201:Q201"/>
    <mergeCell ref="J190:Q190"/>
    <mergeCell ref="J195:O195"/>
    <mergeCell ref="P195:Q195"/>
    <mergeCell ref="K191:Q191"/>
    <mergeCell ref="J202:Q202"/>
    <mergeCell ref="J203:Q203"/>
    <mergeCell ref="J204:Q204"/>
    <mergeCell ref="J205:J206"/>
    <mergeCell ref="K205:K206"/>
    <mergeCell ref="L205:L206"/>
    <mergeCell ref="N205:N206"/>
    <mergeCell ref="O205:O206"/>
    <mergeCell ref="P205:Q205"/>
    <mergeCell ref="M205:M206"/>
    <mergeCell ref="K207:Q207"/>
    <mergeCell ref="J212:O212"/>
    <mergeCell ref="P212:Q212"/>
    <mergeCell ref="K213:Q213"/>
    <mergeCell ref="J216:O216"/>
    <mergeCell ref="P216:Q216"/>
    <mergeCell ref="K217:Q217"/>
    <mergeCell ref="J219:O219"/>
    <mergeCell ref="P219:Q219"/>
    <mergeCell ref="J232:O232"/>
    <mergeCell ref="P232:Q232"/>
    <mergeCell ref="K233:Q233"/>
    <mergeCell ref="J234:Q234"/>
    <mergeCell ref="J220:Q220"/>
    <mergeCell ref="J225:O225"/>
    <mergeCell ref="P225:Q225"/>
    <mergeCell ref="K226:Q226"/>
    <mergeCell ref="K230:O230"/>
    <mergeCell ref="P230:Q230"/>
    <mergeCell ref="K221:Q221"/>
    <mergeCell ref="J231:Q231"/>
    <mergeCell ref="J235:Q235"/>
    <mergeCell ref="J236:L236"/>
    <mergeCell ref="N236:Q236"/>
    <mergeCell ref="J237:Q237"/>
    <mergeCell ref="J238:Q238"/>
    <mergeCell ref="J239:Q239"/>
    <mergeCell ref="J240:J241"/>
    <mergeCell ref="K240:K241"/>
    <mergeCell ref="L240:L241"/>
    <mergeCell ref="N240:N241"/>
    <mergeCell ref="O240:O241"/>
    <mergeCell ref="P240:Q240"/>
    <mergeCell ref="M240:M241"/>
    <mergeCell ref="K242:Q242"/>
    <mergeCell ref="J247:O247"/>
    <mergeCell ref="P247:Q247"/>
    <mergeCell ref="K248:Q248"/>
    <mergeCell ref="J251:O251"/>
    <mergeCell ref="P251:Q251"/>
    <mergeCell ref="K252:Q252"/>
    <mergeCell ref="J254:O254"/>
    <mergeCell ref="P254:Q254"/>
    <mergeCell ref="J267:O267"/>
    <mergeCell ref="P267:Q267"/>
    <mergeCell ref="K268:Q268"/>
    <mergeCell ref="J269:Q269"/>
    <mergeCell ref="J255:Q255"/>
    <mergeCell ref="J260:O260"/>
    <mergeCell ref="P260:Q260"/>
    <mergeCell ref="K261:Q261"/>
    <mergeCell ref="K265:O265"/>
    <mergeCell ref="P265:Q265"/>
    <mergeCell ref="K256:Q256"/>
    <mergeCell ref="J266:Q266"/>
    <mergeCell ref="N271:Q271"/>
    <mergeCell ref="J272:Q272"/>
    <mergeCell ref="J273:Q273"/>
    <mergeCell ref="J274:Q274"/>
    <mergeCell ref="J275:J276"/>
    <mergeCell ref="K275:K276"/>
    <mergeCell ref="L275:L276"/>
    <mergeCell ref="N275:N276"/>
    <mergeCell ref="O275:O276"/>
    <mergeCell ref="P275:Q275"/>
    <mergeCell ref="M275:M276"/>
    <mergeCell ref="J302:O302"/>
    <mergeCell ref="P302:Q302"/>
    <mergeCell ref="J4:Q4"/>
    <mergeCell ref="J5:Q5"/>
    <mergeCell ref="J7:Q7"/>
    <mergeCell ref="J8:Q8"/>
    <mergeCell ref="J9:Q9"/>
    <mergeCell ref="J10:J11"/>
    <mergeCell ref="K10:K11"/>
    <mergeCell ref="L10:L11"/>
    <mergeCell ref="N10:N11"/>
    <mergeCell ref="O10:O11"/>
    <mergeCell ref="P10:Q10"/>
    <mergeCell ref="M10:M11"/>
    <mergeCell ref="J290:Q290"/>
    <mergeCell ref="J295:O295"/>
    <mergeCell ref="P295:Q295"/>
    <mergeCell ref="K296:Q296"/>
    <mergeCell ref="K300:O300"/>
    <mergeCell ref="P300:Q300"/>
    <mergeCell ref="K291:Q291"/>
    <mergeCell ref="K277:Q277"/>
    <mergeCell ref="J282:O282"/>
    <mergeCell ref="P282:Q282"/>
    <mergeCell ref="K12:Q12"/>
    <mergeCell ref="J24:O24"/>
    <mergeCell ref="P24:Q24"/>
    <mergeCell ref="J6:L6"/>
    <mergeCell ref="N6:Q6"/>
    <mergeCell ref="J16:O16"/>
    <mergeCell ref="P16:Q16"/>
    <mergeCell ref="K17:Q17"/>
    <mergeCell ref="J21:O21"/>
    <mergeCell ref="P21:Q21"/>
    <mergeCell ref="K22:Q22"/>
    <mergeCell ref="J26:O26"/>
    <mergeCell ref="P26:Q26"/>
    <mergeCell ref="A301:H301"/>
    <mergeCell ref="J301:Q301"/>
    <mergeCell ref="A25:H25"/>
    <mergeCell ref="J25:Q25"/>
    <mergeCell ref="A60:H60"/>
    <mergeCell ref="J60:Q60"/>
    <mergeCell ref="A95:H95"/>
    <mergeCell ref="J95:Q95"/>
    <mergeCell ref="A131:H131"/>
    <mergeCell ref="J131:Q131"/>
    <mergeCell ref="J166:Q166"/>
    <mergeCell ref="A166:H166"/>
    <mergeCell ref="A196:H196"/>
    <mergeCell ref="J196:Q196"/>
    <mergeCell ref="K283:Q283"/>
    <mergeCell ref="J286:O286"/>
    <mergeCell ref="P286:Q286"/>
    <mergeCell ref="K287:Q287"/>
    <mergeCell ref="J289:O289"/>
    <mergeCell ref="P289:Q289"/>
    <mergeCell ref="J270:Q270"/>
    <mergeCell ref="J271:L271"/>
  </mergeCells>
  <pageMargins left="1.66" right="0.51181102362204722" top="0.78740157480314965" bottom="0.78740157480314965" header="0.37" footer="0.31496062992125984"/>
  <pageSetup paperSize="9" scale="73" orientation="landscape" r:id="rId1"/>
  <rowBreaks count="5" manualBreakCount="5">
    <brk id="61" max="5" man="1"/>
    <brk id="96" max="5" man="1"/>
    <brk id="97" max="5" man="1"/>
    <brk id="132" max="5" man="1"/>
    <brk id="209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2:Q42"/>
  <sheetViews>
    <sheetView workbookViewId="0">
      <pane ySplit="2" topLeftCell="A3" activePane="bottomLeft" state="frozen"/>
      <selection pane="bottomLeft" activeCell="B23" sqref="B23"/>
    </sheetView>
  </sheetViews>
  <sheetFormatPr defaultColWidth="11.42578125" defaultRowHeight="15" customHeight="1"/>
  <cols>
    <col min="1" max="1" width="11.42578125" style="117"/>
    <col min="2" max="2" width="51" style="119" customWidth="1"/>
    <col min="3" max="5" width="11.42578125" style="117"/>
    <col min="6" max="6" width="11.42578125" style="117" customWidth="1"/>
    <col min="7" max="8" width="13.140625" style="119" customWidth="1"/>
    <col min="9" max="9" width="10.7109375" style="117" customWidth="1"/>
    <col min="10" max="10" width="11.5703125" style="117" customWidth="1"/>
    <col min="11" max="11" width="50.85546875" style="117" customWidth="1"/>
    <col min="12" max="15" width="11.42578125" style="117" customWidth="1"/>
    <col min="16" max="17" width="13" style="117" customWidth="1"/>
    <col min="18" max="16384" width="11.42578125" style="117"/>
  </cols>
  <sheetData>
    <row r="2" spans="1:17" s="41" customFormat="1">
      <c r="A2" s="443" t="s">
        <v>221</v>
      </c>
      <c r="B2" s="444"/>
      <c r="C2" s="444"/>
      <c r="D2" s="444"/>
      <c r="E2" s="444"/>
      <c r="F2" s="444"/>
      <c r="G2" s="444"/>
      <c r="H2" s="445"/>
      <c r="J2" s="442" t="s">
        <v>222</v>
      </c>
      <c r="K2" s="442"/>
      <c r="L2" s="442"/>
      <c r="M2" s="442"/>
      <c r="N2" s="442"/>
      <c r="O2" s="442"/>
      <c r="P2" s="442"/>
      <c r="Q2" s="442"/>
    </row>
    <row r="3" spans="1:17" ht="15" customHeight="1">
      <c r="K3" s="119"/>
    </row>
    <row r="4" spans="1:17" ht="15" customHeight="1">
      <c r="A4" s="415" t="s">
        <v>163</v>
      </c>
      <c r="B4" s="415"/>
      <c r="C4" s="415"/>
      <c r="D4" s="415"/>
      <c r="E4" s="415"/>
      <c r="F4" s="415"/>
      <c r="G4" s="415"/>
      <c r="H4" s="415"/>
      <c r="J4" s="415" t="s">
        <v>330</v>
      </c>
      <c r="K4" s="415"/>
      <c r="L4" s="415"/>
      <c r="M4" s="415"/>
      <c r="N4" s="415"/>
      <c r="O4" s="415"/>
      <c r="P4" s="415"/>
      <c r="Q4" s="415"/>
    </row>
    <row r="5" spans="1:17" ht="15" customHeight="1">
      <c r="A5" s="398" t="s">
        <v>194</v>
      </c>
      <c r="B5" s="398"/>
      <c r="C5" s="398"/>
      <c r="D5" s="398"/>
      <c r="E5" s="398"/>
      <c r="F5" s="398"/>
      <c r="G5" s="398"/>
      <c r="H5" s="398"/>
      <c r="J5" s="398" t="s">
        <v>194</v>
      </c>
      <c r="K5" s="398"/>
      <c r="L5" s="398"/>
      <c r="M5" s="398"/>
      <c r="N5" s="398"/>
      <c r="O5" s="398"/>
      <c r="P5" s="398"/>
      <c r="Q5" s="398"/>
    </row>
    <row r="6" spans="1:17" ht="15" customHeight="1">
      <c r="A6" s="454" t="s">
        <v>323</v>
      </c>
      <c r="B6" s="455"/>
      <c r="C6" s="455"/>
      <c r="D6" s="456"/>
      <c r="E6" s="450" t="s">
        <v>322</v>
      </c>
      <c r="F6" s="450"/>
      <c r="G6" s="450"/>
      <c r="H6" s="450"/>
      <c r="J6" s="454" t="s">
        <v>323</v>
      </c>
      <c r="K6" s="455"/>
      <c r="L6" s="455"/>
      <c r="M6" s="456"/>
      <c r="N6" s="450" t="s">
        <v>322</v>
      </c>
      <c r="O6" s="450"/>
      <c r="P6" s="450"/>
      <c r="Q6" s="450"/>
    </row>
    <row r="7" spans="1:17" ht="15" customHeight="1">
      <c r="A7" s="449" t="s">
        <v>321</v>
      </c>
      <c r="B7" s="447"/>
      <c r="C7" s="447"/>
      <c r="D7" s="447"/>
      <c r="E7" s="447"/>
      <c r="F7" s="447"/>
      <c r="G7" s="447"/>
      <c r="H7" s="447"/>
      <c r="J7" s="449" t="s">
        <v>321</v>
      </c>
      <c r="K7" s="447"/>
      <c r="L7" s="447"/>
      <c r="M7" s="447"/>
      <c r="N7" s="447"/>
      <c r="O7" s="447"/>
      <c r="P7" s="447"/>
      <c r="Q7" s="447"/>
    </row>
    <row r="8" spans="1:17" ht="15" customHeight="1">
      <c r="A8" s="446" t="s">
        <v>117</v>
      </c>
      <c r="B8" s="447"/>
      <c r="C8" s="447"/>
      <c r="D8" s="447"/>
      <c r="E8" s="447"/>
      <c r="F8" s="447"/>
      <c r="G8" s="447"/>
      <c r="H8" s="447"/>
      <c r="J8" s="446" t="s">
        <v>117</v>
      </c>
      <c r="K8" s="447"/>
      <c r="L8" s="447"/>
      <c r="M8" s="447"/>
      <c r="N8" s="447"/>
      <c r="O8" s="447"/>
      <c r="P8" s="447"/>
      <c r="Q8" s="447"/>
    </row>
    <row r="9" spans="1:17" ht="15" customHeight="1">
      <c r="A9" s="448"/>
      <c r="B9" s="448"/>
      <c r="C9" s="448"/>
      <c r="D9" s="448"/>
      <c r="E9" s="448"/>
      <c r="F9" s="448"/>
      <c r="G9" s="448"/>
      <c r="H9" s="448"/>
      <c r="J9" s="448"/>
      <c r="K9" s="448"/>
      <c r="L9" s="448"/>
      <c r="M9" s="448"/>
      <c r="N9" s="448"/>
      <c r="O9" s="448"/>
      <c r="P9" s="448"/>
      <c r="Q9" s="448"/>
    </row>
    <row r="10" spans="1:17" ht="15" customHeight="1">
      <c r="A10" s="421" t="s">
        <v>118</v>
      </c>
      <c r="B10" s="421" t="s">
        <v>16</v>
      </c>
      <c r="C10" s="421" t="s">
        <v>162</v>
      </c>
      <c r="D10" s="421" t="s">
        <v>223</v>
      </c>
      <c r="E10" s="421" t="s">
        <v>19</v>
      </c>
      <c r="F10" s="441" t="s">
        <v>28</v>
      </c>
      <c r="G10" s="421" t="s">
        <v>119</v>
      </c>
      <c r="H10" s="421"/>
      <c r="J10" s="421" t="s">
        <v>118</v>
      </c>
      <c r="K10" s="421" t="s">
        <v>16</v>
      </c>
      <c r="L10" s="421" t="s">
        <v>162</v>
      </c>
      <c r="M10" s="421" t="s">
        <v>223</v>
      </c>
      <c r="N10" s="421" t="s">
        <v>19</v>
      </c>
      <c r="O10" s="441" t="s">
        <v>28</v>
      </c>
      <c r="P10" s="421" t="s">
        <v>119</v>
      </c>
      <c r="Q10" s="421"/>
    </row>
    <row r="11" spans="1:17" ht="15" customHeight="1">
      <c r="A11" s="421"/>
      <c r="B11" s="421"/>
      <c r="C11" s="421"/>
      <c r="D11" s="421"/>
      <c r="E11" s="421"/>
      <c r="F11" s="441"/>
      <c r="G11" s="58" t="s">
        <v>120</v>
      </c>
      <c r="H11" s="58" t="s">
        <v>121</v>
      </c>
      <c r="J11" s="421"/>
      <c r="K11" s="421"/>
      <c r="L11" s="421"/>
      <c r="M11" s="421"/>
      <c r="N11" s="421"/>
      <c r="O11" s="441"/>
      <c r="P11" s="58" t="s">
        <v>120</v>
      </c>
      <c r="Q11" s="58" t="s">
        <v>121</v>
      </c>
    </row>
    <row r="12" spans="1:17" ht="15" customHeight="1">
      <c r="A12" s="59" t="s">
        <v>34</v>
      </c>
      <c r="B12" s="451" t="s">
        <v>41</v>
      </c>
      <c r="C12" s="451"/>
      <c r="D12" s="451"/>
      <c r="E12" s="451"/>
      <c r="F12" s="451"/>
      <c r="G12" s="451"/>
      <c r="H12" s="451"/>
      <c r="J12" s="59" t="s">
        <v>34</v>
      </c>
      <c r="K12" s="451" t="s">
        <v>41</v>
      </c>
      <c r="L12" s="451"/>
      <c r="M12" s="451"/>
      <c r="N12" s="451"/>
      <c r="O12" s="451"/>
      <c r="P12" s="451"/>
      <c r="Q12" s="451"/>
    </row>
    <row r="13" spans="1:17" ht="15" customHeight="1">
      <c r="A13" s="59" t="s">
        <v>35</v>
      </c>
      <c r="B13" s="63" t="s">
        <v>319</v>
      </c>
      <c r="C13" s="56">
        <v>88241</v>
      </c>
      <c r="D13" s="59" t="s">
        <v>228</v>
      </c>
      <c r="E13" s="59" t="s">
        <v>89</v>
      </c>
      <c r="F13" s="120">
        <v>1.6666E-2</v>
      </c>
      <c r="G13" s="60">
        <f>'DADOS A INSERIR'!E19</f>
        <v>15.78</v>
      </c>
      <c r="H13" s="61">
        <f>G13*F13</f>
        <v>0.26298948</v>
      </c>
      <c r="J13" s="59" t="s">
        <v>35</v>
      </c>
      <c r="K13" s="63" t="s">
        <v>319</v>
      </c>
      <c r="L13" s="56">
        <v>88241</v>
      </c>
      <c r="M13" s="59" t="s">
        <v>228</v>
      </c>
      <c r="N13" s="59" t="s">
        <v>89</v>
      </c>
      <c r="O13" s="120">
        <v>1.6666E-2</v>
      </c>
      <c r="P13" s="64">
        <f>'DADOS A INSERIR'!F19</f>
        <v>14.36</v>
      </c>
      <c r="Q13" s="118">
        <f>P13*O13</f>
        <v>0.23932376</v>
      </c>
    </row>
    <row r="14" spans="1:17" ht="15" customHeight="1">
      <c r="A14" s="59" t="s">
        <v>36</v>
      </c>
      <c r="B14" s="63" t="s">
        <v>356</v>
      </c>
      <c r="C14" s="56">
        <v>88322</v>
      </c>
      <c r="D14" s="59" t="s">
        <v>228</v>
      </c>
      <c r="E14" s="59" t="s">
        <v>89</v>
      </c>
      <c r="F14" s="120">
        <v>1.6666E-2</v>
      </c>
      <c r="G14" s="60">
        <f>'DADOS A INSERIR'!E20</f>
        <v>46.93</v>
      </c>
      <c r="H14" s="61">
        <f>G14*F14</f>
        <v>0.78213538000000005</v>
      </c>
      <c r="J14" s="59" t="s">
        <v>36</v>
      </c>
      <c r="K14" s="63" t="s">
        <v>356</v>
      </c>
      <c r="L14" s="56">
        <v>88322</v>
      </c>
      <c r="M14" s="59" t="s">
        <v>228</v>
      </c>
      <c r="N14" s="59" t="s">
        <v>89</v>
      </c>
      <c r="O14" s="120">
        <v>1.6666E-2</v>
      </c>
      <c r="P14" s="64">
        <f>'DADOS A INSERIR'!F20</f>
        <v>41.29</v>
      </c>
      <c r="Q14" s="118">
        <f>P14*O14</f>
        <v>0.68813913999999998</v>
      </c>
    </row>
    <row r="15" spans="1:17" ht="15" customHeight="1">
      <c r="A15" s="56"/>
      <c r="B15" s="452" t="s">
        <v>126</v>
      </c>
      <c r="C15" s="452"/>
      <c r="D15" s="452"/>
      <c r="E15" s="452"/>
      <c r="F15" s="452"/>
      <c r="G15" s="452"/>
      <c r="H15" s="142">
        <f>SUM(H13:H14)</f>
        <v>1.04512486</v>
      </c>
      <c r="J15" s="56"/>
      <c r="K15" s="452" t="s">
        <v>126</v>
      </c>
      <c r="L15" s="452"/>
      <c r="M15" s="452"/>
      <c r="N15" s="452"/>
      <c r="O15" s="452"/>
      <c r="P15" s="452"/>
      <c r="Q15" s="143">
        <f>SUM(Q13:Q14)</f>
        <v>0.92746289999999998</v>
      </c>
    </row>
    <row r="16" spans="1:17" ht="15" customHeight="1">
      <c r="A16" s="59" t="s">
        <v>42</v>
      </c>
      <c r="B16" s="451" t="s">
        <v>331</v>
      </c>
      <c r="C16" s="451"/>
      <c r="D16" s="451"/>
      <c r="E16" s="451"/>
      <c r="F16" s="451"/>
      <c r="G16" s="451"/>
      <c r="H16" s="451"/>
      <c r="J16" s="59" t="s">
        <v>42</v>
      </c>
      <c r="K16" s="451" t="s">
        <v>331</v>
      </c>
      <c r="L16" s="451"/>
      <c r="M16" s="451"/>
      <c r="N16" s="451"/>
      <c r="O16" s="451"/>
      <c r="P16" s="451"/>
      <c r="Q16" s="451"/>
    </row>
    <row r="17" spans="1:17" ht="30" customHeight="1">
      <c r="A17" s="59" t="s">
        <v>164</v>
      </c>
      <c r="B17" s="63" t="s">
        <v>320</v>
      </c>
      <c r="C17" s="56">
        <v>5824</v>
      </c>
      <c r="D17" s="59" t="s">
        <v>228</v>
      </c>
      <c r="E17" s="59" t="s">
        <v>89</v>
      </c>
      <c r="F17" s="120">
        <v>1.6666E-2</v>
      </c>
      <c r="G17" s="60">
        <f>'DADOS A INSERIR'!E28</f>
        <v>128.74</v>
      </c>
      <c r="H17" s="61">
        <f>G17*F17</f>
        <v>2.14558084</v>
      </c>
      <c r="J17" s="59" t="s">
        <v>164</v>
      </c>
      <c r="K17" s="63" t="s">
        <v>320</v>
      </c>
      <c r="L17" s="56">
        <v>5824</v>
      </c>
      <c r="M17" s="59" t="s">
        <v>228</v>
      </c>
      <c r="N17" s="59" t="s">
        <v>89</v>
      </c>
      <c r="O17" s="120">
        <v>1.6666E-2</v>
      </c>
      <c r="P17" s="64">
        <f>'DADOS A INSERIR'!F28</f>
        <v>126.11</v>
      </c>
      <c r="Q17" s="118">
        <f>P17*O17</f>
        <v>2.1017492600000001</v>
      </c>
    </row>
    <row r="18" spans="1:17" ht="15" customHeight="1">
      <c r="A18" s="56"/>
      <c r="B18" s="452" t="s">
        <v>127</v>
      </c>
      <c r="C18" s="452"/>
      <c r="D18" s="452"/>
      <c r="E18" s="452"/>
      <c r="F18" s="452"/>
      <c r="G18" s="452"/>
      <c r="H18" s="142">
        <f>SUM(H17:H17)</f>
        <v>2.14558084</v>
      </c>
      <c r="J18" s="56"/>
      <c r="K18" s="452" t="s">
        <v>127</v>
      </c>
      <c r="L18" s="452"/>
      <c r="M18" s="452"/>
      <c r="N18" s="452"/>
      <c r="O18" s="452"/>
      <c r="P18" s="452"/>
      <c r="Q18" s="143">
        <f>SUM(Q17:Q17)</f>
        <v>2.1017492600000001</v>
      </c>
    </row>
    <row r="19" spans="1:17" ht="15" customHeight="1">
      <c r="A19" s="451"/>
      <c r="B19" s="451"/>
      <c r="C19" s="451"/>
      <c r="D19" s="451"/>
      <c r="E19" s="451"/>
      <c r="F19" s="451"/>
      <c r="G19" s="451"/>
      <c r="H19" s="451"/>
      <c r="J19" s="451"/>
      <c r="K19" s="451"/>
      <c r="L19" s="451"/>
      <c r="M19" s="451"/>
      <c r="N19" s="451"/>
      <c r="O19" s="451"/>
      <c r="P19" s="451"/>
      <c r="Q19" s="451"/>
    </row>
    <row r="20" spans="1:17" ht="15" customHeight="1">
      <c r="A20" s="382" t="s">
        <v>423</v>
      </c>
      <c r="B20" s="383"/>
      <c r="C20" s="383"/>
      <c r="D20" s="383"/>
      <c r="E20" s="383"/>
      <c r="F20" s="384"/>
      <c r="G20" s="453">
        <f>H18+H15</f>
        <v>3.1907057000000001</v>
      </c>
      <c r="H20" s="453"/>
      <c r="J20" s="382" t="s">
        <v>423</v>
      </c>
      <c r="K20" s="383"/>
      <c r="L20" s="383"/>
      <c r="M20" s="383"/>
      <c r="N20" s="383"/>
      <c r="O20" s="384"/>
      <c r="P20" s="453">
        <f>Q18+Q15</f>
        <v>3.0292121600000002</v>
      </c>
      <c r="Q20" s="453"/>
    </row>
    <row r="21" spans="1:17" ht="15" customHeight="1">
      <c r="B21" s="117"/>
      <c r="G21" s="117"/>
      <c r="H21" s="117"/>
    </row>
    <row r="22" spans="1:17" ht="15" customHeight="1">
      <c r="B22" s="117"/>
      <c r="G22" s="117"/>
      <c r="H22" s="117"/>
    </row>
    <row r="23" spans="1:17" ht="15" customHeight="1">
      <c r="K23" s="119"/>
    </row>
    <row r="24" spans="1:17" ht="15" customHeight="1">
      <c r="K24" s="119"/>
    </row>
    <row r="25" spans="1:17" ht="15" customHeight="1">
      <c r="K25" s="119"/>
    </row>
    <row r="26" spans="1:17" ht="15" customHeight="1">
      <c r="K26" s="119"/>
    </row>
    <row r="27" spans="1:17" ht="15" customHeight="1">
      <c r="K27" s="119"/>
    </row>
    <row r="28" spans="1:17" ht="15" customHeight="1">
      <c r="K28" s="119"/>
    </row>
    <row r="29" spans="1:17" ht="15" customHeight="1">
      <c r="K29" s="119"/>
    </row>
    <row r="30" spans="1:17" ht="15" customHeight="1">
      <c r="K30" s="119"/>
    </row>
    <row r="31" spans="1:17" ht="15" customHeight="1">
      <c r="K31" s="119"/>
    </row>
    <row r="32" spans="1:17" ht="15" customHeight="1">
      <c r="K32" s="119"/>
    </row>
    <row r="33" spans="11:11" ht="15" customHeight="1">
      <c r="K33" s="119"/>
    </row>
    <row r="34" spans="11:11" ht="15" customHeight="1">
      <c r="K34" s="119"/>
    </row>
    <row r="35" spans="11:11" ht="15" customHeight="1">
      <c r="K35" s="119"/>
    </row>
    <row r="36" spans="11:11" ht="15" customHeight="1">
      <c r="K36" s="119"/>
    </row>
    <row r="37" spans="11:11" ht="15" customHeight="1">
      <c r="K37" s="119"/>
    </row>
    <row r="38" spans="11:11" ht="15" customHeight="1">
      <c r="K38" s="119"/>
    </row>
    <row r="39" spans="11:11" ht="15" customHeight="1">
      <c r="K39" s="119"/>
    </row>
    <row r="40" spans="11:11" ht="15" customHeight="1">
      <c r="K40" s="119"/>
    </row>
    <row r="41" spans="11:11" ht="15" customHeight="1">
      <c r="K41" s="119"/>
    </row>
    <row r="42" spans="11:11" ht="15" customHeight="1">
      <c r="K42" s="119"/>
    </row>
  </sheetData>
  <sheetProtection algorithmName="SHA-512" hashValue="OC6/Pel718HwVsyQLCUETRfvBabiJf73udwvodvQF+53r7QN+pudZ/Tqj1PM6yMaHqKRMOaLVe/aWOH1I1WYXg==" saltValue="XL7VKOjE1CWaiZLthMJJyQ==" spinCount="100000" sheet="1" objects="1" scenarios="1"/>
  <mergeCells count="44">
    <mergeCell ref="A2:H2"/>
    <mergeCell ref="J2:Q2"/>
    <mergeCell ref="K18:P18"/>
    <mergeCell ref="N10:N11"/>
    <mergeCell ref="O10:O11"/>
    <mergeCell ref="P10:Q10"/>
    <mergeCell ref="K12:Q12"/>
    <mergeCell ref="K15:P15"/>
    <mergeCell ref="K16:Q16"/>
    <mergeCell ref="A4:H4"/>
    <mergeCell ref="A5:H5"/>
    <mergeCell ref="J4:Q4"/>
    <mergeCell ref="J5:Q5"/>
    <mergeCell ref="J6:M6"/>
    <mergeCell ref="N6:Q6"/>
    <mergeCell ref="A6:D6"/>
    <mergeCell ref="J20:O20"/>
    <mergeCell ref="P20:Q20"/>
    <mergeCell ref="J19:Q19"/>
    <mergeCell ref="J10:J11"/>
    <mergeCell ref="K10:K11"/>
    <mergeCell ref="L10:L11"/>
    <mergeCell ref="M10:M11"/>
    <mergeCell ref="B12:H12"/>
    <mergeCell ref="B15:G15"/>
    <mergeCell ref="B16:H16"/>
    <mergeCell ref="A20:F20"/>
    <mergeCell ref="G20:H20"/>
    <mergeCell ref="A19:H19"/>
    <mergeCell ref="B18:G18"/>
    <mergeCell ref="J8:Q8"/>
    <mergeCell ref="J9:Q9"/>
    <mergeCell ref="J7:Q7"/>
    <mergeCell ref="E6:H6"/>
    <mergeCell ref="G10:H10"/>
    <mergeCell ref="A7:H7"/>
    <mergeCell ref="A8:H8"/>
    <mergeCell ref="A9:H9"/>
    <mergeCell ref="A10:A11"/>
    <mergeCell ref="B10:B11"/>
    <mergeCell ref="C10:C11"/>
    <mergeCell ref="D10:D11"/>
    <mergeCell ref="E10:E11"/>
    <mergeCell ref="F10:F11"/>
  </mergeCells>
  <printOptions horizontalCentered="1"/>
  <pageMargins left="0.78749999999999998" right="0.39374999999999999" top="0.98402777777777783" bottom="0.39374999999999999" header="0.51180555555555562" footer="0.5118055555555556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2:J10"/>
  <sheetViews>
    <sheetView workbookViewId="0">
      <selection activeCell="B18" sqref="B18"/>
    </sheetView>
  </sheetViews>
  <sheetFormatPr defaultColWidth="18.140625" defaultRowHeight="15"/>
  <cols>
    <col min="1" max="1" width="14.7109375" style="42" bestFit="1" customWidth="1"/>
    <col min="2" max="2" width="48.42578125" style="147" bestFit="1" customWidth="1"/>
    <col min="3" max="3" width="13.42578125" style="42" customWidth="1"/>
    <col min="4" max="4" width="12.7109375" style="42" customWidth="1"/>
    <col min="5" max="5" width="9.7109375" style="42" bestFit="1" customWidth="1"/>
    <col min="6" max="6" width="9.140625" style="42" bestFit="1" customWidth="1"/>
    <col min="7" max="7" width="9.28515625" style="42" bestFit="1" customWidth="1"/>
    <col min="8" max="8" width="7.7109375" style="42" bestFit="1" customWidth="1"/>
    <col min="9" max="9" width="10.28515625" style="42" bestFit="1" customWidth="1"/>
    <col min="10" max="10" width="8.7109375" style="42" bestFit="1" customWidth="1"/>
    <col min="11" max="21" width="11.7109375" style="42" customWidth="1"/>
    <col min="22" max="16384" width="18.140625" style="42"/>
  </cols>
  <sheetData>
    <row r="2" spans="1:10" ht="15" customHeight="1">
      <c r="A2" s="457" t="s">
        <v>372</v>
      </c>
      <c r="B2" s="458"/>
      <c r="C2" s="458"/>
      <c r="D2" s="458"/>
      <c r="E2" s="458"/>
      <c r="F2" s="458"/>
      <c r="G2" s="458"/>
      <c r="H2" s="458"/>
      <c r="I2" s="458"/>
      <c r="J2" s="459"/>
    </row>
    <row r="3" spans="1:10" ht="60">
      <c r="A3" s="128" t="s">
        <v>371</v>
      </c>
      <c r="B3" s="129" t="s">
        <v>380</v>
      </c>
      <c r="C3" s="129" t="s">
        <v>428</v>
      </c>
      <c r="D3" s="130" t="s">
        <v>373</v>
      </c>
      <c r="E3" s="130" t="s">
        <v>374</v>
      </c>
      <c r="F3" s="130" t="s">
        <v>375</v>
      </c>
      <c r="G3" s="130" t="s">
        <v>376</v>
      </c>
      <c r="H3" s="130" t="s">
        <v>377</v>
      </c>
      <c r="I3" s="130" t="s">
        <v>378</v>
      </c>
      <c r="J3" s="130" t="s">
        <v>379</v>
      </c>
    </row>
    <row r="4" spans="1:10" s="145" customFormat="1">
      <c r="A4" s="144" t="s">
        <v>208</v>
      </c>
      <c r="B4" s="146" t="s">
        <v>442</v>
      </c>
      <c r="C4" s="127">
        <v>17</v>
      </c>
      <c r="D4" s="131">
        <f>C4*6</f>
        <v>102</v>
      </c>
      <c r="E4" s="131">
        <f>C4*30</f>
        <v>510</v>
      </c>
      <c r="F4" s="131">
        <v>0</v>
      </c>
      <c r="G4" s="131">
        <v>0</v>
      </c>
      <c r="H4" s="131">
        <f>C4*34</f>
        <v>578</v>
      </c>
      <c r="I4" s="131">
        <f>C4*30</f>
        <v>510</v>
      </c>
      <c r="J4" s="131">
        <f>C4*30</f>
        <v>510</v>
      </c>
    </row>
    <row r="5" spans="1:10" s="145" customFormat="1">
      <c r="A5" s="144" t="s">
        <v>209</v>
      </c>
      <c r="B5" s="146" t="s">
        <v>441</v>
      </c>
      <c r="C5" s="127">
        <v>6</v>
      </c>
      <c r="D5" s="131">
        <f>C5*2</f>
        <v>12</v>
      </c>
      <c r="E5" s="131">
        <f>C5*8</f>
        <v>48</v>
      </c>
      <c r="F5" s="131">
        <f>C5*2</f>
        <v>12</v>
      </c>
      <c r="G5" s="131">
        <v>0</v>
      </c>
      <c r="H5" s="131">
        <f t="shared" ref="H5:H10" si="0">C5*10</f>
        <v>60</v>
      </c>
      <c r="I5" s="131">
        <f t="shared" ref="I5:I10" si="1">C5*10</f>
        <v>60</v>
      </c>
      <c r="J5" s="131">
        <f t="shared" ref="J5:J10" si="2">C5*10</f>
        <v>60</v>
      </c>
    </row>
    <row r="6" spans="1:10" s="145" customFormat="1">
      <c r="A6" s="144" t="s">
        <v>214</v>
      </c>
      <c r="B6" s="126" t="s">
        <v>440</v>
      </c>
      <c r="C6" s="127">
        <v>10</v>
      </c>
      <c r="D6" s="131">
        <f>C6*6</f>
        <v>60</v>
      </c>
      <c r="E6" s="131">
        <f>C6*12</f>
        <v>120</v>
      </c>
      <c r="F6" s="131">
        <f>C6*4</f>
        <v>40</v>
      </c>
      <c r="G6" s="131">
        <v>0</v>
      </c>
      <c r="H6" s="131">
        <f t="shared" si="0"/>
        <v>100</v>
      </c>
      <c r="I6" s="131">
        <f t="shared" si="1"/>
        <v>100</v>
      </c>
      <c r="J6" s="131">
        <f t="shared" si="2"/>
        <v>100</v>
      </c>
    </row>
    <row r="7" spans="1:10">
      <c r="A7" s="144" t="s">
        <v>258</v>
      </c>
      <c r="B7" s="126" t="s">
        <v>443</v>
      </c>
      <c r="C7" s="127">
        <v>7</v>
      </c>
      <c r="D7" s="131">
        <f>C7*2</f>
        <v>14</v>
      </c>
      <c r="E7" s="131">
        <f>C7*2</f>
        <v>14</v>
      </c>
      <c r="F7" s="131">
        <f>C7*2</f>
        <v>14</v>
      </c>
      <c r="G7" s="131">
        <f>C7*12</f>
        <v>84</v>
      </c>
      <c r="H7" s="131">
        <f t="shared" si="0"/>
        <v>70</v>
      </c>
      <c r="I7" s="131">
        <f t="shared" si="1"/>
        <v>70</v>
      </c>
      <c r="J7" s="131">
        <f t="shared" si="2"/>
        <v>70</v>
      </c>
    </row>
    <row r="8" spans="1:10">
      <c r="A8" s="144" t="s">
        <v>259</v>
      </c>
      <c r="B8" s="126" t="s">
        <v>444</v>
      </c>
      <c r="C8" s="127">
        <v>3</v>
      </c>
      <c r="D8" s="131">
        <f>C8*2</f>
        <v>6</v>
      </c>
      <c r="E8" s="131">
        <f>C8*2</f>
        <v>6</v>
      </c>
      <c r="F8" s="131">
        <f>C8*2</f>
        <v>6</v>
      </c>
      <c r="G8" s="131">
        <f>C8*12</f>
        <v>36</v>
      </c>
      <c r="H8" s="131">
        <f t="shared" si="0"/>
        <v>30</v>
      </c>
      <c r="I8" s="131">
        <f t="shared" si="1"/>
        <v>30</v>
      </c>
      <c r="J8" s="131">
        <f t="shared" si="2"/>
        <v>30</v>
      </c>
    </row>
    <row r="9" spans="1:10">
      <c r="A9" s="144" t="s">
        <v>260</v>
      </c>
      <c r="B9" s="146" t="s">
        <v>445</v>
      </c>
      <c r="C9" s="127">
        <v>8</v>
      </c>
      <c r="D9" s="131">
        <f>C9*2</f>
        <v>16</v>
      </c>
      <c r="E9" s="131">
        <f>C9*2</f>
        <v>16</v>
      </c>
      <c r="F9" s="131">
        <f>C9*8</f>
        <v>64</v>
      </c>
      <c r="G9" s="131">
        <v>0</v>
      </c>
      <c r="H9" s="131">
        <f t="shared" si="0"/>
        <v>80</v>
      </c>
      <c r="I9" s="131">
        <f t="shared" si="1"/>
        <v>80</v>
      </c>
      <c r="J9" s="131">
        <f t="shared" si="2"/>
        <v>80</v>
      </c>
    </row>
    <row r="10" spans="1:10">
      <c r="A10" s="144" t="s">
        <v>261</v>
      </c>
      <c r="B10" s="146" t="s">
        <v>463</v>
      </c>
      <c r="C10" s="127">
        <v>2</v>
      </c>
      <c r="D10" s="131">
        <f>C10*2</f>
        <v>4</v>
      </c>
      <c r="E10" s="131">
        <f>C10*2</f>
        <v>4</v>
      </c>
      <c r="F10" s="131">
        <f>C10*8</f>
        <v>16</v>
      </c>
      <c r="G10" s="131">
        <v>0</v>
      </c>
      <c r="H10" s="131">
        <f t="shared" si="0"/>
        <v>20</v>
      </c>
      <c r="I10" s="131">
        <f t="shared" si="1"/>
        <v>20</v>
      </c>
      <c r="J10" s="131">
        <f t="shared" si="2"/>
        <v>20</v>
      </c>
    </row>
  </sheetData>
  <sheetProtection algorithmName="SHA-512" hashValue="m8vz/sfEJkwWe6u+WA+Wgc9UNaHgFPPbKtPKe7DBj7DL0r/BrKBfVnfZRjks99lshphHXe/vf57/3JnVRT5ivw==" saltValue="KskV2+zaPz3GM+EE1Ofv9A==" spinCount="100000" sheet="1" objects="1" scenarios="1"/>
  <dataConsolidate>
    <dataRefs count="1">
      <dataRef ref="C4:F4" sheet="Composições-Projetos"/>
    </dataRefs>
  </dataConsolidate>
  <mergeCells count="1">
    <mergeCell ref="A2:J2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</vt:i4>
      </vt:variant>
    </vt:vector>
  </HeadingPairs>
  <TitlesOfParts>
    <vt:vector size="15" baseType="lpstr">
      <vt:lpstr>RTP 1.000 hab</vt:lpstr>
      <vt:lpstr>RTP 5.000 hab</vt:lpstr>
      <vt:lpstr>RTP 20.000 hab</vt:lpstr>
      <vt:lpstr>RTP 50.000 hab</vt:lpstr>
      <vt:lpstr>DADOS A INSERIR</vt:lpstr>
      <vt:lpstr>PLANILHA ORÇAMENTÁRIA</vt:lpstr>
      <vt:lpstr>Composições-Topografia</vt:lpstr>
      <vt:lpstr>Composições-Geotecnia</vt:lpstr>
      <vt:lpstr>Composições-Projetos</vt:lpstr>
      <vt:lpstr>Composições-BDI</vt:lpstr>
      <vt:lpstr>Composições-Encargos Soc.</vt:lpstr>
      <vt:lpstr>EIA</vt:lpstr>
      <vt:lpstr>PCA_RCA</vt:lpstr>
      <vt:lpstr>'Composições-Encargos Soc.'!Area_de_impressao</vt:lpstr>
      <vt:lpstr>'Composições-Topografia'!Area_de_impressao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robson.trajano</dc:creator>
  <cp:lastModifiedBy>Usuário do Windows</cp:lastModifiedBy>
  <cp:lastPrinted>2011-08-25T14:22:09Z</cp:lastPrinted>
  <dcterms:created xsi:type="dcterms:W3CDTF">2011-03-02T17:34:28Z</dcterms:created>
  <dcterms:modified xsi:type="dcterms:W3CDTF">2018-12-06T18:34:20Z</dcterms:modified>
</cp:coreProperties>
</file>