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3"/>
  <workbookPr/>
  <mc:AlternateContent xmlns:mc="http://schemas.openxmlformats.org/markup-compatibility/2006">
    <mc:Choice Requires="x15">
      <x15ac:absPath xmlns:x15ac="http://schemas.microsoft.com/office/spreadsheetml/2010/11/ac" url="L:\Unidade-Monitoramento-Avaliacao\Estatística\Documentos Estatistica\Relatorio Estatistico - 2o.Parte\"/>
    </mc:Choice>
  </mc:AlternateContent>
  <xr:revisionPtr revIDLastSave="0" documentId="13_ncr:1_{1A6ABC0C-6468-4140-81B2-D63FE8E8370A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DADOS HC" sheetId="1" r:id="rId1"/>
    <sheet name="Registro TabNet" sheetId="3" state="hidden" r:id="rId2"/>
  </sheets>
  <calcPr calcId="191029"/>
</workbook>
</file>

<file path=xl/calcChain.xml><?xml version="1.0" encoding="utf-8"?>
<calcChain xmlns="http://schemas.openxmlformats.org/spreadsheetml/2006/main">
  <c r="Y44" i="1" l="1"/>
  <c r="Y45" i="1" s="1"/>
  <c r="Y39" i="1"/>
  <c r="Y65" i="1" l="1"/>
  <c r="AB70" i="1" l="1"/>
  <c r="AA70" i="1"/>
  <c r="AB69" i="1"/>
  <c r="AA69" i="1"/>
  <c r="AB68" i="1"/>
  <c r="AA68" i="1"/>
  <c r="AB67" i="1"/>
  <c r="AA67" i="1"/>
  <c r="AB64" i="1"/>
  <c r="AA64" i="1"/>
  <c r="AB63" i="1"/>
  <c r="AA63" i="1"/>
  <c r="AB61" i="1"/>
  <c r="AA61" i="1"/>
  <c r="AB60" i="1"/>
  <c r="AA60" i="1"/>
  <c r="AB59" i="1"/>
  <c r="AA59" i="1"/>
  <c r="AB58" i="1"/>
  <c r="AA58" i="1"/>
  <c r="AB57" i="1"/>
  <c r="AA57" i="1"/>
  <c r="AB46" i="1"/>
  <c r="AA46" i="1"/>
  <c r="AB43" i="1"/>
  <c r="AA43" i="1"/>
  <c r="AB42" i="1"/>
  <c r="AA42" i="1"/>
  <c r="AB41" i="1"/>
  <c r="AA41" i="1"/>
  <c r="AB38" i="1"/>
  <c r="AA38" i="1"/>
  <c r="AB37" i="1"/>
  <c r="AA37" i="1"/>
  <c r="AB36" i="1"/>
  <c r="AA36" i="1"/>
  <c r="AB35" i="1"/>
  <c r="AA35" i="1"/>
  <c r="AB34" i="1"/>
  <c r="AA34" i="1"/>
  <c r="AB33" i="1"/>
  <c r="AA33" i="1"/>
  <c r="AB32" i="1"/>
  <c r="AA32" i="1"/>
  <c r="AB31" i="1"/>
  <c r="AB30" i="1"/>
  <c r="AA30" i="1"/>
  <c r="AB29" i="1"/>
  <c r="AA29" i="1"/>
  <c r="AB28" i="1"/>
  <c r="AA28" i="1"/>
  <c r="AB27" i="1"/>
  <c r="AA27" i="1"/>
  <c r="AB25" i="1"/>
  <c r="AA25" i="1"/>
  <c r="AB23" i="1"/>
  <c r="AA23" i="1"/>
  <c r="AB22" i="1"/>
  <c r="AA22" i="1"/>
  <c r="AB21" i="1"/>
  <c r="AB16" i="1"/>
  <c r="AA16" i="1"/>
  <c r="AB15" i="1"/>
  <c r="AA15" i="1"/>
  <c r="AB14" i="1"/>
  <c r="AA14" i="1"/>
  <c r="AB13" i="1"/>
  <c r="AA13" i="1"/>
  <c r="AB12" i="1"/>
  <c r="AA12" i="1"/>
  <c r="AB10" i="1"/>
  <c r="AA10" i="1"/>
  <c r="AB7" i="1"/>
  <c r="AA7" i="1"/>
  <c r="AB6" i="1"/>
  <c r="AA6" i="1"/>
  <c r="C53" i="1" l="1"/>
  <c r="D53" i="1"/>
  <c r="E53" i="1"/>
  <c r="F53" i="1"/>
  <c r="G53" i="1"/>
  <c r="H53" i="1"/>
  <c r="I53" i="1"/>
  <c r="J53" i="1"/>
  <c r="K53" i="1"/>
  <c r="L53" i="1"/>
  <c r="U54" i="1" l="1"/>
  <c r="T54" i="1"/>
  <c r="S53" i="1"/>
  <c r="S54" i="1"/>
  <c r="R53" i="1"/>
  <c r="Q51" i="1" l="1"/>
  <c r="Q52" i="1"/>
  <c r="Q54" i="1"/>
  <c r="Q56" i="1"/>
  <c r="Q55" i="1"/>
  <c r="R54" i="1"/>
  <c r="Q53" i="1"/>
  <c r="P53" i="1"/>
  <c r="P55" i="1"/>
  <c r="P54" i="1"/>
  <c r="O53" i="1"/>
  <c r="O55" i="1"/>
  <c r="O54" i="1"/>
  <c r="N53" i="1"/>
  <c r="N55" i="1"/>
  <c r="N54" i="1"/>
  <c r="M53" i="1"/>
  <c r="M55" i="1"/>
  <c r="M54" i="1"/>
  <c r="L55" i="1"/>
  <c r="L54" i="1"/>
  <c r="AB52" i="1" l="1"/>
  <c r="AA52" i="1"/>
  <c r="AB56" i="1"/>
  <c r="AA56" i="1"/>
  <c r="K55" i="1"/>
  <c r="K54" i="1"/>
  <c r="J55" i="1"/>
  <c r="J54" i="1"/>
  <c r="I55" i="1"/>
  <c r="I54" i="1"/>
  <c r="G55" i="1"/>
  <c r="G54" i="1"/>
  <c r="F55" i="1"/>
  <c r="F54" i="1"/>
  <c r="E54" i="1"/>
  <c r="D54" i="1"/>
  <c r="C54" i="1"/>
  <c r="AB55" i="1" l="1"/>
  <c r="AA55" i="1"/>
  <c r="AB54" i="1"/>
  <c r="AA54" i="1"/>
  <c r="AC6" i="3"/>
  <c r="AD6" i="3"/>
  <c r="AE6" i="3"/>
  <c r="AF6" i="3"/>
  <c r="AG6" i="3"/>
  <c r="AH6" i="3"/>
  <c r="AI6" i="3"/>
  <c r="AJ6" i="3"/>
  <c r="AK6" i="3"/>
  <c r="U17" i="1" s="1"/>
  <c r="AL6" i="3"/>
  <c r="V17" i="1" s="1"/>
  <c r="AM6" i="3"/>
  <c r="W17" i="1" s="1"/>
  <c r="AN6" i="3"/>
  <c r="X17" i="1" s="1"/>
  <c r="AC13" i="3"/>
  <c r="AD13" i="3"/>
  <c r="AE13" i="3"/>
  <c r="AF13" i="3"/>
  <c r="AG13" i="3"/>
  <c r="AH13" i="3"/>
  <c r="AI13" i="3"/>
  <c r="AJ13" i="3"/>
  <c r="AK13" i="3"/>
  <c r="AL13" i="3"/>
  <c r="AM13" i="3"/>
  <c r="W18" i="1" s="1"/>
  <c r="AN13" i="3"/>
  <c r="AC27" i="3"/>
  <c r="M20" i="1" s="1"/>
  <c r="AD27" i="3"/>
  <c r="N20" i="1" s="1"/>
  <c r="AE27" i="3"/>
  <c r="O20" i="1" s="1"/>
  <c r="AF27" i="3"/>
  <c r="P20" i="1" s="1"/>
  <c r="AG27" i="3"/>
  <c r="AH27" i="3"/>
  <c r="AI27" i="3"/>
  <c r="AJ27" i="3"/>
  <c r="AK27" i="3"/>
  <c r="AL27" i="3"/>
  <c r="AM27" i="3"/>
  <c r="AN27" i="3"/>
  <c r="M17" i="1"/>
  <c r="N17" i="1"/>
  <c r="O17" i="1"/>
  <c r="P17" i="1"/>
  <c r="Q17" i="1"/>
  <c r="R17" i="1"/>
  <c r="S17" i="1"/>
  <c r="T17" i="1"/>
  <c r="M18" i="1"/>
  <c r="N18" i="1"/>
  <c r="O18" i="1"/>
  <c r="P18" i="1"/>
  <c r="Q18" i="1"/>
  <c r="R18" i="1"/>
  <c r="S18" i="1"/>
  <c r="T18" i="1"/>
  <c r="U18" i="1"/>
  <c r="V18" i="1"/>
  <c r="X18" i="1"/>
  <c r="U19" i="1"/>
  <c r="V19" i="1"/>
  <c r="W19" i="1"/>
  <c r="X19" i="1"/>
  <c r="Q20" i="1"/>
  <c r="R20" i="1"/>
  <c r="S20" i="1"/>
  <c r="T20" i="1"/>
  <c r="U20" i="1"/>
  <c r="V20" i="1"/>
  <c r="W20" i="1"/>
  <c r="X20" i="1"/>
  <c r="AO20" i="3"/>
  <c r="AC20" i="3"/>
  <c r="M19" i="1" s="1"/>
  <c r="AD20" i="3"/>
  <c r="N19" i="1" s="1"/>
  <c r="AE20" i="3"/>
  <c r="O19" i="1" s="1"/>
  <c r="AF20" i="3"/>
  <c r="P19" i="1" s="1"/>
  <c r="AG20" i="3"/>
  <c r="Q19" i="1" s="1"/>
  <c r="AH20" i="3"/>
  <c r="R19" i="1" s="1"/>
  <c r="AI20" i="3"/>
  <c r="S19" i="1" s="1"/>
  <c r="AJ20" i="3"/>
  <c r="T19" i="1" s="1"/>
  <c r="AK20" i="3"/>
  <c r="AL20" i="3"/>
  <c r="AM20" i="3"/>
  <c r="AN20" i="3"/>
  <c r="AB27" i="3"/>
  <c r="L20" i="1" s="1"/>
  <c r="AB20" i="3"/>
  <c r="L19" i="1" s="1"/>
  <c r="AB13" i="3"/>
  <c r="L18" i="1" s="1"/>
  <c r="AB6" i="3"/>
  <c r="L17" i="1" s="1"/>
  <c r="AB18" i="1" l="1"/>
  <c r="AB19" i="1"/>
  <c r="AB20" i="1"/>
  <c r="AB17" i="1"/>
  <c r="I8" i="1"/>
  <c r="G9" i="1" l="1"/>
  <c r="G11" i="1" s="1"/>
  <c r="F9" i="1"/>
  <c r="F11" i="1" s="1"/>
  <c r="D9" i="1"/>
  <c r="D11" i="1" s="1"/>
  <c r="C9" i="1"/>
  <c r="E9" i="1"/>
  <c r="E11" i="1" s="1"/>
  <c r="C11" i="1" l="1"/>
  <c r="AB9" i="1"/>
  <c r="AA9" i="1"/>
  <c r="U53" i="1"/>
  <c r="U51" i="1"/>
  <c r="T53" i="1" l="1"/>
  <c r="T47" i="1"/>
  <c r="T48" i="1"/>
  <c r="T49" i="1"/>
  <c r="AB53" i="1" l="1"/>
  <c r="AA53" i="1"/>
  <c r="S51" i="1"/>
  <c r="S50" i="1"/>
  <c r="S48" i="1"/>
  <c r="S47" i="1"/>
  <c r="R51" i="1"/>
  <c r="R50" i="1"/>
  <c r="R48" i="1"/>
  <c r="R49" i="1"/>
  <c r="R47" i="1"/>
  <c r="Q47" i="1"/>
  <c r="Q49" i="1"/>
  <c r="Q48" i="1"/>
  <c r="P47" i="1"/>
  <c r="P48" i="1"/>
  <c r="P49" i="1"/>
  <c r="O49" i="1" l="1"/>
  <c r="O50" i="1"/>
  <c r="O47" i="1"/>
  <c r="O48" i="1"/>
  <c r="N49" i="1" l="1"/>
  <c r="N47" i="1"/>
  <c r="N50" i="1"/>
  <c r="N48" i="1"/>
  <c r="M49" i="1"/>
  <c r="M50" i="1"/>
  <c r="M47" i="1"/>
  <c r="M48" i="1"/>
  <c r="L48" i="1"/>
  <c r="K51" i="1"/>
  <c r="K50" i="1"/>
  <c r="K49" i="1"/>
  <c r="J47" i="1"/>
  <c r="I47" i="1"/>
  <c r="H47" i="1"/>
  <c r="G47" i="1"/>
  <c r="AB47" i="1" l="1"/>
  <c r="AA47" i="1"/>
  <c r="AB51" i="1"/>
  <c r="AA51" i="1"/>
  <c r="AB50" i="1"/>
  <c r="AA50" i="1"/>
  <c r="AB49" i="1"/>
  <c r="AA49" i="1"/>
  <c r="AB48" i="1"/>
  <c r="AA48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C44" i="1" l="1"/>
  <c r="D44" i="1"/>
  <c r="E44" i="1"/>
  <c r="F44" i="1"/>
  <c r="G44" i="1"/>
  <c r="H44" i="1"/>
  <c r="J44" i="1"/>
  <c r="J45" i="1" s="1"/>
  <c r="I44" i="1"/>
  <c r="K44" i="1"/>
  <c r="K45" i="1" s="1"/>
  <c r="K5" i="1"/>
  <c r="AA5" i="1" l="1"/>
  <c r="AB5" i="1"/>
  <c r="X26" i="1"/>
  <c r="AB26" i="1" l="1"/>
  <c r="AA26" i="1"/>
  <c r="C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X65" i="1"/>
  <c r="W65" i="1"/>
  <c r="V40" i="1"/>
  <c r="V44" i="1" s="1"/>
  <c r="X40" i="1"/>
  <c r="W40" i="1"/>
  <c r="U40" i="1"/>
  <c r="U44" i="1" s="1"/>
  <c r="T40" i="1"/>
  <c r="T44" i="1" s="1"/>
  <c r="S40" i="1"/>
  <c r="S44" i="1" s="1"/>
  <c r="R40" i="1"/>
  <c r="R44" i="1" s="1"/>
  <c r="Q40" i="1"/>
  <c r="Q44" i="1" s="1"/>
  <c r="P40" i="1"/>
  <c r="O40" i="1"/>
  <c r="N40" i="1"/>
  <c r="M40" i="1"/>
  <c r="L40" i="1"/>
  <c r="P44" i="1"/>
  <c r="O44" i="1"/>
  <c r="N44" i="1"/>
  <c r="M44" i="1"/>
  <c r="L44" i="1"/>
  <c r="X44" i="1"/>
  <c r="X45" i="1" s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X39" i="1"/>
  <c r="W39" i="1"/>
  <c r="AB40" i="1" l="1"/>
  <c r="AA40" i="1"/>
  <c r="AA44" i="1"/>
  <c r="AB65" i="1"/>
  <c r="AA65" i="1"/>
  <c r="AB39" i="1"/>
  <c r="AA39" i="1"/>
  <c r="N45" i="1"/>
  <c r="P45" i="1"/>
  <c r="R45" i="1"/>
  <c r="T45" i="1"/>
  <c r="M45" i="1"/>
  <c r="O45" i="1"/>
  <c r="Q45" i="1"/>
  <c r="S45" i="1"/>
  <c r="U45" i="1"/>
  <c r="L45" i="1"/>
  <c r="V45" i="1"/>
  <c r="W44" i="1"/>
  <c r="W45" i="1" s="1"/>
  <c r="AA45" i="1" l="1"/>
  <c r="AB45" i="1"/>
  <c r="AB44" i="1"/>
  <c r="X24" i="1"/>
  <c r="X11" i="1"/>
  <c r="V11" i="1" l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W11" i="1"/>
  <c r="AA11" i="1" l="1"/>
  <c r="AB11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C8" i="1"/>
  <c r="D8" i="1"/>
  <c r="E8" i="1"/>
  <c r="F8" i="1"/>
  <c r="G8" i="1"/>
  <c r="H8" i="1"/>
  <c r="J8" i="1"/>
  <c r="K8" i="1"/>
  <c r="L8" i="1"/>
  <c r="M8" i="1"/>
  <c r="N8" i="1"/>
  <c r="O8" i="1"/>
  <c r="P8" i="1"/>
  <c r="Q8" i="1"/>
  <c r="R8" i="1"/>
  <c r="S8" i="1"/>
  <c r="T8" i="1"/>
  <c r="U8" i="1"/>
  <c r="V8" i="1"/>
  <c r="AA24" i="1" l="1"/>
  <c r="AB24" i="1"/>
  <c r="V62" i="1"/>
  <c r="AB62" i="1" l="1"/>
  <c r="AA62" i="1"/>
  <c r="W8" i="1"/>
  <c r="X8" i="1"/>
  <c r="AA8" i="1" l="1"/>
  <c r="AB8" i="1"/>
  <c r="AP4" i="1"/>
  <c r="AO4" i="1"/>
</calcChain>
</file>

<file path=xl/sharedStrings.xml><?xml version="1.0" encoding="utf-8"?>
<sst xmlns="http://schemas.openxmlformats.org/spreadsheetml/2006/main" count="144" uniqueCount="121">
  <si>
    <t>Setor de Regulação e Avaliação em Saúde - Unidade de Monitoramento e Avaliação</t>
  </si>
  <si>
    <t>PRODUÇÃO ASSISTENCIAL</t>
  </si>
  <si>
    <t>FONTE</t>
  </si>
  <si>
    <t>Número de novos pacientes registrados</t>
  </si>
  <si>
    <t>SAME</t>
  </si>
  <si>
    <t>Ambulatório</t>
  </si>
  <si>
    <t>Atendimento de Urgência
Pronto Socorro</t>
  </si>
  <si>
    <t>Atendimentos Maternidade</t>
  </si>
  <si>
    <t>Pronto Socorro</t>
  </si>
  <si>
    <t>Atendimentos Adulto e Pediatria</t>
  </si>
  <si>
    <t xml:space="preserve">Total Pronto Socorro  </t>
  </si>
  <si>
    <t xml:space="preserve">Número de Internações Hospitalares </t>
  </si>
  <si>
    <t>Número de pacientes-dia</t>
  </si>
  <si>
    <t>*TabWin</t>
  </si>
  <si>
    <t>Leitos</t>
  </si>
  <si>
    <t>Capacidade instalada (leitos cadastrados no CNES)</t>
  </si>
  <si>
    <t>**CNES</t>
  </si>
  <si>
    <t xml:space="preserve">Número de cirurgias </t>
  </si>
  <si>
    <t>Sem hospitalização</t>
  </si>
  <si>
    <t xml:space="preserve">Com hospitalização </t>
  </si>
  <si>
    <t xml:space="preserve">Total Cirurgias  </t>
  </si>
  <si>
    <t>Número de altas hospitalares</t>
  </si>
  <si>
    <t>Número de óbitos na Instituição</t>
  </si>
  <si>
    <t>Medula óssea (TMO)</t>
  </si>
  <si>
    <t>Hepático (Fígado)</t>
  </si>
  <si>
    <t>Cardíaco</t>
  </si>
  <si>
    <t>Pulmão</t>
  </si>
  <si>
    <t>Renal</t>
  </si>
  <si>
    <t>Pâncreas</t>
  </si>
  <si>
    <t>Córnea</t>
  </si>
  <si>
    <t xml:space="preserve">Número de partos </t>
  </si>
  <si>
    <t>Baixo risco (Cesária)</t>
  </si>
  <si>
    <t>GONEO</t>
  </si>
  <si>
    <t>Baixo risco (Normal)</t>
  </si>
  <si>
    <t>Alto risco (Cesária)</t>
  </si>
  <si>
    <t>Alto risco (Normal)</t>
  </si>
  <si>
    <t>Principais Propedêuticas</t>
  </si>
  <si>
    <t>Exames Laboratoriais</t>
  </si>
  <si>
    <t>Endoscopia Digestiva</t>
  </si>
  <si>
    <t>Colonoscopia</t>
  </si>
  <si>
    <t>Broncoscopia</t>
  </si>
  <si>
    <t>Tomografia computadorizada</t>
  </si>
  <si>
    <t>Ressonância Magnética</t>
  </si>
  <si>
    <t>Ultrassonografia</t>
  </si>
  <si>
    <t>Raio X</t>
  </si>
  <si>
    <t>Hemodinâmica</t>
  </si>
  <si>
    <t xml:space="preserve">Medicina nuclear </t>
  </si>
  <si>
    <t>Neurologia</t>
  </si>
  <si>
    <t>Cardiologia</t>
  </si>
  <si>
    <t>Anatomia Patológica</t>
  </si>
  <si>
    <t>Terapias</t>
  </si>
  <si>
    <t>Terapia renal substitutiva (Hemodiálise)</t>
  </si>
  <si>
    <t>Quimioterapia</t>
  </si>
  <si>
    <t xml:space="preserve">Tempo médio de permanência por leito clínico (dias) </t>
  </si>
  <si>
    <t>Tempo médio de permanência por leito cirúrgico (dias)</t>
  </si>
  <si>
    <t>Tempo médio de permanência por leito de UTI</t>
  </si>
  <si>
    <t>Tempo médio de permanência Geral</t>
  </si>
  <si>
    <t>Taxa de Ocupação Hospitalar</t>
  </si>
  <si>
    <t>Taxa de Suspensão de Cirurgia</t>
  </si>
  <si>
    <t>Taxa de Infecção em cirurgia limpa</t>
  </si>
  <si>
    <t>Taxa de mortalidade</t>
  </si>
  <si>
    <t>Total Partos</t>
  </si>
  <si>
    <t>Total Transplantes</t>
  </si>
  <si>
    <t xml:space="preserve">Total Propedêuticas </t>
  </si>
  <si>
    <t>Total de Terapias</t>
  </si>
  <si>
    <t>Consultas</t>
  </si>
  <si>
    <t>Total de consultas</t>
  </si>
  <si>
    <t>Taxa de parto cesáreo (média do ano)</t>
  </si>
  <si>
    <t>Total Acumulado</t>
  </si>
  <si>
    <t>Média por Ano</t>
  </si>
  <si>
    <t>INTERNAÇÕES</t>
  </si>
  <si>
    <t>ÓBITO</t>
  </si>
  <si>
    <t>TAXA DE MORTALIDADE</t>
  </si>
  <si>
    <t>Até 2007:
CCI;
Unidade de Oftalmologia, Otorrinolaringologia e Cirurgia Buco-Maxilo-Facial
A partir de 2008:
Tabnet</t>
  </si>
  <si>
    <t>Unidade Multiprofissional e Reabilitação</t>
  </si>
  <si>
    <t>PACIENTE DIA</t>
  </si>
  <si>
    <t>CIRURGIAS ONCOLÓGICAS</t>
  </si>
  <si>
    <t>AVE</t>
  </si>
  <si>
    <t>TRATAMENTO DO MIOCARDIO</t>
  </si>
  <si>
    <t>CIRURGIAS HOSPITALARES</t>
  </si>
  <si>
    <t>Unidade de Cirurgia e Anestesia;
              Unidade de Cirurgia Especializada;
              Unidade de Gestão do Atendimento Ambulatorial;
              Unidade de Ginecologia, Obstetrícia e Neonatologia;
              Unidade de Oftalmologia, Otorrinolaringologia e Cirurgia Buco-Maxilo-Facial;
A partir de 2008 pelo Tabwin</t>
  </si>
  <si>
    <t>CIRURGIAS AMBULATORIAIS</t>
  </si>
  <si>
    <t>Centro de Telessaúde</t>
  </si>
  <si>
    <t>Produção</t>
  </si>
  <si>
    <t>Municípios Atendidos</t>
  </si>
  <si>
    <t>Teleconsultorias online e offline</t>
  </si>
  <si>
    <t>TELESAÚDE</t>
  </si>
  <si>
    <t>Eletrocardiograma</t>
  </si>
  <si>
    <t>Colangio</t>
  </si>
  <si>
    <t>Não era feito ainda</t>
  </si>
  <si>
    <t>Legenda:</t>
  </si>
  <si>
    <t>Cirurgias Oncológicas</t>
  </si>
  <si>
    <t>Tratamento Clínico Acidente Vascular Cerebral (AVC)</t>
  </si>
  <si>
    <t>Tratamento de Infarto Agudo do Miocárdio</t>
  </si>
  <si>
    <t>Até 2007:
GONEO
A partir de 2008:
Tabnet</t>
  </si>
  <si>
    <t>Dados não encontrados</t>
  </si>
  <si>
    <t>Não existe registro de Censo Institucional referente ao periodo anterior a 2008</t>
  </si>
  <si>
    <t>Dados processados pelo Tabnet apenas a partir de 2008</t>
  </si>
  <si>
    <t>SETOR DE REGULAÇÃO E AVALIAÇÃO EM SAÚDE - UNIDADE DE MONITORAMENTO E AVALIAÇÃO</t>
  </si>
  <si>
    <t>Procedimentos  Anexo São Geraldo</t>
  </si>
  <si>
    <t>Multiprofissional</t>
  </si>
  <si>
    <t>Médica</t>
  </si>
  <si>
    <t>Atendimento de Urgência -  Anexo São Geraldo</t>
  </si>
  <si>
    <t>A Unidade não forneceu o dado solicitado</t>
  </si>
  <si>
    <t>CLÍNICA MÉDICA</t>
  </si>
  <si>
    <t>FR</t>
  </si>
  <si>
    <t>MÉDIA</t>
  </si>
  <si>
    <t xml:space="preserve">DIÁRIAS </t>
  </si>
  <si>
    <t>ANO</t>
  </si>
  <si>
    <t>CÁLCULO MÉDIA DE PERMANÊNCIA PELO TABWIN</t>
  </si>
  <si>
    <t>GERAL</t>
  </si>
  <si>
    <t>CIRURGICA</t>
  </si>
  <si>
    <t>UTI</t>
  </si>
  <si>
    <t>PERMANENCIA</t>
  </si>
  <si>
    <t>A Unidade está aguardando o sistema do Hospital voltar a funcionar para fornecer o dado</t>
  </si>
  <si>
    <t xml:space="preserve">Número de Transplantes </t>
  </si>
  <si>
    <t>Unidade de Oftalmologia, Otorrinolaringologia e Cirurgia Buco-Maxilo-Facial</t>
  </si>
  <si>
    <t>Medicina Laboratorial;
IAG;
Radiologia;
GONEO;</t>
  </si>
  <si>
    <t xml:space="preserve"> Hemodiálise;
Quimioterapia: Tabnet a partir de 2008</t>
  </si>
  <si>
    <t>Até 2017 Censo do Netterm/2018 a 2020 Relatório de Censo das Unidades/ 2021 AGHU pelo Power BI</t>
  </si>
  <si>
    <t>Censo Hospitalar; 2018* Tabwin por falta de dados do Censo do Netterm
2021 AGHU pelo Power 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</si>
</sst>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%"/>
    <numFmt numFmtId="165" formatCode="_(&quot;R$&quot;* #,##0.00_);_(&quot;R$&quot;* \(#,##0.00\);_(&quot;R$&quot;* &quot;-&quot;??_);_(@_)"/>
    <numFmt numFmtId="166" formatCode="#,##0.00&quot; &quot;;&quot;(&quot;#,##0.00&quot;)&quot;;&quot;-&quot;#&quot; &quot;;&quot; &quot;@&quot; &quot;"/>
    <numFmt numFmtId="167" formatCode="#,##0.0"/>
    <numFmt numFmtId="168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1"/>
    </font>
    <font>
      <sz val="11"/>
      <color indexed="8"/>
      <name val="Calibri"/>
      <family val="2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4"/>
      <color rgb="FFFF0000"/>
      <name val="Times New Roman"/>
      <family val="1"/>
    </font>
    <font>
      <sz val="14"/>
      <color theme="0"/>
      <name val="Times New Roman"/>
      <family val="1"/>
    </font>
    <font>
      <sz val="14"/>
      <name val="Times New Roman"/>
      <family val="1"/>
    </font>
    <font>
      <sz val="14"/>
      <color rgb="FFCCFFFF"/>
      <name val="Times New Roman"/>
      <family val="1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b/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ashed">
        <color theme="2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ashed">
        <color theme="0" tint="-0.24994659260841701"/>
      </top>
      <bottom/>
      <diagonal/>
    </border>
    <border>
      <left style="thin">
        <color indexed="64"/>
      </left>
      <right/>
      <top style="dashed">
        <color theme="0" tint="-0.24994659260841701"/>
      </top>
      <bottom/>
      <diagonal/>
    </border>
    <border>
      <left/>
      <right/>
      <top style="dashed">
        <color theme="2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ashed">
        <color theme="0" tint="-0.24994659260841701"/>
      </top>
      <bottom style="dashed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 style="thin">
        <color indexed="64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ashed">
        <color theme="0" tint="-0.24994659260841701"/>
      </top>
      <bottom/>
      <diagonal/>
    </border>
    <border>
      <left/>
      <right style="thin">
        <color indexed="64"/>
      </right>
      <top style="dashed">
        <color theme="2" tint="-0.24994659260841701"/>
      </top>
      <bottom style="thin">
        <color indexed="64"/>
      </bottom>
      <diagonal/>
    </border>
    <border>
      <left/>
      <right/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dashed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dashed">
        <color theme="2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9" fillId="0" borderId="0"/>
    <xf numFmtId="165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166" fontId="11" fillId="0" borderId="0"/>
    <xf numFmtId="166" fontId="12" fillId="0" borderId="0" applyFont="0" applyBorder="0" applyProtection="0"/>
    <xf numFmtId="0" fontId="10" fillId="0" borderId="0"/>
    <xf numFmtId="0" fontId="1" fillId="0" borderId="0"/>
    <xf numFmtId="9" fontId="13" fillId="0" borderId="0" applyFont="0" applyFill="0" applyBorder="0" applyAlignment="0" applyProtection="0"/>
  </cellStyleXfs>
  <cellXfs count="225">
    <xf numFmtId="0" fontId="0" fillId="0" borderId="0" xfId="0"/>
    <xf numFmtId="0" fontId="2" fillId="0" borderId="0" xfId="0" applyFont="1" applyBorder="1" applyAlignment="1"/>
    <xf numFmtId="0" fontId="3" fillId="0" borderId="0" xfId="0" applyFont="1" applyFill="1" applyBorder="1" applyAlignment="1"/>
    <xf numFmtId="0" fontId="5" fillId="0" borderId="0" xfId="0" applyFont="1" applyFill="1"/>
    <xf numFmtId="0" fontId="6" fillId="0" borderId="0" xfId="0" applyFont="1"/>
    <xf numFmtId="0" fontId="5" fillId="0" borderId="0" xfId="0" applyFont="1"/>
    <xf numFmtId="0" fontId="7" fillId="0" borderId="0" xfId="0" applyFont="1"/>
    <xf numFmtId="0" fontId="8" fillId="0" borderId="0" xfId="0" applyFont="1"/>
    <xf numFmtId="0" fontId="4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Fill="1"/>
    <xf numFmtId="0" fontId="15" fillId="2" borderId="33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 vertical="center" wrapText="1"/>
    </xf>
    <xf numFmtId="0" fontId="16" fillId="2" borderId="35" xfId="0" applyFont="1" applyFill="1" applyBorder="1" applyAlignment="1">
      <alignment horizontal="center" vertical="center" wrapText="1"/>
    </xf>
    <xf numFmtId="0" fontId="17" fillId="0" borderId="0" xfId="0" applyFont="1" applyFill="1"/>
    <xf numFmtId="3" fontId="18" fillId="0" borderId="5" xfId="0" applyNumberFormat="1" applyFont="1" applyFill="1" applyBorder="1" applyAlignment="1">
      <alignment horizontal="center" vertical="center"/>
    </xf>
    <xf numFmtId="3" fontId="18" fillId="0" borderId="42" xfId="0" applyNumberFormat="1" applyFont="1" applyFill="1" applyBorder="1" applyAlignment="1">
      <alignment horizontal="center" vertical="center"/>
    </xf>
    <xf numFmtId="3" fontId="18" fillId="0" borderId="6" xfId="0" applyNumberFormat="1" applyFont="1" applyFill="1" applyBorder="1" applyAlignment="1">
      <alignment horizontal="center" vertical="center"/>
    </xf>
    <xf numFmtId="3" fontId="18" fillId="0" borderId="46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center" vertical="center"/>
    </xf>
    <xf numFmtId="3" fontId="16" fillId="0" borderId="6" xfId="0" applyNumberFormat="1" applyFont="1" applyFill="1" applyBorder="1" applyAlignment="1">
      <alignment horizontal="center" vertical="center"/>
    </xf>
    <xf numFmtId="3" fontId="17" fillId="0" borderId="0" xfId="0" applyNumberFormat="1" applyFont="1" applyFill="1"/>
    <xf numFmtId="3" fontId="5" fillId="0" borderId="0" xfId="0" applyNumberFormat="1" applyFont="1" applyFill="1"/>
    <xf numFmtId="0" fontId="18" fillId="0" borderId="3" xfId="0" applyFont="1" applyFill="1" applyBorder="1" applyAlignment="1">
      <alignment vertical="center"/>
    </xf>
    <xf numFmtId="3" fontId="18" fillId="0" borderId="4" xfId="0" applyNumberFormat="1" applyFont="1" applyFill="1" applyBorder="1" applyAlignment="1">
      <alignment horizontal="center" vertical="center"/>
    </xf>
    <xf numFmtId="3" fontId="18" fillId="0" borderId="37" xfId="0" applyNumberFormat="1" applyFont="1" applyFill="1" applyBorder="1" applyAlignment="1">
      <alignment horizontal="center" vertical="center"/>
    </xf>
    <xf numFmtId="3" fontId="18" fillId="0" borderId="3" xfId="0" applyNumberFormat="1" applyFont="1" applyFill="1" applyBorder="1" applyAlignment="1">
      <alignment horizontal="center" vertical="center"/>
    </xf>
    <xf numFmtId="3" fontId="16" fillId="0" borderId="4" xfId="0" applyNumberFormat="1" applyFont="1" applyFill="1" applyBorder="1" applyAlignment="1">
      <alignment horizontal="center" vertical="center"/>
    </xf>
    <xf numFmtId="1" fontId="17" fillId="0" borderId="0" xfId="0" applyNumberFormat="1" applyFont="1" applyFill="1"/>
    <xf numFmtId="1" fontId="5" fillId="0" borderId="0" xfId="0" applyNumberFormat="1" applyFont="1" applyFill="1"/>
    <xf numFmtId="0" fontId="18" fillId="0" borderId="2" xfId="0" applyFont="1" applyFill="1" applyBorder="1" applyAlignment="1">
      <alignment horizontal="left" vertical="center"/>
    </xf>
    <xf numFmtId="3" fontId="18" fillId="0" borderId="21" xfId="0" applyNumberFormat="1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3" fontId="18" fillId="0" borderId="41" xfId="0" applyNumberFormat="1" applyFont="1" applyFill="1" applyBorder="1" applyAlignment="1">
      <alignment horizontal="center" vertical="center"/>
    </xf>
    <xf numFmtId="3" fontId="16" fillId="0" borderId="3" xfId="0" applyNumberFormat="1" applyFont="1" applyFill="1" applyBorder="1" applyAlignment="1">
      <alignment horizontal="center" vertical="center"/>
    </xf>
    <xf numFmtId="3" fontId="16" fillId="0" borderId="10" xfId="0" applyNumberFormat="1" applyFont="1" applyFill="1" applyBorder="1" applyAlignment="1">
      <alignment horizontal="center" vertical="center"/>
    </xf>
    <xf numFmtId="3" fontId="16" fillId="0" borderId="21" xfId="0" applyNumberFormat="1" applyFont="1" applyFill="1" applyBorder="1" applyAlignment="1">
      <alignment horizontal="center" vertical="center"/>
    </xf>
    <xf numFmtId="3" fontId="16" fillId="0" borderId="41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center"/>
    </xf>
    <xf numFmtId="3" fontId="18" fillId="0" borderId="12" xfId="0" applyNumberFormat="1" applyFont="1" applyFill="1" applyBorder="1" applyAlignment="1">
      <alignment horizontal="center" vertical="center"/>
    </xf>
    <xf numFmtId="3" fontId="19" fillId="7" borderId="12" xfId="0" applyNumberFormat="1" applyFont="1" applyFill="1" applyBorder="1" applyAlignment="1">
      <alignment horizontal="center" vertical="center"/>
    </xf>
    <xf numFmtId="3" fontId="18" fillId="0" borderId="11" xfId="0" applyNumberFormat="1" applyFont="1" applyFill="1" applyBorder="1" applyAlignment="1">
      <alignment horizontal="center" vertical="center"/>
    </xf>
    <xf numFmtId="3" fontId="18" fillId="0" borderId="43" xfId="0" applyNumberFormat="1" applyFont="1" applyFill="1" applyBorder="1" applyAlignment="1">
      <alignment horizontal="center" vertical="center"/>
    </xf>
    <xf numFmtId="3" fontId="16" fillId="0" borderId="12" xfId="0" applyNumberFormat="1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left" vertical="center"/>
    </xf>
    <xf numFmtId="3" fontId="18" fillId="0" borderId="15" xfId="0" applyNumberFormat="1" applyFont="1" applyFill="1" applyBorder="1" applyAlignment="1">
      <alignment horizontal="center" vertical="center"/>
    </xf>
    <xf numFmtId="3" fontId="19" fillId="7" borderId="15" xfId="0" applyNumberFormat="1" applyFont="1" applyFill="1" applyBorder="1" applyAlignment="1">
      <alignment horizontal="center" vertical="center"/>
    </xf>
    <xf numFmtId="3" fontId="18" fillId="0" borderId="14" xfId="0" applyNumberFormat="1" applyFont="1" applyFill="1" applyBorder="1" applyAlignment="1">
      <alignment horizontal="center" vertical="center"/>
    </xf>
    <xf numFmtId="3" fontId="18" fillId="0" borderId="44" xfId="0" applyNumberFormat="1" applyFont="1" applyFill="1" applyBorder="1" applyAlignment="1">
      <alignment horizontal="center" vertical="center"/>
    </xf>
    <xf numFmtId="3" fontId="16" fillId="0" borderId="15" xfId="0" applyNumberFormat="1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left" vertical="center"/>
    </xf>
    <xf numFmtId="3" fontId="16" fillId="0" borderId="45" xfId="0" applyNumberFormat="1" applyFont="1" applyFill="1" applyBorder="1" applyAlignment="1">
      <alignment horizontal="center" vertical="center"/>
    </xf>
    <xf numFmtId="3" fontId="16" fillId="0" borderId="27" xfId="0" applyNumberFormat="1" applyFont="1" applyFill="1" applyBorder="1" applyAlignment="1">
      <alignment horizontal="center" vertical="center"/>
    </xf>
    <xf numFmtId="3" fontId="16" fillId="0" borderId="18" xfId="0" applyNumberFormat="1" applyFont="1" applyFill="1" applyBorder="1" applyAlignment="1">
      <alignment horizontal="center" vertical="center"/>
    </xf>
    <xf numFmtId="3" fontId="7" fillId="0" borderId="15" xfId="0" applyNumberFormat="1" applyFont="1" applyFill="1" applyBorder="1" applyAlignment="1">
      <alignment horizontal="center" vertical="center"/>
    </xf>
    <xf numFmtId="3" fontId="7" fillId="0" borderId="25" xfId="0" applyNumberFormat="1" applyFont="1" applyFill="1" applyBorder="1" applyAlignment="1">
      <alignment horizontal="center" vertical="center"/>
    </xf>
    <xf numFmtId="3" fontId="7" fillId="0" borderId="12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37" xfId="0" applyNumberFormat="1" applyFont="1" applyFill="1" applyBorder="1" applyAlignment="1">
      <alignment horizontal="center" vertical="center"/>
    </xf>
    <xf numFmtId="3" fontId="18" fillId="0" borderId="2" xfId="0" applyNumberFormat="1" applyFont="1" applyFill="1" applyBorder="1" applyAlignment="1">
      <alignment horizontal="center" vertical="center"/>
    </xf>
    <xf numFmtId="3" fontId="18" fillId="0" borderId="17" xfId="0" applyNumberFormat="1" applyFont="1" applyFill="1" applyBorder="1" applyAlignment="1">
      <alignment horizontal="center" vertical="center"/>
    </xf>
    <xf numFmtId="0" fontId="20" fillId="0" borderId="0" xfId="0" applyFont="1" applyFill="1"/>
    <xf numFmtId="0" fontId="18" fillId="0" borderId="10" xfId="0" applyFont="1" applyFill="1" applyBorder="1" applyAlignment="1">
      <alignment horizontal="left" vertical="center"/>
    </xf>
    <xf numFmtId="3" fontId="20" fillId="0" borderId="0" xfId="0" applyNumberFormat="1" applyFont="1" applyFill="1"/>
    <xf numFmtId="0" fontId="18" fillId="0" borderId="17" xfId="0" applyFont="1" applyFill="1" applyBorder="1" applyAlignment="1">
      <alignment horizontal="left" vertical="center"/>
    </xf>
    <xf numFmtId="4" fontId="18" fillId="6" borderId="4" xfId="0" applyNumberFormat="1" applyFont="1" applyFill="1" applyBorder="1" applyAlignment="1">
      <alignment horizontal="center" vertical="center"/>
    </xf>
    <xf numFmtId="167" fontId="18" fillId="0" borderId="4" xfId="0" applyNumberFormat="1" applyFont="1" applyFill="1" applyBorder="1" applyAlignment="1">
      <alignment horizontal="center" vertical="center"/>
    </xf>
    <xf numFmtId="167" fontId="16" fillId="0" borderId="22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vertical="center"/>
    </xf>
    <xf numFmtId="10" fontId="18" fillId="6" borderId="4" xfId="1" applyNumberFormat="1" applyFont="1" applyFill="1" applyBorder="1" applyAlignment="1">
      <alignment horizontal="center" vertical="center"/>
    </xf>
    <xf numFmtId="10" fontId="18" fillId="0" borderId="4" xfId="1" applyNumberFormat="1" applyFont="1" applyFill="1" applyBorder="1" applyAlignment="1">
      <alignment horizontal="center" vertical="center"/>
    </xf>
    <xf numFmtId="10" fontId="18" fillId="0" borderId="2" xfId="1" applyNumberFormat="1" applyFont="1" applyFill="1" applyBorder="1" applyAlignment="1">
      <alignment horizontal="center" vertical="center"/>
    </xf>
    <xf numFmtId="10" fontId="16" fillId="0" borderId="4" xfId="1" applyNumberFormat="1" applyFont="1" applyFill="1" applyBorder="1" applyAlignment="1">
      <alignment horizontal="center" vertical="center"/>
    </xf>
    <xf numFmtId="0" fontId="18" fillId="0" borderId="23" xfId="0" applyFont="1" applyFill="1" applyBorder="1" applyAlignment="1">
      <alignment horizontal="left" vertical="center"/>
    </xf>
    <xf numFmtId="3" fontId="16" fillId="0" borderId="24" xfId="0" applyNumberFormat="1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0" xfId="0" applyFont="1" applyFill="1"/>
    <xf numFmtId="3" fontId="16" fillId="0" borderId="25" xfId="0" applyNumberFormat="1" applyFont="1" applyFill="1" applyBorder="1" applyAlignment="1">
      <alignment horizontal="center" vertical="center"/>
    </xf>
    <xf numFmtId="0" fontId="16" fillId="0" borderId="14" xfId="0" applyFont="1" applyFill="1" applyBorder="1" applyAlignment="1">
      <alignment horizontal="left" vertical="center"/>
    </xf>
    <xf numFmtId="164" fontId="18" fillId="0" borderId="30" xfId="1" applyNumberFormat="1" applyFont="1" applyFill="1" applyBorder="1" applyAlignment="1">
      <alignment horizontal="center" vertical="center"/>
    </xf>
    <xf numFmtId="164" fontId="18" fillId="0" borderId="28" xfId="1" applyNumberFormat="1" applyFont="1" applyFill="1" applyBorder="1" applyAlignment="1">
      <alignment horizontal="center" vertical="center"/>
    </xf>
    <xf numFmtId="164" fontId="16" fillId="0" borderId="28" xfId="1" applyNumberFormat="1" applyFont="1" applyFill="1" applyBorder="1" applyAlignment="1">
      <alignment horizontal="center" vertical="center"/>
    </xf>
    <xf numFmtId="164" fontId="16" fillId="0" borderId="29" xfId="1" applyNumberFormat="1" applyFont="1" applyFill="1" applyBorder="1" applyAlignment="1">
      <alignment horizontal="center" vertical="center"/>
    </xf>
    <xf numFmtId="0" fontId="21" fillId="0" borderId="0" xfId="0" applyFont="1" applyFill="1" applyBorder="1"/>
    <xf numFmtId="164" fontId="14" fillId="0" borderId="18" xfId="1" applyNumberFormat="1" applyFont="1" applyFill="1" applyBorder="1" applyAlignment="1">
      <alignment horizontal="center" vertical="center"/>
    </xf>
    <xf numFmtId="164" fontId="16" fillId="0" borderId="18" xfId="1" applyNumberFormat="1" applyFont="1" applyFill="1" applyBorder="1" applyAlignment="1">
      <alignment horizontal="center" vertical="center"/>
    </xf>
    <xf numFmtId="164" fontId="16" fillId="0" borderId="26" xfId="1" applyNumberFormat="1" applyFont="1" applyFill="1" applyBorder="1" applyAlignment="1">
      <alignment horizontal="center" vertical="center"/>
    </xf>
    <xf numFmtId="3" fontId="18" fillId="5" borderId="5" xfId="0" applyNumberFormat="1" applyFont="1" applyFill="1" applyBorder="1" applyAlignment="1">
      <alignment horizontal="center" vertical="center"/>
    </xf>
    <xf numFmtId="3" fontId="18" fillId="6" borderId="46" xfId="0" applyNumberFormat="1" applyFont="1" applyFill="1" applyBorder="1" applyAlignment="1">
      <alignment horizontal="center" vertical="center"/>
    </xf>
    <xf numFmtId="3" fontId="18" fillId="0" borderId="46" xfId="0" applyNumberFormat="1" applyFont="1" applyBorder="1" applyAlignment="1">
      <alignment horizontal="center" vertical="center"/>
    </xf>
    <xf numFmtId="10" fontId="16" fillId="0" borderId="5" xfId="1" applyNumberFormat="1" applyFont="1" applyBorder="1" applyAlignment="1">
      <alignment horizontal="center" vertical="center"/>
    </xf>
    <xf numFmtId="10" fontId="16" fillId="0" borderId="6" xfId="1" applyNumberFormat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18" fillId="0" borderId="43" xfId="0" applyNumberFormat="1" applyFont="1" applyBorder="1" applyAlignment="1">
      <alignment horizontal="center" vertical="center"/>
    </xf>
    <xf numFmtId="3" fontId="16" fillId="0" borderId="12" xfId="0" applyNumberFormat="1" applyFont="1" applyBorder="1" applyAlignment="1">
      <alignment horizontal="center" vertical="center"/>
    </xf>
    <xf numFmtId="3" fontId="16" fillId="0" borderId="24" xfId="0" applyNumberFormat="1" applyFont="1" applyBorder="1" applyAlignment="1">
      <alignment horizontal="center" vertical="center"/>
    </xf>
    <xf numFmtId="3" fontId="18" fillId="0" borderId="44" xfId="0" applyNumberFormat="1" applyFont="1" applyBorder="1" applyAlignment="1">
      <alignment horizontal="center" vertical="center"/>
    </xf>
    <xf numFmtId="3" fontId="16" fillId="0" borderId="15" xfId="0" applyNumberFormat="1" applyFont="1" applyBorder="1" applyAlignment="1">
      <alignment horizontal="center" vertical="center"/>
    </xf>
    <xf numFmtId="3" fontId="16" fillId="0" borderId="25" xfId="0" applyNumberFormat="1" applyFont="1" applyBorder="1" applyAlignment="1">
      <alignment horizontal="center" vertical="center"/>
    </xf>
    <xf numFmtId="3" fontId="18" fillId="4" borderId="15" xfId="0" applyNumberFormat="1" applyFont="1" applyFill="1" applyBorder="1" applyAlignment="1">
      <alignment horizontal="center" vertical="center"/>
    </xf>
    <xf numFmtId="3" fontId="16" fillId="0" borderId="44" xfId="0" applyNumberFormat="1" applyFont="1" applyBorder="1" applyAlignment="1">
      <alignment horizontal="center" vertical="center"/>
    </xf>
    <xf numFmtId="3" fontId="16" fillId="0" borderId="47" xfId="0" applyNumberFormat="1" applyFont="1" applyBorder="1" applyAlignment="1">
      <alignment horizontal="center" vertical="center"/>
    </xf>
    <xf numFmtId="3" fontId="16" fillId="0" borderId="29" xfId="0" applyNumberFormat="1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left" vertical="center"/>
    </xf>
    <xf numFmtId="3" fontId="18" fillId="0" borderId="47" xfId="0" applyNumberFormat="1" applyFont="1" applyBorder="1" applyAlignment="1">
      <alignment horizontal="center" vertical="center"/>
    </xf>
    <xf numFmtId="3" fontId="16" fillId="0" borderId="30" xfId="0" applyNumberFormat="1" applyFont="1" applyBorder="1" applyAlignment="1">
      <alignment horizontal="center" vertical="center"/>
    </xf>
    <xf numFmtId="3" fontId="16" fillId="0" borderId="31" xfId="0" applyNumberFormat="1" applyFont="1" applyBorder="1" applyAlignment="1">
      <alignment horizontal="center" vertical="center"/>
    </xf>
    <xf numFmtId="0" fontId="16" fillId="0" borderId="32" xfId="0" applyFont="1" applyFill="1" applyBorder="1" applyAlignment="1">
      <alignment vertical="center"/>
    </xf>
    <xf numFmtId="3" fontId="16" fillId="0" borderId="48" xfId="0" applyNumberFormat="1" applyFont="1" applyFill="1" applyBorder="1" applyAlignment="1">
      <alignment horizontal="center" vertical="center"/>
    </xf>
    <xf numFmtId="3" fontId="16" fillId="0" borderId="28" xfId="0" applyNumberFormat="1" applyFont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/>
    </xf>
    <xf numFmtId="0" fontId="21" fillId="0" borderId="0" xfId="0" applyFont="1" applyBorder="1"/>
    <xf numFmtId="10" fontId="18" fillId="0" borderId="5" xfId="1" applyNumberFormat="1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vertical="center"/>
    </xf>
    <xf numFmtId="3" fontId="18" fillId="0" borderId="12" xfId="0" applyNumberFormat="1" applyFont="1" applyBorder="1" applyAlignment="1">
      <alignment horizontal="center" vertical="center"/>
    </xf>
    <xf numFmtId="3" fontId="18" fillId="0" borderId="24" xfId="0" applyNumberFormat="1" applyFont="1" applyBorder="1" applyAlignment="1">
      <alignment horizontal="center" vertical="center"/>
    </xf>
    <xf numFmtId="3" fontId="18" fillId="0" borderId="25" xfId="0" applyNumberFormat="1" applyFont="1" applyFill="1" applyBorder="1" applyAlignment="1">
      <alignment horizontal="center" vertical="center"/>
    </xf>
    <xf numFmtId="3" fontId="18" fillId="0" borderId="15" xfId="0" applyNumberFormat="1" applyFont="1" applyBorder="1" applyAlignment="1">
      <alignment horizontal="center" vertical="center"/>
    </xf>
    <xf numFmtId="0" fontId="18" fillId="0" borderId="0" xfId="0" applyFont="1" applyFill="1"/>
    <xf numFmtId="0" fontId="6" fillId="3" borderId="0" xfId="0" applyFont="1" applyFill="1" applyBorder="1"/>
    <xf numFmtId="0" fontId="16" fillId="0" borderId="17" xfId="0" applyFont="1" applyFill="1" applyBorder="1" applyAlignment="1">
      <alignment vertical="center"/>
    </xf>
    <xf numFmtId="3" fontId="16" fillId="0" borderId="46" xfId="0" applyNumberFormat="1" applyFont="1" applyFill="1" applyBorder="1" applyAlignment="1">
      <alignment horizontal="center" vertical="center"/>
    </xf>
    <xf numFmtId="3" fontId="18" fillId="0" borderId="10" xfId="0" applyNumberFormat="1" applyFont="1" applyFill="1" applyBorder="1" applyAlignment="1">
      <alignment horizontal="center" vertical="center"/>
    </xf>
    <xf numFmtId="3" fontId="18" fillId="7" borderId="15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8" fillId="5" borderId="8" xfId="0" applyFont="1" applyFill="1" applyBorder="1" applyAlignment="1">
      <alignment vertical="center" wrapText="1"/>
    </xf>
    <xf numFmtId="0" fontId="18" fillId="5" borderId="11" xfId="0" applyFont="1" applyFill="1" applyBorder="1" applyAlignment="1">
      <alignment horizontal="left" vertical="center"/>
    </xf>
    <xf numFmtId="3" fontId="18" fillId="5" borderId="12" xfId="0" applyNumberFormat="1" applyFont="1" applyFill="1" applyBorder="1" applyAlignment="1">
      <alignment horizontal="center" vertical="center"/>
    </xf>
    <xf numFmtId="3" fontId="16" fillId="5" borderId="12" xfId="0" applyNumberFormat="1" applyFont="1" applyFill="1" applyBorder="1" applyAlignment="1">
      <alignment horizontal="center" vertical="center"/>
    </xf>
    <xf numFmtId="0" fontId="18" fillId="0" borderId="49" xfId="0" applyFont="1" applyFill="1" applyBorder="1" applyAlignment="1">
      <alignment horizontal="left" vertical="center"/>
    </xf>
    <xf numFmtId="3" fontId="18" fillId="0" borderId="50" xfId="0" applyNumberFormat="1" applyFont="1" applyFill="1" applyBorder="1" applyAlignment="1">
      <alignment horizontal="center" vertical="center"/>
    </xf>
    <xf numFmtId="3" fontId="16" fillId="0" borderId="50" xfId="0" applyNumberFormat="1" applyFont="1" applyFill="1" applyBorder="1" applyAlignment="1">
      <alignment horizontal="center" vertical="center"/>
    </xf>
    <xf numFmtId="3" fontId="18" fillId="0" borderId="5" xfId="0" applyNumberFormat="1" applyFont="1" applyBorder="1" applyAlignment="1">
      <alignment horizontal="center" vertical="center"/>
    </xf>
    <xf numFmtId="3" fontId="16" fillId="0" borderId="18" xfId="0" applyNumberFormat="1" applyFont="1" applyBorder="1" applyAlignment="1">
      <alignment horizontal="center" vertical="center"/>
    </xf>
    <xf numFmtId="0" fontId="8" fillId="4" borderId="0" xfId="0" applyFont="1" applyFill="1"/>
    <xf numFmtId="0" fontId="8" fillId="6" borderId="0" xfId="0" applyFont="1" applyFill="1"/>
    <xf numFmtId="0" fontId="8" fillId="5" borderId="0" xfId="0" applyFont="1" applyFill="1"/>
    <xf numFmtId="0" fontId="8" fillId="7" borderId="0" xfId="0" applyFont="1" applyFill="1"/>
    <xf numFmtId="168" fontId="0" fillId="0" borderId="0" xfId="0" applyNumberFormat="1"/>
    <xf numFmtId="3" fontId="18" fillId="8" borderId="15" xfId="0" applyNumberFormat="1" applyFont="1" applyFill="1" applyBorder="1" applyAlignment="1">
      <alignment horizontal="center" vertical="center"/>
    </xf>
    <xf numFmtId="0" fontId="8" fillId="8" borderId="0" xfId="0" applyFont="1" applyFill="1"/>
    <xf numFmtId="3" fontId="7" fillId="8" borderId="15" xfId="0" applyNumberFormat="1" applyFont="1" applyFill="1" applyBorder="1" applyAlignment="1">
      <alignment horizontal="center" vertical="center"/>
    </xf>
    <xf numFmtId="0" fontId="8" fillId="9" borderId="0" xfId="0" applyFont="1" applyFill="1"/>
    <xf numFmtId="3" fontId="18" fillId="4" borderId="50" xfId="0" applyNumberFormat="1" applyFont="1" applyFill="1" applyBorder="1" applyAlignment="1">
      <alignment horizontal="center" vertical="center"/>
    </xf>
    <xf numFmtId="3" fontId="18" fillId="4" borderId="18" xfId="0" applyNumberFormat="1" applyFont="1" applyFill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7" borderId="21" xfId="0" applyNumberFormat="1" applyFont="1" applyFill="1" applyBorder="1" applyAlignment="1">
      <alignment horizontal="center" vertical="center"/>
    </xf>
    <xf numFmtId="3" fontId="18" fillId="7" borderId="3" xfId="0" applyNumberFormat="1" applyFont="1" applyFill="1" applyBorder="1" applyAlignment="1">
      <alignment horizontal="center" vertical="center"/>
    </xf>
    <xf numFmtId="3" fontId="16" fillId="7" borderId="45" xfId="0" applyNumberFormat="1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left" vertical="center"/>
    </xf>
    <xf numFmtId="10" fontId="18" fillId="7" borderId="5" xfId="1" applyNumberFormat="1" applyFont="1" applyFill="1" applyBorder="1" applyAlignment="1">
      <alignment horizontal="center" vertical="center"/>
    </xf>
    <xf numFmtId="3" fontId="1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/>
    </xf>
    <xf numFmtId="3" fontId="18" fillId="0" borderId="21" xfId="0" applyNumberFormat="1" applyFont="1" applyFill="1" applyBorder="1" applyAlignment="1">
      <alignment horizontal="center" vertical="center"/>
    </xf>
    <xf numFmtId="3" fontId="18" fillId="0" borderId="50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6" fillId="2" borderId="34" xfId="0" applyFont="1" applyFill="1" applyBorder="1" applyAlignment="1">
      <alignment horizontal="center" vertical="center"/>
    </xf>
    <xf numFmtId="3" fontId="18" fillId="0" borderId="7" xfId="0" applyNumberFormat="1" applyFont="1" applyFill="1" applyBorder="1" applyAlignment="1">
      <alignment vertical="center"/>
    </xf>
    <xf numFmtId="3" fontId="18" fillId="0" borderId="13" xfId="0" applyNumberFormat="1" applyFont="1" applyFill="1" applyBorder="1" applyAlignment="1">
      <alignment vertical="center"/>
    </xf>
    <xf numFmtId="3" fontId="18" fillId="0" borderId="16" xfId="0" applyNumberFormat="1" applyFont="1" applyFill="1" applyBorder="1" applyAlignment="1">
      <alignment vertical="center"/>
    </xf>
    <xf numFmtId="3" fontId="18" fillId="0" borderId="21" xfId="0" applyNumberFormat="1" applyFont="1" applyFill="1" applyBorder="1" applyAlignment="1">
      <alignment horizontal="center" vertical="center"/>
    </xf>
    <xf numFmtId="167" fontId="18" fillId="0" borderId="21" xfId="0" applyNumberFormat="1" applyFont="1" applyFill="1" applyBorder="1" applyAlignment="1">
      <alignment horizontal="center" vertical="center"/>
    </xf>
    <xf numFmtId="10" fontId="18" fillId="0" borderId="21" xfId="1" applyNumberFormat="1" applyFont="1" applyFill="1" applyBorder="1" applyAlignment="1">
      <alignment horizontal="center" vertical="center"/>
    </xf>
    <xf numFmtId="3" fontId="16" fillId="0" borderId="53" xfId="0" applyNumberFormat="1" applyFont="1" applyFill="1" applyBorder="1" applyAlignment="1">
      <alignment horizontal="center" vertical="center"/>
    </xf>
    <xf numFmtId="3" fontId="18" fillId="0" borderId="6" xfId="0" applyNumberFormat="1" applyFont="1" applyBorder="1" applyAlignment="1">
      <alignment horizontal="center" vertical="center"/>
    </xf>
    <xf numFmtId="3" fontId="18" fillId="5" borderId="24" xfId="0" applyNumberFormat="1" applyFont="1" applyFill="1" applyBorder="1" applyAlignment="1">
      <alignment horizontal="center" vertical="center"/>
    </xf>
    <xf numFmtId="3" fontId="14" fillId="0" borderId="18" xfId="0" applyNumberFormat="1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vertical="center" wrapText="1"/>
    </xf>
    <xf numFmtId="3" fontId="18" fillId="0" borderId="9" xfId="0" applyNumberFormat="1" applyFont="1" applyFill="1" applyBorder="1" applyAlignment="1">
      <alignment vertical="center"/>
    </xf>
    <xf numFmtId="3" fontId="18" fillId="0" borderId="9" xfId="0" applyNumberFormat="1" applyFont="1" applyFill="1" applyBorder="1" applyAlignment="1">
      <alignment vertical="center"/>
    </xf>
    <xf numFmtId="0" fontId="0" fillId="10" borderId="0" xfId="0" applyFill="1"/>
    <xf numFmtId="168" fontId="0" fillId="10" borderId="0" xfId="0" applyNumberFormat="1" applyFill="1"/>
    <xf numFmtId="3" fontId="18" fillId="9" borderId="30" xfId="0" applyNumberFormat="1" applyFont="1" applyFill="1" applyBorder="1" applyAlignment="1">
      <alignment horizontal="center" vertical="center" wrapText="1"/>
    </xf>
    <xf numFmtId="3" fontId="18" fillId="9" borderId="28" xfId="0" applyNumberFormat="1" applyFont="1" applyFill="1" applyBorder="1" applyAlignment="1">
      <alignment horizontal="center" vertical="center" wrapText="1"/>
    </xf>
    <xf numFmtId="3" fontId="18" fillId="9" borderId="5" xfId="0" applyNumberFormat="1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left" vertical="center" wrapText="1"/>
    </xf>
    <xf numFmtId="3" fontId="18" fillId="0" borderId="9" xfId="0" applyNumberFormat="1" applyFont="1" applyFill="1" applyBorder="1" applyAlignment="1">
      <alignment vertical="center" wrapText="1"/>
    </xf>
    <xf numFmtId="3" fontId="18" fillId="0" borderId="9" xfId="0" applyNumberFormat="1" applyFont="1" applyFill="1" applyBorder="1" applyAlignment="1">
      <alignment vertical="center"/>
    </xf>
    <xf numFmtId="0" fontId="18" fillId="0" borderId="20" xfId="0" applyFont="1" applyFill="1" applyBorder="1" applyAlignment="1">
      <alignment horizontal="left" vertical="center" wrapText="1"/>
    </xf>
    <xf numFmtId="3" fontId="18" fillId="0" borderId="13" xfId="0" applyNumberFormat="1" applyFont="1" applyFill="1" applyBorder="1" applyAlignment="1">
      <alignment vertical="center" wrapText="1"/>
    </xf>
    <xf numFmtId="3" fontId="18" fillId="0" borderId="16" xfId="0" applyNumberFormat="1" applyFont="1" applyFill="1" applyBorder="1" applyAlignment="1">
      <alignment vertical="center"/>
    </xf>
    <xf numFmtId="3" fontId="18" fillId="0" borderId="7" xfId="0" applyNumberFormat="1" applyFont="1" applyFill="1" applyBorder="1" applyAlignment="1">
      <alignment vertical="center"/>
    </xf>
    <xf numFmtId="0" fontId="18" fillId="0" borderId="19" xfId="0" applyFont="1" applyFill="1" applyBorder="1" applyAlignment="1">
      <alignment horizontal="center" vertical="center" wrapText="1"/>
    </xf>
    <xf numFmtId="0" fontId="18" fillId="0" borderId="8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3" fontId="18" fillId="0" borderId="16" xfId="0" applyNumberFormat="1" applyFont="1" applyFill="1" applyBorder="1" applyAlignment="1">
      <alignment vertical="center" wrapText="1"/>
    </xf>
    <xf numFmtId="3" fontId="18" fillId="0" borderId="21" xfId="0" applyNumberFormat="1" applyFont="1" applyFill="1" applyBorder="1" applyAlignment="1">
      <alignment horizontal="center" vertical="center"/>
    </xf>
    <xf numFmtId="3" fontId="18" fillId="0" borderId="50" xfId="0" applyNumberFormat="1" applyFont="1" applyFill="1" applyBorder="1" applyAlignment="1">
      <alignment horizontal="center" vertical="center"/>
    </xf>
    <xf numFmtId="3" fontId="18" fillId="0" borderId="30" xfId="0" applyNumberFormat="1" applyFont="1" applyFill="1" applyBorder="1" applyAlignment="1">
      <alignment horizontal="center" vertical="center"/>
    </xf>
    <xf numFmtId="3" fontId="18" fillId="0" borderId="51" xfId="0" applyNumberFormat="1" applyFont="1" applyFill="1" applyBorder="1" applyAlignment="1">
      <alignment horizontal="center" vertical="center"/>
    </xf>
    <xf numFmtId="3" fontId="18" fillId="7" borderId="21" xfId="0" applyNumberFormat="1" applyFont="1" applyFill="1" applyBorder="1" applyAlignment="1">
      <alignment horizontal="center" vertical="center"/>
    </xf>
    <xf numFmtId="3" fontId="18" fillId="7" borderId="50" xfId="0" applyNumberFormat="1" applyFont="1" applyFill="1" applyBorder="1" applyAlignment="1">
      <alignment horizontal="center" vertical="center"/>
    </xf>
    <xf numFmtId="3" fontId="18" fillId="7" borderId="30" xfId="0" applyNumberFormat="1" applyFont="1" applyFill="1" applyBorder="1" applyAlignment="1">
      <alignment horizontal="center" vertical="center"/>
    </xf>
    <xf numFmtId="3" fontId="18" fillId="7" borderId="51" xfId="0" applyNumberFormat="1" applyFont="1" applyFill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8" fillId="0" borderId="1" xfId="0" applyFont="1" applyFill="1" applyBorder="1" applyAlignment="1">
      <alignment vertical="center" wrapText="1"/>
    </xf>
    <xf numFmtId="0" fontId="18" fillId="0" borderId="2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left" vertical="center"/>
    </xf>
    <xf numFmtId="3" fontId="18" fillId="0" borderId="7" xfId="0" applyNumberFormat="1" applyFont="1" applyFill="1" applyBorder="1" applyAlignment="1">
      <alignment vertical="center" wrapText="1"/>
    </xf>
    <xf numFmtId="3" fontId="18" fillId="0" borderId="13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8" fillId="0" borderId="8" xfId="0" applyFont="1" applyFill="1" applyBorder="1" applyAlignment="1">
      <alignment horizontal="left" vertical="center"/>
    </xf>
    <xf numFmtId="0" fontId="18" fillId="0" borderId="10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vertical="center"/>
    </xf>
    <xf numFmtId="0" fontId="18" fillId="0" borderId="2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 wrapText="1"/>
    </xf>
    <xf numFmtId="3" fontId="18" fillId="8" borderId="37" xfId="0" applyNumberFormat="1" applyFont="1" applyFill="1" applyBorder="1" applyAlignment="1">
      <alignment horizontal="center" vertical="center"/>
    </xf>
    <xf numFmtId="3" fontId="18" fillId="8" borderId="3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14" fillId="2" borderId="39" xfId="0" applyFont="1" applyFill="1" applyBorder="1" applyAlignment="1">
      <alignment horizontal="center" vertical="center" wrapText="1"/>
    </xf>
    <xf numFmtId="0" fontId="14" fillId="2" borderId="4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/>
    </xf>
    <xf numFmtId="0" fontId="18" fillId="0" borderId="17" xfId="0" applyFont="1" applyFill="1" applyBorder="1" applyAlignment="1">
      <alignment horizontal="left" vertical="center"/>
    </xf>
    <xf numFmtId="0" fontId="18" fillId="0" borderId="19" xfId="0" applyFont="1" applyFill="1" applyBorder="1" applyAlignment="1">
      <alignment horizontal="left" vertical="center"/>
    </xf>
    <xf numFmtId="0" fontId="22" fillId="0" borderId="52" xfId="0" applyFont="1" applyBorder="1" applyAlignment="1">
      <alignment horizontal="center" vertical="center"/>
    </xf>
  </cellXfs>
  <cellStyles count="11">
    <cellStyle name="Excel Built-in Comma" xfId="7" xr:uid="{00000000-0005-0000-0000-000000000000}"/>
    <cellStyle name="Excel_BuiltIn_Comma" xfId="6" xr:uid="{00000000-0005-0000-0000-000001000000}"/>
    <cellStyle name="Moeda 2" xfId="3" xr:uid="{00000000-0005-0000-0000-000002000000}"/>
    <cellStyle name="Normal" xfId="0" builtinId="0"/>
    <cellStyle name="Normal 2" xfId="2" xr:uid="{00000000-0005-0000-0000-000004000000}"/>
    <cellStyle name="Normal 2 2" xfId="4" xr:uid="{00000000-0005-0000-0000-000005000000}"/>
    <cellStyle name="Normal 2 3" xfId="9" xr:uid="{00000000-0005-0000-0000-000006000000}"/>
    <cellStyle name="Normal 3" xfId="8" xr:uid="{00000000-0005-0000-0000-000007000000}"/>
    <cellStyle name="Porcentagem" xfId="1" builtinId="5"/>
    <cellStyle name="Porcentagem 2" xfId="10" xr:uid="{00000000-0005-0000-0000-000009000000}"/>
    <cellStyle name="Vírgula 2" xfId="5" xr:uid="{00000000-0005-0000-0000-00000A000000}"/>
  </cellStyles>
  <dxfs count="0"/>
  <tableStyles count="0" defaultTableStyle="TableStyleMedium2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0</xdr:row>
      <xdr:rowOff>104775</xdr:rowOff>
    </xdr:from>
    <xdr:to>
      <xdr:col>1</xdr:col>
      <xdr:colOff>2314575</xdr:colOff>
      <xdr:row>1</xdr:row>
      <xdr:rowOff>308882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2" y="104775"/>
          <a:ext cx="3752848" cy="8613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1</xdr:row>
      <xdr:rowOff>312965</xdr:rowOff>
    </xdr:from>
    <xdr:to>
      <xdr:col>2</xdr:col>
      <xdr:colOff>217714</xdr:colOff>
      <xdr:row>2</xdr:row>
      <xdr:rowOff>830035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66108"/>
          <a:ext cx="5606143" cy="884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180975</xdr:rowOff>
    </xdr:from>
    <xdr:to>
      <xdr:col>24</xdr:col>
      <xdr:colOff>390525</xdr:colOff>
      <xdr:row>9</xdr:row>
      <xdr:rowOff>57150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80975"/>
          <a:ext cx="15001875" cy="159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28575</xdr:rowOff>
    </xdr:from>
    <xdr:to>
      <xdr:col>24</xdr:col>
      <xdr:colOff>485775</xdr:colOff>
      <xdr:row>20</xdr:row>
      <xdr:rowOff>152400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14575"/>
          <a:ext cx="15116175" cy="164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23</xdr:row>
      <xdr:rowOff>85725</xdr:rowOff>
    </xdr:from>
    <xdr:to>
      <xdr:col>25</xdr:col>
      <xdr:colOff>9525</xdr:colOff>
      <xdr:row>32</xdr:row>
      <xdr:rowOff>171450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67225"/>
          <a:ext cx="15249525" cy="1800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40822</xdr:colOff>
      <xdr:row>38</xdr:row>
      <xdr:rowOff>27215</xdr:rowOff>
    </xdr:from>
    <xdr:to>
      <xdr:col>16</xdr:col>
      <xdr:colOff>564697</xdr:colOff>
      <xdr:row>66</xdr:row>
      <xdr:rowOff>151040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2" y="11647715"/>
          <a:ext cx="10321018" cy="5457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70</xdr:row>
      <xdr:rowOff>47625</xdr:rowOff>
    </xdr:from>
    <xdr:to>
      <xdr:col>12</xdr:col>
      <xdr:colOff>209550</xdr:colOff>
      <xdr:row>90</xdr:row>
      <xdr:rowOff>38100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764125"/>
          <a:ext cx="7639050" cy="3800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94</xdr:row>
      <xdr:rowOff>71438</xdr:rowOff>
    </xdr:from>
    <xdr:to>
      <xdr:col>16</xdr:col>
      <xdr:colOff>495300</xdr:colOff>
      <xdr:row>118</xdr:row>
      <xdr:rowOff>52388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2359938"/>
          <a:ext cx="10401300" cy="4552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190500</xdr:colOff>
      <xdr:row>123</xdr:row>
      <xdr:rowOff>0</xdr:rowOff>
    </xdr:from>
    <xdr:to>
      <xdr:col>14</xdr:col>
      <xdr:colOff>361950</xdr:colOff>
      <xdr:row>144</xdr:row>
      <xdr:rowOff>9525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7813000"/>
          <a:ext cx="8172450" cy="401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148</xdr:row>
      <xdr:rowOff>47625</xdr:rowOff>
    </xdr:from>
    <xdr:to>
      <xdr:col>14</xdr:col>
      <xdr:colOff>571500</xdr:colOff>
      <xdr:row>176</xdr:row>
      <xdr:rowOff>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23125"/>
          <a:ext cx="923925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95250</xdr:colOff>
      <xdr:row>179</xdr:row>
      <xdr:rowOff>95250</xdr:rowOff>
    </xdr:from>
    <xdr:to>
      <xdr:col>19</xdr:col>
      <xdr:colOff>28575</xdr:colOff>
      <xdr:row>197</xdr:row>
      <xdr:rowOff>133350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38576250"/>
          <a:ext cx="10791825" cy="346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53</xdr:col>
      <xdr:colOff>340179</xdr:colOff>
      <xdr:row>14</xdr:row>
      <xdr:rowOff>140883</xdr:rowOff>
    </xdr:from>
    <xdr:to>
      <xdr:col>66</xdr:col>
      <xdr:colOff>453985</xdr:colOff>
      <xdr:row>20</xdr:row>
      <xdr:rowOff>99805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93215" y="2807883"/>
          <a:ext cx="8073984" cy="11019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190500</xdr:colOff>
      <xdr:row>15</xdr:row>
      <xdr:rowOff>61232</xdr:rowOff>
    </xdr:from>
    <xdr:to>
      <xdr:col>53</xdr:col>
      <xdr:colOff>214312</xdr:colOff>
      <xdr:row>20</xdr:row>
      <xdr:rowOff>64957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95679" y="2918732"/>
          <a:ext cx="7371669" cy="95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142875</xdr:colOff>
      <xdr:row>7</xdr:row>
      <xdr:rowOff>142875</xdr:rowOff>
    </xdr:from>
    <xdr:to>
      <xdr:col>58</xdr:col>
      <xdr:colOff>495300</xdr:colOff>
      <xdr:row>14</xdr:row>
      <xdr:rowOff>57150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0" y="1476375"/>
          <a:ext cx="10877550" cy="1247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119063</xdr:colOff>
      <xdr:row>22</xdr:row>
      <xdr:rowOff>71438</xdr:rowOff>
    </xdr:from>
    <xdr:to>
      <xdr:col>56</xdr:col>
      <xdr:colOff>95250</xdr:colOff>
      <xdr:row>28</xdr:row>
      <xdr:rowOff>66149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03188" y="4262438"/>
          <a:ext cx="9263062" cy="11377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56</xdr:col>
      <xdr:colOff>152400</xdr:colOff>
      <xdr:row>21</xdr:row>
      <xdr:rowOff>114300</xdr:rowOff>
    </xdr:from>
    <xdr:to>
      <xdr:col>76</xdr:col>
      <xdr:colOff>257175</xdr:colOff>
      <xdr:row>28</xdr:row>
      <xdr:rowOff>180975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00" y="4114800"/>
          <a:ext cx="12296775" cy="1400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190500</xdr:colOff>
      <xdr:row>0</xdr:row>
      <xdr:rowOff>0</xdr:rowOff>
    </xdr:from>
    <xdr:to>
      <xdr:col>57</xdr:col>
      <xdr:colOff>466725</xdr:colOff>
      <xdr:row>7</xdr:row>
      <xdr:rowOff>47625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42091" y="0"/>
          <a:ext cx="9974407" cy="1381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57</xdr:col>
      <xdr:colOff>595312</xdr:colOff>
      <xdr:row>0</xdr:row>
      <xdr:rowOff>23812</xdr:rowOff>
    </xdr:from>
    <xdr:to>
      <xdr:col>75</xdr:col>
      <xdr:colOff>347662</xdr:colOff>
      <xdr:row>7</xdr:row>
      <xdr:rowOff>128587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85437" y="23812"/>
          <a:ext cx="10896600" cy="1438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78"/>
  <sheetViews>
    <sheetView showGridLines="0" tabSelected="1" topLeftCell="A3" zoomScale="70" zoomScaleNormal="70" workbookViewId="0">
      <pane xSplit="2" ySplit="2" topLeftCell="L5" activePane="bottomRight" state="frozen"/>
      <selection activeCell="A3" sqref="A3"/>
      <selection pane="topRight" activeCell="C3" sqref="C3"/>
      <selection pane="bottomLeft" activeCell="A4" sqref="A4"/>
      <selection pane="bottomRight" activeCell="Y20" sqref="Y20"/>
    </sheetView>
  </sheetViews>
  <sheetFormatPr defaultRowHeight="18.75"/>
  <cols>
    <col min="1" max="1" width="21.28515625" style="7" customWidth="1"/>
    <col min="2" max="2" width="59.5703125" style="7" customWidth="1"/>
    <col min="3" max="25" width="12.140625" style="9" customWidth="1"/>
    <col min="26" max="26" width="12.140625" style="9" hidden="1" customWidth="1"/>
    <col min="27" max="27" width="17.28515625" style="9" customWidth="1"/>
    <col min="28" max="28" width="13.28515625" style="7" customWidth="1"/>
    <col min="29" max="29" width="91.42578125" style="7" customWidth="1"/>
    <col min="30" max="30" width="30.42578125" style="10" customWidth="1"/>
    <col min="31" max="39" width="9.140625" style="10"/>
    <col min="40" max="40" width="10.5703125" style="10" bestFit="1" customWidth="1"/>
    <col min="41" max="41" width="9.140625" style="10"/>
    <col min="42" max="42" width="9.140625" style="10" customWidth="1"/>
    <col min="43" max="43" width="9.140625" style="3"/>
    <col min="44" max="44" width="9.140625" style="4"/>
    <col min="45" max="45" width="9.140625" style="6"/>
    <col min="46" max="49" width="9.140625" style="4"/>
    <col min="50" max="16384" width="9.140625" style="7"/>
  </cols>
  <sheetData>
    <row r="1" spans="1:52" ht="51.75" customHeight="1">
      <c r="C1" s="1" t="s">
        <v>0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X1" s="6"/>
      <c r="AY1" s="6"/>
      <c r="AZ1" s="6"/>
    </row>
    <row r="2" spans="1:52" ht="28.5" customHeight="1">
      <c r="A2" s="218"/>
      <c r="B2" s="218"/>
      <c r="C2" s="218"/>
      <c r="D2" s="218"/>
      <c r="E2" s="218"/>
      <c r="F2" s="218"/>
      <c r="G2" s="218"/>
      <c r="H2" s="218"/>
      <c r="I2" s="21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160"/>
      <c r="Z2" s="160"/>
      <c r="AX2" s="6"/>
      <c r="AY2" s="6"/>
      <c r="AZ2" s="6"/>
    </row>
    <row r="3" spans="1:52" ht="68.25" customHeight="1" thickBot="1">
      <c r="A3" s="8"/>
      <c r="B3" s="8"/>
      <c r="C3" s="8"/>
      <c r="D3" s="224" t="s">
        <v>98</v>
      </c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8"/>
      <c r="U3" s="8"/>
      <c r="V3" s="8"/>
      <c r="W3" s="8"/>
      <c r="X3" s="8"/>
      <c r="Y3" s="160"/>
      <c r="Z3" s="160"/>
      <c r="AX3" s="6"/>
      <c r="AY3" s="6"/>
      <c r="AZ3" s="6"/>
    </row>
    <row r="4" spans="1:52" ht="36.75" customHeight="1" thickBot="1">
      <c r="A4" s="219" t="s">
        <v>1</v>
      </c>
      <c r="B4" s="220"/>
      <c r="C4" s="11">
        <v>1999</v>
      </c>
      <c r="D4" s="11">
        <v>2000</v>
      </c>
      <c r="E4" s="11">
        <v>2001</v>
      </c>
      <c r="F4" s="11">
        <v>2002</v>
      </c>
      <c r="G4" s="11">
        <v>2003</v>
      </c>
      <c r="H4" s="11">
        <v>2004</v>
      </c>
      <c r="I4" s="11">
        <v>2005</v>
      </c>
      <c r="J4" s="11">
        <v>2006</v>
      </c>
      <c r="K4" s="11">
        <v>2007</v>
      </c>
      <c r="L4" s="11">
        <v>2008</v>
      </c>
      <c r="M4" s="11">
        <v>2009</v>
      </c>
      <c r="N4" s="11">
        <v>2010</v>
      </c>
      <c r="O4" s="11">
        <v>2011</v>
      </c>
      <c r="P4" s="11">
        <v>2012</v>
      </c>
      <c r="Q4" s="11">
        <v>2013</v>
      </c>
      <c r="R4" s="11">
        <v>2014</v>
      </c>
      <c r="S4" s="11">
        <v>2015</v>
      </c>
      <c r="T4" s="11">
        <v>2016</v>
      </c>
      <c r="U4" s="11">
        <v>2017</v>
      </c>
      <c r="V4" s="11">
        <v>2018</v>
      </c>
      <c r="W4" s="11">
        <v>2019</v>
      </c>
      <c r="X4" s="11">
        <v>2020</v>
      </c>
      <c r="Y4" s="11">
        <v>2021</v>
      </c>
      <c r="Z4" s="11">
        <v>2022</v>
      </c>
      <c r="AA4" s="12" t="s">
        <v>68</v>
      </c>
      <c r="AB4" s="13" t="s">
        <v>69</v>
      </c>
      <c r="AC4" s="161" t="s">
        <v>2</v>
      </c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 t="e">
        <f>#REF!</f>
        <v>#REF!</v>
      </c>
      <c r="AP4" s="14" t="e">
        <f>#REF!</f>
        <v>#REF!</v>
      </c>
      <c r="AS4" s="5"/>
      <c r="AT4" s="5"/>
      <c r="AU4" s="5"/>
      <c r="AX4" s="6"/>
      <c r="AY4" s="6"/>
      <c r="AZ4" s="6"/>
    </row>
    <row r="5" spans="1:52" ht="25.5" customHeight="1">
      <c r="A5" s="221" t="s">
        <v>3</v>
      </c>
      <c r="B5" s="222"/>
      <c r="C5" s="15">
        <v>34415</v>
      </c>
      <c r="D5" s="15">
        <v>36354</v>
      </c>
      <c r="E5" s="15">
        <v>24021</v>
      </c>
      <c r="F5" s="15">
        <v>36248</v>
      </c>
      <c r="G5" s="15">
        <v>35079</v>
      </c>
      <c r="H5" s="15">
        <v>34375</v>
      </c>
      <c r="I5" s="15">
        <v>34274</v>
      </c>
      <c r="J5" s="15">
        <v>31644</v>
      </c>
      <c r="K5" s="15">
        <f>26355+1663</f>
        <v>28018</v>
      </c>
      <c r="L5" s="15">
        <v>31441</v>
      </c>
      <c r="M5" s="15">
        <v>29664</v>
      </c>
      <c r="N5" s="15">
        <v>26699</v>
      </c>
      <c r="O5" s="15">
        <v>23770</v>
      </c>
      <c r="P5" s="15">
        <v>24824</v>
      </c>
      <c r="Q5" s="15">
        <v>25920</v>
      </c>
      <c r="R5" s="15">
        <v>26877</v>
      </c>
      <c r="S5" s="15">
        <v>13529</v>
      </c>
      <c r="T5" s="16">
        <v>23716</v>
      </c>
      <c r="U5" s="17">
        <v>26621</v>
      </c>
      <c r="V5" s="16">
        <v>25789</v>
      </c>
      <c r="W5" s="18">
        <v>23166</v>
      </c>
      <c r="X5" s="15">
        <v>10812</v>
      </c>
      <c r="Y5" s="15">
        <v>16399</v>
      </c>
      <c r="Z5" s="15"/>
      <c r="AA5" s="19">
        <f>SUM(C5:Z5)</f>
        <v>623655</v>
      </c>
      <c r="AB5" s="20">
        <f>AVERAGE(C5:Z5)</f>
        <v>27115.434782608696</v>
      </c>
      <c r="AC5" s="162" t="s">
        <v>4</v>
      </c>
      <c r="AD5" s="14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2"/>
      <c r="AS5" s="5"/>
      <c r="AT5" s="5"/>
      <c r="AU5" s="5"/>
      <c r="AX5" s="6"/>
      <c r="AY5" s="6"/>
      <c r="AZ5" s="6"/>
    </row>
    <row r="6" spans="1:52" ht="24" customHeight="1">
      <c r="A6" s="210" t="s">
        <v>65</v>
      </c>
      <c r="B6" s="23" t="s">
        <v>101</v>
      </c>
      <c r="C6" s="15">
        <v>260439</v>
      </c>
      <c r="D6" s="24">
        <v>252686</v>
      </c>
      <c r="E6" s="24">
        <v>223944</v>
      </c>
      <c r="F6" s="24">
        <v>276989</v>
      </c>
      <c r="G6" s="24">
        <v>287301</v>
      </c>
      <c r="H6" s="24">
        <v>306284</v>
      </c>
      <c r="I6" s="24">
        <v>319132</v>
      </c>
      <c r="J6" s="24">
        <v>308820</v>
      </c>
      <c r="K6" s="24">
        <v>298112</v>
      </c>
      <c r="L6" s="24">
        <v>314234</v>
      </c>
      <c r="M6" s="24">
        <v>281652</v>
      </c>
      <c r="N6" s="24">
        <v>265364</v>
      </c>
      <c r="O6" s="24">
        <v>279189</v>
      </c>
      <c r="P6" s="24">
        <v>291207</v>
      </c>
      <c r="Q6" s="24">
        <v>303422</v>
      </c>
      <c r="R6" s="24">
        <v>318026</v>
      </c>
      <c r="S6" s="24">
        <v>273546</v>
      </c>
      <c r="T6" s="24">
        <v>280012</v>
      </c>
      <c r="U6" s="25">
        <v>304579</v>
      </c>
      <c r="V6" s="24">
        <v>303872</v>
      </c>
      <c r="W6" s="26">
        <v>343882</v>
      </c>
      <c r="X6" s="24">
        <v>179511</v>
      </c>
      <c r="Y6" s="24">
        <v>250281</v>
      </c>
      <c r="Z6" s="24"/>
      <c r="AA6" s="19">
        <f t="shared" ref="AA6:AA16" si="0">SUM(C6:Z6)</f>
        <v>6522484</v>
      </c>
      <c r="AB6" s="20">
        <f t="shared" ref="AB6:AB16" si="1">AVERAGE(C6:Z6)</f>
        <v>283586.26086956525</v>
      </c>
      <c r="AC6" s="118" t="s">
        <v>5</v>
      </c>
      <c r="AD6" s="14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9"/>
      <c r="AS6" s="5"/>
      <c r="AT6" s="5"/>
      <c r="AU6" s="5"/>
      <c r="AX6" s="6"/>
      <c r="AY6" s="6"/>
      <c r="AZ6" s="6"/>
    </row>
    <row r="7" spans="1:52" ht="24" customHeight="1">
      <c r="A7" s="221"/>
      <c r="B7" s="30" t="s">
        <v>100</v>
      </c>
      <c r="C7" s="15">
        <v>68338</v>
      </c>
      <c r="D7" s="31">
        <v>74272</v>
      </c>
      <c r="E7" s="31">
        <v>62624</v>
      </c>
      <c r="F7" s="31">
        <v>73954</v>
      </c>
      <c r="G7" s="31">
        <v>69166</v>
      </c>
      <c r="H7" s="31">
        <v>92258</v>
      </c>
      <c r="I7" s="31">
        <v>119650</v>
      </c>
      <c r="J7" s="31">
        <v>124184</v>
      </c>
      <c r="K7" s="31">
        <v>139989</v>
      </c>
      <c r="L7" s="31">
        <v>151772</v>
      </c>
      <c r="M7" s="31">
        <v>180671</v>
      </c>
      <c r="N7" s="31">
        <v>54942</v>
      </c>
      <c r="O7" s="31">
        <v>39205</v>
      </c>
      <c r="P7" s="31">
        <v>45921</v>
      </c>
      <c r="Q7" s="31">
        <v>55612</v>
      </c>
      <c r="R7" s="31">
        <v>41840</v>
      </c>
      <c r="S7" s="31">
        <v>25679</v>
      </c>
      <c r="T7" s="32">
        <v>14295</v>
      </c>
      <c r="U7" s="31">
        <v>17617</v>
      </c>
      <c r="V7" s="31">
        <v>187069</v>
      </c>
      <c r="W7" s="33">
        <v>173346</v>
      </c>
      <c r="X7" s="24">
        <v>142319</v>
      </c>
      <c r="Y7" s="24">
        <v>177034</v>
      </c>
      <c r="Z7" s="24"/>
      <c r="AA7" s="19">
        <f t="shared" si="0"/>
        <v>2131757</v>
      </c>
      <c r="AB7" s="20">
        <f t="shared" si="1"/>
        <v>92685.086956521744</v>
      </c>
      <c r="AC7" s="163" t="s">
        <v>74</v>
      </c>
      <c r="AD7" s="14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9"/>
      <c r="AS7" s="5"/>
      <c r="AT7" s="5"/>
      <c r="AU7" s="5"/>
      <c r="AX7" s="6"/>
      <c r="AY7" s="6"/>
      <c r="AZ7" s="6"/>
    </row>
    <row r="8" spans="1:52" ht="24" customHeight="1">
      <c r="A8" s="210" t="s">
        <v>66</v>
      </c>
      <c r="B8" s="205"/>
      <c r="C8" s="34">
        <f t="shared" ref="C8:V8" si="2">SUM(C6:C7)</f>
        <v>328777</v>
      </c>
      <c r="D8" s="34">
        <f t="shared" si="2"/>
        <v>326958</v>
      </c>
      <c r="E8" s="34">
        <f t="shared" si="2"/>
        <v>286568</v>
      </c>
      <c r="F8" s="34">
        <f t="shared" si="2"/>
        <v>350943</v>
      </c>
      <c r="G8" s="34">
        <f t="shared" si="2"/>
        <v>356467</v>
      </c>
      <c r="H8" s="34">
        <f t="shared" si="2"/>
        <v>398542</v>
      </c>
      <c r="I8" s="34">
        <f t="shared" si="2"/>
        <v>438782</v>
      </c>
      <c r="J8" s="34">
        <f t="shared" si="2"/>
        <v>433004</v>
      </c>
      <c r="K8" s="34">
        <f t="shared" si="2"/>
        <v>438101</v>
      </c>
      <c r="L8" s="34">
        <f t="shared" si="2"/>
        <v>466006</v>
      </c>
      <c r="M8" s="34">
        <f t="shared" si="2"/>
        <v>462323</v>
      </c>
      <c r="N8" s="34">
        <f t="shared" si="2"/>
        <v>320306</v>
      </c>
      <c r="O8" s="34">
        <f t="shared" si="2"/>
        <v>318394</v>
      </c>
      <c r="P8" s="34">
        <f t="shared" si="2"/>
        <v>337128</v>
      </c>
      <c r="Q8" s="34">
        <f t="shared" si="2"/>
        <v>359034</v>
      </c>
      <c r="R8" s="34">
        <f t="shared" si="2"/>
        <v>359866</v>
      </c>
      <c r="S8" s="34">
        <f t="shared" si="2"/>
        <v>299225</v>
      </c>
      <c r="T8" s="35">
        <f t="shared" si="2"/>
        <v>294307</v>
      </c>
      <c r="U8" s="27">
        <f t="shared" si="2"/>
        <v>322196</v>
      </c>
      <c r="V8" s="36">
        <f t="shared" si="2"/>
        <v>490941</v>
      </c>
      <c r="W8" s="37">
        <f t="shared" ref="W8" si="3">SUM(W6:W7)</f>
        <v>517228</v>
      </c>
      <c r="X8" s="37">
        <f t="shared" ref="X8" si="4">SUM(X6:X7)</f>
        <v>321830</v>
      </c>
      <c r="Y8" s="37">
        <v>427315</v>
      </c>
      <c r="Z8" s="37"/>
      <c r="AA8" s="19">
        <f t="shared" si="0"/>
        <v>8654241</v>
      </c>
      <c r="AB8" s="20">
        <f t="shared" si="1"/>
        <v>376271.34782608697</v>
      </c>
      <c r="AC8" s="163"/>
      <c r="AD8" s="14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9"/>
      <c r="AS8" s="5"/>
      <c r="AT8" s="5"/>
      <c r="AU8" s="5"/>
      <c r="AX8" s="6"/>
      <c r="AY8" s="6"/>
      <c r="AZ8" s="6"/>
    </row>
    <row r="9" spans="1:52" ht="25.5" customHeight="1">
      <c r="A9" s="180" t="s">
        <v>6</v>
      </c>
      <c r="B9" s="38" t="s">
        <v>7</v>
      </c>
      <c r="C9" s="192">
        <f>3431+3113</f>
        <v>6544</v>
      </c>
      <c r="D9" s="192">
        <f>3707+5492</f>
        <v>9199</v>
      </c>
      <c r="E9" s="192">
        <f>3280+5349</f>
        <v>8629</v>
      </c>
      <c r="F9" s="192">
        <f>2162+5088</f>
        <v>7250</v>
      </c>
      <c r="G9" s="192">
        <f>2817+5787</f>
        <v>8604</v>
      </c>
      <c r="H9" s="39">
        <v>3572</v>
      </c>
      <c r="I9" s="39">
        <v>2407</v>
      </c>
      <c r="J9" s="40"/>
      <c r="K9" s="39">
        <v>2346</v>
      </c>
      <c r="L9" s="39">
        <v>2265</v>
      </c>
      <c r="M9" s="39">
        <v>2160</v>
      </c>
      <c r="N9" s="39">
        <v>1928</v>
      </c>
      <c r="O9" s="39">
        <v>2664</v>
      </c>
      <c r="P9" s="39">
        <v>1799</v>
      </c>
      <c r="Q9" s="39">
        <v>11898</v>
      </c>
      <c r="R9" s="39">
        <v>2553</v>
      </c>
      <c r="S9" s="39">
        <v>9891</v>
      </c>
      <c r="T9" s="41">
        <v>9177</v>
      </c>
      <c r="U9" s="39">
        <v>12045</v>
      </c>
      <c r="V9" s="39">
        <v>11336</v>
      </c>
      <c r="W9" s="42">
        <v>10481</v>
      </c>
      <c r="X9" s="39">
        <v>7947</v>
      </c>
      <c r="Y9" s="39">
        <v>7429</v>
      </c>
      <c r="Z9" s="39"/>
      <c r="AA9" s="19">
        <f t="shared" si="0"/>
        <v>142124</v>
      </c>
      <c r="AB9" s="20">
        <f t="shared" si="1"/>
        <v>6460.181818181818</v>
      </c>
      <c r="AC9" s="207" t="s">
        <v>8</v>
      </c>
      <c r="AD9" s="14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9"/>
      <c r="AS9" s="5"/>
      <c r="AT9" s="5"/>
      <c r="AU9" s="5"/>
      <c r="AX9" s="6"/>
      <c r="AY9" s="6"/>
      <c r="AZ9" s="6"/>
    </row>
    <row r="10" spans="1:52" ht="24.75" customHeight="1">
      <c r="A10" s="223"/>
      <c r="B10" s="44" t="s">
        <v>9</v>
      </c>
      <c r="C10" s="193"/>
      <c r="D10" s="193"/>
      <c r="E10" s="193"/>
      <c r="F10" s="193"/>
      <c r="G10" s="193"/>
      <c r="H10" s="45">
        <v>5164</v>
      </c>
      <c r="I10" s="45">
        <v>4282</v>
      </c>
      <c r="J10" s="46"/>
      <c r="K10" s="45">
        <v>24238</v>
      </c>
      <c r="L10" s="45">
        <v>29092</v>
      </c>
      <c r="M10" s="45">
        <v>21451</v>
      </c>
      <c r="N10" s="45">
        <v>17150</v>
      </c>
      <c r="O10" s="45">
        <v>14699</v>
      </c>
      <c r="P10" s="45">
        <v>14321</v>
      </c>
      <c r="Q10" s="45">
        <v>13060</v>
      </c>
      <c r="R10" s="45">
        <v>13589</v>
      </c>
      <c r="S10" s="45">
        <v>9974</v>
      </c>
      <c r="T10" s="47">
        <v>8969</v>
      </c>
      <c r="U10" s="45">
        <v>11372</v>
      </c>
      <c r="V10" s="45">
        <v>11435</v>
      </c>
      <c r="W10" s="48">
        <v>12049</v>
      </c>
      <c r="X10" s="45">
        <v>10134</v>
      </c>
      <c r="Y10" s="45">
        <v>10574</v>
      </c>
      <c r="Z10" s="45"/>
      <c r="AA10" s="19">
        <f t="shared" si="0"/>
        <v>231553</v>
      </c>
      <c r="AB10" s="20">
        <f t="shared" si="1"/>
        <v>13620.764705882353</v>
      </c>
      <c r="AC10" s="186"/>
      <c r="AD10" s="14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9"/>
      <c r="AS10" s="5"/>
      <c r="AT10" s="5"/>
      <c r="AU10" s="5"/>
      <c r="AX10" s="6"/>
      <c r="AY10" s="6"/>
      <c r="AZ10" s="6"/>
    </row>
    <row r="11" spans="1:52" ht="21" customHeight="1">
      <c r="A11" s="221"/>
      <c r="B11" s="50" t="s">
        <v>10</v>
      </c>
      <c r="C11" s="51">
        <f t="shared" ref="C11:V11" si="5">SUM(C9:C10)</f>
        <v>6544</v>
      </c>
      <c r="D11" s="51">
        <f t="shared" si="5"/>
        <v>9199</v>
      </c>
      <c r="E11" s="51">
        <f t="shared" si="5"/>
        <v>8629</v>
      </c>
      <c r="F11" s="51">
        <f t="shared" si="5"/>
        <v>7250</v>
      </c>
      <c r="G11" s="51">
        <f t="shared" si="5"/>
        <v>8604</v>
      </c>
      <c r="H11" s="51">
        <f t="shared" si="5"/>
        <v>8736</v>
      </c>
      <c r="I11" s="51">
        <f t="shared" si="5"/>
        <v>6689</v>
      </c>
      <c r="J11" s="153">
        <f t="shared" si="5"/>
        <v>0</v>
      </c>
      <c r="K11" s="51">
        <f t="shared" si="5"/>
        <v>26584</v>
      </c>
      <c r="L11" s="51">
        <f t="shared" si="5"/>
        <v>31357</v>
      </c>
      <c r="M11" s="51">
        <f t="shared" si="5"/>
        <v>23611</v>
      </c>
      <c r="N11" s="51">
        <f t="shared" si="5"/>
        <v>19078</v>
      </c>
      <c r="O11" s="51">
        <f t="shared" si="5"/>
        <v>17363</v>
      </c>
      <c r="P11" s="51">
        <f t="shared" si="5"/>
        <v>16120</v>
      </c>
      <c r="Q11" s="51">
        <f t="shared" si="5"/>
        <v>24958</v>
      </c>
      <c r="R11" s="51">
        <f t="shared" si="5"/>
        <v>16142</v>
      </c>
      <c r="S11" s="51">
        <f t="shared" si="5"/>
        <v>19865</v>
      </c>
      <c r="T11" s="52">
        <f t="shared" si="5"/>
        <v>18146</v>
      </c>
      <c r="U11" s="53">
        <f t="shared" si="5"/>
        <v>23417</v>
      </c>
      <c r="V11" s="53">
        <f t="shared" si="5"/>
        <v>22771</v>
      </c>
      <c r="W11" s="51">
        <f>SUM(W9:W10)</f>
        <v>22530</v>
      </c>
      <c r="X11" s="51">
        <f>SUM(X9:X10)</f>
        <v>18081</v>
      </c>
      <c r="Y11" s="51">
        <v>18003</v>
      </c>
      <c r="Z11" s="51"/>
      <c r="AA11" s="19">
        <f t="shared" si="0"/>
        <v>373677</v>
      </c>
      <c r="AB11" s="20">
        <f t="shared" si="1"/>
        <v>16246.826086956522</v>
      </c>
      <c r="AC11" s="187"/>
      <c r="AD11" s="14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2"/>
      <c r="AS11" s="5"/>
      <c r="AT11" s="5"/>
      <c r="AU11" s="5"/>
      <c r="AX11" s="6"/>
      <c r="AY11" s="6"/>
      <c r="AZ11" s="6"/>
    </row>
    <row r="12" spans="1:52" ht="27.75" customHeight="1">
      <c r="A12" s="208" t="s">
        <v>102</v>
      </c>
      <c r="B12" s="209"/>
      <c r="C12" s="15">
        <v>11580</v>
      </c>
      <c r="D12" s="15">
        <v>13124</v>
      </c>
      <c r="E12" s="15">
        <v>10605</v>
      </c>
      <c r="F12" s="15">
        <v>12095</v>
      </c>
      <c r="G12" s="15">
        <v>12945</v>
      </c>
      <c r="H12" s="15">
        <v>20455</v>
      </c>
      <c r="I12" s="15">
        <v>19611</v>
      </c>
      <c r="J12" s="15">
        <v>20807</v>
      </c>
      <c r="K12" s="15">
        <v>20249</v>
      </c>
      <c r="L12" s="15">
        <v>19920</v>
      </c>
      <c r="M12" s="15">
        <v>14288</v>
      </c>
      <c r="N12" s="146"/>
      <c r="O12" s="54">
        <v>18558</v>
      </c>
      <c r="P12" s="54">
        <v>16044</v>
      </c>
      <c r="Q12" s="55">
        <v>16532</v>
      </c>
      <c r="R12" s="56">
        <v>13456</v>
      </c>
      <c r="S12" s="216"/>
      <c r="T12" s="217"/>
      <c r="U12" s="24">
        <v>29017</v>
      </c>
      <c r="V12" s="26">
        <v>28198</v>
      </c>
      <c r="W12" s="24">
        <v>32411</v>
      </c>
      <c r="X12" s="24">
        <v>24725</v>
      </c>
      <c r="Y12" s="15">
        <v>25604</v>
      </c>
      <c r="Z12" s="15"/>
      <c r="AA12" s="19">
        <f t="shared" si="0"/>
        <v>380224</v>
      </c>
      <c r="AB12" s="20">
        <f t="shared" si="1"/>
        <v>19011.2</v>
      </c>
      <c r="AC12" s="164" t="s">
        <v>116</v>
      </c>
      <c r="AD12" s="14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2"/>
      <c r="AS12" s="5"/>
      <c r="AT12" s="5"/>
      <c r="AU12" s="5"/>
      <c r="AX12" s="6"/>
      <c r="AY12" s="6"/>
      <c r="AZ12" s="6"/>
    </row>
    <row r="13" spans="1:52" ht="24" customHeight="1">
      <c r="A13" s="210" t="s">
        <v>11</v>
      </c>
      <c r="B13" s="211"/>
      <c r="C13" s="57"/>
      <c r="D13" s="57"/>
      <c r="E13" s="57"/>
      <c r="F13" s="57"/>
      <c r="G13" s="57"/>
      <c r="H13" s="57"/>
      <c r="I13" s="57"/>
      <c r="J13" s="57"/>
      <c r="K13" s="57"/>
      <c r="L13" s="24">
        <v>18105</v>
      </c>
      <c r="M13" s="24">
        <v>18658</v>
      </c>
      <c r="N13" s="58">
        <v>18128</v>
      </c>
      <c r="O13" s="58">
        <v>17194</v>
      </c>
      <c r="P13" s="58">
        <v>16631</v>
      </c>
      <c r="Q13" s="59">
        <v>18738</v>
      </c>
      <c r="R13" s="58">
        <v>18362</v>
      </c>
      <c r="S13" s="58">
        <v>16857</v>
      </c>
      <c r="T13" s="60">
        <v>17857</v>
      </c>
      <c r="U13" s="58">
        <v>20711</v>
      </c>
      <c r="V13" s="26">
        <v>20159</v>
      </c>
      <c r="W13" s="26">
        <v>21105</v>
      </c>
      <c r="X13" s="24">
        <v>17796</v>
      </c>
      <c r="Y13" s="24">
        <v>16592</v>
      </c>
      <c r="Z13" s="24"/>
      <c r="AA13" s="19">
        <f t="shared" si="0"/>
        <v>256893</v>
      </c>
      <c r="AB13" s="20">
        <f t="shared" si="1"/>
        <v>18349.5</v>
      </c>
      <c r="AC13" s="118" t="s">
        <v>13</v>
      </c>
      <c r="AD13" s="14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2"/>
      <c r="AS13" s="5"/>
      <c r="AT13" s="5"/>
      <c r="AU13" s="5"/>
      <c r="AX13" s="6"/>
      <c r="AY13" s="6"/>
      <c r="AZ13" s="6"/>
    </row>
    <row r="14" spans="1:52" ht="25.5" customHeight="1">
      <c r="A14" s="204" t="s">
        <v>21</v>
      </c>
      <c r="B14" s="205"/>
      <c r="C14" s="57"/>
      <c r="D14" s="57"/>
      <c r="E14" s="57"/>
      <c r="F14" s="57"/>
      <c r="G14" s="57"/>
      <c r="H14" s="57"/>
      <c r="I14" s="57"/>
      <c r="J14" s="57"/>
      <c r="K14" s="57"/>
      <c r="L14" s="24">
        <v>16183</v>
      </c>
      <c r="M14" s="24">
        <v>16291</v>
      </c>
      <c r="N14" s="24">
        <v>15257</v>
      </c>
      <c r="O14" s="24">
        <v>12549</v>
      </c>
      <c r="P14" s="24">
        <v>12841</v>
      </c>
      <c r="Q14" s="24">
        <v>13166</v>
      </c>
      <c r="R14" s="24">
        <v>13407</v>
      </c>
      <c r="S14" s="24">
        <v>12271</v>
      </c>
      <c r="T14" s="61">
        <v>12310</v>
      </c>
      <c r="U14" s="24">
        <v>13215</v>
      </c>
      <c r="V14" s="18">
        <v>16551</v>
      </c>
      <c r="W14" s="18">
        <v>17790</v>
      </c>
      <c r="X14" s="24">
        <v>14538</v>
      </c>
      <c r="Y14" s="24">
        <v>11257</v>
      </c>
      <c r="Z14" s="24"/>
      <c r="AA14" s="19">
        <f t="shared" si="0"/>
        <v>197626</v>
      </c>
      <c r="AB14" s="20">
        <f t="shared" si="1"/>
        <v>14116.142857142857</v>
      </c>
      <c r="AC14" s="162" t="s">
        <v>119</v>
      </c>
      <c r="AD14" s="62"/>
      <c r="AE14" s="62"/>
      <c r="AF14" s="62"/>
      <c r="AG14" s="62"/>
      <c r="AH14" s="21"/>
      <c r="AI14" s="21"/>
      <c r="AJ14" s="21"/>
      <c r="AK14" s="21"/>
      <c r="AL14" s="21"/>
      <c r="AM14" s="21"/>
      <c r="AN14" s="21"/>
      <c r="AO14" s="21"/>
      <c r="AP14" s="21"/>
      <c r="AQ14" s="22"/>
      <c r="AS14" s="5"/>
      <c r="AT14" s="5"/>
      <c r="AU14" s="5"/>
      <c r="AX14" s="6"/>
      <c r="AY14" s="6"/>
      <c r="AZ14" s="6"/>
    </row>
    <row r="15" spans="1:52" ht="23.25" customHeight="1">
      <c r="A15" s="210" t="s">
        <v>12</v>
      </c>
      <c r="B15" s="211"/>
      <c r="C15" s="57"/>
      <c r="D15" s="57"/>
      <c r="E15" s="57"/>
      <c r="F15" s="57"/>
      <c r="G15" s="57"/>
      <c r="H15" s="57"/>
      <c r="I15" s="57"/>
      <c r="J15" s="57"/>
      <c r="K15" s="57"/>
      <c r="L15" s="24">
        <v>125448</v>
      </c>
      <c r="M15" s="24">
        <v>129590</v>
      </c>
      <c r="N15" s="24">
        <v>136419</v>
      </c>
      <c r="O15" s="24">
        <v>127567</v>
      </c>
      <c r="P15" s="24">
        <v>125752</v>
      </c>
      <c r="Q15" s="24">
        <v>136892</v>
      </c>
      <c r="R15" s="24">
        <v>127669</v>
      </c>
      <c r="S15" s="24">
        <v>121985</v>
      </c>
      <c r="T15" s="60">
        <v>127092</v>
      </c>
      <c r="U15" s="24">
        <v>148485</v>
      </c>
      <c r="V15" s="26">
        <v>140395</v>
      </c>
      <c r="W15" s="26">
        <v>134764</v>
      </c>
      <c r="X15" s="24">
        <v>114528</v>
      </c>
      <c r="Y15" s="24">
        <v>114185</v>
      </c>
      <c r="Z15" s="24"/>
      <c r="AA15" s="19">
        <f t="shared" si="0"/>
        <v>1810771</v>
      </c>
      <c r="AB15" s="20">
        <f t="shared" si="1"/>
        <v>129340.78571428571</v>
      </c>
      <c r="AC15" s="118" t="s">
        <v>13</v>
      </c>
      <c r="AD15" s="62"/>
      <c r="AE15" s="62"/>
      <c r="AF15" s="62"/>
      <c r="AG15" s="62"/>
      <c r="AH15" s="21"/>
      <c r="AI15" s="21"/>
      <c r="AJ15" s="21"/>
      <c r="AK15" s="21"/>
      <c r="AL15" s="21"/>
      <c r="AM15" s="21"/>
      <c r="AN15" s="21"/>
      <c r="AO15" s="21"/>
      <c r="AP15" s="21"/>
      <c r="AQ15" s="22"/>
      <c r="AS15" s="5"/>
      <c r="AT15" s="5"/>
      <c r="AU15" s="5"/>
      <c r="AX15" s="6"/>
      <c r="AY15" s="6"/>
      <c r="AZ15" s="6"/>
    </row>
    <row r="16" spans="1:52" ht="23.25" customHeight="1">
      <c r="A16" s="154" t="s">
        <v>14</v>
      </c>
      <c r="B16" s="63" t="s">
        <v>15</v>
      </c>
      <c r="C16" s="151"/>
      <c r="D16" s="151"/>
      <c r="E16" s="151"/>
      <c r="F16" s="151"/>
      <c r="G16" s="151"/>
      <c r="H16" s="151"/>
      <c r="I16" s="151"/>
      <c r="J16" s="151"/>
      <c r="K16" s="151"/>
      <c r="L16" s="152"/>
      <c r="M16" s="152"/>
      <c r="N16" s="152"/>
      <c r="O16" s="26">
        <v>499</v>
      </c>
      <c r="P16" s="26">
        <v>501</v>
      </c>
      <c r="Q16" s="26">
        <v>501</v>
      </c>
      <c r="R16" s="26">
        <v>504</v>
      </c>
      <c r="S16" s="26">
        <v>504</v>
      </c>
      <c r="T16" s="26">
        <v>504</v>
      </c>
      <c r="U16" s="26">
        <v>504</v>
      </c>
      <c r="V16" s="26">
        <v>504</v>
      </c>
      <c r="W16" s="33">
        <v>504</v>
      </c>
      <c r="X16" s="31">
        <v>465</v>
      </c>
      <c r="Y16" s="158">
        <v>465</v>
      </c>
      <c r="Z16" s="158"/>
      <c r="AA16" s="19">
        <f t="shared" si="0"/>
        <v>5455</v>
      </c>
      <c r="AB16" s="20">
        <f t="shared" si="1"/>
        <v>495.90909090909093</v>
      </c>
      <c r="AC16" s="163" t="s">
        <v>16</v>
      </c>
      <c r="AD16" s="62"/>
      <c r="AE16" s="62"/>
      <c r="AF16" s="62"/>
      <c r="AG16" s="62"/>
      <c r="AH16" s="64"/>
      <c r="AI16" s="64"/>
      <c r="AJ16" s="64"/>
      <c r="AK16" s="64"/>
      <c r="AL16" s="64"/>
      <c r="AM16" s="64"/>
      <c r="AN16" s="64"/>
      <c r="AO16" s="64"/>
      <c r="AP16" s="64"/>
      <c r="AQ16" s="22"/>
      <c r="AS16" s="5"/>
      <c r="AT16" s="5"/>
      <c r="AU16" s="5"/>
      <c r="AX16" s="6"/>
      <c r="AY16" s="6"/>
      <c r="AZ16" s="6"/>
    </row>
    <row r="17" spans="1:52" ht="23.25" customHeight="1">
      <c r="A17" s="214" t="s">
        <v>53</v>
      </c>
      <c r="B17" s="215"/>
      <c r="C17" s="66"/>
      <c r="D17" s="66"/>
      <c r="E17" s="66"/>
      <c r="F17" s="66"/>
      <c r="G17" s="66"/>
      <c r="H17" s="66"/>
      <c r="I17" s="66"/>
      <c r="J17" s="66"/>
      <c r="K17" s="66"/>
      <c r="L17" s="67">
        <f>'Registro TabNet'!AB6</f>
        <v>9.2012206751859615</v>
      </c>
      <c r="M17" s="67">
        <f>'Registro TabNet'!AC6</f>
        <v>8.9530569752034825</v>
      </c>
      <c r="N17" s="67">
        <f>'Registro TabNet'!AD6</f>
        <v>9.9659242337711778</v>
      </c>
      <c r="O17" s="67">
        <f>'Registro TabNet'!AE6</f>
        <v>9.2424690445389022</v>
      </c>
      <c r="P17" s="67">
        <f>'Registro TabNet'!AF6</f>
        <v>9.5577149587750299</v>
      </c>
      <c r="Q17" s="67">
        <f>'Registro TabNet'!AG6</f>
        <v>9.9556282960538276</v>
      </c>
      <c r="R17" s="67">
        <f>'Registro TabNet'!AH6</f>
        <v>9.2317855794639492</v>
      </c>
      <c r="S17" s="67">
        <f>'Registro TabNet'!AI6</f>
        <v>9.333138969873664</v>
      </c>
      <c r="T17" s="67">
        <f>'Registro TabNet'!AJ6</f>
        <v>9.1040226829700508</v>
      </c>
      <c r="U17" s="67">
        <f>'Registro TabNet'!AK6</f>
        <v>9.3414039896451957</v>
      </c>
      <c r="V17" s="67">
        <f>'Registro TabNet'!AL6</f>
        <v>9.3213251849469287</v>
      </c>
      <c r="W17" s="67">
        <f>'Registro TabNet'!AM6</f>
        <v>8.2859613721533592</v>
      </c>
      <c r="X17" s="67">
        <f>'Registro TabNet'!AN6</f>
        <v>7.8502714113389622</v>
      </c>
      <c r="Y17" s="166">
        <v>8.4600000000000009</v>
      </c>
      <c r="Z17" s="166"/>
      <c r="AA17" s="36"/>
      <c r="AB17" s="68">
        <f>AVERAGE(C17:Z17)</f>
        <v>9.1288516695657496</v>
      </c>
      <c r="AC17" s="118" t="s">
        <v>13</v>
      </c>
      <c r="AD17" s="62"/>
      <c r="AE17" s="62"/>
      <c r="AF17" s="62"/>
      <c r="AG17" s="62"/>
      <c r="AH17" s="64"/>
      <c r="AI17" s="64"/>
      <c r="AJ17" s="64"/>
      <c r="AK17" s="64"/>
      <c r="AL17" s="64"/>
      <c r="AM17" s="64"/>
      <c r="AN17" s="64"/>
      <c r="AO17" s="64"/>
      <c r="AP17" s="64"/>
      <c r="AQ17" s="22"/>
      <c r="AS17" s="5"/>
      <c r="AT17" s="5"/>
      <c r="AU17" s="5"/>
      <c r="AX17" s="6"/>
      <c r="AY17" s="6"/>
      <c r="AZ17" s="6"/>
    </row>
    <row r="18" spans="1:52" ht="23.25" customHeight="1">
      <c r="A18" s="202" t="s">
        <v>54</v>
      </c>
      <c r="B18" s="203"/>
      <c r="C18" s="66"/>
      <c r="D18" s="66"/>
      <c r="E18" s="66"/>
      <c r="F18" s="66"/>
      <c r="G18" s="66"/>
      <c r="H18" s="66"/>
      <c r="I18" s="66"/>
      <c r="J18" s="66"/>
      <c r="K18" s="66"/>
      <c r="L18" s="67">
        <f>'Registro TabNet'!AB13</f>
        <v>4.9197316103379718</v>
      </c>
      <c r="M18" s="67">
        <f>'Registro TabNet'!AC13</f>
        <v>4.7733627667402505</v>
      </c>
      <c r="N18" s="67">
        <f>'Registro TabNet'!AD13</f>
        <v>4.7931421446384039</v>
      </c>
      <c r="O18" s="67">
        <f>'Registro TabNet'!AE13</f>
        <v>4.6266375545851526</v>
      </c>
      <c r="P18" s="67">
        <f>'Registro TabNet'!AF13</f>
        <v>4.6981660366792664</v>
      </c>
      <c r="Q18" s="67">
        <f>'Registro TabNet'!AG13</f>
        <v>4.3698924731182798</v>
      </c>
      <c r="R18" s="67">
        <f>'Registro TabNet'!AH13</f>
        <v>4.0939564472718377</v>
      </c>
      <c r="S18" s="67">
        <f>'Registro TabNet'!AI13</f>
        <v>3.9955427749820274</v>
      </c>
      <c r="T18" s="67">
        <f>'Registro TabNet'!AJ13</f>
        <v>3.8546308724832214</v>
      </c>
      <c r="U18" s="67">
        <f>'Registro TabNet'!AK13</f>
        <v>3.9299810458245066</v>
      </c>
      <c r="V18" s="67">
        <f>'Registro TabNet'!AL13</f>
        <v>3.675262543757293</v>
      </c>
      <c r="W18" s="67">
        <f>'Registro TabNet'!AM13</f>
        <v>3.3049226773698499</v>
      </c>
      <c r="X18" s="67">
        <f>'Registro TabNet'!AN13</f>
        <v>3.0175577348940208</v>
      </c>
      <c r="Y18" s="166">
        <v>2.69</v>
      </c>
      <c r="Z18" s="166"/>
      <c r="AA18" s="36"/>
      <c r="AB18" s="68">
        <f t="shared" ref="AB18:AB21" si="6">AVERAGE(C18:Z18)</f>
        <v>4.0530561916201489</v>
      </c>
      <c r="AC18" s="118" t="s">
        <v>13</v>
      </c>
      <c r="AD18" s="62"/>
      <c r="AE18" s="62"/>
      <c r="AF18" s="62"/>
      <c r="AG18" s="62"/>
      <c r="AH18" s="64"/>
      <c r="AI18" s="64"/>
      <c r="AJ18" s="64"/>
      <c r="AK18" s="64"/>
      <c r="AL18" s="64"/>
      <c r="AM18" s="64"/>
      <c r="AN18" s="64"/>
      <c r="AO18" s="64"/>
      <c r="AP18" s="64"/>
      <c r="AQ18" s="22"/>
      <c r="AS18" s="5"/>
      <c r="AT18" s="5"/>
      <c r="AU18" s="5"/>
      <c r="AX18" s="6"/>
      <c r="AY18" s="6"/>
      <c r="AZ18" s="6"/>
    </row>
    <row r="19" spans="1:52" ht="23.25" customHeight="1">
      <c r="A19" s="202" t="s">
        <v>55</v>
      </c>
      <c r="B19" s="203"/>
      <c r="C19" s="66"/>
      <c r="D19" s="66"/>
      <c r="E19" s="66"/>
      <c r="F19" s="66"/>
      <c r="G19" s="66"/>
      <c r="H19" s="66"/>
      <c r="I19" s="66"/>
      <c r="J19" s="66"/>
      <c r="K19" s="66"/>
      <c r="L19" s="67">
        <f>'Registro TabNet'!AB20</f>
        <v>8.1398963730569953</v>
      </c>
      <c r="M19" s="67">
        <f>'Registro TabNet'!AC20</f>
        <v>9.2495784148397977</v>
      </c>
      <c r="N19" s="67">
        <f>'Registro TabNet'!AD20</f>
        <v>9.3362022592791831</v>
      </c>
      <c r="O19" s="67">
        <f>'Registro TabNet'!AE20</f>
        <v>8.7603664416586309</v>
      </c>
      <c r="P19" s="67">
        <f>'Registro TabNet'!AF20</f>
        <v>9.2709200184928342</v>
      </c>
      <c r="Q19" s="67">
        <f>'Registro TabNet'!AG20</f>
        <v>8.7811304717382068</v>
      </c>
      <c r="R19" s="67">
        <f>'Registro TabNet'!AH20</f>
        <v>7.8446317332356177</v>
      </c>
      <c r="S19" s="67">
        <f>'Registro TabNet'!AI20</f>
        <v>8.7317275747508312</v>
      </c>
      <c r="T19" s="67">
        <f>'Registro TabNet'!AJ20</f>
        <v>8.3773381294964029</v>
      </c>
      <c r="U19" s="67">
        <f>'Registro TabNet'!AK20</f>
        <v>8.8930921052631575</v>
      </c>
      <c r="V19" s="67">
        <f>'Registro TabNet'!AL20</f>
        <v>8.5875608061153574</v>
      </c>
      <c r="W19" s="67">
        <f>'Registro TabNet'!AM20</f>
        <v>7.9139301762875904</v>
      </c>
      <c r="X19" s="67">
        <f>'Registro TabNet'!AN20</f>
        <v>7.0612021857923501</v>
      </c>
      <c r="Y19" s="166">
        <v>6.69</v>
      </c>
      <c r="Z19" s="166"/>
      <c r="AA19" s="36"/>
      <c r="AB19" s="68">
        <f t="shared" si="6"/>
        <v>8.4026840492862132</v>
      </c>
      <c r="AC19" s="118" t="s">
        <v>13</v>
      </c>
      <c r="AD19" s="62"/>
      <c r="AE19" s="62"/>
      <c r="AF19" s="62"/>
      <c r="AG19" s="62"/>
      <c r="AH19" s="64"/>
      <c r="AI19" s="64"/>
      <c r="AJ19" s="64"/>
      <c r="AK19" s="64"/>
      <c r="AL19" s="64"/>
      <c r="AM19" s="64"/>
      <c r="AN19" s="64"/>
      <c r="AO19" s="64"/>
      <c r="AP19" s="64"/>
      <c r="AQ19" s="22"/>
      <c r="AS19" s="5"/>
      <c r="AT19" s="5"/>
      <c r="AU19" s="5"/>
      <c r="AX19" s="6"/>
      <c r="AY19" s="6"/>
      <c r="AZ19" s="6"/>
    </row>
    <row r="20" spans="1:52" ht="23.25" customHeight="1">
      <c r="A20" s="212" t="s">
        <v>56</v>
      </c>
      <c r="B20" s="213"/>
      <c r="C20" s="66"/>
      <c r="D20" s="66"/>
      <c r="E20" s="66"/>
      <c r="F20" s="66"/>
      <c r="G20" s="66"/>
      <c r="H20" s="66"/>
      <c r="I20" s="66"/>
      <c r="J20" s="66"/>
      <c r="K20" s="66"/>
      <c r="L20" s="67">
        <f>'Registro TabNet'!AB27</f>
        <v>6.9289146644573325</v>
      </c>
      <c r="M20" s="67">
        <f>'Registro TabNet'!AC27</f>
        <v>6.9455461464251256</v>
      </c>
      <c r="N20" s="67">
        <f>'Registro TabNet'!AD27</f>
        <v>7.5253199470432479</v>
      </c>
      <c r="O20" s="67">
        <f>'Registro TabNet'!AE27</f>
        <v>7.4192741654065371</v>
      </c>
      <c r="P20" s="67">
        <f>'Registro TabNet'!AF27</f>
        <v>7.561301184534905</v>
      </c>
      <c r="Q20" s="67">
        <f>'Registro TabNet'!AG27</f>
        <v>7.3055822392998184</v>
      </c>
      <c r="R20" s="67">
        <f>'Registro TabNet'!AH27</f>
        <v>6.9528918418472934</v>
      </c>
      <c r="S20" s="67">
        <f>'Registro TabNet'!AI27</f>
        <v>7.2364596310138225</v>
      </c>
      <c r="T20" s="67">
        <f>'Registro TabNet'!AJ27</f>
        <v>7.1172089376715011</v>
      </c>
      <c r="U20" s="67">
        <f>'Registro TabNet'!AK27</f>
        <v>7.1693785910868622</v>
      </c>
      <c r="V20" s="67">
        <f>'Registro TabNet'!AL27</f>
        <v>6.9643831539262857</v>
      </c>
      <c r="W20" s="67">
        <f>'Registro TabNet'!AM27</f>
        <v>6.3854063018242124</v>
      </c>
      <c r="X20" s="67">
        <f>'Registro TabNet'!AN27</f>
        <v>6.4356035064059336</v>
      </c>
      <c r="Y20" s="166">
        <v>6.54</v>
      </c>
      <c r="Z20" s="166"/>
      <c r="AA20" s="36"/>
      <c r="AB20" s="68">
        <f t="shared" si="6"/>
        <v>7.0348050222102074</v>
      </c>
      <c r="AC20" s="118" t="s">
        <v>13</v>
      </c>
      <c r="AD20" s="69"/>
      <c r="AE20" s="69"/>
      <c r="AF20" s="69"/>
      <c r="AG20" s="69"/>
      <c r="AH20" s="64"/>
      <c r="AI20" s="64"/>
      <c r="AJ20" s="64"/>
      <c r="AK20" s="64"/>
      <c r="AL20" s="64"/>
      <c r="AM20" s="64"/>
      <c r="AN20" s="64"/>
      <c r="AO20" s="64"/>
      <c r="AP20" s="64"/>
      <c r="AQ20" s="22"/>
      <c r="AS20" s="5"/>
      <c r="AT20" s="5"/>
      <c r="AU20" s="5"/>
      <c r="AX20" s="6"/>
      <c r="AY20" s="6"/>
      <c r="AZ20" s="6"/>
    </row>
    <row r="21" spans="1:52" ht="23.25" customHeight="1">
      <c r="A21" s="212" t="s">
        <v>57</v>
      </c>
      <c r="B21" s="213"/>
      <c r="C21" s="70"/>
      <c r="D21" s="70"/>
      <c r="E21" s="70"/>
      <c r="F21" s="70"/>
      <c r="G21" s="70"/>
      <c r="H21" s="70"/>
      <c r="I21" s="70"/>
      <c r="J21" s="70"/>
      <c r="K21" s="70"/>
      <c r="L21" s="71">
        <v>0.74970000000000003</v>
      </c>
      <c r="M21" s="71">
        <v>0.80630000000000002</v>
      </c>
      <c r="N21" s="71">
        <v>0.7631</v>
      </c>
      <c r="O21" s="71">
        <v>0.72929999999999995</v>
      </c>
      <c r="P21" s="71">
        <v>0.75949999999999995</v>
      </c>
      <c r="Q21" s="71">
        <v>0.77869999999999995</v>
      </c>
      <c r="R21" s="71">
        <v>0.76790000000000003</v>
      </c>
      <c r="S21" s="71">
        <v>0.71679999999999999</v>
      </c>
      <c r="T21" s="71">
        <v>0.74350000000000005</v>
      </c>
      <c r="U21" s="71">
        <v>0.79869999999999997</v>
      </c>
      <c r="V21" s="71">
        <v>0.78879999999999995</v>
      </c>
      <c r="W21" s="72">
        <v>0.79239999999999999</v>
      </c>
      <c r="X21" s="71">
        <v>0.69220000000000004</v>
      </c>
      <c r="Y21" s="167">
        <v>0.7319</v>
      </c>
      <c r="Z21" s="167"/>
      <c r="AA21" s="36"/>
      <c r="AB21" s="73">
        <f t="shared" si="6"/>
        <v>0.75848571428571432</v>
      </c>
      <c r="AC21" s="172" t="s">
        <v>120</v>
      </c>
      <c r="AD21" s="62"/>
      <c r="AE21" s="62"/>
      <c r="AF21" s="62"/>
      <c r="AG21" s="62"/>
      <c r="AH21" s="64"/>
      <c r="AI21" s="64"/>
      <c r="AJ21" s="64"/>
      <c r="AK21" s="64"/>
      <c r="AL21" s="64"/>
      <c r="AM21" s="64"/>
      <c r="AN21" s="64"/>
      <c r="AO21" s="64"/>
      <c r="AP21" s="64"/>
      <c r="AQ21" s="22"/>
      <c r="AS21" s="5"/>
      <c r="AT21" s="5"/>
      <c r="AU21" s="5"/>
      <c r="AX21" s="6"/>
      <c r="AY21" s="6"/>
      <c r="AZ21" s="6"/>
    </row>
    <row r="22" spans="1:52" s="77" customFormat="1" ht="23.25" customHeight="1">
      <c r="A22" s="180" t="s">
        <v>17</v>
      </c>
      <c r="B22" s="74" t="s">
        <v>18</v>
      </c>
      <c r="C22" s="39">
        <v>33148</v>
      </c>
      <c r="D22" s="39">
        <v>20534</v>
      </c>
      <c r="E22" s="39">
        <v>8861</v>
      </c>
      <c r="F22" s="39">
        <v>12205</v>
      </c>
      <c r="G22" s="39">
        <v>9797</v>
      </c>
      <c r="H22" s="39">
        <v>10547</v>
      </c>
      <c r="I22" s="39">
        <v>11325</v>
      </c>
      <c r="J22" s="39">
        <v>11448</v>
      </c>
      <c r="K22" s="39">
        <v>13586</v>
      </c>
      <c r="L22" s="39">
        <v>10434</v>
      </c>
      <c r="M22" s="39">
        <v>13143</v>
      </c>
      <c r="N22" s="39">
        <v>12425</v>
      </c>
      <c r="O22" s="39">
        <v>10803</v>
      </c>
      <c r="P22" s="39">
        <v>9490</v>
      </c>
      <c r="Q22" s="39">
        <v>11564</v>
      </c>
      <c r="R22" s="39">
        <v>11736</v>
      </c>
      <c r="S22" s="39">
        <v>11316</v>
      </c>
      <c r="T22" s="39">
        <v>13420</v>
      </c>
      <c r="U22" s="39">
        <v>17757</v>
      </c>
      <c r="V22" s="39">
        <v>19139</v>
      </c>
      <c r="W22" s="42">
        <v>19378</v>
      </c>
      <c r="X22" s="39">
        <v>10656</v>
      </c>
      <c r="Y22" s="39">
        <v>11103</v>
      </c>
      <c r="Z22" s="39"/>
      <c r="AA22" s="43">
        <f>SUM(C22:Z22)</f>
        <v>313815</v>
      </c>
      <c r="AB22" s="75">
        <f>AVERAGE(C22:Z22)</f>
        <v>13644.130434782608</v>
      </c>
      <c r="AC22" s="185" t="s">
        <v>80</v>
      </c>
      <c r="AD22" s="62"/>
      <c r="AE22" s="62"/>
      <c r="AF22" s="62"/>
      <c r="AG22" s="62"/>
      <c r="AH22" s="64"/>
      <c r="AI22" s="64"/>
      <c r="AJ22" s="64"/>
      <c r="AK22" s="64"/>
      <c r="AL22" s="64"/>
      <c r="AM22" s="64"/>
      <c r="AN22" s="64"/>
      <c r="AO22" s="64"/>
      <c r="AP22" s="64"/>
      <c r="AQ22" s="22"/>
      <c r="AR22" s="10"/>
      <c r="AS22" s="3"/>
      <c r="AT22" s="3"/>
      <c r="AU22" s="3"/>
      <c r="AV22" s="10"/>
      <c r="AW22" s="10"/>
      <c r="AX22" s="76"/>
      <c r="AY22" s="76"/>
      <c r="AZ22" s="76"/>
    </row>
    <row r="23" spans="1:52" s="77" customFormat="1" ht="22.5" customHeight="1">
      <c r="A23" s="181"/>
      <c r="B23" s="44" t="s">
        <v>19</v>
      </c>
      <c r="C23" s="45">
        <v>9390</v>
      </c>
      <c r="D23" s="45">
        <v>8935</v>
      </c>
      <c r="E23" s="45">
        <v>8545</v>
      </c>
      <c r="F23" s="45">
        <v>10248</v>
      </c>
      <c r="G23" s="45">
        <v>10842</v>
      </c>
      <c r="H23" s="45">
        <v>11500</v>
      </c>
      <c r="I23" s="45">
        <v>10187</v>
      </c>
      <c r="J23" s="45">
        <v>14286</v>
      </c>
      <c r="K23" s="45">
        <v>12986</v>
      </c>
      <c r="L23" s="45">
        <v>8411</v>
      </c>
      <c r="M23" s="45">
        <v>8541</v>
      </c>
      <c r="N23" s="45">
        <v>8364</v>
      </c>
      <c r="O23" s="45">
        <v>7187</v>
      </c>
      <c r="P23" s="45">
        <v>7452</v>
      </c>
      <c r="Q23" s="45">
        <v>8613</v>
      </c>
      <c r="R23" s="45">
        <v>8390</v>
      </c>
      <c r="S23" s="45">
        <v>7161</v>
      </c>
      <c r="T23" s="45">
        <v>7665</v>
      </c>
      <c r="U23" s="45">
        <v>9212</v>
      </c>
      <c r="V23" s="45">
        <v>8799</v>
      </c>
      <c r="W23" s="48">
        <v>8729</v>
      </c>
      <c r="X23" s="45">
        <v>6476</v>
      </c>
      <c r="Y23" s="45">
        <v>7496</v>
      </c>
      <c r="Z23" s="45"/>
      <c r="AA23" s="49">
        <f t="shared" ref="AA23:AA30" si="7">SUM(C23:Z23)</f>
        <v>209415</v>
      </c>
      <c r="AB23" s="78">
        <f t="shared" ref="AB23:AB31" si="8">AVERAGE(C23:Z23)</f>
        <v>9105</v>
      </c>
      <c r="AC23" s="191"/>
      <c r="AD23" s="62"/>
      <c r="AE23" s="62"/>
      <c r="AF23" s="62"/>
      <c r="AG23" s="62"/>
      <c r="AH23" s="64"/>
      <c r="AI23" s="64"/>
      <c r="AJ23" s="64"/>
      <c r="AK23" s="64"/>
      <c r="AL23" s="64"/>
      <c r="AM23" s="64"/>
      <c r="AN23" s="64"/>
      <c r="AO23" s="64"/>
      <c r="AP23" s="64"/>
      <c r="AQ23" s="22"/>
      <c r="AR23" s="10"/>
      <c r="AS23" s="3"/>
      <c r="AT23" s="3"/>
      <c r="AU23" s="3"/>
      <c r="AV23" s="10"/>
      <c r="AW23" s="10"/>
      <c r="AX23" s="76"/>
      <c r="AY23" s="76"/>
      <c r="AZ23" s="76"/>
    </row>
    <row r="24" spans="1:52" s="77" customFormat="1" ht="22.5" customHeight="1">
      <c r="A24" s="181"/>
      <c r="B24" s="79" t="s">
        <v>20</v>
      </c>
      <c r="C24" s="51">
        <f t="shared" ref="C24:V24" si="9">SUM(C22:C23)</f>
        <v>42538</v>
      </c>
      <c r="D24" s="51">
        <f t="shared" si="9"/>
        <v>29469</v>
      </c>
      <c r="E24" s="51">
        <f t="shared" si="9"/>
        <v>17406</v>
      </c>
      <c r="F24" s="51">
        <f t="shared" si="9"/>
        <v>22453</v>
      </c>
      <c r="G24" s="51">
        <f t="shared" si="9"/>
        <v>20639</v>
      </c>
      <c r="H24" s="51">
        <f t="shared" si="9"/>
        <v>22047</v>
      </c>
      <c r="I24" s="51">
        <f t="shared" si="9"/>
        <v>21512</v>
      </c>
      <c r="J24" s="51">
        <f t="shared" si="9"/>
        <v>25734</v>
      </c>
      <c r="K24" s="51">
        <f t="shared" si="9"/>
        <v>26572</v>
      </c>
      <c r="L24" s="51">
        <f t="shared" si="9"/>
        <v>18845</v>
      </c>
      <c r="M24" s="51">
        <f t="shared" si="9"/>
        <v>21684</v>
      </c>
      <c r="N24" s="51">
        <f t="shared" si="9"/>
        <v>20789</v>
      </c>
      <c r="O24" s="51">
        <f t="shared" si="9"/>
        <v>17990</v>
      </c>
      <c r="P24" s="51">
        <f t="shared" si="9"/>
        <v>16942</v>
      </c>
      <c r="Q24" s="51">
        <f t="shared" si="9"/>
        <v>20177</v>
      </c>
      <c r="R24" s="51">
        <f t="shared" si="9"/>
        <v>20126</v>
      </c>
      <c r="S24" s="51">
        <f t="shared" si="9"/>
        <v>18477</v>
      </c>
      <c r="T24" s="51">
        <f t="shared" si="9"/>
        <v>21085</v>
      </c>
      <c r="U24" s="51">
        <f t="shared" si="9"/>
        <v>26969</v>
      </c>
      <c r="V24" s="51">
        <f t="shared" si="9"/>
        <v>27938</v>
      </c>
      <c r="W24" s="51">
        <f>SUM(W22:W23)</f>
        <v>28107</v>
      </c>
      <c r="X24" s="53">
        <f>SUM(X22:X23)</f>
        <v>17132</v>
      </c>
      <c r="Y24" s="53">
        <v>18599</v>
      </c>
      <c r="Z24" s="53"/>
      <c r="AA24" s="53">
        <f t="shared" si="7"/>
        <v>523230</v>
      </c>
      <c r="AB24" s="53">
        <f t="shared" si="8"/>
        <v>22749.130434782608</v>
      </c>
      <c r="AC24" s="191"/>
      <c r="AD24" s="62"/>
      <c r="AE24" s="62"/>
      <c r="AF24" s="62"/>
      <c r="AG24" s="62"/>
      <c r="AH24" s="64"/>
      <c r="AI24" s="64"/>
      <c r="AJ24" s="64"/>
      <c r="AK24" s="64"/>
      <c r="AL24" s="64"/>
      <c r="AM24" s="64"/>
      <c r="AN24" s="64"/>
      <c r="AO24" s="64"/>
      <c r="AP24" s="64"/>
      <c r="AQ24" s="22"/>
      <c r="AR24" s="10"/>
      <c r="AS24" s="3"/>
      <c r="AT24" s="3"/>
      <c r="AU24" s="3"/>
      <c r="AV24" s="10"/>
      <c r="AW24" s="10"/>
      <c r="AX24" s="76"/>
      <c r="AY24" s="76"/>
      <c r="AZ24" s="76"/>
    </row>
    <row r="25" spans="1:52" s="77" customFormat="1" ht="22.5" hidden="1" customHeight="1">
      <c r="A25" s="181"/>
      <c r="B25" s="44" t="s">
        <v>58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>
        <v>6.7377118445610382E-2</v>
      </c>
      <c r="W25" s="80">
        <v>6.7526766456393231E-2</v>
      </c>
      <c r="X25" s="81">
        <v>8.078147985155977E-2</v>
      </c>
      <c r="Y25" s="81"/>
      <c r="Z25" s="81"/>
      <c r="AA25" s="82">
        <f t="shared" si="7"/>
        <v>0.21568536475356337</v>
      </c>
      <c r="AB25" s="83">
        <f t="shared" si="8"/>
        <v>7.1895121584521118E-2</v>
      </c>
      <c r="AC25" s="191"/>
      <c r="AD25" s="62"/>
      <c r="AE25" s="62"/>
      <c r="AF25" s="62"/>
      <c r="AG25" s="62"/>
      <c r="AH25" s="64"/>
      <c r="AI25" s="64"/>
      <c r="AJ25" s="64"/>
      <c r="AK25" s="64"/>
      <c r="AL25" s="64"/>
      <c r="AM25" s="64"/>
      <c r="AN25" s="64"/>
      <c r="AO25" s="64"/>
      <c r="AP25" s="64"/>
      <c r="AQ25" s="22"/>
      <c r="AR25" s="10"/>
      <c r="AS25" s="3"/>
      <c r="AT25" s="3"/>
      <c r="AU25" s="3"/>
      <c r="AV25" s="10"/>
      <c r="AW25" s="10"/>
      <c r="AX25" s="76"/>
      <c r="AY25" s="76"/>
      <c r="AZ25" s="76"/>
    </row>
    <row r="26" spans="1:52" s="77" customFormat="1" ht="20.25" hidden="1" customHeight="1">
      <c r="A26" s="184"/>
      <c r="B26" s="84" t="s">
        <v>59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>
        <v>4.5199999999999997E-2</v>
      </c>
      <c r="W26" s="85">
        <v>3.4078830891330902E-2</v>
      </c>
      <c r="X26" s="85">
        <f>4.04310621362996%</f>
        <v>4.04310621362996E-2</v>
      </c>
      <c r="Y26" s="85"/>
      <c r="Z26" s="85"/>
      <c r="AA26" s="86">
        <f t="shared" si="7"/>
        <v>0.11970989302763049</v>
      </c>
      <c r="AB26" s="87">
        <f t="shared" si="8"/>
        <v>3.9903297675876831E-2</v>
      </c>
      <c r="AC26" s="206"/>
      <c r="AD26" s="62"/>
      <c r="AE26" s="62"/>
      <c r="AF26" s="62"/>
      <c r="AG26" s="62"/>
      <c r="AH26" s="64"/>
      <c r="AI26" s="64"/>
      <c r="AJ26" s="64"/>
      <c r="AK26" s="64"/>
      <c r="AL26" s="64"/>
      <c r="AM26" s="64"/>
      <c r="AN26" s="64"/>
      <c r="AO26" s="64"/>
      <c r="AP26" s="64"/>
      <c r="AQ26" s="22"/>
      <c r="AR26" s="10"/>
      <c r="AS26" s="76"/>
      <c r="AT26" s="10"/>
      <c r="AU26" s="10"/>
      <c r="AV26" s="10"/>
      <c r="AW26" s="10"/>
      <c r="AX26" s="76"/>
      <c r="AY26" s="76"/>
      <c r="AZ26" s="76"/>
    </row>
    <row r="27" spans="1:52" ht="28.5" customHeight="1">
      <c r="A27" s="204" t="s">
        <v>91</v>
      </c>
      <c r="B27" s="205"/>
      <c r="C27" s="88"/>
      <c r="D27" s="88"/>
      <c r="E27" s="88"/>
      <c r="F27" s="88"/>
      <c r="G27" s="88"/>
      <c r="H27" s="88"/>
      <c r="I27" s="88"/>
      <c r="J27" s="88"/>
      <c r="K27" s="88"/>
      <c r="L27" s="15">
        <v>615</v>
      </c>
      <c r="M27" s="15">
        <v>713</v>
      </c>
      <c r="N27" s="15">
        <v>719</v>
      </c>
      <c r="O27" s="15">
        <v>641</v>
      </c>
      <c r="P27" s="15">
        <v>678</v>
      </c>
      <c r="Q27" s="15">
        <v>800</v>
      </c>
      <c r="R27" s="15">
        <v>978</v>
      </c>
      <c r="S27" s="15">
        <v>797</v>
      </c>
      <c r="T27" s="15">
        <v>869</v>
      </c>
      <c r="U27" s="15">
        <v>910</v>
      </c>
      <c r="V27" s="15">
        <v>841</v>
      </c>
      <c r="W27" s="18">
        <v>873</v>
      </c>
      <c r="X27" s="15">
        <v>684</v>
      </c>
      <c r="Y27" s="15">
        <v>769</v>
      </c>
      <c r="Z27" s="15"/>
      <c r="AA27" s="19">
        <f t="shared" si="7"/>
        <v>10887</v>
      </c>
      <c r="AB27" s="20">
        <f t="shared" si="8"/>
        <v>777.64285714285711</v>
      </c>
      <c r="AC27" s="174" t="s">
        <v>13</v>
      </c>
      <c r="AD27" s="62"/>
      <c r="AE27" s="62"/>
      <c r="AF27" s="62"/>
      <c r="AG27" s="62"/>
      <c r="AH27" s="64"/>
      <c r="AI27" s="64"/>
      <c r="AJ27" s="64"/>
      <c r="AK27" s="64"/>
      <c r="AL27" s="64"/>
      <c r="AM27" s="64"/>
      <c r="AN27" s="64"/>
      <c r="AO27" s="64"/>
      <c r="AP27" s="64"/>
      <c r="AQ27" s="22"/>
      <c r="AX27" s="6"/>
      <c r="AY27" s="6"/>
      <c r="AZ27" s="6"/>
    </row>
    <row r="28" spans="1:52" ht="28.5" customHeight="1">
      <c r="A28" s="204" t="s">
        <v>92</v>
      </c>
      <c r="B28" s="205"/>
      <c r="C28" s="88"/>
      <c r="D28" s="88"/>
      <c r="E28" s="88"/>
      <c r="F28" s="88"/>
      <c r="G28" s="88"/>
      <c r="H28" s="88"/>
      <c r="I28" s="88"/>
      <c r="J28" s="88"/>
      <c r="K28" s="88"/>
      <c r="L28" s="15">
        <v>114</v>
      </c>
      <c r="M28" s="15">
        <v>149</v>
      </c>
      <c r="N28" s="15">
        <v>263</v>
      </c>
      <c r="O28" s="15">
        <v>163</v>
      </c>
      <c r="P28" s="15">
        <v>172</v>
      </c>
      <c r="Q28" s="15">
        <v>256</v>
      </c>
      <c r="R28" s="15">
        <v>266</v>
      </c>
      <c r="S28" s="15">
        <v>261</v>
      </c>
      <c r="T28" s="15">
        <v>228</v>
      </c>
      <c r="U28" s="15">
        <v>246</v>
      </c>
      <c r="V28" s="15">
        <v>149</v>
      </c>
      <c r="W28" s="18">
        <v>193</v>
      </c>
      <c r="X28" s="15">
        <v>179</v>
      </c>
      <c r="Y28" s="15">
        <v>157</v>
      </c>
      <c r="Z28" s="15"/>
      <c r="AA28" s="19">
        <f t="shared" si="7"/>
        <v>2796</v>
      </c>
      <c r="AB28" s="20">
        <f t="shared" si="8"/>
        <v>199.71428571428572</v>
      </c>
      <c r="AC28" s="174" t="s">
        <v>13</v>
      </c>
      <c r="AD28" s="62"/>
      <c r="AE28" s="62"/>
      <c r="AF28" s="62"/>
      <c r="AG28" s="62"/>
      <c r="AH28" s="64"/>
      <c r="AI28" s="64"/>
      <c r="AJ28" s="64"/>
      <c r="AK28" s="64"/>
      <c r="AL28" s="64"/>
      <c r="AM28" s="64"/>
      <c r="AN28" s="64"/>
      <c r="AO28" s="64"/>
      <c r="AP28" s="64"/>
      <c r="AQ28" s="22"/>
      <c r="AX28" s="6"/>
      <c r="AY28" s="6"/>
      <c r="AZ28" s="6"/>
    </row>
    <row r="29" spans="1:52" ht="28.5" customHeight="1">
      <c r="A29" s="204" t="s">
        <v>93</v>
      </c>
      <c r="B29" s="205"/>
      <c r="C29" s="88"/>
      <c r="D29" s="88"/>
      <c r="E29" s="88"/>
      <c r="F29" s="88"/>
      <c r="G29" s="88"/>
      <c r="H29" s="88"/>
      <c r="I29" s="88"/>
      <c r="J29" s="88"/>
      <c r="K29" s="88"/>
      <c r="L29" s="15">
        <v>56</v>
      </c>
      <c r="M29" s="15">
        <v>61</v>
      </c>
      <c r="N29" s="15">
        <v>204</v>
      </c>
      <c r="O29" s="15">
        <v>307</v>
      </c>
      <c r="P29" s="15">
        <v>226</v>
      </c>
      <c r="Q29" s="15">
        <v>195</v>
      </c>
      <c r="R29" s="15">
        <v>140</v>
      </c>
      <c r="S29" s="15">
        <v>133</v>
      </c>
      <c r="T29" s="15">
        <v>149</v>
      </c>
      <c r="U29" s="15">
        <v>128</v>
      </c>
      <c r="V29" s="15">
        <v>110</v>
      </c>
      <c r="W29" s="18">
        <v>109</v>
      </c>
      <c r="X29" s="15">
        <v>70</v>
      </c>
      <c r="Y29" s="15">
        <v>53</v>
      </c>
      <c r="Z29" s="15"/>
      <c r="AA29" s="19">
        <f t="shared" si="7"/>
        <v>1941</v>
      </c>
      <c r="AB29" s="20">
        <f t="shared" si="8"/>
        <v>138.64285714285714</v>
      </c>
      <c r="AC29" s="174" t="s">
        <v>13</v>
      </c>
      <c r="AD29" s="62"/>
      <c r="AE29" s="62"/>
      <c r="AF29" s="62"/>
      <c r="AG29" s="62"/>
      <c r="AH29" s="64"/>
      <c r="AI29" s="64"/>
      <c r="AJ29" s="64"/>
      <c r="AK29" s="64"/>
      <c r="AL29" s="64"/>
      <c r="AM29" s="64"/>
      <c r="AN29" s="64"/>
      <c r="AO29" s="64"/>
      <c r="AP29" s="64"/>
      <c r="AQ29" s="22"/>
      <c r="AX29" s="6"/>
      <c r="AY29" s="6"/>
      <c r="AZ29" s="6"/>
    </row>
    <row r="30" spans="1:52" ht="28.5" customHeight="1">
      <c r="A30" s="204" t="s">
        <v>22</v>
      </c>
      <c r="B30" s="205"/>
      <c r="C30" s="89"/>
      <c r="D30" s="89"/>
      <c r="E30" s="89"/>
      <c r="F30" s="89"/>
      <c r="G30" s="89"/>
      <c r="H30" s="89"/>
      <c r="I30" s="89"/>
      <c r="J30" s="89"/>
      <c r="K30" s="89"/>
      <c r="L30" s="90">
        <v>798</v>
      </c>
      <c r="M30" s="90">
        <v>913</v>
      </c>
      <c r="N30" s="90">
        <v>939</v>
      </c>
      <c r="O30" s="90">
        <v>734</v>
      </c>
      <c r="P30" s="90">
        <v>720</v>
      </c>
      <c r="Q30" s="90">
        <v>790</v>
      </c>
      <c r="R30" s="90">
        <v>707</v>
      </c>
      <c r="S30" s="90">
        <v>649</v>
      </c>
      <c r="T30" s="90">
        <v>631</v>
      </c>
      <c r="U30" s="90">
        <v>728</v>
      </c>
      <c r="V30" s="90">
        <v>799</v>
      </c>
      <c r="W30" s="90">
        <v>678</v>
      </c>
      <c r="X30" s="15">
        <v>650</v>
      </c>
      <c r="Y30" s="15">
        <v>719</v>
      </c>
      <c r="Z30" s="15"/>
      <c r="AA30" s="19">
        <f t="shared" si="7"/>
        <v>10455</v>
      </c>
      <c r="AB30" s="20">
        <f t="shared" si="8"/>
        <v>746.78571428571433</v>
      </c>
      <c r="AC30" s="173" t="s">
        <v>13</v>
      </c>
      <c r="AD30" s="62"/>
      <c r="AE30" s="62"/>
      <c r="AF30" s="62"/>
      <c r="AG30" s="62"/>
      <c r="AH30" s="64"/>
      <c r="AI30" s="64"/>
      <c r="AJ30" s="64"/>
      <c r="AK30" s="64"/>
      <c r="AL30" s="64"/>
      <c r="AM30" s="64"/>
      <c r="AN30" s="64"/>
      <c r="AO30" s="64"/>
      <c r="AP30" s="64"/>
      <c r="AQ30" s="22"/>
      <c r="AX30" s="6"/>
      <c r="AY30" s="6"/>
      <c r="AZ30" s="6"/>
    </row>
    <row r="31" spans="1:52" s="97" customFormat="1" ht="28.5" customHeight="1">
      <c r="A31" s="200" t="s">
        <v>60</v>
      </c>
      <c r="B31" s="201"/>
      <c r="C31" s="70"/>
      <c r="D31" s="70"/>
      <c r="E31" s="70"/>
      <c r="F31" s="70"/>
      <c r="G31" s="70"/>
      <c r="H31" s="70"/>
      <c r="I31" s="70"/>
      <c r="J31" s="70"/>
      <c r="K31" s="70"/>
      <c r="L31" s="71">
        <v>4.41E-2</v>
      </c>
      <c r="M31" s="71">
        <v>4.8899999999999999E-2</v>
      </c>
      <c r="N31" s="71">
        <v>5.1799999999999999E-2</v>
      </c>
      <c r="O31" s="71">
        <v>4.2700000000000002E-2</v>
      </c>
      <c r="P31" s="71">
        <v>4.3299999999999998E-2</v>
      </c>
      <c r="Q31" s="71">
        <v>4.2200000000000001E-2</v>
      </c>
      <c r="R31" s="71">
        <v>3.85E-2</v>
      </c>
      <c r="S31" s="71">
        <v>3.85E-2</v>
      </c>
      <c r="T31" s="71">
        <v>3.5299999999999998E-2</v>
      </c>
      <c r="U31" s="71">
        <v>3.5200000000000002E-2</v>
      </c>
      <c r="V31" s="71">
        <v>3.9600000000000003E-2</v>
      </c>
      <c r="W31" s="71">
        <v>3.2099999999999997E-2</v>
      </c>
      <c r="X31" s="71">
        <v>3.6499999999999998E-2</v>
      </c>
      <c r="Y31" s="117">
        <v>4.3299999999999998E-2</v>
      </c>
      <c r="Z31" s="117"/>
      <c r="AA31" s="91"/>
      <c r="AB31" s="92">
        <f t="shared" si="8"/>
        <v>4.0857142857142863E-2</v>
      </c>
      <c r="AC31" s="173" t="s">
        <v>13</v>
      </c>
      <c r="AD31" s="62"/>
      <c r="AE31" s="62"/>
      <c r="AF31" s="62"/>
      <c r="AG31" s="62"/>
      <c r="AH31" s="93"/>
      <c r="AI31" s="93"/>
      <c r="AJ31" s="93"/>
      <c r="AK31" s="93"/>
      <c r="AL31" s="93"/>
      <c r="AM31" s="93"/>
      <c r="AN31" s="93"/>
      <c r="AO31" s="93"/>
      <c r="AP31" s="93"/>
      <c r="AQ31" s="94"/>
      <c r="AR31" s="95"/>
      <c r="AS31" s="96"/>
      <c r="AT31" s="95"/>
      <c r="AU31" s="95"/>
      <c r="AV31" s="95"/>
      <c r="AW31" s="95"/>
      <c r="AX31" s="96"/>
      <c r="AY31" s="96"/>
      <c r="AZ31" s="96"/>
    </row>
    <row r="32" spans="1:52" ht="15" customHeight="1">
      <c r="A32" s="180" t="s">
        <v>115</v>
      </c>
      <c r="B32" s="38" t="s">
        <v>23</v>
      </c>
      <c r="C32" s="39">
        <v>16</v>
      </c>
      <c r="D32" s="39">
        <v>20</v>
      </c>
      <c r="E32" s="39">
        <v>40</v>
      </c>
      <c r="F32" s="39">
        <v>16</v>
      </c>
      <c r="G32" s="39">
        <v>46</v>
      </c>
      <c r="H32" s="39">
        <v>32</v>
      </c>
      <c r="I32" s="39">
        <v>37</v>
      </c>
      <c r="J32" s="39">
        <v>34</v>
      </c>
      <c r="K32" s="39">
        <v>34</v>
      </c>
      <c r="L32" s="39">
        <v>47</v>
      </c>
      <c r="M32" s="39">
        <v>50</v>
      </c>
      <c r="N32" s="39">
        <v>44</v>
      </c>
      <c r="O32" s="39">
        <v>45</v>
      </c>
      <c r="P32" s="39">
        <v>44</v>
      </c>
      <c r="Q32" s="39">
        <v>28</v>
      </c>
      <c r="R32" s="39">
        <v>36</v>
      </c>
      <c r="S32" s="39">
        <v>26</v>
      </c>
      <c r="T32" s="39">
        <v>37</v>
      </c>
      <c r="U32" s="39">
        <v>43</v>
      </c>
      <c r="V32" s="98">
        <v>33</v>
      </c>
      <c r="W32" s="98">
        <v>38</v>
      </c>
      <c r="X32" s="39">
        <v>13</v>
      </c>
      <c r="Y32" s="39">
        <v>44</v>
      </c>
      <c r="Z32" s="39"/>
      <c r="AA32" s="99">
        <f t="shared" ref="AA32:AA65" si="10">SUM(C32:Z32)</f>
        <v>803</v>
      </c>
      <c r="AB32" s="100">
        <f t="shared" ref="AB32:AB65" si="11">AVERAGE(C32:Z32)</f>
        <v>34.913043478260867</v>
      </c>
      <c r="AC32" s="185" t="s">
        <v>73</v>
      </c>
      <c r="AD32" s="62"/>
      <c r="AE32" s="62"/>
      <c r="AF32" s="62"/>
      <c r="AG32" s="62"/>
      <c r="AH32" s="64"/>
      <c r="AI32" s="64"/>
      <c r="AJ32" s="64"/>
      <c r="AK32" s="64"/>
      <c r="AL32" s="64"/>
      <c r="AM32" s="64"/>
      <c r="AN32" s="64"/>
      <c r="AO32" s="64"/>
      <c r="AP32" s="64"/>
      <c r="AQ32" s="22"/>
      <c r="AX32" s="6"/>
      <c r="AY32" s="6"/>
      <c r="AZ32" s="6"/>
    </row>
    <row r="33" spans="1:52" ht="18.75" customHeight="1">
      <c r="A33" s="181"/>
      <c r="B33" s="44" t="s">
        <v>24</v>
      </c>
      <c r="C33" s="45">
        <v>15</v>
      </c>
      <c r="D33" s="45">
        <v>30</v>
      </c>
      <c r="E33" s="45">
        <v>48</v>
      </c>
      <c r="F33" s="45">
        <v>41</v>
      </c>
      <c r="G33" s="45">
        <v>53</v>
      </c>
      <c r="H33" s="45">
        <v>59</v>
      </c>
      <c r="I33" s="45">
        <v>77</v>
      </c>
      <c r="J33" s="45">
        <v>57</v>
      </c>
      <c r="K33" s="45">
        <v>57</v>
      </c>
      <c r="L33" s="45">
        <v>62</v>
      </c>
      <c r="M33" s="45">
        <v>50</v>
      </c>
      <c r="N33" s="45">
        <v>68</v>
      </c>
      <c r="O33" s="45">
        <v>55</v>
      </c>
      <c r="P33" s="45">
        <v>70</v>
      </c>
      <c r="Q33" s="45">
        <v>34</v>
      </c>
      <c r="R33" s="45">
        <v>47</v>
      </c>
      <c r="S33" s="45">
        <v>24</v>
      </c>
      <c r="T33" s="45">
        <v>23</v>
      </c>
      <c r="U33" s="45">
        <v>32</v>
      </c>
      <c r="V33" s="101">
        <v>20</v>
      </c>
      <c r="W33" s="101">
        <v>31</v>
      </c>
      <c r="X33" s="45">
        <v>36</v>
      </c>
      <c r="Y33" s="45">
        <v>20</v>
      </c>
      <c r="Z33" s="45"/>
      <c r="AA33" s="102">
        <f t="shared" si="10"/>
        <v>1009</v>
      </c>
      <c r="AB33" s="103">
        <f t="shared" si="11"/>
        <v>43.869565217391305</v>
      </c>
      <c r="AC33" s="186"/>
      <c r="AD33" s="62"/>
      <c r="AE33" s="62"/>
      <c r="AF33" s="62"/>
      <c r="AG33" s="62"/>
      <c r="AH33" s="64"/>
      <c r="AI33" s="64"/>
      <c r="AJ33" s="64"/>
      <c r="AK33" s="64"/>
      <c r="AL33" s="64"/>
      <c r="AM33" s="64"/>
      <c r="AN33" s="64"/>
      <c r="AO33" s="64"/>
      <c r="AP33" s="64"/>
      <c r="AQ33" s="22"/>
      <c r="AX33" s="6"/>
      <c r="AY33" s="6"/>
      <c r="AZ33" s="6"/>
    </row>
    <row r="34" spans="1:52" ht="16.5" customHeight="1">
      <c r="A34" s="181"/>
      <c r="B34" s="44" t="s">
        <v>25</v>
      </c>
      <c r="C34" s="104"/>
      <c r="D34" s="104"/>
      <c r="E34" s="104"/>
      <c r="F34" s="104"/>
      <c r="G34" s="104"/>
      <c r="H34" s="104"/>
      <c r="I34" s="104"/>
      <c r="J34" s="45">
        <v>2</v>
      </c>
      <c r="K34" s="45">
        <v>8</v>
      </c>
      <c r="L34" s="45">
        <v>20</v>
      </c>
      <c r="M34" s="45">
        <v>19</v>
      </c>
      <c r="N34" s="45">
        <v>23</v>
      </c>
      <c r="O34" s="45">
        <v>14</v>
      </c>
      <c r="P34" s="45">
        <v>22</v>
      </c>
      <c r="Q34" s="45">
        <v>24</v>
      </c>
      <c r="R34" s="45">
        <v>29</v>
      </c>
      <c r="S34" s="45">
        <v>29</v>
      </c>
      <c r="T34" s="45">
        <v>24</v>
      </c>
      <c r="U34" s="45">
        <v>27</v>
      </c>
      <c r="V34" s="101">
        <v>33</v>
      </c>
      <c r="W34" s="101">
        <v>42</v>
      </c>
      <c r="X34" s="45">
        <v>23</v>
      </c>
      <c r="Y34" s="45">
        <v>21</v>
      </c>
      <c r="Z34" s="45"/>
      <c r="AA34" s="102">
        <f t="shared" si="10"/>
        <v>360</v>
      </c>
      <c r="AB34" s="103">
        <f t="shared" si="11"/>
        <v>22.5</v>
      </c>
      <c r="AC34" s="186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X34" s="6"/>
      <c r="AY34" s="6"/>
      <c r="AZ34" s="6"/>
    </row>
    <row r="35" spans="1:52" ht="15" customHeight="1">
      <c r="A35" s="181"/>
      <c r="B35" s="44" t="s">
        <v>26</v>
      </c>
      <c r="C35" s="104"/>
      <c r="D35" s="104"/>
      <c r="E35" s="104"/>
      <c r="F35" s="104"/>
      <c r="G35" s="104"/>
      <c r="H35" s="104"/>
      <c r="I35" s="45">
        <v>0</v>
      </c>
      <c r="J35" s="45">
        <v>0</v>
      </c>
      <c r="K35" s="45">
        <v>2</v>
      </c>
      <c r="L35" s="45">
        <v>2</v>
      </c>
      <c r="M35" s="45">
        <v>4</v>
      </c>
      <c r="N35" s="45">
        <v>3</v>
      </c>
      <c r="O35" s="45">
        <v>0</v>
      </c>
      <c r="P35" s="45">
        <v>1</v>
      </c>
      <c r="Q35" s="45">
        <v>3</v>
      </c>
      <c r="R35" s="45">
        <v>1</v>
      </c>
      <c r="S35" s="45">
        <v>0</v>
      </c>
      <c r="T35" s="45">
        <v>0</v>
      </c>
      <c r="U35" s="45">
        <v>0</v>
      </c>
      <c r="V35" s="101">
        <v>0</v>
      </c>
      <c r="W35" s="101">
        <v>0</v>
      </c>
      <c r="X35" s="45">
        <v>0</v>
      </c>
      <c r="Y35" s="45">
        <v>0</v>
      </c>
      <c r="Z35" s="45"/>
      <c r="AA35" s="102">
        <f t="shared" si="10"/>
        <v>16</v>
      </c>
      <c r="AB35" s="103">
        <f t="shared" si="11"/>
        <v>0.94117647058823528</v>
      </c>
      <c r="AC35" s="186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X35" s="6"/>
      <c r="AY35" s="6"/>
      <c r="AZ35" s="6"/>
    </row>
    <row r="36" spans="1:52" ht="18.75" customHeight="1">
      <c r="A36" s="181"/>
      <c r="B36" s="44" t="s">
        <v>27</v>
      </c>
      <c r="C36" s="45">
        <v>28</v>
      </c>
      <c r="D36" s="45">
        <v>28</v>
      </c>
      <c r="E36" s="45">
        <v>47</v>
      </c>
      <c r="F36" s="45">
        <v>24</v>
      </c>
      <c r="G36" s="45">
        <v>90</v>
      </c>
      <c r="H36" s="45">
        <v>12</v>
      </c>
      <c r="I36" s="45">
        <v>19</v>
      </c>
      <c r="J36" s="45">
        <v>13</v>
      </c>
      <c r="K36" s="45">
        <v>27</v>
      </c>
      <c r="L36" s="45">
        <v>35</v>
      </c>
      <c r="M36" s="45">
        <v>29</v>
      </c>
      <c r="N36" s="45">
        <v>29</v>
      </c>
      <c r="O36" s="45">
        <v>35</v>
      </c>
      <c r="P36" s="45">
        <v>32</v>
      </c>
      <c r="Q36" s="45">
        <v>27</v>
      </c>
      <c r="R36" s="45">
        <v>13</v>
      </c>
      <c r="S36" s="45">
        <v>17</v>
      </c>
      <c r="T36" s="45">
        <v>8</v>
      </c>
      <c r="U36" s="45">
        <v>17</v>
      </c>
      <c r="V36" s="101">
        <v>16</v>
      </c>
      <c r="W36" s="101">
        <v>31</v>
      </c>
      <c r="X36" s="45">
        <v>14</v>
      </c>
      <c r="Y36" s="45">
        <v>16</v>
      </c>
      <c r="Z36" s="45"/>
      <c r="AA36" s="102">
        <f t="shared" si="10"/>
        <v>607</v>
      </c>
      <c r="AB36" s="103">
        <f t="shared" si="11"/>
        <v>26.391304347826086</v>
      </c>
      <c r="AC36" s="186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X36" s="6"/>
      <c r="AY36" s="6"/>
      <c r="AZ36" s="6"/>
    </row>
    <row r="37" spans="1:52" ht="16.5" customHeight="1">
      <c r="A37" s="181"/>
      <c r="B37" s="44" t="s">
        <v>28</v>
      </c>
      <c r="C37" s="104"/>
      <c r="D37" s="104"/>
      <c r="E37" s="104"/>
      <c r="F37" s="104"/>
      <c r="G37" s="104"/>
      <c r="H37" s="104"/>
      <c r="I37" s="104"/>
      <c r="J37" s="104"/>
      <c r="K37" s="104"/>
      <c r="L37" s="45">
        <v>2</v>
      </c>
      <c r="M37" s="45">
        <v>6</v>
      </c>
      <c r="N37" s="45">
        <v>5</v>
      </c>
      <c r="O37" s="45">
        <v>2</v>
      </c>
      <c r="P37" s="45">
        <v>5</v>
      </c>
      <c r="Q37" s="45">
        <v>7</v>
      </c>
      <c r="R37" s="45">
        <v>2</v>
      </c>
      <c r="S37" s="45">
        <v>0</v>
      </c>
      <c r="T37" s="45">
        <v>0</v>
      </c>
      <c r="U37" s="45">
        <v>0</v>
      </c>
      <c r="V37" s="101">
        <v>0</v>
      </c>
      <c r="W37" s="101">
        <v>0</v>
      </c>
      <c r="X37" s="45">
        <v>0</v>
      </c>
      <c r="Y37" s="45">
        <v>0</v>
      </c>
      <c r="Z37" s="45"/>
      <c r="AA37" s="102">
        <f t="shared" si="10"/>
        <v>29</v>
      </c>
      <c r="AB37" s="103">
        <f t="shared" si="11"/>
        <v>2.0714285714285716</v>
      </c>
      <c r="AC37" s="186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X37" s="6"/>
      <c r="AY37" s="6"/>
      <c r="AZ37" s="6"/>
    </row>
    <row r="38" spans="1:52" ht="18.75" customHeight="1">
      <c r="A38" s="181"/>
      <c r="B38" s="44" t="s">
        <v>29</v>
      </c>
      <c r="C38" s="104"/>
      <c r="D38" s="104"/>
      <c r="E38" s="104"/>
      <c r="F38" s="104"/>
      <c r="G38" s="104"/>
      <c r="H38" s="104"/>
      <c r="I38" s="104"/>
      <c r="J38" s="104"/>
      <c r="K38" s="104"/>
      <c r="L38" s="45">
        <v>195</v>
      </c>
      <c r="M38" s="45">
        <v>229</v>
      </c>
      <c r="N38" s="45">
        <v>172</v>
      </c>
      <c r="O38" s="45">
        <v>165</v>
      </c>
      <c r="P38" s="45">
        <v>135</v>
      </c>
      <c r="Q38" s="45">
        <v>120</v>
      </c>
      <c r="R38" s="45">
        <v>88</v>
      </c>
      <c r="S38" s="45">
        <v>109</v>
      </c>
      <c r="T38" s="45">
        <v>123</v>
      </c>
      <c r="U38" s="45">
        <v>123</v>
      </c>
      <c r="V38" s="101">
        <v>127</v>
      </c>
      <c r="W38" s="101">
        <v>115</v>
      </c>
      <c r="X38" s="45">
        <v>67</v>
      </c>
      <c r="Y38" s="45">
        <v>61</v>
      </c>
      <c r="Z38" s="45"/>
      <c r="AA38" s="102">
        <f t="shared" si="10"/>
        <v>1829</v>
      </c>
      <c r="AB38" s="103">
        <f t="shared" si="11"/>
        <v>130.64285714285714</v>
      </c>
      <c r="AC38" s="186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X38" s="6"/>
      <c r="AY38" s="6"/>
      <c r="AZ38" s="6"/>
    </row>
    <row r="39" spans="1:52" ht="18" customHeight="1">
      <c r="A39" s="181"/>
      <c r="B39" s="50" t="s">
        <v>62</v>
      </c>
      <c r="C39" s="105">
        <f t="shared" ref="C39:V39" si="12">SUM(C32:C38)</f>
        <v>59</v>
      </c>
      <c r="D39" s="105">
        <f t="shared" si="12"/>
        <v>78</v>
      </c>
      <c r="E39" s="105">
        <f t="shared" si="12"/>
        <v>135</v>
      </c>
      <c r="F39" s="105">
        <f t="shared" si="12"/>
        <v>81</v>
      </c>
      <c r="G39" s="105">
        <f t="shared" si="12"/>
        <v>189</v>
      </c>
      <c r="H39" s="105">
        <f t="shared" si="12"/>
        <v>103</v>
      </c>
      <c r="I39" s="106">
        <f t="shared" si="12"/>
        <v>133</v>
      </c>
      <c r="J39" s="105">
        <f t="shared" si="12"/>
        <v>106</v>
      </c>
      <c r="K39" s="105">
        <f t="shared" si="12"/>
        <v>128</v>
      </c>
      <c r="L39" s="105">
        <f t="shared" si="12"/>
        <v>363</v>
      </c>
      <c r="M39" s="105">
        <f t="shared" si="12"/>
        <v>387</v>
      </c>
      <c r="N39" s="105">
        <f t="shared" si="12"/>
        <v>344</v>
      </c>
      <c r="O39" s="105">
        <f t="shared" si="12"/>
        <v>316</v>
      </c>
      <c r="P39" s="105">
        <f t="shared" si="12"/>
        <v>309</v>
      </c>
      <c r="Q39" s="105">
        <f t="shared" si="12"/>
        <v>243</v>
      </c>
      <c r="R39" s="105">
        <f t="shared" si="12"/>
        <v>216</v>
      </c>
      <c r="S39" s="105">
        <f t="shared" si="12"/>
        <v>205</v>
      </c>
      <c r="T39" s="105">
        <f t="shared" si="12"/>
        <v>215</v>
      </c>
      <c r="U39" s="105">
        <f t="shared" si="12"/>
        <v>242</v>
      </c>
      <c r="V39" s="105">
        <f t="shared" si="12"/>
        <v>229</v>
      </c>
      <c r="W39" s="105">
        <f>SUM(W32:W38)</f>
        <v>257</v>
      </c>
      <c r="X39" s="105">
        <f>SUM(X32:X38)</f>
        <v>153</v>
      </c>
      <c r="Y39" s="105">
        <f>SUM(Y32:Y38)</f>
        <v>162</v>
      </c>
      <c r="Z39" s="105"/>
      <c r="AA39" s="102">
        <f t="shared" si="10"/>
        <v>4653</v>
      </c>
      <c r="AB39" s="107">
        <f t="shared" si="11"/>
        <v>202.30434782608697</v>
      </c>
      <c r="AC39" s="187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X39" s="6"/>
      <c r="AY39" s="6"/>
      <c r="AZ39" s="6"/>
    </row>
    <row r="40" spans="1:52" ht="20.25" customHeight="1">
      <c r="A40" s="189" t="s">
        <v>30</v>
      </c>
      <c r="B40" s="38" t="s">
        <v>31</v>
      </c>
      <c r="C40" s="196"/>
      <c r="D40" s="196"/>
      <c r="E40" s="196"/>
      <c r="F40" s="196"/>
      <c r="G40" s="196"/>
      <c r="H40" s="196"/>
      <c r="I40" s="196"/>
      <c r="J40" s="192">
        <v>1140</v>
      </c>
      <c r="K40" s="192">
        <v>1030</v>
      </c>
      <c r="L40" s="39">
        <f>420+95</f>
        <v>515</v>
      </c>
      <c r="M40" s="39">
        <f>397+79</f>
        <v>476</v>
      </c>
      <c r="N40" s="39">
        <f>361+76</f>
        <v>437</v>
      </c>
      <c r="O40" s="39">
        <f>340+85</f>
        <v>425</v>
      </c>
      <c r="P40" s="39">
        <f>251+39</f>
        <v>290</v>
      </c>
      <c r="Q40" s="39">
        <f>253+56</f>
        <v>309</v>
      </c>
      <c r="R40" s="39">
        <f>234+68</f>
        <v>302</v>
      </c>
      <c r="S40" s="39">
        <f>225+68</f>
        <v>293</v>
      </c>
      <c r="T40" s="39">
        <f>259+74</f>
        <v>333</v>
      </c>
      <c r="U40" s="39">
        <f>298+80</f>
        <v>378</v>
      </c>
      <c r="V40" s="98">
        <f>246+84</f>
        <v>330</v>
      </c>
      <c r="W40" s="98">
        <f>232+79</f>
        <v>311</v>
      </c>
      <c r="X40" s="39">
        <f>177+72</f>
        <v>249</v>
      </c>
      <c r="Y40" s="39">
        <v>176</v>
      </c>
      <c r="Z40" s="39"/>
      <c r="AA40" s="99">
        <f t="shared" si="10"/>
        <v>6994</v>
      </c>
      <c r="AB40" s="100">
        <f t="shared" si="11"/>
        <v>437.125</v>
      </c>
      <c r="AC40" s="185" t="s">
        <v>94</v>
      </c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X40" s="6"/>
      <c r="AY40" s="6"/>
      <c r="AZ40" s="6"/>
    </row>
    <row r="41" spans="1:52" ht="20.25" customHeight="1">
      <c r="A41" s="188"/>
      <c r="B41" s="44" t="s">
        <v>34</v>
      </c>
      <c r="C41" s="197"/>
      <c r="D41" s="197"/>
      <c r="E41" s="197"/>
      <c r="F41" s="197"/>
      <c r="G41" s="197"/>
      <c r="H41" s="197"/>
      <c r="I41" s="197"/>
      <c r="J41" s="193"/>
      <c r="K41" s="193"/>
      <c r="L41" s="45">
        <v>458</v>
      </c>
      <c r="M41" s="45">
        <v>299</v>
      </c>
      <c r="N41" s="45">
        <v>320</v>
      </c>
      <c r="O41" s="45">
        <v>326</v>
      </c>
      <c r="P41" s="45">
        <v>378</v>
      </c>
      <c r="Q41" s="45">
        <v>512</v>
      </c>
      <c r="R41" s="45">
        <v>441</v>
      </c>
      <c r="S41" s="45">
        <v>412</v>
      </c>
      <c r="T41" s="45">
        <v>356</v>
      </c>
      <c r="U41" s="45">
        <v>495</v>
      </c>
      <c r="V41" s="101">
        <v>482</v>
      </c>
      <c r="W41" s="101">
        <v>435</v>
      </c>
      <c r="X41" s="45">
        <v>488</v>
      </c>
      <c r="Y41" s="45">
        <v>531</v>
      </c>
      <c r="Z41" s="45"/>
      <c r="AA41" s="102">
        <f t="shared" si="10"/>
        <v>5933</v>
      </c>
      <c r="AB41" s="103">
        <f t="shared" si="11"/>
        <v>423.78571428571428</v>
      </c>
      <c r="AC41" s="191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X41" s="6"/>
      <c r="AY41" s="6"/>
      <c r="AZ41" s="6"/>
    </row>
    <row r="42" spans="1:52" ht="18" customHeight="1">
      <c r="A42" s="188"/>
      <c r="B42" s="44" t="s">
        <v>33</v>
      </c>
      <c r="C42" s="198"/>
      <c r="D42" s="198"/>
      <c r="E42" s="198"/>
      <c r="F42" s="198"/>
      <c r="G42" s="198"/>
      <c r="H42" s="198"/>
      <c r="I42" s="198"/>
      <c r="J42" s="194">
        <v>2149</v>
      </c>
      <c r="K42" s="194">
        <v>1855</v>
      </c>
      <c r="L42" s="45">
        <v>1435</v>
      </c>
      <c r="M42" s="45">
        <v>1412</v>
      </c>
      <c r="N42" s="45">
        <v>1343</v>
      </c>
      <c r="O42" s="45">
        <v>1331</v>
      </c>
      <c r="P42" s="45">
        <v>998</v>
      </c>
      <c r="Q42" s="45">
        <v>858</v>
      </c>
      <c r="R42" s="45">
        <v>777</v>
      </c>
      <c r="S42" s="45">
        <v>862</v>
      </c>
      <c r="T42" s="45">
        <v>751</v>
      </c>
      <c r="U42" s="45">
        <v>841</v>
      </c>
      <c r="V42" s="101">
        <v>731</v>
      </c>
      <c r="W42" s="101">
        <v>640</v>
      </c>
      <c r="X42" s="45">
        <v>411</v>
      </c>
      <c r="Y42" s="45">
        <v>403</v>
      </c>
      <c r="Z42" s="45"/>
      <c r="AA42" s="102">
        <f t="shared" si="10"/>
        <v>16797</v>
      </c>
      <c r="AB42" s="103">
        <f t="shared" si="11"/>
        <v>1049.8125</v>
      </c>
      <c r="AC42" s="186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X42" s="6"/>
      <c r="AY42" s="6"/>
      <c r="AZ42" s="6"/>
    </row>
    <row r="43" spans="1:52" ht="18" customHeight="1">
      <c r="A43" s="188"/>
      <c r="B43" s="108" t="s">
        <v>35</v>
      </c>
      <c r="C43" s="199"/>
      <c r="D43" s="199"/>
      <c r="E43" s="199"/>
      <c r="F43" s="199"/>
      <c r="G43" s="199"/>
      <c r="H43" s="199"/>
      <c r="I43" s="199"/>
      <c r="J43" s="195"/>
      <c r="K43" s="195"/>
      <c r="L43" s="109">
        <v>347</v>
      </c>
      <c r="M43" s="109">
        <v>228</v>
      </c>
      <c r="N43" s="109">
        <v>197</v>
      </c>
      <c r="O43" s="109">
        <v>173</v>
      </c>
      <c r="P43" s="109">
        <v>278</v>
      </c>
      <c r="Q43" s="109">
        <v>525</v>
      </c>
      <c r="R43" s="109">
        <v>473</v>
      </c>
      <c r="S43" s="109">
        <v>513</v>
      </c>
      <c r="T43" s="109">
        <v>508</v>
      </c>
      <c r="U43" s="109">
        <v>556</v>
      </c>
      <c r="V43" s="109">
        <v>535</v>
      </c>
      <c r="W43" s="109">
        <v>478</v>
      </c>
      <c r="X43" s="109">
        <v>472</v>
      </c>
      <c r="Y43" s="109">
        <v>558</v>
      </c>
      <c r="Z43" s="109"/>
      <c r="AA43" s="110">
        <f t="shared" si="10"/>
        <v>5841</v>
      </c>
      <c r="AB43" s="111">
        <f t="shared" si="11"/>
        <v>417.21428571428572</v>
      </c>
      <c r="AC43" s="186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X43" s="6"/>
      <c r="AY43" s="6"/>
      <c r="AZ43" s="6"/>
    </row>
    <row r="44" spans="1:52" ht="18" customHeight="1">
      <c r="A44" s="188"/>
      <c r="B44" s="112" t="s">
        <v>61</v>
      </c>
      <c r="C44" s="113">
        <f t="shared" ref="C44:X44" si="13">SUM(C40:C43)</f>
        <v>0</v>
      </c>
      <c r="D44" s="113">
        <f t="shared" si="13"/>
        <v>0</v>
      </c>
      <c r="E44" s="113">
        <f t="shared" si="13"/>
        <v>0</v>
      </c>
      <c r="F44" s="113">
        <f t="shared" si="13"/>
        <v>0</v>
      </c>
      <c r="G44" s="113">
        <f t="shared" si="13"/>
        <v>0</v>
      </c>
      <c r="H44" s="113">
        <f t="shared" si="13"/>
        <v>0</v>
      </c>
      <c r="I44" s="113">
        <f t="shared" si="13"/>
        <v>0</v>
      </c>
      <c r="J44" s="113">
        <f t="shared" si="13"/>
        <v>3289</v>
      </c>
      <c r="K44" s="113">
        <f t="shared" si="13"/>
        <v>2885</v>
      </c>
      <c r="L44" s="113">
        <f t="shared" si="13"/>
        <v>2755</v>
      </c>
      <c r="M44" s="113">
        <f t="shared" si="13"/>
        <v>2415</v>
      </c>
      <c r="N44" s="113">
        <f t="shared" si="13"/>
        <v>2297</v>
      </c>
      <c r="O44" s="113">
        <f t="shared" si="13"/>
        <v>2255</v>
      </c>
      <c r="P44" s="113">
        <f t="shared" si="13"/>
        <v>1944</v>
      </c>
      <c r="Q44" s="113">
        <f t="shared" si="13"/>
        <v>2204</v>
      </c>
      <c r="R44" s="113">
        <f t="shared" si="13"/>
        <v>1993</v>
      </c>
      <c r="S44" s="113">
        <f t="shared" si="13"/>
        <v>2080</v>
      </c>
      <c r="T44" s="113">
        <f t="shared" si="13"/>
        <v>1948</v>
      </c>
      <c r="U44" s="113">
        <f t="shared" si="13"/>
        <v>2270</v>
      </c>
      <c r="V44" s="113">
        <f t="shared" si="13"/>
        <v>2078</v>
      </c>
      <c r="W44" s="113">
        <f t="shared" si="13"/>
        <v>1864</v>
      </c>
      <c r="X44" s="113">
        <f t="shared" si="13"/>
        <v>1620</v>
      </c>
      <c r="Y44" s="113">
        <f t="shared" ref="Y44" si="14">SUM(Y40:Y43)</f>
        <v>1668</v>
      </c>
      <c r="Z44" s="168"/>
      <c r="AA44" s="114">
        <f t="shared" si="10"/>
        <v>35565</v>
      </c>
      <c r="AB44" s="115">
        <f t="shared" si="11"/>
        <v>1546.304347826087</v>
      </c>
      <c r="AC44" s="186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X44" s="6"/>
      <c r="AY44" s="6"/>
      <c r="AZ44" s="6"/>
    </row>
    <row r="45" spans="1:52" ht="20.25" customHeight="1">
      <c r="A45" s="188"/>
      <c r="B45" s="116" t="s">
        <v>67</v>
      </c>
      <c r="C45" s="155"/>
      <c r="D45" s="155"/>
      <c r="E45" s="155"/>
      <c r="F45" s="155"/>
      <c r="G45" s="155"/>
      <c r="H45" s="155"/>
      <c r="I45" s="155"/>
      <c r="J45" s="117">
        <f>(J40)/J44</f>
        <v>0.34660991182730311</v>
      </c>
      <c r="K45" s="117">
        <f>(K40)/K44</f>
        <v>0.35701906412478335</v>
      </c>
      <c r="L45" s="117">
        <f t="shared" ref="L45:X45" si="15">(L40+L41)/L44</f>
        <v>0.35317604355716881</v>
      </c>
      <c r="M45" s="117">
        <f t="shared" si="15"/>
        <v>0.32091097308488614</v>
      </c>
      <c r="N45" s="117">
        <f t="shared" si="15"/>
        <v>0.32956029603831083</v>
      </c>
      <c r="O45" s="117">
        <f t="shared" si="15"/>
        <v>0.33303769401330374</v>
      </c>
      <c r="P45" s="117">
        <f t="shared" si="15"/>
        <v>0.34362139917695472</v>
      </c>
      <c r="Q45" s="117">
        <f t="shared" si="15"/>
        <v>0.37250453720508164</v>
      </c>
      <c r="R45" s="117">
        <f t="shared" si="15"/>
        <v>0.37280481685900652</v>
      </c>
      <c r="S45" s="117">
        <f t="shared" si="15"/>
        <v>0.33894230769230771</v>
      </c>
      <c r="T45" s="117">
        <f t="shared" si="15"/>
        <v>0.35369609856262835</v>
      </c>
      <c r="U45" s="117">
        <f t="shared" si="15"/>
        <v>0.38458149779735684</v>
      </c>
      <c r="V45" s="117">
        <f t="shared" si="15"/>
        <v>0.39076034648700675</v>
      </c>
      <c r="W45" s="117">
        <f t="shared" si="15"/>
        <v>0.40021459227467809</v>
      </c>
      <c r="X45" s="117">
        <f t="shared" si="15"/>
        <v>0.45493827160493827</v>
      </c>
      <c r="Y45" s="117">
        <f t="shared" ref="Y45" si="16">(Y40+Y41)/Y44</f>
        <v>0.42386091127098319</v>
      </c>
      <c r="Z45" s="117"/>
      <c r="AA45" s="73">
        <f t="shared" si="10"/>
        <v>5.8762387615766984</v>
      </c>
      <c r="AB45" s="73">
        <f t="shared" si="11"/>
        <v>0.36726492259854365</v>
      </c>
      <c r="AC45" s="118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</row>
    <row r="46" spans="1:52" ht="21" customHeight="1">
      <c r="A46" s="180" t="s">
        <v>36</v>
      </c>
      <c r="B46" s="38" t="s">
        <v>37</v>
      </c>
      <c r="C46" s="119">
        <v>654248</v>
      </c>
      <c r="D46" s="119">
        <v>703399</v>
      </c>
      <c r="E46" s="119">
        <v>658718</v>
      </c>
      <c r="F46" s="119">
        <v>812434</v>
      </c>
      <c r="G46" s="119">
        <v>873607</v>
      </c>
      <c r="H46" s="119">
        <v>946268</v>
      </c>
      <c r="I46" s="119">
        <v>1035155</v>
      </c>
      <c r="J46" s="39">
        <v>1235061</v>
      </c>
      <c r="K46" s="39">
        <v>1298037</v>
      </c>
      <c r="L46" s="39">
        <v>1435751</v>
      </c>
      <c r="M46" s="119">
        <v>1543653</v>
      </c>
      <c r="N46" s="119">
        <v>1376815</v>
      </c>
      <c r="O46" s="119">
        <v>1535831</v>
      </c>
      <c r="P46" s="119">
        <v>1671288</v>
      </c>
      <c r="Q46" s="119">
        <v>1922330</v>
      </c>
      <c r="R46" s="119">
        <v>1867770</v>
      </c>
      <c r="S46" s="119">
        <v>1300452</v>
      </c>
      <c r="T46" s="119">
        <v>1037783</v>
      </c>
      <c r="U46" s="120">
        <v>1831259</v>
      </c>
      <c r="V46" s="39">
        <v>1959154</v>
      </c>
      <c r="W46" s="42">
        <v>1870272</v>
      </c>
      <c r="X46" s="39">
        <v>1495196</v>
      </c>
      <c r="Y46" s="39">
        <v>1608916</v>
      </c>
      <c r="Z46" s="39"/>
      <c r="AA46" s="99">
        <f t="shared" si="10"/>
        <v>30673397</v>
      </c>
      <c r="AB46" s="100">
        <f t="shared" si="11"/>
        <v>1333625.956521739</v>
      </c>
      <c r="AC46" s="185" t="s">
        <v>117</v>
      </c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</row>
    <row r="47" spans="1:52" ht="18.75" customHeight="1">
      <c r="A47" s="181"/>
      <c r="B47" s="44" t="s">
        <v>38</v>
      </c>
      <c r="C47" s="45">
        <v>3909</v>
      </c>
      <c r="D47" s="45">
        <v>3738</v>
      </c>
      <c r="E47" s="45">
        <v>2088</v>
      </c>
      <c r="F47" s="45">
        <v>2733</v>
      </c>
      <c r="G47" s="45">
        <f>4917+7</f>
        <v>4924</v>
      </c>
      <c r="H47" s="45">
        <f>3643+13</f>
        <v>3656</v>
      </c>
      <c r="I47" s="45">
        <f>3839</f>
        <v>3839</v>
      </c>
      <c r="J47" s="45">
        <f>5123+721</f>
        <v>5844</v>
      </c>
      <c r="K47" s="45">
        <v>3873</v>
      </c>
      <c r="L47" s="45">
        <v>4253</v>
      </c>
      <c r="M47" s="45">
        <f>4042+268</f>
        <v>4310</v>
      </c>
      <c r="N47" s="45">
        <f>3832+65+207+2</f>
        <v>4106</v>
      </c>
      <c r="O47" s="45">
        <f>1357+13+102</f>
        <v>1472</v>
      </c>
      <c r="P47" s="45">
        <f>2045+9+727</f>
        <v>2781</v>
      </c>
      <c r="Q47" s="45">
        <f>3276+772</f>
        <v>4048</v>
      </c>
      <c r="R47" s="45">
        <f>4748</f>
        <v>4748</v>
      </c>
      <c r="S47" s="45">
        <f>4415</f>
        <v>4415</v>
      </c>
      <c r="T47" s="45">
        <f>4451+23</f>
        <v>4474</v>
      </c>
      <c r="U47" s="121">
        <v>4748</v>
      </c>
      <c r="V47" s="122">
        <v>4632</v>
      </c>
      <c r="W47" s="101">
        <v>4384</v>
      </c>
      <c r="X47" s="45">
        <v>2641</v>
      </c>
      <c r="Y47" s="45">
        <v>4069</v>
      </c>
      <c r="Z47" s="45"/>
      <c r="AA47" s="102">
        <f t="shared" si="10"/>
        <v>89685</v>
      </c>
      <c r="AB47" s="103">
        <f t="shared" si="11"/>
        <v>3899.3478260869565</v>
      </c>
      <c r="AC47" s="186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</row>
    <row r="48" spans="1:52" ht="18.75" customHeight="1">
      <c r="A48" s="181"/>
      <c r="B48" s="44" t="s">
        <v>39</v>
      </c>
      <c r="C48" s="45">
        <v>234</v>
      </c>
      <c r="D48" s="45">
        <v>219</v>
      </c>
      <c r="E48" s="45">
        <v>307</v>
      </c>
      <c r="F48" s="45">
        <v>418</v>
      </c>
      <c r="G48" s="45">
        <v>1011</v>
      </c>
      <c r="H48" s="45">
        <v>896</v>
      </c>
      <c r="I48" s="45">
        <v>902</v>
      </c>
      <c r="J48" s="45">
        <v>1136</v>
      </c>
      <c r="K48" s="45">
        <v>837</v>
      </c>
      <c r="L48" s="45">
        <f>1142+9</f>
        <v>1151</v>
      </c>
      <c r="M48" s="45">
        <f>1056+25</f>
        <v>1081</v>
      </c>
      <c r="N48" s="45">
        <f>997+22</f>
        <v>1019</v>
      </c>
      <c r="O48" s="45">
        <f>282+13</f>
        <v>295</v>
      </c>
      <c r="P48" s="45">
        <f>1+864</f>
        <v>865</v>
      </c>
      <c r="Q48" s="45">
        <f>930</f>
        <v>930</v>
      </c>
      <c r="R48" s="45">
        <f>1173+52</f>
        <v>1225</v>
      </c>
      <c r="S48" s="45">
        <f>2+1201+34</f>
        <v>1237</v>
      </c>
      <c r="T48" s="45">
        <f>1511</f>
        <v>1511</v>
      </c>
      <c r="U48" s="121">
        <v>1415</v>
      </c>
      <c r="V48" s="122">
        <v>1441</v>
      </c>
      <c r="W48" s="101">
        <v>1605</v>
      </c>
      <c r="X48" s="45">
        <v>885</v>
      </c>
      <c r="Y48" s="45">
        <v>1363</v>
      </c>
      <c r="Z48" s="45"/>
      <c r="AA48" s="102">
        <f t="shared" si="10"/>
        <v>21983</v>
      </c>
      <c r="AB48" s="103">
        <f t="shared" si="11"/>
        <v>955.78260869565213</v>
      </c>
      <c r="AC48" s="186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</row>
    <row r="49" spans="1:49" ht="18.75" customHeight="1">
      <c r="A49" s="181"/>
      <c r="B49" s="44" t="s">
        <v>88</v>
      </c>
      <c r="C49" s="45">
        <v>132</v>
      </c>
      <c r="D49" s="45">
        <v>107</v>
      </c>
      <c r="E49" s="45">
        <v>130</v>
      </c>
      <c r="F49" s="45">
        <v>122</v>
      </c>
      <c r="G49" s="45">
        <v>181</v>
      </c>
      <c r="H49" s="45">
        <v>188</v>
      </c>
      <c r="I49" s="45">
        <v>206</v>
      </c>
      <c r="J49" s="45">
        <v>177</v>
      </c>
      <c r="K49" s="45">
        <f>96</f>
        <v>96</v>
      </c>
      <c r="L49" s="45">
        <v>159</v>
      </c>
      <c r="M49" s="45">
        <f>132+11</f>
        <v>143</v>
      </c>
      <c r="N49" s="45">
        <f>119+9</f>
        <v>128</v>
      </c>
      <c r="O49" s="45">
        <f>25+1</f>
        <v>26</v>
      </c>
      <c r="P49" s="45">
        <f>56</f>
        <v>56</v>
      </c>
      <c r="Q49" s="45">
        <f>38</f>
        <v>38</v>
      </c>
      <c r="R49" s="45">
        <f>101</f>
        <v>101</v>
      </c>
      <c r="S49" s="45">
        <v>79</v>
      </c>
      <c r="T49" s="45">
        <f>111</f>
        <v>111</v>
      </c>
      <c r="U49" s="121">
        <v>168</v>
      </c>
      <c r="V49" s="45">
        <v>140</v>
      </c>
      <c r="W49" s="48">
        <v>136</v>
      </c>
      <c r="X49" s="45">
        <v>132</v>
      </c>
      <c r="Y49" s="45">
        <v>132</v>
      </c>
      <c r="Z49" s="45"/>
      <c r="AA49" s="102">
        <f t="shared" si="10"/>
        <v>2888</v>
      </c>
      <c r="AB49" s="103">
        <f t="shared" si="11"/>
        <v>125.56521739130434</v>
      </c>
      <c r="AC49" s="186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</row>
    <row r="50" spans="1:49" ht="16.5" customHeight="1">
      <c r="A50" s="181"/>
      <c r="B50" s="44" t="s">
        <v>40</v>
      </c>
      <c r="C50" s="45">
        <v>18</v>
      </c>
      <c r="D50" s="45">
        <v>14</v>
      </c>
      <c r="E50" s="45">
        <v>23</v>
      </c>
      <c r="F50" s="45">
        <v>70</v>
      </c>
      <c r="G50" s="45">
        <v>10</v>
      </c>
      <c r="H50" s="45">
        <v>102</v>
      </c>
      <c r="I50" s="45">
        <v>144</v>
      </c>
      <c r="J50" s="45">
        <v>156</v>
      </c>
      <c r="K50" s="45">
        <f>88+51</f>
        <v>139</v>
      </c>
      <c r="L50" s="45">
        <v>107</v>
      </c>
      <c r="M50" s="45">
        <f>168+3</f>
        <v>171</v>
      </c>
      <c r="N50" s="45">
        <f>178+7+2</f>
        <v>187</v>
      </c>
      <c r="O50" s="45">
        <f>34+19+2</f>
        <v>55</v>
      </c>
      <c r="P50" s="45">
        <v>192</v>
      </c>
      <c r="Q50" s="45">
        <v>138</v>
      </c>
      <c r="R50" s="45">
        <f>221+2</f>
        <v>223</v>
      </c>
      <c r="S50" s="45">
        <f>238+1</f>
        <v>239</v>
      </c>
      <c r="T50" s="45">
        <v>271</v>
      </c>
      <c r="U50" s="121">
        <v>327</v>
      </c>
      <c r="V50" s="122">
        <v>421</v>
      </c>
      <c r="W50" s="101">
        <v>409</v>
      </c>
      <c r="X50" s="45">
        <v>318</v>
      </c>
      <c r="Y50" s="45">
        <v>436</v>
      </c>
      <c r="Z50" s="45"/>
      <c r="AA50" s="102">
        <f t="shared" si="10"/>
        <v>4170</v>
      </c>
      <c r="AB50" s="103">
        <f t="shared" si="11"/>
        <v>181.30434782608697</v>
      </c>
      <c r="AC50" s="186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</row>
    <row r="51" spans="1:49" ht="18" customHeight="1">
      <c r="A51" s="181"/>
      <c r="B51" s="44" t="s">
        <v>41</v>
      </c>
      <c r="C51" s="45">
        <v>5361</v>
      </c>
      <c r="D51" s="45">
        <v>4183</v>
      </c>
      <c r="E51" s="45">
        <v>4168</v>
      </c>
      <c r="F51" s="45">
        <v>5372</v>
      </c>
      <c r="G51" s="45">
        <v>6172</v>
      </c>
      <c r="H51" s="45">
        <v>6466</v>
      </c>
      <c r="I51" s="45">
        <v>6019</v>
      </c>
      <c r="J51" s="45">
        <v>6918</v>
      </c>
      <c r="K51" s="45">
        <f>5460+1406</f>
        <v>6866</v>
      </c>
      <c r="L51" s="45">
        <v>7631</v>
      </c>
      <c r="M51" s="45">
        <v>7809</v>
      </c>
      <c r="N51" s="45">
        <v>7092</v>
      </c>
      <c r="O51" s="45">
        <v>8036</v>
      </c>
      <c r="P51" s="45">
        <v>11506</v>
      </c>
      <c r="Q51" s="45">
        <f>7443+3040</f>
        <v>10483</v>
      </c>
      <c r="R51" s="45">
        <f>10230+657</f>
        <v>10887</v>
      </c>
      <c r="S51" s="45">
        <f>8455+953</f>
        <v>9408</v>
      </c>
      <c r="T51" s="45">
        <v>14162</v>
      </c>
      <c r="U51" s="121">
        <f>12845</f>
        <v>12845</v>
      </c>
      <c r="V51" s="122">
        <v>15649</v>
      </c>
      <c r="W51" s="101">
        <v>19744</v>
      </c>
      <c r="X51" s="45">
        <v>18520</v>
      </c>
      <c r="Y51" s="45">
        <v>23839</v>
      </c>
      <c r="Z51" s="45"/>
      <c r="AA51" s="102">
        <f t="shared" si="10"/>
        <v>229136</v>
      </c>
      <c r="AB51" s="103">
        <f t="shared" si="11"/>
        <v>9962.434782608696</v>
      </c>
      <c r="AC51" s="186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</row>
    <row r="52" spans="1:49" ht="18" customHeight="1">
      <c r="A52" s="181"/>
      <c r="B52" s="44" t="s">
        <v>42</v>
      </c>
      <c r="C52" s="45">
        <v>0</v>
      </c>
      <c r="D52" s="45">
        <v>0</v>
      </c>
      <c r="E52" s="45">
        <v>0</v>
      </c>
      <c r="F52" s="45">
        <v>0</v>
      </c>
      <c r="G52" s="45">
        <v>0</v>
      </c>
      <c r="H52" s="45">
        <v>0</v>
      </c>
      <c r="I52" s="45">
        <v>0</v>
      </c>
      <c r="J52" s="45">
        <v>0</v>
      </c>
      <c r="K52" s="45">
        <v>0</v>
      </c>
      <c r="L52" s="45">
        <v>0</v>
      </c>
      <c r="M52" s="45">
        <v>0</v>
      </c>
      <c r="N52" s="45">
        <v>0</v>
      </c>
      <c r="O52" s="45">
        <v>0</v>
      </c>
      <c r="P52" s="45">
        <v>2119</v>
      </c>
      <c r="Q52" s="45">
        <f>2477+1018</f>
        <v>3495</v>
      </c>
      <c r="R52" s="45">
        <v>2638</v>
      </c>
      <c r="S52" s="45">
        <v>3688</v>
      </c>
      <c r="T52" s="45">
        <v>3164</v>
      </c>
      <c r="U52" s="121">
        <v>2941</v>
      </c>
      <c r="V52" s="122">
        <v>3175</v>
      </c>
      <c r="W52" s="101">
        <v>4478</v>
      </c>
      <c r="X52" s="45">
        <v>4186</v>
      </c>
      <c r="Y52" s="45">
        <v>5132</v>
      </c>
      <c r="Z52" s="45"/>
      <c r="AA52" s="102">
        <f t="shared" si="10"/>
        <v>35016</v>
      </c>
      <c r="AB52" s="103">
        <f t="shared" si="11"/>
        <v>1522.4347826086957</v>
      </c>
      <c r="AC52" s="186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</row>
    <row r="53" spans="1:49" s="76" customFormat="1" ht="16.5" customHeight="1">
      <c r="A53" s="181"/>
      <c r="B53" s="44" t="s">
        <v>43</v>
      </c>
      <c r="C53" s="45">
        <f>796+6066+2863</f>
        <v>9725</v>
      </c>
      <c r="D53" s="45">
        <f>787+5517+3177+346+3059</f>
        <v>12886</v>
      </c>
      <c r="E53" s="45">
        <f>839+5332+205+2113+301+122+939+30+14+1547</f>
        <v>11442</v>
      </c>
      <c r="F53" s="45">
        <f>883+6491+184+20+444+1743+257+173+250+319</f>
        <v>10764</v>
      </c>
      <c r="G53" s="45">
        <f>14+936+7032+9+1966+2015+171+142+240+173+3+617</f>
        <v>13318</v>
      </c>
      <c r="H53" s="45">
        <f>29+4+3+11+5748+926+178+2367+3956+242+11+300+269+568+2443</f>
        <v>17055</v>
      </c>
      <c r="I53" s="45">
        <f>12+3+5+6+5860+1002+122+2367+1352+1438+208+7+89+265+23+5+1990</f>
        <v>14754</v>
      </c>
      <c r="J53" s="45">
        <f>11+244+7323+861+1058+13+103+1827+964+675+17+183+50+89+292+1409</f>
        <v>15119</v>
      </c>
      <c r="K53" s="45">
        <f>12+246+4+4+1+2+6192+890+1038+15+115+1652+1124+728+6+82+20+26+452+997</f>
        <v>13606</v>
      </c>
      <c r="L53" s="45">
        <f>984+474+32+20+59+5+2+110+1+4647+784+758+14+2+1262+269+463+335+42+16+1047+96+1138</f>
        <v>12560</v>
      </c>
      <c r="M53" s="45">
        <f>971+430+5882+880+746+12+1596+168+277+56+3+1081+10+1281</f>
        <v>13393</v>
      </c>
      <c r="N53" s="45">
        <f>1048+19+297+39+6641+731+1014+15+29+599+220+875+387+63+7+543+209+978</f>
        <v>13714</v>
      </c>
      <c r="O53" s="45">
        <f>1654+10+89+19+5315+351+1135+29+1033+409+1174+399+80+116+1573+70+712</f>
        <v>14168</v>
      </c>
      <c r="P53" s="45">
        <f>2040+7332+398+1233+396+948+771+135+1+1217+17+202</f>
        <v>14690</v>
      </c>
      <c r="Q53" s="45">
        <f>1968+2650+154+1190+488+492+578+121+1187+842+6166</f>
        <v>15836</v>
      </c>
      <c r="R53" s="45">
        <f>2029+7420+558+333+1427+189+17+1116+121+1191</f>
        <v>14401</v>
      </c>
      <c r="S53" s="45">
        <f>654+8318+450+634+320+1226+148+40+1401+2095</f>
        <v>15286</v>
      </c>
      <c r="T53" s="45">
        <f>13626+3750+2636</f>
        <v>20012</v>
      </c>
      <c r="U53" s="121">
        <f>330+13298+6025+2779</f>
        <v>22432</v>
      </c>
      <c r="V53" s="45">
        <v>9984</v>
      </c>
      <c r="W53" s="48">
        <v>15892</v>
      </c>
      <c r="X53" s="45">
        <v>11099</v>
      </c>
      <c r="Y53" s="45">
        <v>14561</v>
      </c>
      <c r="Z53" s="45"/>
      <c r="AA53" s="49">
        <f t="shared" si="10"/>
        <v>326697</v>
      </c>
      <c r="AB53" s="78">
        <f t="shared" si="11"/>
        <v>14204.217391304348</v>
      </c>
      <c r="AC53" s="186"/>
      <c r="AD53" s="123"/>
      <c r="AE53" s="123"/>
      <c r="AF53" s="123"/>
      <c r="AG53" s="123"/>
      <c r="AH53" s="123"/>
      <c r="AI53" s="123"/>
      <c r="AJ53" s="123"/>
      <c r="AK53" s="123"/>
      <c r="AL53" s="123"/>
      <c r="AM53" s="123"/>
      <c r="AN53" s="123"/>
      <c r="AO53" s="123"/>
      <c r="AP53" s="123"/>
    </row>
    <row r="54" spans="1:49" s="77" customFormat="1" ht="18" customHeight="1">
      <c r="A54" s="181"/>
      <c r="B54" s="44" t="s">
        <v>44</v>
      </c>
      <c r="C54" s="45">
        <f>1821+805+5362+1948+3846+2339+34+18100+5124+1343</f>
        <v>40722</v>
      </c>
      <c r="D54" s="45">
        <f>1572+704+4784+1794+2555+2104+17+17259+1922+1</f>
        <v>32712</v>
      </c>
      <c r="E54" s="45">
        <f>1339+935+6403+2630+3358+2931+7+17445+1850+932</f>
        <v>37830</v>
      </c>
      <c r="F54" s="45">
        <f>1323+1023+7310+3534+3792+3550+19+19213+1893+4641</f>
        <v>46298</v>
      </c>
      <c r="G54" s="45">
        <f>1424+946+8297+4107+3842+3515+117+21800+3175+5442</f>
        <v>52665</v>
      </c>
      <c r="H54" s="45"/>
      <c r="I54" s="45">
        <f>3207+4063+5154+10085+22310+1269+922+2990+159+3987</f>
        <v>54146</v>
      </c>
      <c r="J54" s="45">
        <f>2647+3901+4463+9090+19962+1264+832+2695+227+2117+269+190+420+10611+32+3+1813+62</f>
        <v>60598</v>
      </c>
      <c r="K54" s="45">
        <f>2143+3176+3898+8419+21452+977+540+3039+172+1498+262+175+503+9292+29+5+1475+62</f>
        <v>57117</v>
      </c>
      <c r="L54" s="45">
        <f>2407+3843+5267+10553+23303+703+717+3284+161+1146+273+153+399+9305+31+4+1612+92</f>
        <v>63253</v>
      </c>
      <c r="M54" s="45">
        <f>2248+3744+5407+9740+24960+791+775+3463+150+5381+810+379+176+512+9206+20+2+1598+51</f>
        <v>69413</v>
      </c>
      <c r="N54" s="45">
        <f>1928+3797+5341+10756+28298+327+613+3244+37+5563+573+334+129+305+8564+15+4+1212+25</f>
        <v>71065</v>
      </c>
      <c r="O54" s="45">
        <f>1270+3053+4817+9808+26367+188+521+3094+6+2679+499+305+102+229+7477+20+4+891+6+1</f>
        <v>61337</v>
      </c>
      <c r="P54" s="45">
        <f>1636+3109+4642+3329+33944+147+9723+373+3832+122</f>
        <v>60857</v>
      </c>
      <c r="Q54" s="45">
        <f>505+1203+1572+1473+11649+58+3486+105+1043+35+42851</f>
        <v>63980</v>
      </c>
      <c r="R54" s="45">
        <f>834+3137+2033+4843+24128+2192+6980+443+2785</f>
        <v>47375</v>
      </c>
      <c r="S54" s="45">
        <f>751+4149+1175+4748+25579+186+7036+405+2452</f>
        <v>46481</v>
      </c>
      <c r="T54" s="45">
        <f>750+4991+1542+4757+30045+231+8372+434+2273</f>
        <v>53395</v>
      </c>
      <c r="U54" s="121">
        <f>568+4499+1533+4355+31178+372+7995+371+2004</f>
        <v>52875</v>
      </c>
      <c r="V54" s="45">
        <v>45970</v>
      </c>
      <c r="W54" s="48">
        <v>47348</v>
      </c>
      <c r="X54" s="45">
        <v>33358</v>
      </c>
      <c r="Y54" s="45">
        <v>41189</v>
      </c>
      <c r="Z54" s="45"/>
      <c r="AA54" s="49">
        <f t="shared" si="10"/>
        <v>1139984</v>
      </c>
      <c r="AB54" s="78">
        <f t="shared" si="11"/>
        <v>51817.454545454544</v>
      </c>
      <c r="AC54" s="186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3"/>
      <c r="AR54" s="10"/>
      <c r="AS54" s="76"/>
      <c r="AT54" s="10"/>
      <c r="AU54" s="10"/>
      <c r="AV54" s="10"/>
      <c r="AW54" s="10"/>
    </row>
    <row r="55" spans="1:49" s="77" customFormat="1" ht="18" customHeight="1">
      <c r="A55" s="181"/>
      <c r="B55" s="44" t="s">
        <v>45</v>
      </c>
      <c r="C55" s="45">
        <v>243</v>
      </c>
      <c r="D55" s="45">
        <v>81</v>
      </c>
      <c r="E55" s="45">
        <v>137</v>
      </c>
      <c r="F55" s="45">
        <f>27+215</f>
        <v>242</v>
      </c>
      <c r="G55" s="45">
        <f>471+238</f>
        <v>709</v>
      </c>
      <c r="H55" s="45">
        <v>400</v>
      </c>
      <c r="I55" s="45">
        <f>413+477</f>
        <v>890</v>
      </c>
      <c r="J55" s="45">
        <f>509+543+24+49</f>
        <v>1125</v>
      </c>
      <c r="K55" s="45">
        <f>420+58+498+23</f>
        <v>999</v>
      </c>
      <c r="L55" s="45">
        <f>742+657+72+172</f>
        <v>1643</v>
      </c>
      <c r="M55" s="45">
        <f>727+669+62+99</f>
        <v>1557</v>
      </c>
      <c r="N55" s="45">
        <f>933+778+38+34</f>
        <v>1783</v>
      </c>
      <c r="O55" s="45">
        <f>732+495+48+35</f>
        <v>1310</v>
      </c>
      <c r="P55" s="45">
        <f>1300+792</f>
        <v>2092</v>
      </c>
      <c r="Q55" s="45">
        <f>403+228+1569</f>
        <v>2200</v>
      </c>
      <c r="R55" s="45">
        <v>2296</v>
      </c>
      <c r="S55" s="45">
        <v>2136</v>
      </c>
      <c r="T55" s="45">
        <v>2147</v>
      </c>
      <c r="U55" s="121">
        <v>2366</v>
      </c>
      <c r="V55" s="45">
        <v>2894</v>
      </c>
      <c r="W55" s="48">
        <v>2938</v>
      </c>
      <c r="X55" s="45">
        <v>2278</v>
      </c>
      <c r="Y55" s="45">
        <v>2883</v>
      </c>
      <c r="Z55" s="45"/>
      <c r="AA55" s="49">
        <f t="shared" si="10"/>
        <v>35349</v>
      </c>
      <c r="AB55" s="78">
        <f t="shared" si="11"/>
        <v>1536.9130434782608</v>
      </c>
      <c r="AC55" s="186"/>
      <c r="AD55" s="62"/>
      <c r="AE55" s="62"/>
      <c r="AF55" s="62"/>
      <c r="AG55" s="62"/>
      <c r="AH55" s="62"/>
      <c r="AI55" s="62"/>
      <c r="AJ55" s="62"/>
      <c r="AK55" s="62"/>
      <c r="AL55" s="62"/>
      <c r="AM55" s="62"/>
      <c r="AN55" s="62"/>
      <c r="AO55" s="62"/>
      <c r="AP55" s="62"/>
      <c r="AQ55" s="3"/>
      <c r="AR55" s="10"/>
      <c r="AS55" s="76"/>
      <c r="AT55" s="10"/>
      <c r="AU55" s="10"/>
      <c r="AV55" s="10"/>
      <c r="AW55" s="10"/>
    </row>
    <row r="56" spans="1:49" ht="18" customHeight="1">
      <c r="A56" s="181"/>
      <c r="B56" s="44" t="s">
        <v>46</v>
      </c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45">
        <v>287</v>
      </c>
      <c r="N56" s="45">
        <v>2214</v>
      </c>
      <c r="O56" s="45">
        <v>1770</v>
      </c>
      <c r="P56" s="45">
        <v>2093</v>
      </c>
      <c r="Q56" s="45">
        <f>1334+692</f>
        <v>2026</v>
      </c>
      <c r="R56" s="45">
        <v>2788</v>
      </c>
      <c r="S56" s="45">
        <v>3595</v>
      </c>
      <c r="T56" s="45">
        <v>3201</v>
      </c>
      <c r="U56" s="121">
        <v>3049</v>
      </c>
      <c r="V56" s="122">
        <v>2861</v>
      </c>
      <c r="W56" s="101">
        <v>4106</v>
      </c>
      <c r="X56" s="45">
        <v>1917</v>
      </c>
      <c r="Y56" s="45">
        <v>2863</v>
      </c>
      <c r="Z56" s="45"/>
      <c r="AA56" s="102">
        <f t="shared" si="10"/>
        <v>32770</v>
      </c>
      <c r="AB56" s="103">
        <f t="shared" si="11"/>
        <v>2520.7692307692309</v>
      </c>
      <c r="AC56" s="186"/>
      <c r="AH56" s="62"/>
      <c r="AI56" s="62"/>
      <c r="AJ56" s="62"/>
      <c r="AK56" s="62"/>
      <c r="AL56" s="62"/>
      <c r="AM56" s="62"/>
      <c r="AN56" s="62"/>
      <c r="AO56" s="62"/>
      <c r="AP56" s="62"/>
    </row>
    <row r="57" spans="1:49" ht="18" customHeight="1">
      <c r="A57" s="181"/>
      <c r="B57" s="44" t="s">
        <v>32</v>
      </c>
      <c r="C57" s="45">
        <v>4905</v>
      </c>
      <c r="D57" s="45">
        <v>4462</v>
      </c>
      <c r="E57" s="45">
        <v>4963</v>
      </c>
      <c r="F57" s="45">
        <v>6338</v>
      </c>
      <c r="G57" s="45">
        <v>7358</v>
      </c>
      <c r="H57" s="45">
        <v>9069</v>
      </c>
      <c r="I57" s="45">
        <v>7342</v>
      </c>
      <c r="J57" s="45">
        <v>4875</v>
      </c>
      <c r="K57" s="45">
        <v>4533</v>
      </c>
      <c r="L57" s="45">
        <v>3908</v>
      </c>
      <c r="M57" s="45">
        <v>3581</v>
      </c>
      <c r="N57" s="45">
        <v>3350</v>
      </c>
      <c r="O57" s="45">
        <v>5212</v>
      </c>
      <c r="P57" s="45">
        <v>5495</v>
      </c>
      <c r="Q57" s="45">
        <v>4872</v>
      </c>
      <c r="R57" s="45">
        <v>4397</v>
      </c>
      <c r="S57" s="45">
        <v>4471</v>
      </c>
      <c r="T57" s="45">
        <v>4025</v>
      </c>
      <c r="U57" s="121">
        <v>7023</v>
      </c>
      <c r="V57" s="122">
        <v>4892</v>
      </c>
      <c r="W57" s="101">
        <v>5632</v>
      </c>
      <c r="X57" s="45">
        <v>1532</v>
      </c>
      <c r="Y57" s="45">
        <v>2736</v>
      </c>
      <c r="Z57" s="45"/>
      <c r="AA57" s="102">
        <f t="shared" si="10"/>
        <v>114971</v>
      </c>
      <c r="AB57" s="103">
        <f t="shared" si="11"/>
        <v>4998.739130434783</v>
      </c>
      <c r="AC57" s="186"/>
      <c r="AD57" s="124"/>
      <c r="AE57" s="124"/>
      <c r="AF57" s="124"/>
      <c r="AH57" s="62"/>
      <c r="AI57" s="62"/>
      <c r="AJ57" s="62"/>
      <c r="AK57" s="62"/>
      <c r="AL57" s="62"/>
      <c r="AM57" s="62"/>
      <c r="AN57" s="62"/>
      <c r="AO57" s="62"/>
      <c r="AP57" s="62"/>
    </row>
    <row r="58" spans="1:49" ht="18" customHeight="1">
      <c r="A58" s="181"/>
      <c r="B58" s="44" t="s">
        <v>47</v>
      </c>
      <c r="C58" s="45">
        <v>1661</v>
      </c>
      <c r="D58" s="45">
        <v>1541</v>
      </c>
      <c r="E58" s="45">
        <v>1491</v>
      </c>
      <c r="F58" s="45">
        <v>1786</v>
      </c>
      <c r="G58" s="45">
        <v>1901</v>
      </c>
      <c r="H58" s="45">
        <v>2146</v>
      </c>
      <c r="I58" s="45">
        <v>2257</v>
      </c>
      <c r="J58" s="45">
        <v>1880</v>
      </c>
      <c r="K58" s="45">
        <v>1784</v>
      </c>
      <c r="L58" s="45">
        <v>1938</v>
      </c>
      <c r="M58" s="45">
        <v>1980</v>
      </c>
      <c r="N58" s="45">
        <v>1900</v>
      </c>
      <c r="O58" s="45">
        <v>1968</v>
      </c>
      <c r="P58" s="45">
        <v>2147</v>
      </c>
      <c r="Q58" s="45">
        <v>2303</v>
      </c>
      <c r="R58" s="45">
        <v>1924</v>
      </c>
      <c r="S58" s="45">
        <v>2251</v>
      </c>
      <c r="T58" s="45">
        <v>2220</v>
      </c>
      <c r="U58" s="121">
        <v>2224</v>
      </c>
      <c r="V58" s="122">
        <v>2331</v>
      </c>
      <c r="W58" s="101">
        <v>2415</v>
      </c>
      <c r="X58" s="45">
        <v>1651</v>
      </c>
      <c r="Y58" s="45">
        <v>2028</v>
      </c>
      <c r="Z58" s="45"/>
      <c r="AA58" s="102">
        <f t="shared" si="10"/>
        <v>45727</v>
      </c>
      <c r="AB58" s="103">
        <f t="shared" si="11"/>
        <v>1988.1304347826087</v>
      </c>
      <c r="AC58" s="186"/>
      <c r="AD58" s="124"/>
      <c r="AE58" s="124"/>
      <c r="AF58" s="124"/>
      <c r="AH58" s="62"/>
      <c r="AI58" s="62"/>
      <c r="AJ58" s="62"/>
      <c r="AK58" s="62"/>
      <c r="AL58" s="62"/>
      <c r="AM58" s="62"/>
      <c r="AN58" s="62"/>
      <c r="AO58" s="62"/>
      <c r="AP58" s="62"/>
    </row>
    <row r="59" spans="1:49" ht="18" customHeight="1">
      <c r="A59" s="181"/>
      <c r="B59" s="44" t="s">
        <v>48</v>
      </c>
      <c r="C59" s="45">
        <v>13292</v>
      </c>
      <c r="D59" s="45">
        <v>14695</v>
      </c>
      <c r="E59" s="45">
        <v>13889</v>
      </c>
      <c r="F59" s="45">
        <v>16169</v>
      </c>
      <c r="G59" s="45">
        <v>19772</v>
      </c>
      <c r="H59" s="45">
        <v>36026</v>
      </c>
      <c r="I59" s="45">
        <v>19579</v>
      </c>
      <c r="J59" s="45">
        <v>18625</v>
      </c>
      <c r="K59" s="45">
        <v>15874</v>
      </c>
      <c r="L59" s="45">
        <v>17129</v>
      </c>
      <c r="M59" s="45">
        <v>15953</v>
      </c>
      <c r="N59" s="45">
        <v>14469</v>
      </c>
      <c r="O59" s="45">
        <v>18319</v>
      </c>
      <c r="P59" s="45">
        <v>21572</v>
      </c>
      <c r="Q59" s="45">
        <v>21088</v>
      </c>
      <c r="R59" s="45">
        <v>21240</v>
      </c>
      <c r="S59" s="45">
        <v>13418</v>
      </c>
      <c r="T59" s="45">
        <v>9135</v>
      </c>
      <c r="U59" s="121">
        <v>7454</v>
      </c>
      <c r="V59" s="122">
        <v>25472</v>
      </c>
      <c r="W59" s="101">
        <v>26417</v>
      </c>
      <c r="X59" s="45">
        <v>16068</v>
      </c>
      <c r="Y59" s="45">
        <v>18588</v>
      </c>
      <c r="Z59" s="45"/>
      <c r="AA59" s="102">
        <f t="shared" si="10"/>
        <v>414243</v>
      </c>
      <c r="AB59" s="103">
        <f t="shared" si="11"/>
        <v>18010.565217391304</v>
      </c>
      <c r="AC59" s="186"/>
      <c r="AD59" s="124"/>
      <c r="AE59" s="124"/>
      <c r="AF59" s="124"/>
      <c r="AH59" s="62"/>
      <c r="AI59" s="62"/>
      <c r="AJ59" s="62"/>
      <c r="AK59" s="62"/>
      <c r="AL59" s="62"/>
      <c r="AM59" s="62"/>
      <c r="AN59" s="62"/>
      <c r="AO59" s="62"/>
      <c r="AP59" s="62"/>
    </row>
    <row r="60" spans="1:49" ht="18" customHeight="1">
      <c r="A60" s="181"/>
      <c r="B60" s="44" t="s">
        <v>99</v>
      </c>
      <c r="C60" s="45">
        <v>11822</v>
      </c>
      <c r="D60" s="45">
        <v>7748</v>
      </c>
      <c r="E60" s="45">
        <v>6559</v>
      </c>
      <c r="F60" s="45">
        <v>9191</v>
      </c>
      <c r="G60" s="45">
        <v>9359</v>
      </c>
      <c r="H60" s="45">
        <v>12317</v>
      </c>
      <c r="I60" s="45">
        <v>31206</v>
      </c>
      <c r="J60" s="45">
        <v>25871</v>
      </c>
      <c r="K60" s="45">
        <v>17487</v>
      </c>
      <c r="L60" s="45">
        <v>24470</v>
      </c>
      <c r="M60" s="45">
        <v>14861</v>
      </c>
      <c r="N60" s="45">
        <v>2317</v>
      </c>
      <c r="O60" s="45">
        <v>5314</v>
      </c>
      <c r="P60" s="45">
        <v>3985</v>
      </c>
      <c r="Q60" s="45">
        <v>4163</v>
      </c>
      <c r="R60" s="45">
        <v>10298</v>
      </c>
      <c r="S60" s="45">
        <v>10371</v>
      </c>
      <c r="T60" s="45">
        <v>7504</v>
      </c>
      <c r="U60" s="121">
        <v>4534</v>
      </c>
      <c r="V60" s="144"/>
      <c r="W60" s="101">
        <v>15766</v>
      </c>
      <c r="X60" s="45">
        <v>22098</v>
      </c>
      <c r="Y60" s="45">
        <v>19728</v>
      </c>
      <c r="Z60" s="45"/>
      <c r="AA60" s="102">
        <f t="shared" si="10"/>
        <v>276969</v>
      </c>
      <c r="AB60" s="103">
        <f t="shared" si="11"/>
        <v>12589.5</v>
      </c>
      <c r="AC60" s="186"/>
      <c r="AD60" s="124"/>
      <c r="AE60" s="124"/>
      <c r="AF60" s="124"/>
      <c r="AH60" s="62"/>
      <c r="AI60" s="62"/>
      <c r="AJ60" s="62"/>
      <c r="AK60" s="62"/>
      <c r="AL60" s="62"/>
      <c r="AM60" s="62"/>
      <c r="AN60" s="62"/>
      <c r="AO60" s="62"/>
      <c r="AP60" s="62"/>
    </row>
    <row r="61" spans="1:49" ht="18" customHeight="1">
      <c r="A61" s="181"/>
      <c r="B61" s="44" t="s">
        <v>49</v>
      </c>
      <c r="C61" s="45">
        <v>18964</v>
      </c>
      <c r="D61" s="45">
        <v>16278</v>
      </c>
      <c r="E61" s="45">
        <v>13388</v>
      </c>
      <c r="F61" s="45">
        <v>14652</v>
      </c>
      <c r="G61" s="45">
        <v>14526</v>
      </c>
      <c r="H61" s="45">
        <v>15367</v>
      </c>
      <c r="I61" s="45">
        <v>14755</v>
      </c>
      <c r="J61" s="45">
        <v>15090</v>
      </c>
      <c r="K61" s="45">
        <v>13390</v>
      </c>
      <c r="L61" s="45">
        <v>14218</v>
      </c>
      <c r="M61" s="45">
        <v>14270</v>
      </c>
      <c r="N61" s="45">
        <v>12340</v>
      </c>
      <c r="O61" s="45">
        <v>11553</v>
      </c>
      <c r="P61" s="45">
        <v>11968</v>
      </c>
      <c r="Q61" s="45">
        <v>12370</v>
      </c>
      <c r="R61" s="45">
        <v>12651</v>
      </c>
      <c r="S61" s="45">
        <v>11993</v>
      </c>
      <c r="T61" s="45">
        <v>8734</v>
      </c>
      <c r="U61" s="45">
        <v>14739</v>
      </c>
      <c r="V61" s="122">
        <v>19494</v>
      </c>
      <c r="W61" s="101">
        <v>17028</v>
      </c>
      <c r="X61" s="45">
        <v>8710</v>
      </c>
      <c r="Y61" s="45">
        <v>13551</v>
      </c>
      <c r="Z61" s="45"/>
      <c r="AA61" s="102">
        <f t="shared" si="10"/>
        <v>320029</v>
      </c>
      <c r="AB61" s="103">
        <f t="shared" si="11"/>
        <v>13914.304347826086</v>
      </c>
      <c r="AC61" s="186"/>
      <c r="AD61" s="124"/>
      <c r="AE61" s="124"/>
      <c r="AF61" s="124"/>
      <c r="AH61" s="62"/>
      <c r="AI61" s="62"/>
      <c r="AJ61" s="62"/>
      <c r="AK61" s="62"/>
      <c r="AL61" s="62"/>
      <c r="AM61" s="62"/>
      <c r="AN61" s="62"/>
      <c r="AO61" s="62"/>
      <c r="AP61" s="62"/>
    </row>
    <row r="62" spans="1:49" ht="18" customHeight="1">
      <c r="A62" s="184"/>
      <c r="B62" s="125" t="s">
        <v>63</v>
      </c>
      <c r="C62" s="19">
        <f t="shared" ref="C62:U62" si="17">SUM(C46:C61)</f>
        <v>765236</v>
      </c>
      <c r="D62" s="19">
        <f t="shared" si="17"/>
        <v>802063</v>
      </c>
      <c r="E62" s="19">
        <f t="shared" si="17"/>
        <v>755133</v>
      </c>
      <c r="F62" s="19">
        <f t="shared" si="17"/>
        <v>926589</v>
      </c>
      <c r="G62" s="19">
        <f t="shared" si="17"/>
        <v>1005513</v>
      </c>
      <c r="H62" s="19">
        <f t="shared" si="17"/>
        <v>1049956</v>
      </c>
      <c r="I62" s="19">
        <f t="shared" si="17"/>
        <v>1191194</v>
      </c>
      <c r="J62" s="19">
        <f t="shared" si="17"/>
        <v>1392475</v>
      </c>
      <c r="K62" s="19">
        <f t="shared" si="17"/>
        <v>1434638</v>
      </c>
      <c r="L62" s="19">
        <f t="shared" si="17"/>
        <v>1588171</v>
      </c>
      <c r="M62" s="19">
        <f t="shared" si="17"/>
        <v>1692462</v>
      </c>
      <c r="N62" s="19">
        <f t="shared" si="17"/>
        <v>1512499</v>
      </c>
      <c r="O62" s="19">
        <f t="shared" si="17"/>
        <v>1666666</v>
      </c>
      <c r="P62" s="19">
        <f t="shared" si="17"/>
        <v>1813706</v>
      </c>
      <c r="Q62" s="19">
        <f t="shared" si="17"/>
        <v>2070300</v>
      </c>
      <c r="R62" s="19">
        <f t="shared" si="17"/>
        <v>2004962</v>
      </c>
      <c r="S62" s="19">
        <f t="shared" si="17"/>
        <v>1429520</v>
      </c>
      <c r="T62" s="19">
        <f t="shared" si="17"/>
        <v>1171849</v>
      </c>
      <c r="U62" s="19">
        <f t="shared" si="17"/>
        <v>1970399</v>
      </c>
      <c r="V62" s="19">
        <f>SUM(V46:V61)</f>
        <v>2098510</v>
      </c>
      <c r="W62" s="126">
        <v>2038434</v>
      </c>
      <c r="X62" s="20">
        <v>1612656</v>
      </c>
      <c r="Y62" s="20">
        <v>1762014</v>
      </c>
      <c r="Z62" s="171"/>
      <c r="AA62" s="19">
        <f t="shared" si="10"/>
        <v>33754945</v>
      </c>
      <c r="AB62" s="20">
        <f t="shared" si="11"/>
        <v>1467606.3043478262</v>
      </c>
      <c r="AC62" s="187"/>
      <c r="AD62" s="124"/>
      <c r="AE62" s="124"/>
      <c r="AF62" s="124"/>
      <c r="AH62" s="62"/>
      <c r="AI62" s="62"/>
      <c r="AJ62" s="62"/>
      <c r="AK62" s="62"/>
      <c r="AL62" s="62"/>
      <c r="AM62" s="62"/>
      <c r="AN62" s="62"/>
      <c r="AO62" s="62"/>
      <c r="AP62" s="62"/>
    </row>
    <row r="63" spans="1:49" ht="18" customHeight="1">
      <c r="A63" s="180" t="s">
        <v>50</v>
      </c>
      <c r="B63" s="38" t="s">
        <v>51</v>
      </c>
      <c r="C63" s="39">
        <v>7830</v>
      </c>
      <c r="D63" s="39">
        <v>8003</v>
      </c>
      <c r="E63" s="39">
        <v>6891</v>
      </c>
      <c r="F63" s="39">
        <v>7807</v>
      </c>
      <c r="G63" s="39">
        <v>3031</v>
      </c>
      <c r="H63" s="39">
        <v>7156</v>
      </c>
      <c r="I63" s="39">
        <v>6541</v>
      </c>
      <c r="J63" s="119">
        <v>9120</v>
      </c>
      <c r="K63" s="119">
        <v>11733</v>
      </c>
      <c r="L63" s="119">
        <v>14432</v>
      </c>
      <c r="M63" s="119">
        <v>14774</v>
      </c>
      <c r="N63" s="119">
        <v>15539</v>
      </c>
      <c r="O63" s="119">
        <v>14549</v>
      </c>
      <c r="P63" s="119">
        <v>12856</v>
      </c>
      <c r="Q63" s="119">
        <v>3634</v>
      </c>
      <c r="R63" s="119">
        <v>10610</v>
      </c>
      <c r="S63" s="119">
        <v>10757</v>
      </c>
      <c r="T63" s="119">
        <v>11469</v>
      </c>
      <c r="U63" s="127">
        <v>12714</v>
      </c>
      <c r="V63" s="39">
        <v>12466</v>
      </c>
      <c r="W63" s="31">
        <v>12174</v>
      </c>
      <c r="X63" s="127">
        <v>11982</v>
      </c>
      <c r="Y63" s="165">
        <v>11765</v>
      </c>
      <c r="Z63" s="158"/>
      <c r="AA63" s="43">
        <f t="shared" si="10"/>
        <v>237833</v>
      </c>
      <c r="AB63" s="36">
        <f t="shared" si="11"/>
        <v>10340.565217391304</v>
      </c>
      <c r="AC63" s="182" t="s">
        <v>118</v>
      </c>
      <c r="AD63" s="124"/>
      <c r="AE63" s="124"/>
      <c r="AF63" s="124"/>
      <c r="AH63" s="62"/>
      <c r="AI63" s="62"/>
      <c r="AJ63" s="62"/>
      <c r="AK63" s="62"/>
      <c r="AL63" s="62"/>
      <c r="AM63" s="62"/>
      <c r="AN63" s="62"/>
      <c r="AO63" s="62"/>
      <c r="AP63" s="62"/>
    </row>
    <row r="64" spans="1:49" ht="18" customHeight="1">
      <c r="A64" s="181"/>
      <c r="B64" s="44" t="s">
        <v>52</v>
      </c>
      <c r="C64" s="45">
        <v>8335</v>
      </c>
      <c r="D64" s="45">
        <v>12126</v>
      </c>
      <c r="E64" s="45">
        <v>11832</v>
      </c>
      <c r="F64" s="45">
        <v>11923</v>
      </c>
      <c r="G64" s="45">
        <v>15546</v>
      </c>
      <c r="H64" s="45">
        <v>10678</v>
      </c>
      <c r="I64" s="45">
        <v>14773</v>
      </c>
      <c r="J64" s="128"/>
      <c r="K64" s="128"/>
      <c r="L64" s="45">
        <v>15144</v>
      </c>
      <c r="M64" s="45">
        <v>17876</v>
      </c>
      <c r="N64" s="45">
        <v>18194</v>
      </c>
      <c r="O64" s="45">
        <v>18643</v>
      </c>
      <c r="P64" s="45">
        <v>17326</v>
      </c>
      <c r="Q64" s="45">
        <v>21308</v>
      </c>
      <c r="R64" s="45">
        <v>24340</v>
      </c>
      <c r="S64" s="45">
        <v>19621</v>
      </c>
      <c r="T64" s="45">
        <v>16075</v>
      </c>
      <c r="U64" s="121">
        <v>15742</v>
      </c>
      <c r="V64" s="122">
        <v>17210</v>
      </c>
      <c r="W64" s="122">
        <v>17879</v>
      </c>
      <c r="X64" s="47">
        <v>16612</v>
      </c>
      <c r="Y64" s="47">
        <v>9505</v>
      </c>
      <c r="Z64" s="45"/>
      <c r="AA64" s="103">
        <f t="shared" si="10"/>
        <v>330688</v>
      </c>
      <c r="AB64" s="102">
        <f t="shared" si="11"/>
        <v>15747.047619047618</v>
      </c>
      <c r="AC64" s="183"/>
      <c r="AD64" s="124"/>
      <c r="AE64" s="124"/>
      <c r="AF64" s="124"/>
      <c r="AH64" s="62"/>
      <c r="AI64" s="62"/>
      <c r="AJ64" s="62"/>
      <c r="AK64" s="62"/>
      <c r="AL64" s="62"/>
      <c r="AM64" s="62"/>
      <c r="AN64" s="62"/>
      <c r="AO64" s="62"/>
      <c r="AP64" s="62"/>
    </row>
    <row r="65" spans="1:42" ht="18" customHeight="1">
      <c r="A65" s="184"/>
      <c r="B65" s="125" t="s">
        <v>64</v>
      </c>
      <c r="C65" s="19">
        <f t="shared" ref="C65:V65" si="18">SUM(C63:C64)</f>
        <v>16165</v>
      </c>
      <c r="D65" s="19">
        <f t="shared" si="18"/>
        <v>20129</v>
      </c>
      <c r="E65" s="19">
        <f t="shared" si="18"/>
        <v>18723</v>
      </c>
      <c r="F65" s="19">
        <f t="shared" si="18"/>
        <v>19730</v>
      </c>
      <c r="G65" s="19">
        <f t="shared" si="18"/>
        <v>18577</v>
      </c>
      <c r="H65" s="19">
        <f t="shared" si="18"/>
        <v>17834</v>
      </c>
      <c r="I65" s="19">
        <f t="shared" si="18"/>
        <v>21314</v>
      </c>
      <c r="J65" s="19">
        <f t="shared" si="18"/>
        <v>9120</v>
      </c>
      <c r="K65" s="19">
        <f t="shared" si="18"/>
        <v>11733</v>
      </c>
      <c r="L65" s="19">
        <f t="shared" si="18"/>
        <v>29576</v>
      </c>
      <c r="M65" s="19">
        <f t="shared" si="18"/>
        <v>32650</v>
      </c>
      <c r="N65" s="19">
        <f t="shared" si="18"/>
        <v>33733</v>
      </c>
      <c r="O65" s="19">
        <f t="shared" si="18"/>
        <v>33192</v>
      </c>
      <c r="P65" s="19">
        <f t="shared" si="18"/>
        <v>30182</v>
      </c>
      <c r="Q65" s="19">
        <f t="shared" si="18"/>
        <v>24942</v>
      </c>
      <c r="R65" s="19">
        <f t="shared" si="18"/>
        <v>34950</v>
      </c>
      <c r="S65" s="19">
        <f t="shared" si="18"/>
        <v>30378</v>
      </c>
      <c r="T65" s="19">
        <f t="shared" si="18"/>
        <v>27544</v>
      </c>
      <c r="U65" s="19">
        <f t="shared" si="18"/>
        <v>28456</v>
      </c>
      <c r="V65" s="19">
        <f t="shared" si="18"/>
        <v>29676</v>
      </c>
      <c r="W65" s="19">
        <f>SUM(W63:W64)</f>
        <v>30053</v>
      </c>
      <c r="X65" s="20">
        <f>SUM(X63:X64)</f>
        <v>28594</v>
      </c>
      <c r="Y65" s="20">
        <f>SUM(Y63:Y64)</f>
        <v>21270</v>
      </c>
      <c r="Z65" s="19"/>
      <c r="AA65" s="19">
        <f t="shared" si="10"/>
        <v>568521</v>
      </c>
      <c r="AB65" s="20">
        <f t="shared" si="11"/>
        <v>24718.304347826088</v>
      </c>
      <c r="AC65" s="183"/>
      <c r="AD65" s="124"/>
      <c r="AE65" s="124"/>
      <c r="AF65" s="124"/>
      <c r="AG65" s="129"/>
      <c r="AH65" s="62"/>
      <c r="AI65" s="62"/>
      <c r="AJ65" s="62"/>
      <c r="AK65" s="62"/>
      <c r="AL65" s="62"/>
      <c r="AM65" s="62"/>
      <c r="AN65" s="62"/>
      <c r="AO65" s="62"/>
      <c r="AP65" s="62"/>
    </row>
    <row r="66" spans="1:42" ht="18" customHeight="1">
      <c r="A66" s="130" t="s">
        <v>86</v>
      </c>
      <c r="B66" s="131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70"/>
      <c r="Y66" s="170"/>
      <c r="Z66" s="132"/>
      <c r="AA66" s="133"/>
      <c r="AB66" s="133"/>
      <c r="AC66" s="182" t="s">
        <v>82</v>
      </c>
      <c r="AD66" s="124"/>
      <c r="AE66" s="124"/>
      <c r="AF66" s="124"/>
      <c r="AH66" s="62"/>
      <c r="AI66" s="62"/>
      <c r="AJ66" s="62"/>
      <c r="AK66" s="62"/>
      <c r="AL66" s="62"/>
      <c r="AM66" s="62"/>
      <c r="AN66" s="62"/>
      <c r="AO66" s="62"/>
      <c r="AP66" s="62"/>
    </row>
    <row r="67" spans="1:42" ht="18" customHeight="1">
      <c r="A67" s="188" t="s">
        <v>87</v>
      </c>
      <c r="B67" s="134" t="s">
        <v>83</v>
      </c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35">
        <v>326121</v>
      </c>
      <c r="P67" s="135">
        <v>292023</v>
      </c>
      <c r="Q67" s="135">
        <v>393904</v>
      </c>
      <c r="R67" s="135">
        <v>466698</v>
      </c>
      <c r="S67" s="135">
        <v>487084</v>
      </c>
      <c r="T67" s="135">
        <v>514757</v>
      </c>
      <c r="U67" s="135">
        <v>495731</v>
      </c>
      <c r="V67" s="177"/>
      <c r="W67" s="135">
        <v>630133</v>
      </c>
      <c r="X67" s="135">
        <v>521397</v>
      </c>
      <c r="Y67" s="159">
        <v>754183</v>
      </c>
      <c r="Z67" s="159"/>
      <c r="AA67" s="136">
        <f>SUM(C67:Z67)</f>
        <v>4882031</v>
      </c>
      <c r="AB67" s="102">
        <f>AVERAGE(C67:Z67)</f>
        <v>488203.1</v>
      </c>
      <c r="AC67" s="182"/>
      <c r="AD67" s="124"/>
      <c r="AE67" s="124"/>
      <c r="AF67" s="124"/>
      <c r="AH67" s="62"/>
      <c r="AI67" s="62"/>
      <c r="AJ67" s="62"/>
      <c r="AK67" s="62"/>
      <c r="AL67" s="62"/>
      <c r="AM67" s="62"/>
      <c r="AN67" s="62"/>
      <c r="AO67" s="62"/>
      <c r="AP67" s="62"/>
    </row>
    <row r="68" spans="1:42" ht="18" customHeight="1">
      <c r="A68" s="188"/>
      <c r="B68" s="134" t="s">
        <v>84</v>
      </c>
      <c r="C68" s="149"/>
      <c r="D68" s="149"/>
      <c r="E68" s="149"/>
      <c r="F68" s="149"/>
      <c r="G68" s="149"/>
      <c r="H68" s="149"/>
      <c r="I68" s="149"/>
      <c r="J68" s="149"/>
      <c r="K68" s="149"/>
      <c r="L68" s="149"/>
      <c r="M68" s="149"/>
      <c r="N68" s="149"/>
      <c r="O68" s="135">
        <v>657</v>
      </c>
      <c r="P68" s="135">
        <v>659</v>
      </c>
      <c r="Q68" s="135">
        <v>694</v>
      </c>
      <c r="R68" s="135">
        <v>659</v>
      </c>
      <c r="S68" s="135">
        <v>705</v>
      </c>
      <c r="T68" s="135">
        <v>727</v>
      </c>
      <c r="U68" s="135">
        <v>735</v>
      </c>
      <c r="V68" s="178"/>
      <c r="W68" s="135">
        <v>940</v>
      </c>
      <c r="X68" s="135">
        <v>1021</v>
      </c>
      <c r="Y68" s="159">
        <v>1118</v>
      </c>
      <c r="Z68" s="159"/>
      <c r="AA68" s="136">
        <f>SUM(C68:Z68)</f>
        <v>7915</v>
      </c>
      <c r="AB68" s="102">
        <f>AVERAGE(C68:Z68)</f>
        <v>791.5</v>
      </c>
      <c r="AC68" s="182"/>
      <c r="AD68" s="124"/>
      <c r="AE68" s="124"/>
      <c r="AF68" s="124"/>
      <c r="AH68" s="62"/>
      <c r="AI68" s="62"/>
      <c r="AJ68" s="62"/>
      <c r="AK68" s="62"/>
      <c r="AL68" s="62"/>
      <c r="AM68" s="62"/>
      <c r="AN68" s="62"/>
      <c r="AO68" s="62"/>
      <c r="AP68" s="62"/>
    </row>
    <row r="69" spans="1:42" ht="18" customHeight="1">
      <c r="A69" s="189" t="s">
        <v>85</v>
      </c>
      <c r="B69" s="38" t="s">
        <v>83</v>
      </c>
      <c r="C69" s="148"/>
      <c r="D69" s="148"/>
      <c r="E69" s="148"/>
      <c r="F69" s="148"/>
      <c r="G69" s="148"/>
      <c r="H69" s="148"/>
      <c r="I69" s="148"/>
      <c r="J69" s="148"/>
      <c r="K69" s="148"/>
      <c r="L69" s="148"/>
      <c r="M69" s="148"/>
      <c r="N69" s="148"/>
      <c r="O69" s="119">
        <v>16496</v>
      </c>
      <c r="P69" s="119">
        <v>15390</v>
      </c>
      <c r="Q69" s="119">
        <v>9016</v>
      </c>
      <c r="R69" s="119">
        <v>8265</v>
      </c>
      <c r="S69" s="119">
        <v>9199</v>
      </c>
      <c r="T69" s="119">
        <v>22633</v>
      </c>
      <c r="U69" s="119">
        <v>19747</v>
      </c>
      <c r="V69" s="178"/>
      <c r="W69" s="119">
        <v>8455</v>
      </c>
      <c r="X69" s="119">
        <v>2406</v>
      </c>
      <c r="Y69" s="120">
        <v>1375</v>
      </c>
      <c r="Z69" s="120"/>
      <c r="AA69" s="75">
        <f>SUM(C69:Z69)</f>
        <v>112982</v>
      </c>
      <c r="AB69" s="99">
        <f>AVERAGE(C69:Z69)</f>
        <v>11298.2</v>
      </c>
      <c r="AC69" s="182"/>
      <c r="AD69" s="124"/>
      <c r="AE69" s="124"/>
      <c r="AF69" s="124"/>
      <c r="AH69" s="62"/>
      <c r="AI69" s="62"/>
      <c r="AJ69" s="62"/>
      <c r="AK69" s="62"/>
      <c r="AL69" s="62"/>
      <c r="AM69" s="62"/>
      <c r="AN69" s="62"/>
      <c r="AO69" s="62"/>
      <c r="AP69" s="62"/>
    </row>
    <row r="70" spans="1:42" ht="18" customHeight="1">
      <c r="A70" s="190"/>
      <c r="B70" s="65" t="s">
        <v>84</v>
      </c>
      <c r="C70" s="149"/>
      <c r="D70" s="149"/>
      <c r="E70" s="149"/>
      <c r="F70" s="149"/>
      <c r="G70" s="149"/>
      <c r="H70" s="149"/>
      <c r="I70" s="149"/>
      <c r="J70" s="149"/>
      <c r="K70" s="149"/>
      <c r="L70" s="149"/>
      <c r="M70" s="149"/>
      <c r="N70" s="149"/>
      <c r="O70" s="150">
        <v>606</v>
      </c>
      <c r="P70" s="137">
        <v>607</v>
      </c>
      <c r="Q70" s="137">
        <v>619</v>
      </c>
      <c r="R70" s="137">
        <v>669</v>
      </c>
      <c r="S70" s="137">
        <v>699</v>
      </c>
      <c r="T70" s="137">
        <v>710</v>
      </c>
      <c r="U70" s="137">
        <v>713</v>
      </c>
      <c r="V70" s="179"/>
      <c r="W70" s="137">
        <v>728</v>
      </c>
      <c r="X70" s="137">
        <v>728</v>
      </c>
      <c r="Y70" s="169">
        <v>728</v>
      </c>
      <c r="Z70" s="169"/>
      <c r="AA70" s="20">
        <f>SUM(C70:Z70)</f>
        <v>6807</v>
      </c>
      <c r="AB70" s="138">
        <f>AVERAGE(C70:Z70)</f>
        <v>680.7</v>
      </c>
      <c r="AC70" s="182"/>
      <c r="AD70" s="124"/>
      <c r="AE70" s="124"/>
      <c r="AF70" s="124"/>
      <c r="AH70" s="62"/>
      <c r="AI70" s="62"/>
      <c r="AJ70" s="62"/>
      <c r="AK70" s="62"/>
      <c r="AL70" s="62"/>
      <c r="AM70" s="62"/>
      <c r="AN70" s="62"/>
      <c r="AO70" s="62"/>
      <c r="AP70" s="62"/>
    </row>
    <row r="72" spans="1:42">
      <c r="A72" s="7" t="s">
        <v>90</v>
      </c>
      <c r="C72" s="156"/>
      <c r="D72" s="156"/>
      <c r="E72" s="156"/>
      <c r="F72" s="156"/>
      <c r="G72" s="156"/>
      <c r="H72" s="156"/>
      <c r="I72" s="156"/>
      <c r="J72" s="156"/>
      <c r="K72" s="156"/>
      <c r="L72" s="157"/>
    </row>
    <row r="73" spans="1:42">
      <c r="A73" s="139" t="s">
        <v>89</v>
      </c>
      <c r="B73" s="139"/>
    </row>
    <row r="74" spans="1:42">
      <c r="A74" s="140" t="s">
        <v>96</v>
      </c>
      <c r="B74" s="140"/>
    </row>
    <row r="75" spans="1:42">
      <c r="A75" s="141" t="s">
        <v>97</v>
      </c>
      <c r="B75" s="141"/>
    </row>
    <row r="76" spans="1:42">
      <c r="A76" s="142" t="s">
        <v>95</v>
      </c>
      <c r="B76" s="142"/>
    </row>
    <row r="77" spans="1:42">
      <c r="A77" s="145" t="s">
        <v>103</v>
      </c>
      <c r="B77" s="145"/>
    </row>
    <row r="78" spans="1:42">
      <c r="A78" s="147" t="s">
        <v>114</v>
      </c>
      <c r="B78" s="147"/>
    </row>
  </sheetData>
  <mergeCells count="60">
    <mergeCell ref="C40:C41"/>
    <mergeCell ref="C42:C43"/>
    <mergeCell ref="F40:F41"/>
    <mergeCell ref="F42:F43"/>
    <mergeCell ref="E40:E41"/>
    <mergeCell ref="E42:E43"/>
    <mergeCell ref="D40:D41"/>
    <mergeCell ref="D42:D43"/>
    <mergeCell ref="J42:J43"/>
    <mergeCell ref="H40:H41"/>
    <mergeCell ref="H42:H43"/>
    <mergeCell ref="G40:G41"/>
    <mergeCell ref="G42:G43"/>
    <mergeCell ref="J40:J41"/>
    <mergeCell ref="A2:I2"/>
    <mergeCell ref="A4:B4"/>
    <mergeCell ref="A5:B5"/>
    <mergeCell ref="A9:A11"/>
    <mergeCell ref="A8:B8"/>
    <mergeCell ref="A6:A7"/>
    <mergeCell ref="E9:E10"/>
    <mergeCell ref="D9:D10"/>
    <mergeCell ref="C9:C10"/>
    <mergeCell ref="F9:F10"/>
    <mergeCell ref="G9:G10"/>
    <mergeCell ref="D3:S3"/>
    <mergeCell ref="AC22:AC26"/>
    <mergeCell ref="AC9:AC11"/>
    <mergeCell ref="A12:B12"/>
    <mergeCell ref="A15:B15"/>
    <mergeCell ref="A13:B13"/>
    <mergeCell ref="A20:B20"/>
    <mergeCell ref="A21:B21"/>
    <mergeCell ref="A14:B14"/>
    <mergeCell ref="A17:B17"/>
    <mergeCell ref="A22:A26"/>
    <mergeCell ref="S12:T12"/>
    <mergeCell ref="A31:B31"/>
    <mergeCell ref="A18:B18"/>
    <mergeCell ref="A19:B19"/>
    <mergeCell ref="A30:B30"/>
    <mergeCell ref="A28:B28"/>
    <mergeCell ref="A27:B27"/>
    <mergeCell ref="A29:B29"/>
    <mergeCell ref="V67:V70"/>
    <mergeCell ref="A32:A39"/>
    <mergeCell ref="AC63:AC65"/>
    <mergeCell ref="A46:A62"/>
    <mergeCell ref="AC46:AC62"/>
    <mergeCell ref="AC66:AC70"/>
    <mergeCell ref="A67:A68"/>
    <mergeCell ref="A69:A70"/>
    <mergeCell ref="A63:A65"/>
    <mergeCell ref="A40:A45"/>
    <mergeCell ref="AC40:AC44"/>
    <mergeCell ref="AC32:AC39"/>
    <mergeCell ref="K40:K41"/>
    <mergeCell ref="K42:K43"/>
    <mergeCell ref="I40:I41"/>
    <mergeCell ref="I42:I4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79"/>
  <sheetViews>
    <sheetView topLeftCell="Y1" zoomScale="70" zoomScaleNormal="70" workbookViewId="0">
      <selection activeCell="AJ56" sqref="AJ56"/>
    </sheetView>
  </sheetViews>
  <sheetFormatPr defaultRowHeight="15"/>
  <sheetData>
    <row r="1" spans="1:41">
      <c r="A1" t="s">
        <v>70</v>
      </c>
      <c r="AA1" t="s">
        <v>109</v>
      </c>
    </row>
    <row r="2" spans="1:41">
      <c r="AA2" t="s">
        <v>104</v>
      </c>
    </row>
    <row r="3" spans="1:41">
      <c r="AA3" t="s">
        <v>108</v>
      </c>
      <c r="AB3">
        <v>2008</v>
      </c>
      <c r="AC3">
        <v>2009</v>
      </c>
      <c r="AD3">
        <v>2010</v>
      </c>
      <c r="AE3">
        <v>2011</v>
      </c>
      <c r="AF3">
        <v>2012</v>
      </c>
      <c r="AG3">
        <v>2013</v>
      </c>
      <c r="AH3">
        <v>2014</v>
      </c>
      <c r="AI3">
        <v>2015</v>
      </c>
      <c r="AJ3">
        <v>2016</v>
      </c>
      <c r="AK3">
        <v>2017</v>
      </c>
      <c r="AL3">
        <v>2018</v>
      </c>
      <c r="AM3">
        <v>2019</v>
      </c>
      <c r="AN3">
        <v>2020</v>
      </c>
      <c r="AO3">
        <v>2021</v>
      </c>
    </row>
    <row r="4" spans="1:41">
      <c r="AA4" t="s">
        <v>107</v>
      </c>
      <c r="AB4">
        <v>48242</v>
      </c>
      <c r="AC4">
        <v>47299</v>
      </c>
      <c r="AD4">
        <v>52351</v>
      </c>
      <c r="AE4">
        <v>50011</v>
      </c>
      <c r="AF4">
        <v>48687</v>
      </c>
      <c r="AG4">
        <v>54746</v>
      </c>
      <c r="AH4">
        <v>48910</v>
      </c>
      <c r="AI4">
        <v>48019</v>
      </c>
      <c r="AJ4">
        <v>51374</v>
      </c>
      <c r="AK4">
        <v>61345</v>
      </c>
      <c r="AL4">
        <v>57960</v>
      </c>
      <c r="AM4">
        <v>57488</v>
      </c>
      <c r="AN4">
        <v>52063</v>
      </c>
    </row>
    <row r="5" spans="1:41">
      <c r="AA5" t="s">
        <v>105</v>
      </c>
      <c r="AB5">
        <v>5243</v>
      </c>
      <c r="AC5">
        <v>5283</v>
      </c>
      <c r="AD5">
        <v>5253</v>
      </c>
      <c r="AE5">
        <v>5411</v>
      </c>
      <c r="AF5">
        <v>5094</v>
      </c>
      <c r="AG5">
        <v>5499</v>
      </c>
      <c r="AH5">
        <v>5298</v>
      </c>
      <c r="AI5">
        <v>5145</v>
      </c>
      <c r="AJ5">
        <v>5643</v>
      </c>
      <c r="AK5">
        <v>6567</v>
      </c>
      <c r="AL5">
        <v>6218</v>
      </c>
      <c r="AM5">
        <v>6938</v>
      </c>
      <c r="AN5">
        <v>6632</v>
      </c>
    </row>
    <row r="6" spans="1:41">
      <c r="AA6" t="s">
        <v>106</v>
      </c>
      <c r="AB6">
        <f>AB4/AB5</f>
        <v>9.2012206751859615</v>
      </c>
      <c r="AC6">
        <f t="shared" ref="AC6:AN6" si="0">AC4/AC5</f>
        <v>8.9530569752034825</v>
      </c>
      <c r="AD6">
        <f t="shared" si="0"/>
        <v>9.9659242337711778</v>
      </c>
      <c r="AE6">
        <f t="shared" si="0"/>
        <v>9.2424690445389022</v>
      </c>
      <c r="AF6">
        <f t="shared" si="0"/>
        <v>9.5577149587750299</v>
      </c>
      <c r="AG6">
        <f t="shared" si="0"/>
        <v>9.9556282960538276</v>
      </c>
      <c r="AH6">
        <f t="shared" si="0"/>
        <v>9.2317855794639492</v>
      </c>
      <c r="AI6">
        <f t="shared" si="0"/>
        <v>9.333138969873664</v>
      </c>
      <c r="AJ6">
        <f t="shared" si="0"/>
        <v>9.1040226829700508</v>
      </c>
      <c r="AK6">
        <f t="shared" si="0"/>
        <v>9.3414039896451957</v>
      </c>
      <c r="AL6">
        <f t="shared" si="0"/>
        <v>9.3213251849469287</v>
      </c>
      <c r="AM6">
        <f t="shared" si="0"/>
        <v>8.2859613721533592</v>
      </c>
      <c r="AN6" s="175">
        <f t="shared" si="0"/>
        <v>7.8502714113389622</v>
      </c>
    </row>
    <row r="9" spans="1:41">
      <c r="AA9" t="s">
        <v>111</v>
      </c>
    </row>
    <row r="10" spans="1:41">
      <c r="AA10" t="s">
        <v>108</v>
      </c>
      <c r="AB10">
        <v>2008</v>
      </c>
      <c r="AC10">
        <v>2009</v>
      </c>
      <c r="AD10">
        <v>2010</v>
      </c>
      <c r="AE10">
        <v>2011</v>
      </c>
      <c r="AF10">
        <v>2012</v>
      </c>
      <c r="AG10">
        <v>2013</v>
      </c>
      <c r="AH10">
        <v>2014</v>
      </c>
      <c r="AI10">
        <v>2015</v>
      </c>
      <c r="AJ10">
        <v>2016</v>
      </c>
      <c r="AK10">
        <v>2017</v>
      </c>
      <c r="AL10">
        <v>2018</v>
      </c>
      <c r="AM10">
        <v>2019</v>
      </c>
      <c r="AN10">
        <v>2020</v>
      </c>
      <c r="AO10">
        <v>2021</v>
      </c>
    </row>
    <row r="11" spans="1:41">
      <c r="AA11" t="s">
        <v>107</v>
      </c>
      <c r="AB11">
        <v>39594</v>
      </c>
      <c r="AC11">
        <v>38922</v>
      </c>
      <c r="AD11">
        <v>38441</v>
      </c>
      <c r="AE11">
        <v>31785</v>
      </c>
      <c r="AF11">
        <v>33559</v>
      </c>
      <c r="AG11">
        <v>36576</v>
      </c>
      <c r="AH11">
        <v>33464</v>
      </c>
      <c r="AI11">
        <v>27789</v>
      </c>
      <c r="AJ11">
        <v>28717</v>
      </c>
      <c r="AK11">
        <v>35248</v>
      </c>
      <c r="AL11">
        <v>31497</v>
      </c>
      <c r="AM11">
        <v>27996</v>
      </c>
      <c r="AN11">
        <v>19077</v>
      </c>
    </row>
    <row r="12" spans="1:41">
      <c r="A12" t="s">
        <v>71</v>
      </c>
      <c r="AA12" t="s">
        <v>105</v>
      </c>
      <c r="AB12">
        <v>8048</v>
      </c>
      <c r="AC12">
        <v>8154</v>
      </c>
      <c r="AD12">
        <v>8020</v>
      </c>
      <c r="AE12">
        <v>6870</v>
      </c>
      <c r="AF12">
        <v>7143</v>
      </c>
      <c r="AG12">
        <v>8370</v>
      </c>
      <c r="AH12">
        <v>8174</v>
      </c>
      <c r="AI12">
        <v>6955</v>
      </c>
      <c r="AJ12">
        <v>7450</v>
      </c>
      <c r="AK12">
        <v>8969</v>
      </c>
      <c r="AL12">
        <v>8570</v>
      </c>
      <c r="AM12">
        <v>8471</v>
      </c>
      <c r="AN12">
        <v>6322</v>
      </c>
    </row>
    <row r="13" spans="1:41">
      <c r="AA13" t="s">
        <v>106</v>
      </c>
      <c r="AB13">
        <f>AB11/AB12</f>
        <v>4.9197316103379718</v>
      </c>
      <c r="AC13">
        <f t="shared" ref="AC13:AN13" si="1">AC11/AC12</f>
        <v>4.7733627667402505</v>
      </c>
      <c r="AD13">
        <f t="shared" si="1"/>
        <v>4.7931421446384039</v>
      </c>
      <c r="AE13">
        <f t="shared" si="1"/>
        <v>4.6266375545851526</v>
      </c>
      <c r="AF13">
        <f t="shared" si="1"/>
        <v>4.6981660366792664</v>
      </c>
      <c r="AG13">
        <f t="shared" si="1"/>
        <v>4.3698924731182798</v>
      </c>
      <c r="AH13">
        <f t="shared" si="1"/>
        <v>4.0939564472718377</v>
      </c>
      <c r="AI13">
        <f t="shared" si="1"/>
        <v>3.9955427749820274</v>
      </c>
      <c r="AJ13">
        <f t="shared" si="1"/>
        <v>3.8546308724832214</v>
      </c>
      <c r="AK13">
        <f t="shared" si="1"/>
        <v>3.9299810458245066</v>
      </c>
      <c r="AL13">
        <f t="shared" si="1"/>
        <v>3.675262543757293</v>
      </c>
      <c r="AM13">
        <f t="shared" si="1"/>
        <v>3.3049226773698499</v>
      </c>
      <c r="AN13" s="175">
        <f t="shared" si="1"/>
        <v>3.0175577348940208</v>
      </c>
    </row>
    <row r="16" spans="1:41">
      <c r="AA16" t="s">
        <v>112</v>
      </c>
    </row>
    <row r="17" spans="1:41">
      <c r="AA17" t="s">
        <v>108</v>
      </c>
      <c r="AB17">
        <v>2008</v>
      </c>
      <c r="AC17">
        <v>2009</v>
      </c>
      <c r="AD17">
        <v>2010</v>
      </c>
      <c r="AE17">
        <v>2011</v>
      </c>
      <c r="AF17">
        <v>2012</v>
      </c>
      <c r="AG17">
        <v>2013</v>
      </c>
      <c r="AH17">
        <v>2014</v>
      </c>
      <c r="AI17">
        <v>2015</v>
      </c>
      <c r="AJ17">
        <v>2016</v>
      </c>
      <c r="AK17">
        <v>2017</v>
      </c>
      <c r="AL17">
        <v>2018</v>
      </c>
      <c r="AM17">
        <v>2019</v>
      </c>
      <c r="AN17">
        <v>2020</v>
      </c>
      <c r="AO17">
        <v>2021</v>
      </c>
    </row>
    <row r="18" spans="1:41">
      <c r="AA18" t="s">
        <v>107</v>
      </c>
      <c r="AB18">
        <v>6284</v>
      </c>
      <c r="AC18">
        <v>10970</v>
      </c>
      <c r="AD18">
        <v>17356</v>
      </c>
      <c r="AE18">
        <v>18169</v>
      </c>
      <c r="AF18">
        <v>20053</v>
      </c>
      <c r="AG18">
        <v>20662</v>
      </c>
      <c r="AH18">
        <v>21408</v>
      </c>
      <c r="AI18">
        <v>21026</v>
      </c>
      <c r="AJ18">
        <v>23289</v>
      </c>
      <c r="AK18">
        <v>27035</v>
      </c>
      <c r="AL18">
        <v>24715</v>
      </c>
      <c r="AM18">
        <v>22895</v>
      </c>
      <c r="AN18">
        <v>19383</v>
      </c>
    </row>
    <row r="19" spans="1:41">
      <c r="AA19" t="s">
        <v>105</v>
      </c>
      <c r="AB19">
        <v>772</v>
      </c>
      <c r="AC19">
        <v>1186</v>
      </c>
      <c r="AD19">
        <v>1859</v>
      </c>
      <c r="AE19">
        <v>2074</v>
      </c>
      <c r="AF19">
        <v>2163</v>
      </c>
      <c r="AG19">
        <v>2353</v>
      </c>
      <c r="AH19">
        <v>2729</v>
      </c>
      <c r="AI19">
        <v>2408</v>
      </c>
      <c r="AJ19">
        <v>2780</v>
      </c>
      <c r="AK19">
        <v>3040</v>
      </c>
      <c r="AL19">
        <v>2878</v>
      </c>
      <c r="AM19">
        <v>2893</v>
      </c>
      <c r="AN19">
        <v>2745</v>
      </c>
    </row>
    <row r="20" spans="1:41">
      <c r="AA20" t="s">
        <v>106</v>
      </c>
      <c r="AB20" s="143">
        <f>AB18/AB19</f>
        <v>8.1398963730569953</v>
      </c>
      <c r="AC20" s="143">
        <f t="shared" ref="AC20:AN20" si="2">AC18/AC19</f>
        <v>9.2495784148397977</v>
      </c>
      <c r="AD20" s="143">
        <f t="shared" si="2"/>
        <v>9.3362022592791831</v>
      </c>
      <c r="AE20" s="143">
        <f t="shared" si="2"/>
        <v>8.7603664416586309</v>
      </c>
      <c r="AF20" s="143">
        <f t="shared" si="2"/>
        <v>9.2709200184928342</v>
      </c>
      <c r="AG20" s="143">
        <f t="shared" si="2"/>
        <v>8.7811304717382068</v>
      </c>
      <c r="AH20" s="143">
        <f t="shared" si="2"/>
        <v>7.8446317332356177</v>
      </c>
      <c r="AI20" s="143">
        <f t="shared" si="2"/>
        <v>8.7317275747508312</v>
      </c>
      <c r="AJ20" s="143">
        <f t="shared" si="2"/>
        <v>8.3773381294964029</v>
      </c>
      <c r="AK20" s="143">
        <f t="shared" si="2"/>
        <v>8.8930921052631575</v>
      </c>
      <c r="AL20" s="143">
        <f t="shared" si="2"/>
        <v>8.5875608061153574</v>
      </c>
      <c r="AM20" s="143">
        <f t="shared" si="2"/>
        <v>7.9139301762875904</v>
      </c>
      <c r="AN20" s="176">
        <f t="shared" si="2"/>
        <v>7.0612021857923501</v>
      </c>
      <c r="AO20" s="143" t="e">
        <f>AO18/AO19</f>
        <v>#DIV/0!</v>
      </c>
    </row>
    <row r="23" spans="1:41">
      <c r="A23" t="s">
        <v>72</v>
      </c>
      <c r="AA23" t="s">
        <v>110</v>
      </c>
    </row>
    <row r="24" spans="1:41">
      <c r="AA24" t="s">
        <v>108</v>
      </c>
      <c r="AB24">
        <v>2008</v>
      </c>
      <c r="AC24">
        <v>2009</v>
      </c>
      <c r="AD24">
        <v>2010</v>
      </c>
      <c r="AE24">
        <v>2011</v>
      </c>
      <c r="AF24">
        <v>2012</v>
      </c>
      <c r="AG24">
        <v>2013</v>
      </c>
      <c r="AH24">
        <v>2014</v>
      </c>
      <c r="AI24">
        <v>2015</v>
      </c>
      <c r="AJ24">
        <v>2016</v>
      </c>
      <c r="AK24">
        <v>2017</v>
      </c>
      <c r="AL24">
        <v>2018</v>
      </c>
      <c r="AM24">
        <v>2019</v>
      </c>
      <c r="AN24">
        <v>2020</v>
      </c>
      <c r="AO24">
        <v>2021</v>
      </c>
    </row>
    <row r="25" spans="1:41">
      <c r="AA25" t="s">
        <v>113</v>
      </c>
      <c r="AB25">
        <v>125448</v>
      </c>
      <c r="AC25">
        <v>129590</v>
      </c>
      <c r="AD25">
        <v>136419</v>
      </c>
      <c r="AE25">
        <v>127567</v>
      </c>
      <c r="AF25">
        <v>125752</v>
      </c>
      <c r="AG25">
        <v>136892</v>
      </c>
      <c r="AH25">
        <v>127669</v>
      </c>
      <c r="AI25">
        <v>121985</v>
      </c>
      <c r="AJ25">
        <v>127092</v>
      </c>
      <c r="AK25">
        <v>148485</v>
      </c>
      <c r="AL25">
        <v>140395</v>
      </c>
      <c r="AM25">
        <v>134764</v>
      </c>
      <c r="AN25">
        <v>114528</v>
      </c>
    </row>
    <row r="26" spans="1:41">
      <c r="AA26" t="s">
        <v>105</v>
      </c>
      <c r="AB26">
        <v>18105</v>
      </c>
      <c r="AC26">
        <v>18658</v>
      </c>
      <c r="AD26">
        <v>18128</v>
      </c>
      <c r="AE26">
        <v>17194</v>
      </c>
      <c r="AF26">
        <v>16631</v>
      </c>
      <c r="AG26">
        <v>18738</v>
      </c>
      <c r="AH26">
        <v>18362</v>
      </c>
      <c r="AI26">
        <v>16857</v>
      </c>
      <c r="AJ26">
        <v>17857</v>
      </c>
      <c r="AK26">
        <v>20711</v>
      </c>
      <c r="AL26">
        <v>20159</v>
      </c>
      <c r="AM26">
        <v>21105</v>
      </c>
      <c r="AN26">
        <v>17796</v>
      </c>
    </row>
    <row r="27" spans="1:41">
      <c r="AA27" t="s">
        <v>106</v>
      </c>
      <c r="AB27">
        <f>AB25/AB26</f>
        <v>6.9289146644573325</v>
      </c>
      <c r="AC27">
        <f t="shared" ref="AC27:AN27" si="3">AC25/AC26</f>
        <v>6.9455461464251256</v>
      </c>
      <c r="AD27">
        <f t="shared" si="3"/>
        <v>7.5253199470432479</v>
      </c>
      <c r="AE27">
        <f t="shared" si="3"/>
        <v>7.4192741654065371</v>
      </c>
      <c r="AF27">
        <f t="shared" si="3"/>
        <v>7.561301184534905</v>
      </c>
      <c r="AG27">
        <f t="shared" si="3"/>
        <v>7.3055822392998184</v>
      </c>
      <c r="AH27">
        <f t="shared" si="3"/>
        <v>6.9528918418472934</v>
      </c>
      <c r="AI27">
        <f t="shared" si="3"/>
        <v>7.2364596310138225</v>
      </c>
      <c r="AJ27">
        <f t="shared" si="3"/>
        <v>7.1172089376715011</v>
      </c>
      <c r="AK27">
        <f t="shared" si="3"/>
        <v>7.1693785910868622</v>
      </c>
      <c r="AL27">
        <f t="shared" si="3"/>
        <v>6.9643831539262857</v>
      </c>
      <c r="AM27">
        <f t="shared" si="3"/>
        <v>6.3854063018242124</v>
      </c>
      <c r="AN27" s="175">
        <f t="shared" si="3"/>
        <v>6.4356035064059336</v>
      </c>
    </row>
    <row r="38" spans="1:1">
      <c r="A38" t="s">
        <v>75</v>
      </c>
    </row>
    <row r="70" spans="1:1">
      <c r="A70" t="s">
        <v>76</v>
      </c>
    </row>
    <row r="94" spans="1:1">
      <c r="A94" t="s">
        <v>77</v>
      </c>
    </row>
    <row r="122" spans="1:1">
      <c r="A122" t="s">
        <v>78</v>
      </c>
    </row>
    <row r="148" spans="1:1">
      <c r="A148" t="s">
        <v>79</v>
      </c>
    </row>
    <row r="179" spans="1:1">
      <c r="A179" t="s">
        <v>81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DADOS HC</vt:lpstr>
      <vt:lpstr>Registro TabNet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Daniella Lages Moselli</dc:creator>
  <cp:lastModifiedBy>Aline Santos De Oliveira</cp:lastModifiedBy>
  <dcterms:created xsi:type="dcterms:W3CDTF">2020-08-18T12:21:00Z</dcterms:created>
  <dcterms:modified xsi:type="dcterms:W3CDTF">2022-02-17T11:50:57Z</dcterms:modified>
</cp:coreProperties>
</file>