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0545" windowHeight="5460" tabRatio="934"/>
  </bookViews>
  <sheets>
    <sheet name="12X36 NOTURNO" sheetId="4" r:id="rId1"/>
    <sheet name="INSUMOS DIVERSOS" sheetId="6" r:id="rId2"/>
  </sheets>
  <externalReferences>
    <externalReference r:id="rId3"/>
  </externalReferences>
  <definedNames>
    <definedName name="_xlnm.Print_Area" localSheetId="0">'12X36 NOTURNO'!$A$1:$I$147</definedName>
    <definedName name="Escala">[1]Base!$B$2:$B$29</definedName>
    <definedName name="Horário">[1]Base!$D$2:$D$18</definedName>
    <definedName name="Qtde">[1]Base!$C$2:$C$101</definedName>
    <definedName name="Tipo">[1]Base!$A$2:$A$85</definedName>
    <definedName name="VBATest">#REF!</definedName>
    <definedName name="VBATeste">#REF!</definedName>
  </definedNames>
  <calcPr calcId="144525"/>
</workbook>
</file>

<file path=xl/calcChain.xml><?xml version="1.0" encoding="utf-8"?>
<calcChain xmlns="http://schemas.openxmlformats.org/spreadsheetml/2006/main">
  <c r="I83" i="4" l="1"/>
  <c r="I82" i="4"/>
  <c r="H82" i="4"/>
  <c r="I81" i="4"/>
  <c r="H81" i="4"/>
  <c r="I27" i="4" l="1"/>
  <c r="I26" i="4"/>
  <c r="I86" i="4"/>
  <c r="B50" i="6"/>
  <c r="O52" i="6"/>
  <c r="O54" i="6"/>
  <c r="O33" i="6"/>
  <c r="O42" i="6"/>
  <c r="I100" i="4"/>
  <c r="K26" i="6"/>
  <c r="K28" i="6"/>
  <c r="O53" i="6"/>
  <c r="O51" i="6"/>
  <c r="I38" i="6"/>
  <c r="I39" i="6" s="1"/>
  <c r="D48" i="6"/>
  <c r="F48" i="6" s="1"/>
  <c r="D43" i="6"/>
  <c r="F43" i="6" s="1"/>
  <c r="D42" i="6"/>
  <c r="F42" i="6" s="1"/>
  <c r="D41" i="6"/>
  <c r="F41" i="6" s="1"/>
  <c r="D40" i="6"/>
  <c r="F40" i="6" s="1"/>
  <c r="D39" i="6"/>
  <c r="F39" i="6" s="1"/>
  <c r="D38" i="6"/>
  <c r="F38" i="6" s="1"/>
  <c r="D37" i="6"/>
  <c r="F37" i="6" s="1"/>
  <c r="D32" i="6"/>
  <c r="F32" i="6" s="1"/>
  <c r="D31" i="6"/>
  <c r="F31" i="6" s="1"/>
  <c r="D30" i="6"/>
  <c r="F30" i="6" s="1"/>
  <c r="D29" i="6"/>
  <c r="F29" i="6" s="1"/>
  <c r="D28" i="6"/>
  <c r="F28" i="6" s="1"/>
  <c r="D27" i="6"/>
  <c r="F27" i="6" s="1"/>
  <c r="D26" i="6"/>
  <c r="F26" i="6" s="1"/>
  <c r="K25" i="6"/>
  <c r="D25" i="6"/>
  <c r="F25" i="6" s="1"/>
  <c r="D24" i="6"/>
  <c r="F24" i="6" s="1"/>
  <c r="J23" i="6"/>
  <c r="D23" i="6"/>
  <c r="F23" i="6" s="1"/>
  <c r="K22" i="6"/>
  <c r="D22" i="6"/>
  <c r="F22" i="6" s="1"/>
  <c r="K21" i="6"/>
  <c r="D21" i="6"/>
  <c r="F21" i="6" s="1"/>
  <c r="K20" i="6"/>
  <c r="D20" i="6"/>
  <c r="F20" i="6" s="1"/>
  <c r="E14" i="6"/>
  <c r="B14" i="6"/>
  <c r="E12" i="6"/>
  <c r="E9" i="6"/>
  <c r="B9" i="6"/>
  <c r="E8" i="6"/>
  <c r="B8" i="6"/>
  <c r="C1" i="6"/>
  <c r="E17" i="6" s="1"/>
  <c r="F44" i="6" l="1"/>
  <c r="I98" i="4" s="1"/>
  <c r="K23" i="6"/>
  <c r="I101" i="4" s="1"/>
  <c r="O55" i="6"/>
  <c r="E10" i="6"/>
  <c r="B10" i="6"/>
  <c r="E13" i="6"/>
  <c r="F33" i="6"/>
  <c r="I97" i="4" s="1"/>
  <c r="D50" i="6"/>
  <c r="F50" i="6" s="1"/>
  <c r="D49" i="6"/>
  <c r="F49" i="6" s="1"/>
  <c r="F51" i="6" l="1"/>
  <c r="I99" i="4" s="1"/>
  <c r="I102" i="4" s="1"/>
  <c r="I23" i="4"/>
  <c r="I24" i="4" s="1"/>
  <c r="F146" i="4" l="1"/>
  <c r="H66" i="4" l="1"/>
  <c r="H47" i="4"/>
  <c r="H69" i="4"/>
  <c r="H71" i="4" s="1"/>
  <c r="I25" i="4"/>
  <c r="I50" i="4"/>
  <c r="I51" i="4"/>
  <c r="I120" i="4"/>
  <c r="B122" i="4"/>
  <c r="B120" i="4"/>
  <c r="B119" i="4"/>
  <c r="B118" i="4"/>
  <c r="H36" i="4"/>
  <c r="B116" i="4"/>
  <c r="B117" i="4"/>
  <c r="I133" i="4"/>
  <c r="I139" i="4"/>
  <c r="I30" i="4" l="1"/>
  <c r="H86" i="4"/>
  <c r="H87" i="4" s="1"/>
  <c r="I54" i="4"/>
  <c r="I60" i="4" s="1"/>
  <c r="I87" i="4"/>
  <c r="I92" i="4" s="1"/>
  <c r="I65" i="4" l="1"/>
  <c r="I66" i="4"/>
  <c r="I68" i="4"/>
  <c r="I79" i="4"/>
  <c r="I78" i="4"/>
  <c r="I43" i="4"/>
  <c r="I116" i="4"/>
  <c r="I70" i="4"/>
  <c r="I34" i="4"/>
  <c r="I41" i="4"/>
  <c r="I75" i="4"/>
  <c r="I40" i="4"/>
  <c r="I47" i="4" s="1"/>
  <c r="I59" i="4" s="1"/>
  <c r="I39" i="4"/>
  <c r="I35" i="4"/>
  <c r="I67" i="4"/>
  <c r="I46" i="4"/>
  <c r="I45" i="4"/>
  <c r="I42" i="4"/>
  <c r="I44" i="4"/>
  <c r="I69" i="4"/>
  <c r="I77" i="4"/>
  <c r="I80" i="4"/>
  <c r="I76" i="4"/>
  <c r="I36" i="4"/>
  <c r="I58" i="4" s="1"/>
  <c r="I61" i="4" l="1"/>
  <c r="I117" i="4" s="1"/>
  <c r="I71" i="4"/>
  <c r="I118" i="4" s="1"/>
  <c r="I91" i="4"/>
  <c r="I93" i="4" s="1"/>
  <c r="I119" i="4" s="1"/>
  <c r="I121" i="4" l="1"/>
  <c r="I106" i="4" s="1"/>
  <c r="I107" i="4" s="1"/>
  <c r="H108" i="4" l="1"/>
  <c r="I110" i="4" l="1"/>
  <c r="I111" i="4"/>
  <c r="I109" i="4"/>
  <c r="I138" i="4" l="1"/>
  <c r="I141" i="4" s="1"/>
  <c r="I112" i="4"/>
  <c r="I122" i="4" l="1"/>
  <c r="I123" i="4" s="1"/>
  <c r="E146" i="4" s="1"/>
  <c r="G146" i="4" s="1"/>
  <c r="I146" i="4" s="1"/>
  <c r="I147" i="4" s="1"/>
  <c r="I140" i="4"/>
</calcChain>
</file>

<file path=xl/comments1.xml><?xml version="1.0" encoding="utf-8"?>
<comments xmlns="http://schemas.openxmlformats.org/spreadsheetml/2006/main">
  <authors>
    <author>Anderson Cardoso</author>
  </authors>
  <commentList>
    <comment ref="H34" authorId="0">
      <text>
        <r>
          <rPr>
            <b/>
            <sz val="9"/>
            <color indexed="81"/>
            <rFont val="Tahoma"/>
            <family val="2"/>
          </rPr>
          <t>Anderson Cardoso:</t>
        </r>
        <r>
          <rPr>
            <sz val="9"/>
            <color indexed="81"/>
            <rFont val="Tahoma"/>
            <family val="2"/>
          </rPr>
          <t xml:space="preserve">
1 x (1/11) = 0,09090 
~= 9,075% IN 5/2017</t>
        </r>
      </text>
    </comment>
    <comment ref="H35" authorId="0">
      <text>
        <r>
          <rPr>
            <b/>
            <sz val="9"/>
            <color indexed="81"/>
            <rFont val="Tahoma"/>
            <family val="2"/>
          </rPr>
          <t>Anderson Cardoso:</t>
        </r>
        <r>
          <rPr>
            <sz val="9"/>
            <color indexed="81"/>
            <rFont val="Tahoma"/>
            <family val="2"/>
          </rPr>
          <t xml:space="preserve">
(1/3) x (1/11) = 0,03030 ~=3,025</t>
        </r>
      </text>
    </comment>
    <comment ref="H50" authorId="0">
      <text>
        <r>
          <rPr>
            <b/>
            <sz val="9"/>
            <color indexed="81"/>
            <rFont val="Tahoma"/>
            <family val="2"/>
          </rPr>
          <t>Anderson Cardoso:</t>
        </r>
        <r>
          <rPr>
            <sz val="9"/>
            <color indexed="81"/>
            <rFont val="Tahoma"/>
            <family val="2"/>
          </rPr>
          <t xml:space="preserve">
Preço da passagem</t>
        </r>
      </text>
    </comment>
    <comment ref="H51" authorId="0">
      <text>
        <r>
          <rPr>
            <b/>
            <sz val="9"/>
            <color indexed="81"/>
            <rFont val="Tahoma"/>
            <family val="2"/>
          </rPr>
          <t>Anderson Cardoso:</t>
        </r>
        <r>
          <rPr>
            <sz val="9"/>
            <color indexed="81"/>
            <rFont val="Tahoma"/>
            <family val="2"/>
          </rPr>
          <t xml:space="preserve">
Valor do ticket diário</t>
        </r>
      </text>
    </comment>
    <comment ref="H75" authorId="0">
      <text>
        <r>
          <rPr>
            <b/>
            <sz val="9"/>
            <color indexed="81"/>
            <rFont val="Tahoma"/>
            <family val="2"/>
          </rPr>
          <t>Anderson Cardoso:</t>
        </r>
        <r>
          <rPr>
            <sz val="9"/>
            <color indexed="81"/>
            <rFont val="Tahoma"/>
            <family val="2"/>
          </rPr>
          <t xml:space="preserve">
1 x (1/11) = 0,09090 
~= 9,075% IN 5/2017</t>
        </r>
      </text>
    </comment>
    <comment ref="H76" authorId="0">
      <text>
        <r>
          <rPr>
            <b/>
            <sz val="9"/>
            <color indexed="81"/>
            <rFont val="Tahoma"/>
            <family val="2"/>
          </rPr>
          <t>Anderson Cardoso:</t>
        </r>
        <r>
          <rPr>
            <sz val="9"/>
            <color indexed="81"/>
            <rFont val="Tahoma"/>
            <family val="2"/>
          </rPr>
          <t xml:space="preserve">
(faltas/30) x (1/12) = 0,73%
faltas = faltas totais no ano
Sendo 2,96 faltas/ano.</t>
        </r>
      </text>
    </comment>
    <comment ref="H77" authorId="0">
      <text>
        <r>
          <rPr>
            <b/>
            <sz val="9"/>
            <color indexed="81"/>
            <rFont val="Tahoma"/>
            <family val="2"/>
          </rPr>
          <t>Anderson Cardoso:</t>
        </r>
        <r>
          <rPr>
            <sz val="9"/>
            <color indexed="81"/>
            <rFont val="Tahoma"/>
            <family val="2"/>
          </rPr>
          <t xml:space="preserve">
(5/30) x (1/12) x fecundidade% x homens% =
(5/30) x (1/12) x 6,24% x 95,04% = 0,08%</t>
        </r>
      </text>
    </comment>
    <comment ref="H78" authorId="0">
      <text>
        <r>
          <rPr>
            <b/>
            <sz val="9"/>
            <color indexed="81"/>
            <rFont val="Tahoma"/>
            <family val="2"/>
          </rPr>
          <t>Anderson Cardoso:</t>
        </r>
        <r>
          <rPr>
            <sz val="9"/>
            <color indexed="81"/>
            <rFont val="Tahoma"/>
            <family val="2"/>
          </rPr>
          <t xml:space="preserve">
(faltas/30) x (1/12) = 
(2,96/30) x (1/12) = 0,73%</t>
        </r>
      </text>
    </comment>
    <comment ref="H79" authorId="0">
      <text>
        <r>
          <rPr>
            <b/>
            <sz val="9"/>
            <color indexed="81"/>
            <rFont val="Tahoma"/>
            <family val="2"/>
          </rPr>
          <t>Anderson Cardoso:</t>
        </r>
        <r>
          <rPr>
            <sz val="9"/>
            <color indexed="81"/>
            <rFont val="Tahoma"/>
            <family val="2"/>
          </rPr>
          <t xml:space="preserve">
De acordo com dados estatísticos do IBGE, a taxa de natalidade brasileira é de 1,44%. Estima-se que 10% das empregadas engravidam em cada ano de execução contratual. Considerando-se o custo de encargos como sendo 45,09% da remuneração (CPP 20,00% + SAT 4,00% + 13º Salário 9,09% + FGTS 8,00% + Multa Rescisória 4,00%) e que a licença-maternidade dure 6 meses, a provisão para este item corresponde a: Cálculo: 0,0144 x 0,1 x 0,4509 x 6/12 = 0,03%.
=&gt;Deve ser zerado caso só tenha homens na vigilância.</t>
        </r>
      </text>
    </comment>
    <comment ref="I86" authorId="0">
      <text>
        <r>
          <rPr>
            <b/>
            <sz val="9"/>
            <color indexed="81"/>
            <rFont val="Tahoma"/>
            <family val="2"/>
          </rPr>
          <t>Anderson Cardoso:</t>
        </r>
        <r>
          <rPr>
            <sz val="9"/>
            <color indexed="81"/>
            <rFont val="Tahoma"/>
            <family val="2"/>
          </rPr>
          <t xml:space="preserve">
50% adic. HE + 20% adic. Noturno
=&gt;Pode variar conforme Acordo Coletivo de Trabalho</t>
        </r>
      </text>
    </comment>
    <comment ref="I92" authorId="0">
      <text>
        <r>
          <rPr>
            <b/>
            <sz val="9"/>
            <color indexed="81"/>
            <rFont val="Tahoma"/>
            <family val="2"/>
          </rPr>
          <t>Anderson Cardoso:</t>
        </r>
        <r>
          <rPr>
            <sz val="9"/>
            <color indexed="81"/>
            <rFont val="Tahoma"/>
            <family val="2"/>
          </rPr>
          <t xml:space="preserve">
O empregado é indenizado pelo seu tempo de "repouso e alimentação", mas tem direito a se alimentar sem deixar o posto e continua responsável por qualquer problema que ocorra enquanto estiver se alimentando. 
É um olho no peixe e outro no gato!
ATENÇÃO: Caso o valor seja zerado quer dizer que o vigilante terá 1h para repouso e alimentação podendo deixar o posto e não ficará responsável por nada que aconteça nesse período.</t>
        </r>
      </text>
    </comment>
  </commentList>
</comments>
</file>

<file path=xl/sharedStrings.xml><?xml version="1.0" encoding="utf-8"?>
<sst xmlns="http://schemas.openxmlformats.org/spreadsheetml/2006/main" count="364" uniqueCount="238">
  <si>
    <t>-</t>
  </si>
  <si>
    <t>VALOR (R$)</t>
  </si>
  <si>
    <t>Adicional Noturno</t>
  </si>
  <si>
    <t>%</t>
  </si>
  <si>
    <t>Outros (especificar)</t>
  </si>
  <si>
    <t>Lucro</t>
  </si>
  <si>
    <t>Data base da categoria (dia/mês/ano)</t>
  </si>
  <si>
    <t>Salário Nominativo da Categoria Profissional</t>
  </si>
  <si>
    <t>Tipo de serviço (mesmo serviço com características distintas)</t>
  </si>
  <si>
    <t>A</t>
  </si>
  <si>
    <t>B</t>
  </si>
  <si>
    <t>C</t>
  </si>
  <si>
    <t>D</t>
  </si>
  <si>
    <t>E</t>
  </si>
  <si>
    <t>F</t>
  </si>
  <si>
    <t>G</t>
  </si>
  <si>
    <t>H</t>
  </si>
  <si>
    <t>COMPOSIÇÃO DA REMUNERAÇÃO</t>
  </si>
  <si>
    <t>INSUMOS DIVERSOS</t>
  </si>
  <si>
    <t>Materiais</t>
  </si>
  <si>
    <t>Equipamentos</t>
  </si>
  <si>
    <t>TOTAL SUBMÓDULO 4.1</t>
  </si>
  <si>
    <t>Nota(1):</t>
  </si>
  <si>
    <t>TOTAL SUBMÓDULO 4.2</t>
  </si>
  <si>
    <t>Afastamento Maternidade</t>
  </si>
  <si>
    <t>TOTAL</t>
  </si>
  <si>
    <t>CUSTOS INDIRETOS, TRIBUTOS E LUCRO</t>
  </si>
  <si>
    <t>4.1</t>
  </si>
  <si>
    <t>4.2</t>
  </si>
  <si>
    <t>Custos Indiretos</t>
  </si>
  <si>
    <t>Mão-de-Obra vinculada à execução contratual (valor por empregado)</t>
  </si>
  <si>
    <t>MÓDULO 1 - COMPOSIÇÃO DA REMUNERAÇÃO</t>
  </si>
  <si>
    <t>Quadro Resumo - VALOR MENSAL DOS SERVIÇOS</t>
  </si>
  <si>
    <t>Qde Postos (E)</t>
  </si>
  <si>
    <t>Tipo de Serviço (A)</t>
  </si>
  <si>
    <t>Valor Por Empregado(B)</t>
  </si>
  <si>
    <t>Valor Proposto por Posto (D) = (B x C)</t>
  </si>
  <si>
    <t>Qde de Empregados por posto ( C )</t>
  </si>
  <si>
    <t>Serviço 1 (indicar)</t>
  </si>
  <si>
    <t>Serviço 2 (indicar)</t>
  </si>
  <si>
    <t>Serviço 3 (indicar)</t>
  </si>
  <si>
    <t>Serviço ... (indicar)</t>
  </si>
  <si>
    <t>R$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</si>
  <si>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</si>
  <si>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</si>
  <si>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</si>
  <si>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</si>
  <si>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</si>
  <si>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</si>
  <si>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</si>
  <si>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</si>
  <si>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Informar o valor da unidade de medida por tipo de serviço.</t>
  </si>
  <si>
    <t>Salário Base</t>
  </si>
  <si>
    <t>Discriminação dos Serviços</t>
  </si>
  <si>
    <t>Data de apresentação da proposta</t>
  </si>
  <si>
    <t>Município</t>
  </si>
  <si>
    <t>Nº de meses de execução contratual</t>
  </si>
  <si>
    <t>Tipo de Serviço</t>
  </si>
  <si>
    <t>Unidade de Medida</t>
  </si>
  <si>
    <t>Quantidade total a contratar (em função da unidade de medida)</t>
  </si>
  <si>
    <t>Identificação do Serviço</t>
  </si>
  <si>
    <t>PIS</t>
  </si>
  <si>
    <t>COFINS</t>
  </si>
  <si>
    <t>ISS</t>
  </si>
  <si>
    <t>C.1</t>
  </si>
  <si>
    <t>C.2</t>
  </si>
  <si>
    <t>C.3</t>
  </si>
  <si>
    <t>Ano do Acordo, Convenção ou Dissídio Coletivo</t>
  </si>
  <si>
    <t>Dados para composição dos custos referentes à mão-de-obra</t>
  </si>
  <si>
    <t>Classificação Brasileira de Ocupações (CBO)</t>
  </si>
  <si>
    <t xml:space="preserve">Adicional Periculosidade </t>
  </si>
  <si>
    <t>Adicional Insalubridade</t>
  </si>
  <si>
    <t>Adicional de Hora Noturna Reduzida</t>
  </si>
  <si>
    <t>MÓDULO 2 – ENCARGOS E BENEFÍCIOS ANUAIS, MENSAIS E DIÁRIOS</t>
  </si>
  <si>
    <t>13º Salário, Férias e Adicional de Férias</t>
  </si>
  <si>
    <r>
      <t>13 (Décimo-terceiro) salário</t>
    </r>
    <r>
      <rPr>
        <sz val="10"/>
        <color indexed="10"/>
        <rFont val="Arial"/>
        <family val="2"/>
      </rPr>
      <t xml:space="preserve"> </t>
    </r>
  </si>
  <si>
    <t>TOTAL SUBMÓDULO 2.1</t>
  </si>
  <si>
    <t>GPS, FGTS e Outras Contribuições</t>
  </si>
  <si>
    <t>SESC ou SESI</t>
  </si>
  <si>
    <t xml:space="preserve">INSS </t>
  </si>
  <si>
    <t xml:space="preserve">Salário Educação </t>
  </si>
  <si>
    <t>SAT (Seguro Acidente de Trabalho)</t>
  </si>
  <si>
    <t xml:space="preserve">SENAI - SENAC </t>
  </si>
  <si>
    <t xml:space="preserve">SEBRAE </t>
  </si>
  <si>
    <t xml:space="preserve">INCRA </t>
  </si>
  <si>
    <t xml:space="preserve">FGTS </t>
  </si>
  <si>
    <t>TOTAL SUBMÓDULO 2.2</t>
  </si>
  <si>
    <t>Submódulo 2.1 - 13º Salário, Férias e Adicional de Férias</t>
  </si>
  <si>
    <t>Submódulo 2.2 - GPS, FGTS e Outras Contribuições</t>
  </si>
  <si>
    <t>Submódulo 2.3 - Benefícios Mensais e Diários</t>
  </si>
  <si>
    <t xml:space="preserve">Transporte </t>
  </si>
  <si>
    <t xml:space="preserve">Auxílio-Refeição/Alimentação </t>
  </si>
  <si>
    <t xml:space="preserve">Assistência Médica e Familiar </t>
  </si>
  <si>
    <t>TOTAL SUBMÓDULO 2.3</t>
  </si>
  <si>
    <t>QUADRO-RESUMO DO MÓDULO 2 - ENCARGOS, BENEFÍCIOS ANUAIS, MENSAIS E DIÁRIOS</t>
  </si>
  <si>
    <t>2.1</t>
  </si>
  <si>
    <t>2.2</t>
  </si>
  <si>
    <t>2.3</t>
  </si>
  <si>
    <t>Módulo 2 - Encargos, Benefícios Anuais, Mensais e Diários</t>
  </si>
  <si>
    <t>Benefícios Mensais e Diários</t>
  </si>
  <si>
    <t>TOTAL DO MÓDULO 1</t>
  </si>
  <si>
    <t>TOTAL DO MÓDULO 2</t>
  </si>
  <si>
    <t>MÓDULO 3 – PROVISÃO PARA RESCISÃO</t>
  </si>
  <si>
    <t>PROVISÃO PARA RESCISÃO</t>
  </si>
  <si>
    <t xml:space="preserve">Aviso Prévio Trabalhado </t>
  </si>
  <si>
    <t>Incidência do FGTS sobre Aviso Prévio Indenizado</t>
  </si>
  <si>
    <t>Aviso Prévio Indenizado</t>
  </si>
  <si>
    <t>Multa do FGTS e Contribuição Social sobre o Aviso Prévio Indenizado</t>
  </si>
  <si>
    <t>Incidência dos encargos do submódulo 2.2 sobre Aviso Prévio Trabalhado</t>
  </si>
  <si>
    <t xml:space="preserve">Multa do FGTS e Contribuição Social sobre o Aviso Prévio Trabalhado. </t>
  </si>
  <si>
    <t>TOTAL DO MÓDULO 3</t>
  </si>
  <si>
    <t>MÓDULO 4 – CUSTO DE REPOSIÇÃO DO PROFISSIONAL AUSENTE</t>
  </si>
  <si>
    <t>Submódulo 4.1 - Ausências Legais</t>
  </si>
  <si>
    <r>
      <t>Férias</t>
    </r>
    <r>
      <rPr>
        <sz val="10"/>
        <rFont val="Arial"/>
        <family val="2"/>
      </rPr>
      <t xml:space="preserve"> </t>
    </r>
  </si>
  <si>
    <t>Ausências Legais</t>
  </si>
  <si>
    <t>Licença Paternidade</t>
  </si>
  <si>
    <r>
      <t>Ausência por Acidente de Trabalho</t>
    </r>
    <r>
      <rPr>
        <sz val="10"/>
        <color indexed="10"/>
        <rFont val="Arial"/>
        <family val="2"/>
      </rPr>
      <t xml:space="preserve"> </t>
    </r>
  </si>
  <si>
    <t>Submódulo 4.2 - Intrajornada</t>
  </si>
  <si>
    <t>Intervalo para Repouso ou Alimentação</t>
  </si>
  <si>
    <t>QUADRO-RESUMO DO MÓDULO 4 - CUSTO DE REPOSIÇÃO DO PROFISSIONAL AUSENTE</t>
  </si>
  <si>
    <t>Módulo 4 - Custo de Reposição do Profissional Ausente</t>
  </si>
  <si>
    <t>Intrajornada</t>
  </si>
  <si>
    <t>TOTAL DO MÓDULO 4</t>
  </si>
  <si>
    <t>MÓDULO 5 – INSUMOS DIVERSOS</t>
  </si>
  <si>
    <t xml:space="preserve">Uniformes </t>
  </si>
  <si>
    <t>TOTAL DO MÓDULO 5</t>
  </si>
  <si>
    <t>MÓDULO 6 – CUSTOS INDIRETOS, TRIBUTOS E LUCRO</t>
  </si>
  <si>
    <t>TOTAL DO MÓDULO 6</t>
  </si>
  <si>
    <t>QUADRO RESUMO DO CUSTO POR EMPREGADO</t>
  </si>
  <si>
    <t>Subtotal (A + B + C + D + E)</t>
  </si>
  <si>
    <t>PREÇO TOTAL POR EMPREGADO</t>
  </si>
  <si>
    <r>
      <rPr>
        <sz val="10"/>
        <rFont val="Arial"/>
        <family val="2"/>
      </rPr>
      <t>Férias e Adicional de Férias</t>
    </r>
  </si>
  <si>
    <t>vigilante</t>
  </si>
  <si>
    <t>VIGILANCIA</t>
  </si>
  <si>
    <t>CBO-5173-30</t>
  </si>
  <si>
    <t>CCT</t>
  </si>
  <si>
    <t>Posto 12h Noturno</t>
  </si>
  <si>
    <t>1h</t>
  </si>
  <si>
    <t>Tipo de serviço (A)</t>
  </si>
  <si>
    <t>Valor proposto por empregado (B)</t>
  </si>
  <si>
    <t>Valor proposto por posto (D) = (B x C)</t>
  </si>
  <si>
    <t>Qtde de postos (E)</t>
  </si>
  <si>
    <t>Valor total do serviço (F)=(DXE)</t>
  </si>
  <si>
    <t>I</t>
  </si>
  <si>
    <t>Qtd empregados por posto (C)</t>
  </si>
  <si>
    <t>POSTO DE VIGILANCIA ARMADA 12H NOTURNO</t>
  </si>
  <si>
    <r>
      <t>TRIBUTOS</t>
    </r>
    <r>
      <rPr>
        <sz val="10"/>
        <rFont val="Arial"/>
        <family val="2"/>
      </rPr>
      <t xml:space="preserve"> (Lucro Presumido)</t>
    </r>
  </si>
  <si>
    <t>VALOR TOTAL CONTRATUAL</t>
  </si>
  <si>
    <t>Categoria profissional: VIGILÂNCIA ARMADA</t>
  </si>
  <si>
    <t>MACEIÓ</t>
  </si>
  <si>
    <t>VIGILÂNCIA</t>
  </si>
  <si>
    <t>MOE</t>
  </si>
  <si>
    <t>TAXA ADM</t>
  </si>
  <si>
    <t>TAXA LUCRO</t>
  </si>
  <si>
    <t>CSLL</t>
  </si>
  <si>
    <t>IRPJ</t>
  </si>
  <si>
    <t>Seguro de Responsabilidade Civil</t>
  </si>
  <si>
    <t>VT</t>
  </si>
  <si>
    <t>VR</t>
  </si>
  <si>
    <t>Cob.Social</t>
  </si>
  <si>
    <t>Cesta Básica limpeza</t>
  </si>
  <si>
    <t>Treinamento</t>
  </si>
  <si>
    <t>Total</t>
  </si>
  <si>
    <t>Treinamento Legal Diurno</t>
  </si>
  <si>
    <t>Vlr. Unit.</t>
  </si>
  <si>
    <t>Qtd.</t>
  </si>
  <si>
    <t>Vlr. Total</t>
  </si>
  <si>
    <t>Vida Útil em Meses</t>
  </si>
  <si>
    <t>Vlr. Mensal</t>
  </si>
  <si>
    <t>Valor do Curso</t>
  </si>
  <si>
    <t>Qtd. x Carga Horária</t>
  </si>
  <si>
    <t>Camisa</t>
  </si>
  <si>
    <t>Formação</t>
  </si>
  <si>
    <t>Calça</t>
  </si>
  <si>
    <t>Reciclagem</t>
  </si>
  <si>
    <t>Cinto</t>
  </si>
  <si>
    <t>Vlr. Hora Homem</t>
  </si>
  <si>
    <t>Torçal</t>
  </si>
  <si>
    <t>Encargo c/a 80%</t>
  </si>
  <si>
    <t>Coturno</t>
  </si>
  <si>
    <t>Vale Transporte</t>
  </si>
  <si>
    <t>Braçal</t>
  </si>
  <si>
    <t>Vale Alimentação</t>
  </si>
  <si>
    <t>Coldre</t>
  </si>
  <si>
    <t>Apito</t>
  </si>
  <si>
    <t>Prazo de validade em meses</t>
  </si>
  <si>
    <t>Cobertura</t>
  </si>
  <si>
    <t>Valor mensal</t>
  </si>
  <si>
    <t>Crachá</t>
  </si>
  <si>
    <t>Distintivo</t>
  </si>
  <si>
    <t>Meias</t>
  </si>
  <si>
    <t>Capa de Chuva</t>
  </si>
  <si>
    <t>Totais</t>
  </si>
  <si>
    <t>Material</t>
  </si>
  <si>
    <t>Colete</t>
  </si>
  <si>
    <t>Capa de colete</t>
  </si>
  <si>
    <t>Óculos</t>
  </si>
  <si>
    <t>Lanterna</t>
  </si>
  <si>
    <t>Livro de ocorrência</t>
  </si>
  <si>
    <t>Jaqueta de frio</t>
  </si>
  <si>
    <t>Rádio HT</t>
  </si>
  <si>
    <t>Revolver 38</t>
  </si>
  <si>
    <t>Porta munição 38</t>
  </si>
  <si>
    <t>EXAMES MÉDICOS</t>
  </si>
  <si>
    <t>DETALHAMENTO</t>
  </si>
  <si>
    <t>Munição</t>
  </si>
  <si>
    <t xml:space="preserve">VIGILANTE </t>
  </si>
  <si>
    <t>TIPO</t>
  </si>
  <si>
    <t>PERIODICIDADE</t>
  </si>
  <si>
    <t>VALOR</t>
  </si>
  <si>
    <t>ADMISSIONAL</t>
  </si>
  <si>
    <t>ASO CLINICO</t>
  </si>
  <si>
    <t>A CADA 12 MESES</t>
  </si>
  <si>
    <t>DEMISSIONAL</t>
  </si>
  <si>
    <t>1 VEZ</t>
  </si>
  <si>
    <t>PERÍODICO ASO ANUAL</t>
  </si>
  <si>
    <t>ACUIDADE VISUAL</t>
  </si>
  <si>
    <t>RETORNO DE TRABALHO</t>
  </si>
  <si>
    <t>HEMOGRAMA</t>
  </si>
  <si>
    <t>PSICOLOGICO</t>
  </si>
  <si>
    <t>GLICEMIA</t>
  </si>
  <si>
    <t>MUDANÇA DE FUNÇÃO</t>
  </si>
  <si>
    <t>ECG</t>
  </si>
  <si>
    <t>EEG</t>
  </si>
  <si>
    <t>AUDIMETRIA</t>
  </si>
  <si>
    <t>RX DE COLUNA</t>
  </si>
  <si>
    <t>01 A CADA 24 MESES</t>
  </si>
  <si>
    <t>PSICOLÓGICO / EVENTUAL</t>
  </si>
  <si>
    <t>2 A CADA 24 MESES</t>
  </si>
  <si>
    <t>MUD. DE FUNÇÃO / EVENTUAL</t>
  </si>
  <si>
    <t>01 A CADA 36 MESES</t>
  </si>
  <si>
    <t>TOTAL MENSAL</t>
  </si>
  <si>
    <t>Exames Médicos</t>
  </si>
  <si>
    <t>Treinamentos</t>
  </si>
  <si>
    <t>Armamentos/Equipamentos</t>
  </si>
  <si>
    <t>Fardamento/Uniforme do Vigilante</t>
  </si>
  <si>
    <t>SUBTOTAL</t>
  </si>
  <si>
    <t>Incidência do submódulo 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</si>
</sst>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&quot;R$ &quot;#,##0.00_);[Red]\(&quot;R$ &quot;#,##0.00\)"/>
    <numFmt numFmtId="165" formatCode="_(&quot;R$ &quot;* #,##0.00_);_(&quot;R$ &quot;* \(#,##0.00\);_(&quot;R$ &quot;* &quot;-&quot;??_);_(@_)"/>
    <numFmt numFmtId="166" formatCode="0.0%"/>
    <numFmt numFmtId="167" formatCode="0.000%"/>
    <numFmt numFmtId="168" formatCode="_(&quot;R$&quot;* #,##0.00_);_(&quot;R$&quot;* \(#,##0.00\);_(&quot;R$&quot;* &quot;-&quot;??_);_(@_)"/>
  </numFmts>
  <fonts count="2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8"/>
      <name val="Arial Narrow"/>
      <family val="2"/>
    </font>
    <font>
      <sz val="10"/>
      <color theme="0" tint="-0.14999847407452621"/>
      <name val="Arial Narrow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sz val="7"/>
      <name val="Arial"/>
      <family val="2"/>
    </font>
    <font>
      <b/>
      <sz val="7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CCCC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165" fontId="2" fillId="0" borderId="0" applyFill="0" applyBorder="0" applyAlignment="0" applyProtection="0"/>
    <xf numFmtId="9" fontId="2" fillId="0" borderId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74">
    <xf numFmtId="0" fontId="0" fillId="0" borderId="0" xfId="0"/>
    <xf numFmtId="10" fontId="0" fillId="0" borderId="1" xfId="0" applyNumberFormat="1" applyBorder="1" applyAlignment="1">
      <alignment horizontal="center"/>
    </xf>
    <xf numFmtId="10" fontId="2" fillId="0" borderId="1" xfId="2" applyNumberForma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 applyAlignment="1"/>
    <xf numFmtId="0" fontId="0" fillId="0" borderId="0" xfId="0" applyBorder="1"/>
    <xf numFmtId="0" fontId="5" fillId="0" borderId="12" xfId="0" applyFont="1" applyBorder="1" applyAlignment="1"/>
    <xf numFmtId="10" fontId="3" fillId="0" borderId="1" xfId="0" applyNumberFormat="1" applyFont="1" applyBorder="1" applyAlignment="1">
      <alignment horizontal="center"/>
    </xf>
    <xf numFmtId="10" fontId="5" fillId="0" borderId="1" xfId="0" applyNumberFormat="1" applyFont="1" applyBorder="1" applyAlignment="1">
      <alignment horizontal="center"/>
    </xf>
    <xf numFmtId="2" fontId="3" fillId="0" borderId="13" xfId="0" applyNumberFormat="1" applyFont="1" applyFill="1" applyBorder="1"/>
    <xf numFmtId="0" fontId="5" fillId="0" borderId="0" xfId="0" applyFont="1" applyBorder="1" applyAlignment="1">
      <alignment horizontal="center"/>
    </xf>
    <xf numFmtId="2" fontId="3" fillId="0" borderId="0" xfId="0" applyNumberFormat="1" applyFont="1" applyFill="1" applyBorder="1"/>
    <xf numFmtId="0" fontId="3" fillId="0" borderId="11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2" fontId="5" fillId="0" borderId="4" xfId="0" applyNumberFormat="1" applyFont="1" applyFill="1" applyBorder="1"/>
    <xf numFmtId="2" fontId="5" fillId="0" borderId="8" xfId="0" applyNumberFormat="1" applyFont="1" applyBorder="1"/>
    <xf numFmtId="0" fontId="5" fillId="0" borderId="15" xfId="0" applyFont="1" applyBorder="1" applyAlignment="1"/>
    <xf numFmtId="0" fontId="3" fillId="0" borderId="12" xfId="0" applyFont="1" applyBorder="1" applyAlignment="1"/>
    <xf numFmtId="0" fontId="5" fillId="0" borderId="16" xfId="0" applyFont="1" applyBorder="1" applyAlignment="1"/>
    <xf numFmtId="2" fontId="5" fillId="0" borderId="17" xfId="0" applyNumberFormat="1" applyFont="1" applyBorder="1"/>
    <xf numFmtId="2" fontId="5" fillId="0" borderId="18" xfId="0" applyNumberFormat="1" applyFont="1" applyFill="1" applyBorder="1"/>
    <xf numFmtId="2" fontId="5" fillId="0" borderId="19" xfId="0" applyNumberFormat="1" applyFont="1" applyFill="1" applyBorder="1"/>
    <xf numFmtId="0" fontId="5" fillId="0" borderId="20" xfId="0" applyFont="1" applyBorder="1" applyAlignment="1"/>
    <xf numFmtId="0" fontId="5" fillId="0" borderId="21" xfId="0" applyFont="1" applyBorder="1" applyAlignment="1"/>
    <xf numFmtId="0" fontId="3" fillId="0" borderId="21" xfId="0" applyFont="1" applyBorder="1" applyAlignment="1"/>
    <xf numFmtId="0" fontId="5" fillId="0" borderId="22" xfId="0" applyFont="1" applyBorder="1" applyAlignment="1"/>
    <xf numFmtId="0" fontId="3" fillId="0" borderId="23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5" fillId="0" borderId="24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0" fontId="5" fillId="0" borderId="1" xfId="0" applyNumberFormat="1" applyFont="1" applyFill="1" applyBorder="1" applyAlignment="1">
      <alignment horizontal="center"/>
    </xf>
    <xf numFmtId="10" fontId="2" fillId="0" borderId="1" xfId="2" applyNumberFormat="1" applyFill="1" applyBorder="1" applyAlignment="1">
      <alignment horizontal="center"/>
    </xf>
    <xf numFmtId="0" fontId="5" fillId="0" borderId="0" xfId="0" applyFont="1" applyBorder="1" applyAlignment="1">
      <alignment horizontal="left"/>
    </xf>
    <xf numFmtId="9" fontId="2" fillId="0" borderId="1" xfId="2" applyBorder="1" applyAlignment="1"/>
    <xf numFmtId="166" fontId="2" fillId="0" borderId="1" xfId="2" applyNumberFormat="1" applyBorder="1" applyAlignment="1"/>
    <xf numFmtId="10" fontId="2" fillId="0" borderId="1" xfId="2" applyNumberFormat="1" applyBorder="1" applyAlignment="1"/>
    <xf numFmtId="2" fontId="0" fillId="0" borderId="0" xfId="0" applyNumberFormat="1"/>
    <xf numFmtId="0" fontId="3" fillId="0" borderId="1" xfId="0" applyFont="1" applyBorder="1" applyAlignment="1">
      <alignment horizontal="center"/>
    </xf>
    <xf numFmtId="10" fontId="0" fillId="0" borderId="1" xfId="0" applyNumberFormat="1" applyFont="1" applyFill="1" applyBorder="1" applyAlignment="1">
      <alignment horizontal="center"/>
    </xf>
    <xf numFmtId="165" fontId="3" fillId="0" borderId="0" xfId="1" applyFont="1"/>
    <xf numFmtId="167" fontId="0" fillId="0" borderId="1" xfId="0" applyNumberFormat="1" applyBorder="1" applyAlignment="1">
      <alignment horizontal="center"/>
    </xf>
    <xf numFmtId="43" fontId="0" fillId="0" borderId="0" xfId="0" applyNumberFormat="1"/>
    <xf numFmtId="0" fontId="0" fillId="0" borderId="1" xfId="0" applyBorder="1"/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0" fontId="0" fillId="5" borderId="1" xfId="0" applyNumberFormat="1" applyFont="1" applyFill="1" applyBorder="1" applyAlignment="1">
      <alignment horizontal="center"/>
    </xf>
    <xf numFmtId="2" fontId="0" fillId="0" borderId="1" xfId="0" applyNumberFormat="1" applyFont="1" applyFill="1" applyBorder="1"/>
    <xf numFmtId="2" fontId="0" fillId="0" borderId="1" xfId="0" applyNumberFormat="1" applyBorder="1" applyAlignment="1">
      <alignment horizontal="right"/>
    </xf>
    <xf numFmtId="2" fontId="3" fillId="0" borderId="1" xfId="0" applyNumberFormat="1" applyFont="1" applyBorder="1"/>
    <xf numFmtId="2" fontId="0" fillId="0" borderId="1" xfId="0" applyNumberFormat="1" applyBorder="1"/>
    <xf numFmtId="0" fontId="3" fillId="4" borderId="1" xfId="0" applyFont="1" applyFill="1" applyBorder="1" applyAlignment="1">
      <alignment horizontal="center"/>
    </xf>
    <xf numFmtId="9" fontId="0" fillId="0" borderId="1" xfId="0" applyNumberFormat="1" applyBorder="1" applyAlignment="1"/>
    <xf numFmtId="10" fontId="0" fillId="0" borderId="1" xfId="0" applyNumberFormat="1" applyBorder="1" applyAlignment="1"/>
    <xf numFmtId="0" fontId="5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14" fontId="5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165" fontId="7" fillId="0" borderId="0" xfId="1" applyFont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9" fontId="2" fillId="0" borderId="1" xfId="2" applyNumberFormat="1" applyBorder="1" applyAlignment="1">
      <alignment horizontal="center"/>
    </xf>
    <xf numFmtId="43" fontId="3" fillId="0" borderId="1" xfId="3" applyFont="1" applyBorder="1" applyAlignment="1"/>
    <xf numFmtId="43" fontId="0" fillId="0" borderId="1" xfId="3" applyFont="1" applyBorder="1"/>
    <xf numFmtId="167" fontId="0" fillId="5" borderId="1" xfId="0" applyNumberFormat="1" applyFont="1" applyFill="1" applyBorder="1" applyAlignment="1">
      <alignment horizontal="center"/>
    </xf>
    <xf numFmtId="43" fontId="0" fillId="0" borderId="1" xfId="3" applyFont="1" applyFill="1" applyBorder="1"/>
    <xf numFmtId="43" fontId="3" fillId="0" borderId="1" xfId="3" applyFont="1" applyFill="1" applyBorder="1"/>
    <xf numFmtId="2" fontId="0" fillId="0" borderId="1" xfId="0" applyNumberFormat="1" applyBorder="1" applyAlignment="1">
      <alignment horizontal="center"/>
    </xf>
    <xf numFmtId="43" fontId="5" fillId="0" borderId="1" xfId="3" applyFont="1" applyBorder="1"/>
    <xf numFmtId="43" fontId="0" fillId="0" borderId="1" xfId="3" applyFont="1" applyBorder="1" applyAlignment="1">
      <alignment horizontal="center"/>
    </xf>
    <xf numFmtId="43" fontId="5" fillId="0" borderId="1" xfId="3" applyFont="1" applyFill="1" applyBorder="1"/>
    <xf numFmtId="10" fontId="10" fillId="0" borderId="1" xfId="2" applyNumberFormat="1" applyFont="1" applyBorder="1" applyAlignment="1"/>
    <xf numFmtId="43" fontId="3" fillId="0" borderId="1" xfId="3" applyFont="1" applyBorder="1"/>
    <xf numFmtId="166" fontId="0" fillId="0" borderId="1" xfId="0" applyNumberFormat="1" applyFill="1" applyBorder="1" applyAlignment="1">
      <alignment horizontal="center"/>
    </xf>
    <xf numFmtId="166" fontId="0" fillId="0" borderId="1" xfId="0" applyNumberFormat="1" applyFont="1" applyFill="1" applyBorder="1" applyAlignment="1">
      <alignment horizontal="center"/>
    </xf>
    <xf numFmtId="43" fontId="2" fillId="0" borderId="1" xfId="3" applyFont="1" applyBorder="1"/>
    <xf numFmtId="10" fontId="0" fillId="0" borderId="1" xfId="2" applyNumberFormat="1" applyFont="1" applyFill="1" applyBorder="1" applyAlignment="1">
      <alignment horizontal="center"/>
    </xf>
    <xf numFmtId="10" fontId="0" fillId="0" borderId="0" xfId="0" applyNumberFormat="1"/>
    <xf numFmtId="167" fontId="5" fillId="0" borderId="1" xfId="0" applyNumberFormat="1" applyFont="1" applyBorder="1" applyAlignment="1">
      <alignment horizontal="center"/>
    </xf>
    <xf numFmtId="4" fontId="12" fillId="0" borderId="1" xfId="4" applyNumberFormat="1" applyFont="1" applyBorder="1" applyAlignment="1">
      <alignment horizontal="center" vertical="center" wrapText="1"/>
    </xf>
    <xf numFmtId="0" fontId="11" fillId="0" borderId="5" xfId="4" applyFont="1" applyBorder="1" applyAlignment="1">
      <alignment horizontal="center" vertical="center" wrapText="1"/>
    </xf>
    <xf numFmtId="4" fontId="12" fillId="0" borderId="4" xfId="4" applyNumberFormat="1" applyFont="1" applyBorder="1" applyAlignment="1">
      <alignment horizontal="center" vertical="center" wrapText="1"/>
    </xf>
    <xf numFmtId="0" fontId="14" fillId="7" borderId="3" xfId="4" applyFont="1" applyFill="1" applyBorder="1" applyAlignment="1">
      <alignment horizontal="center" vertical="center" wrapText="1"/>
    </xf>
    <xf numFmtId="43" fontId="15" fillId="0" borderId="1" xfId="3" applyFont="1" applyBorder="1" applyAlignment="1">
      <alignment horizontal="center"/>
    </xf>
    <xf numFmtId="0" fontId="12" fillId="0" borderId="1" xfId="4" applyFont="1" applyBorder="1" applyAlignment="1">
      <alignment horizontal="center" vertical="center" wrapText="1"/>
    </xf>
    <xf numFmtId="0" fontId="14" fillId="7" borderId="46" xfId="4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13" fillId="7" borderId="7" xfId="4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0" fontId="2" fillId="0" borderId="0" xfId="5" applyAlignment="1">
      <alignment vertical="center"/>
    </xf>
    <xf numFmtId="0" fontId="3" fillId="0" borderId="48" xfId="5" applyFont="1" applyBorder="1" applyAlignment="1">
      <alignment vertical="center"/>
    </xf>
    <xf numFmtId="0" fontId="2" fillId="0" borderId="49" xfId="5" applyBorder="1" applyAlignment="1">
      <alignment vertical="center"/>
    </xf>
    <xf numFmtId="0" fontId="16" fillId="0" borderId="0" xfId="5" applyFont="1" applyAlignment="1">
      <alignment horizontal="center" vertical="center"/>
    </xf>
    <xf numFmtId="0" fontId="17" fillId="0" borderId="48" xfId="5" applyFont="1" applyBorder="1" applyAlignment="1">
      <alignment vertical="center"/>
    </xf>
    <xf numFmtId="0" fontId="16" fillId="0" borderId="49" xfId="5" applyFont="1" applyBorder="1" applyAlignment="1">
      <alignment vertical="center"/>
    </xf>
    <xf numFmtId="0" fontId="2" fillId="0" borderId="43" xfId="5" applyBorder="1" applyAlignment="1">
      <alignment vertical="center"/>
    </xf>
    <xf numFmtId="0" fontId="2" fillId="0" borderId="50" xfId="5" applyBorder="1" applyAlignment="1">
      <alignment vertical="center"/>
    </xf>
    <xf numFmtId="0" fontId="16" fillId="0" borderId="0" xfId="5" applyFont="1" applyAlignment="1">
      <alignment vertical="center"/>
    </xf>
    <xf numFmtId="0" fontId="16" fillId="0" borderId="43" xfId="5" applyFont="1" applyBorder="1" applyAlignment="1">
      <alignment vertical="center"/>
    </xf>
    <xf numFmtId="0" fontId="16" fillId="0" borderId="50" xfId="5" applyFont="1" applyBorder="1" applyAlignment="1">
      <alignment vertical="center"/>
    </xf>
    <xf numFmtId="10" fontId="2" fillId="0" borderId="50" xfId="5" applyNumberFormat="1" applyBorder="1" applyAlignment="1">
      <alignment vertical="center"/>
    </xf>
    <xf numFmtId="10" fontId="16" fillId="0" borderId="50" xfId="5" applyNumberFormat="1" applyFont="1" applyBorder="1" applyAlignment="1">
      <alignment vertical="center"/>
    </xf>
    <xf numFmtId="0" fontId="2" fillId="0" borderId="43" xfId="5" applyFont="1" applyBorder="1" applyAlignment="1">
      <alignment vertical="center"/>
    </xf>
    <xf numFmtId="0" fontId="2" fillId="0" borderId="35" xfId="5" applyFont="1" applyBorder="1" applyAlignment="1">
      <alignment vertical="center"/>
    </xf>
    <xf numFmtId="10" fontId="2" fillId="0" borderId="51" xfId="5" applyNumberFormat="1" applyBorder="1" applyAlignment="1">
      <alignment vertical="center"/>
    </xf>
    <xf numFmtId="0" fontId="16" fillId="0" borderId="35" xfId="5" applyFont="1" applyBorder="1" applyAlignment="1">
      <alignment vertical="center"/>
    </xf>
    <xf numFmtId="10" fontId="16" fillId="0" borderId="51" xfId="5" applyNumberFormat="1" applyFont="1" applyBorder="1" applyAlignment="1">
      <alignment vertical="center"/>
    </xf>
    <xf numFmtId="10" fontId="2" fillId="0" borderId="0" xfId="5" applyNumberFormat="1" applyAlignment="1">
      <alignment vertical="center"/>
    </xf>
    <xf numFmtId="10" fontId="16" fillId="0" borderId="0" xfId="5" applyNumberFormat="1" applyFont="1" applyAlignment="1">
      <alignment vertical="center"/>
    </xf>
    <xf numFmtId="0" fontId="2" fillId="0" borderId="28" xfId="5" applyFont="1" applyBorder="1" applyAlignment="1">
      <alignment vertical="center"/>
    </xf>
    <xf numFmtId="0" fontId="2" fillId="0" borderId="12" xfId="5" applyBorder="1" applyAlignment="1">
      <alignment vertical="center"/>
    </xf>
    <xf numFmtId="0" fontId="16" fillId="0" borderId="12" xfId="5" applyFont="1" applyBorder="1" applyAlignment="1">
      <alignment vertical="center"/>
    </xf>
    <xf numFmtId="4" fontId="16" fillId="0" borderId="29" xfId="5" applyNumberFormat="1" applyFont="1" applyBorder="1" applyAlignment="1">
      <alignment vertical="center"/>
    </xf>
    <xf numFmtId="4" fontId="2" fillId="0" borderId="12" xfId="5" applyNumberFormat="1" applyBorder="1" applyAlignment="1">
      <alignment vertical="center"/>
    </xf>
    <xf numFmtId="0" fontId="2" fillId="0" borderId="1" xfId="5" applyFont="1" applyBorder="1" applyAlignment="1">
      <alignment horizontal="center" vertical="center"/>
    </xf>
    <xf numFmtId="0" fontId="2" fillId="0" borderId="1" xfId="5" applyBorder="1" applyAlignment="1">
      <alignment horizontal="center" vertical="center"/>
    </xf>
    <xf numFmtId="0" fontId="2" fillId="0" borderId="1" xfId="5" applyBorder="1" applyAlignment="1">
      <alignment horizontal="center" vertical="center" wrapText="1"/>
    </xf>
    <xf numFmtId="0" fontId="2" fillId="0" borderId="1" xfId="5" applyFont="1" applyBorder="1" applyAlignment="1">
      <alignment horizontal="center" vertical="center" wrapText="1"/>
    </xf>
    <xf numFmtId="0" fontId="2" fillId="0" borderId="1" xfId="5" applyBorder="1" applyAlignment="1">
      <alignment vertical="center"/>
    </xf>
    <xf numFmtId="4" fontId="2" fillId="0" borderId="1" xfId="5" applyNumberFormat="1" applyBorder="1" applyAlignment="1">
      <alignment vertical="center"/>
    </xf>
    <xf numFmtId="0" fontId="2" fillId="0" borderId="1" xfId="5" applyFont="1" applyBorder="1" applyAlignment="1">
      <alignment vertical="center"/>
    </xf>
    <xf numFmtId="10" fontId="2" fillId="0" borderId="1" xfId="5" applyNumberFormat="1" applyBorder="1" applyAlignment="1">
      <alignment vertical="center"/>
    </xf>
    <xf numFmtId="4" fontId="2" fillId="0" borderId="1" xfId="5" applyNumberFormat="1" applyFill="1" applyBorder="1" applyAlignment="1">
      <alignment vertical="center"/>
    </xf>
    <xf numFmtId="3" fontId="2" fillId="0" borderId="1" xfId="5" applyNumberFormat="1" applyBorder="1" applyAlignment="1">
      <alignment vertical="center"/>
    </xf>
    <xf numFmtId="0" fontId="17" fillId="0" borderId="0" xfId="5" applyFont="1" applyFill="1" applyBorder="1" applyAlignment="1">
      <alignment vertical="center"/>
    </xf>
    <xf numFmtId="0" fontId="16" fillId="0" borderId="0" xfId="5" applyFont="1" applyFill="1" applyBorder="1" applyAlignment="1">
      <alignment vertical="center"/>
    </xf>
    <xf numFmtId="0" fontId="2" fillId="0" borderId="0" xfId="5" applyFont="1" applyFill="1" applyBorder="1" applyAlignment="1">
      <alignment vertical="center"/>
    </xf>
    <xf numFmtId="4" fontId="2" fillId="0" borderId="1" xfId="5" applyNumberFormat="1" applyFont="1" applyBorder="1" applyAlignment="1">
      <alignment vertical="center"/>
    </xf>
    <xf numFmtId="43" fontId="2" fillId="0" borderId="0" xfId="5" applyNumberFormat="1" applyAlignment="1">
      <alignment vertical="center"/>
    </xf>
    <xf numFmtId="0" fontId="18" fillId="5" borderId="10" xfId="5" applyFont="1" applyFill="1" applyBorder="1" applyAlignment="1">
      <alignment horizontal="left"/>
    </xf>
    <xf numFmtId="4" fontId="12" fillId="5" borderId="10" xfId="7" applyNumberFormat="1" applyFont="1" applyFill="1" applyBorder="1"/>
    <xf numFmtId="0" fontId="18" fillId="0" borderId="1" xfId="5" applyFont="1" applyBorder="1" applyAlignment="1">
      <alignment horizontal="left" vertical="center"/>
    </xf>
    <xf numFmtId="43" fontId="12" fillId="0" borderId="1" xfId="6" applyFont="1" applyBorder="1" applyAlignment="1">
      <alignment vertical="center"/>
    </xf>
    <xf numFmtId="0" fontId="18" fillId="5" borderId="1" xfId="5" applyFont="1" applyFill="1" applyBorder="1" applyAlignment="1">
      <alignment horizontal="left"/>
    </xf>
    <xf numFmtId="4" fontId="12" fillId="5" borderId="1" xfId="7" applyNumberFormat="1" applyFont="1" applyFill="1" applyBorder="1"/>
    <xf numFmtId="0" fontId="18" fillId="0" borderId="52" xfId="5" applyFont="1" applyBorder="1" applyAlignment="1">
      <alignment horizontal="left" vertical="center"/>
    </xf>
    <xf numFmtId="0" fontId="18" fillId="0" borderId="40" xfId="5" applyFont="1" applyBorder="1" applyAlignment="1">
      <alignment horizontal="left" vertical="center"/>
    </xf>
    <xf numFmtId="0" fontId="18" fillId="0" borderId="42" xfId="5" applyFont="1" applyBorder="1" applyAlignment="1">
      <alignment horizontal="left" vertical="center"/>
    </xf>
    <xf numFmtId="0" fontId="18" fillId="0" borderId="28" xfId="5" applyFont="1" applyBorder="1" applyAlignment="1">
      <alignment horizontal="left" vertical="center"/>
    </xf>
    <xf numFmtId="0" fontId="18" fillId="0" borderId="29" xfId="5" applyFont="1" applyBorder="1" applyAlignment="1">
      <alignment horizontal="left" vertical="center"/>
    </xf>
    <xf numFmtId="43" fontId="2" fillId="0" borderId="1" xfId="6" applyFont="1" applyBorder="1" applyAlignment="1">
      <alignment vertical="center"/>
    </xf>
    <xf numFmtId="43" fontId="2" fillId="0" borderId="1" xfId="5" applyNumberFormat="1" applyBorder="1" applyAlignment="1">
      <alignment vertical="center"/>
    </xf>
    <xf numFmtId="0" fontId="2" fillId="0" borderId="0" xfId="5"/>
    <xf numFmtId="0" fontId="2" fillId="0" borderId="0" xfId="5" applyFont="1" applyAlignment="1">
      <alignment vertical="center"/>
    </xf>
    <xf numFmtId="3" fontId="11" fillId="0" borderId="1" xfId="4" applyNumberFormat="1" applyFont="1" applyBorder="1" applyAlignment="1">
      <alignment horizontal="center" vertical="center" wrapText="1"/>
    </xf>
    <xf numFmtId="4" fontId="3" fillId="0" borderId="1" xfId="5" applyNumberFormat="1" applyFont="1" applyBorder="1" applyAlignment="1">
      <alignment vertical="center"/>
    </xf>
    <xf numFmtId="4" fontId="3" fillId="6" borderId="1" xfId="5" applyNumberFormat="1" applyFont="1" applyFill="1" applyBorder="1" applyAlignment="1">
      <alignment vertical="center"/>
    </xf>
    <xf numFmtId="0" fontId="11" fillId="6" borderId="1" xfId="5" applyFont="1" applyFill="1" applyBorder="1" applyAlignment="1">
      <alignment horizontal="center"/>
    </xf>
    <xf numFmtId="0" fontId="11" fillId="6" borderId="28" xfId="5" applyFont="1" applyFill="1" applyBorder="1" applyAlignment="1">
      <alignment horizontal="center"/>
    </xf>
    <xf numFmtId="0" fontId="11" fillId="6" borderId="29" xfId="5" applyFont="1" applyFill="1" applyBorder="1" applyAlignment="1">
      <alignment horizontal="center"/>
    </xf>
    <xf numFmtId="43" fontId="11" fillId="6" borderId="1" xfId="6" applyFont="1" applyFill="1" applyBorder="1" applyAlignment="1">
      <alignment vertical="center"/>
    </xf>
    <xf numFmtId="0" fontId="11" fillId="6" borderId="1" xfId="5" applyFont="1" applyFill="1" applyBorder="1" applyAlignment="1">
      <alignment horizontal="left"/>
    </xf>
    <xf numFmtId="4" fontId="11" fillId="6" borderId="1" xfId="7" applyNumberFormat="1" applyFont="1" applyFill="1" applyBorder="1"/>
    <xf numFmtId="0" fontId="3" fillId="6" borderId="28" xfId="5" applyFont="1" applyFill="1" applyBorder="1" applyAlignment="1">
      <alignment horizontal="left" vertical="center"/>
    </xf>
    <xf numFmtId="0" fontId="3" fillId="6" borderId="12" xfId="5" applyFont="1" applyFill="1" applyBorder="1" applyAlignment="1">
      <alignment horizontal="left" vertical="center"/>
    </xf>
    <xf numFmtId="0" fontId="3" fillId="6" borderId="29" xfId="5" applyFont="1" applyFill="1" applyBorder="1" applyAlignment="1">
      <alignment horizontal="left" vertical="center"/>
    </xf>
    <xf numFmtId="0" fontId="11" fillId="6" borderId="28" xfId="5" applyFont="1" applyFill="1" applyBorder="1" applyAlignment="1">
      <alignment horizontal="left" vertical="center"/>
    </xf>
    <xf numFmtId="0" fontId="11" fillId="6" borderId="12" xfId="5" applyFont="1" applyFill="1" applyBorder="1" applyAlignment="1">
      <alignment horizontal="left" vertical="center"/>
    </xf>
    <xf numFmtId="0" fontId="11" fillId="6" borderId="29" xfId="5" applyFont="1" applyFill="1" applyBorder="1" applyAlignment="1">
      <alignment horizontal="left" vertical="center"/>
    </xf>
    <xf numFmtId="43" fontId="3" fillId="6" borderId="1" xfId="5" applyNumberFormat="1" applyFont="1" applyFill="1" applyBorder="1" applyAlignment="1">
      <alignment vertical="center"/>
    </xf>
    <xf numFmtId="0" fontId="13" fillId="7" borderId="6" xfId="4" applyFont="1" applyFill="1" applyBorder="1" applyAlignment="1">
      <alignment horizontal="center" vertical="center" wrapText="1"/>
    </xf>
    <xf numFmtId="0" fontId="13" fillId="7" borderId="47" xfId="4" applyFont="1" applyFill="1" applyBorder="1" applyAlignment="1">
      <alignment horizontal="center" vertical="center" wrapText="1"/>
    </xf>
    <xf numFmtId="0" fontId="0" fillId="0" borderId="28" xfId="0" applyFont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29" xfId="0" applyFont="1" applyBorder="1" applyAlignment="1">
      <alignment horizontal="left"/>
    </xf>
    <xf numFmtId="0" fontId="12" fillId="0" borderId="1" xfId="4" applyFont="1" applyBorder="1" applyAlignment="1">
      <alignment horizontal="center" vertical="center" wrapText="1"/>
    </xf>
    <xf numFmtId="0" fontId="14" fillId="7" borderId="2" xfId="4" applyFont="1" applyFill="1" applyBorder="1" applyAlignment="1">
      <alignment horizontal="center" vertical="center" wrapText="1"/>
    </xf>
    <xf numFmtId="0" fontId="14" fillId="7" borderId="46" xfId="4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6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3" fillId="4" borderId="3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44" xfId="0" applyFont="1" applyFill="1" applyBorder="1" applyAlignment="1">
      <alignment horizontal="center"/>
    </xf>
    <xf numFmtId="0" fontId="3" fillId="4" borderId="4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left"/>
    </xf>
    <xf numFmtId="0" fontId="3" fillId="4" borderId="45" xfId="0" applyFont="1" applyFill="1" applyBorder="1" applyAlignment="1">
      <alignment horizontal="center"/>
    </xf>
    <xf numFmtId="0" fontId="3" fillId="4" borderId="27" xfId="0" applyFont="1" applyFill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1" xfId="0" applyFont="1" applyBorder="1"/>
    <xf numFmtId="0" fontId="3" fillId="4" borderId="1" xfId="0" applyFont="1" applyFill="1" applyBorder="1" applyAlignment="1">
      <alignment horizontal="center"/>
    </xf>
    <xf numFmtId="0" fontId="3" fillId="4" borderId="28" xfId="0" applyFont="1" applyFill="1" applyBorder="1" applyAlignment="1">
      <alignment horizontal="center"/>
    </xf>
    <xf numFmtId="0" fontId="0" fillId="0" borderId="28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29" xfId="0" applyBorder="1" applyAlignment="1">
      <alignment horizontal="left"/>
    </xf>
    <xf numFmtId="0" fontId="3" fillId="4" borderId="43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38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39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3" fillId="0" borderId="25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5" fillId="0" borderId="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28" xfId="0" applyFont="1" applyBorder="1" applyAlignment="1">
      <alignment horizontal="center"/>
    </xf>
    <xf numFmtId="0" fontId="5" fillId="0" borderId="32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33" xfId="0" applyFont="1" applyBorder="1" applyAlignment="1">
      <alignment horizontal="left"/>
    </xf>
    <xf numFmtId="0" fontId="3" fillId="0" borderId="25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34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35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11" fillId="6" borderId="28" xfId="5" applyFont="1" applyFill="1" applyBorder="1" applyAlignment="1">
      <alignment horizontal="left"/>
    </xf>
    <xf numFmtId="0" fontId="11" fillId="6" borderId="12" xfId="5" applyFont="1" applyFill="1" applyBorder="1" applyAlignment="1">
      <alignment horizontal="left"/>
    </xf>
    <xf numFmtId="0" fontId="11" fillId="6" borderId="29" xfId="5" applyFont="1" applyFill="1" applyBorder="1" applyAlignment="1">
      <alignment horizontal="left"/>
    </xf>
    <xf numFmtId="0" fontId="19" fillId="6" borderId="28" xfId="5" applyFont="1" applyFill="1" applyBorder="1" applyAlignment="1">
      <alignment horizontal="center" vertical="center"/>
    </xf>
    <xf numFmtId="0" fontId="19" fillId="6" borderId="29" xfId="5" applyFont="1" applyFill="1" applyBorder="1" applyAlignment="1">
      <alignment horizontal="center" vertical="center"/>
    </xf>
    <xf numFmtId="0" fontId="18" fillId="0" borderId="28" xfId="5" applyFont="1" applyBorder="1" applyAlignment="1">
      <alignment horizontal="center" vertical="center"/>
    </xf>
    <xf numFmtId="0" fontId="18" fillId="0" borderId="29" xfId="5" applyFont="1" applyBorder="1" applyAlignment="1">
      <alignment horizontal="center" vertical="center"/>
    </xf>
    <xf numFmtId="0" fontId="18" fillId="0" borderId="12" xfId="5" applyFont="1" applyBorder="1" applyAlignment="1">
      <alignment horizontal="center" vertical="center"/>
    </xf>
    <xf numFmtId="0" fontId="11" fillId="6" borderId="28" xfId="5" applyFont="1" applyFill="1" applyBorder="1" applyAlignment="1">
      <alignment horizontal="center"/>
    </xf>
    <xf numFmtId="0" fontId="11" fillId="6" borderId="12" xfId="5" applyFont="1" applyFill="1" applyBorder="1" applyAlignment="1">
      <alignment horizontal="center"/>
    </xf>
    <xf numFmtId="0" fontId="11" fillId="6" borderId="29" xfId="5" applyFont="1" applyFill="1" applyBorder="1" applyAlignment="1">
      <alignment horizontal="center"/>
    </xf>
    <xf numFmtId="0" fontId="3" fillId="6" borderId="28" xfId="5" applyFont="1" applyFill="1" applyBorder="1" applyAlignment="1">
      <alignment horizontal="center" vertical="center"/>
    </xf>
    <xf numFmtId="0" fontId="3" fillId="6" borderId="12" xfId="5" applyFont="1" applyFill="1" applyBorder="1" applyAlignment="1">
      <alignment horizontal="center" vertical="center"/>
    </xf>
    <xf numFmtId="0" fontId="3" fillId="6" borderId="29" xfId="5" applyFont="1" applyFill="1" applyBorder="1" applyAlignment="1">
      <alignment horizontal="center" vertical="center"/>
    </xf>
    <xf numFmtId="0" fontId="3" fillId="6" borderId="1" xfId="5" applyFont="1" applyFill="1" applyBorder="1" applyAlignment="1">
      <alignment horizontal="left" vertical="center"/>
    </xf>
    <xf numFmtId="0" fontId="3" fillId="6" borderId="28" xfId="5" applyFont="1" applyFill="1" applyBorder="1" applyAlignment="1">
      <alignment horizontal="left" vertical="center"/>
    </xf>
    <xf numFmtId="0" fontId="3" fillId="6" borderId="12" xfId="5" applyFont="1" applyFill="1" applyBorder="1" applyAlignment="1">
      <alignment horizontal="left" vertical="center"/>
    </xf>
    <xf numFmtId="0" fontId="3" fillId="6" borderId="29" xfId="5" applyFont="1" applyFill="1" applyBorder="1" applyAlignment="1">
      <alignment horizontal="left" vertical="center"/>
    </xf>
    <xf numFmtId="0" fontId="3" fillId="6" borderId="1" xfId="5" applyFont="1" applyFill="1" applyBorder="1" applyAlignment="1">
      <alignment horizontal="center" vertical="center"/>
    </xf>
    <xf numFmtId="0" fontId="3" fillId="0" borderId="1" xfId="5" applyFont="1" applyBorder="1" applyAlignment="1">
      <alignment horizontal="left" vertical="center"/>
    </xf>
    <xf numFmtId="0" fontId="2" fillId="0" borderId="1" xfId="5" applyFont="1" applyBorder="1" applyAlignment="1">
      <alignment horizontal="left" vertical="center"/>
    </xf>
    <xf numFmtId="2" fontId="3" fillId="0" borderId="1" xfId="0" applyNumberFormat="1" applyFont="1" applyFill="1" applyBorder="1"/>
    <xf numFmtId="0" fontId="0" fillId="0" borderId="28" xfId="0" applyFont="1" applyFill="1" applyBorder="1" applyAlignment="1">
      <alignment horizontal="left"/>
    </xf>
    <xf numFmtId="0" fontId="0" fillId="0" borderId="12" xfId="0" applyFont="1" applyFill="1" applyBorder="1" applyAlignment="1">
      <alignment horizontal="left"/>
    </xf>
    <xf numFmtId="0" fontId="0" fillId="0" borderId="29" xfId="0" applyFont="1" applyFill="1" applyBorder="1" applyAlignment="1">
      <alignment horizontal="left"/>
    </xf>
  </cellXfs>
  <cellStyles count="10">
    <cellStyle name="Moeda" xfId="1" builtinId="4"/>
    <cellStyle name="Moeda 2" xfId="7"/>
    <cellStyle name="Moeda 3" xfId="8"/>
    <cellStyle name="Normal" xfId="0" builtinId="0"/>
    <cellStyle name="Normal 2" xfId="5"/>
    <cellStyle name="Normal 3" xfId="4"/>
    <cellStyle name="Porcentagem" xfId="2" builtinId="5"/>
    <cellStyle name="Porcentagem 2" xfId="9"/>
    <cellStyle name="Vírgula" xfId="3" builtinId="3"/>
    <cellStyle name="Vírgula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firstButton="1" fmlaLink="#REF!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361950</xdr:colOff>
          <xdr:row>0</xdr:row>
          <xdr:rowOff>0</xdr:rowOff>
        </xdr:from>
        <xdr:to>
          <xdr:col>9</xdr:col>
          <xdr:colOff>28575</xdr:colOff>
          <xdr:row>0</xdr:row>
          <xdr:rowOff>0</xdr:rowOff>
        </xdr:to>
        <xdr:sp macro="" textlink="">
          <xdr:nvSpPr>
            <xdr:cNvPr id="3073" name="Option Butto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361950</xdr:colOff>
          <xdr:row>0</xdr:row>
          <xdr:rowOff>0</xdr:rowOff>
        </xdr:from>
        <xdr:to>
          <xdr:col>8</xdr:col>
          <xdr:colOff>600075</xdr:colOff>
          <xdr:row>0</xdr:row>
          <xdr:rowOff>0</xdr:rowOff>
        </xdr:to>
        <xdr:sp macro="" textlink="">
          <xdr:nvSpPr>
            <xdr:cNvPr id="3074" name="Option Butto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361950</xdr:colOff>
          <xdr:row>0</xdr:row>
          <xdr:rowOff>0</xdr:rowOff>
        </xdr:from>
        <xdr:to>
          <xdr:col>8</xdr:col>
          <xdr:colOff>600075</xdr:colOff>
          <xdr:row>0</xdr:row>
          <xdr:rowOff>0</xdr:rowOff>
        </xdr:to>
        <xdr:sp macro="" textlink="">
          <xdr:nvSpPr>
            <xdr:cNvPr id="3075" name="Option Butto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361950</xdr:colOff>
          <xdr:row>0</xdr:row>
          <xdr:rowOff>0</xdr:rowOff>
        </xdr:from>
        <xdr:to>
          <xdr:col>8</xdr:col>
          <xdr:colOff>600075</xdr:colOff>
          <xdr:row>0</xdr:row>
          <xdr:rowOff>0</xdr:rowOff>
        </xdr:to>
        <xdr:sp macro="" textlink="">
          <xdr:nvSpPr>
            <xdr:cNvPr id="3076" name="Option Button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361950</xdr:colOff>
          <xdr:row>0</xdr:row>
          <xdr:rowOff>0</xdr:rowOff>
        </xdr:from>
        <xdr:to>
          <xdr:col>8</xdr:col>
          <xdr:colOff>600075</xdr:colOff>
          <xdr:row>0</xdr:row>
          <xdr:rowOff>0</xdr:rowOff>
        </xdr:to>
        <xdr:sp macro="" textlink="">
          <xdr:nvSpPr>
            <xdr:cNvPr id="3077" name="Option Button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osangela.Aquino\AppData\Local\Microsoft\Windows\Temporary%20Internet%20Files\Content.Outlook\CJ0YNHO6\COMERCIAL%20-%20GERAL\FormularioAdmVendas\Planilha%20Aber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Aberta"/>
      <sheetName val="Base"/>
    </sheetNames>
    <sheetDataSet>
      <sheetData sheetId="0"/>
      <sheetData sheetId="1">
        <row r="2">
          <cell r="A2" t="str">
            <v>Administrativo</v>
          </cell>
          <cell r="B2" t="str">
            <v>Cobertura FT</v>
          </cell>
          <cell r="C2">
            <v>1</v>
          </cell>
          <cell r="D2" t="str">
            <v>07h20'</v>
          </cell>
        </row>
        <row r="3">
          <cell r="A3" t="str">
            <v>Agente de Campo</v>
          </cell>
          <cell r="B3" t="str">
            <v>CHE Efetivo</v>
          </cell>
          <cell r="C3">
            <v>2</v>
          </cell>
          <cell r="D3" t="str">
            <v>10h</v>
          </cell>
        </row>
        <row r="4">
          <cell r="A4" t="str">
            <v>Agente de Monitoramento</v>
          </cell>
          <cell r="B4" t="str">
            <v>CHE Feriado</v>
          </cell>
          <cell r="C4">
            <v>3</v>
          </cell>
          <cell r="D4" t="str">
            <v>11h</v>
          </cell>
        </row>
        <row r="5">
          <cell r="A5" t="str">
            <v>Agente de Seg.</v>
          </cell>
          <cell r="B5" t="str">
            <v>CHE FT</v>
          </cell>
          <cell r="C5">
            <v>4</v>
          </cell>
          <cell r="D5" t="str">
            <v>11h30'</v>
          </cell>
        </row>
        <row r="6">
          <cell r="A6" t="str">
            <v>Agente de Seg. Pessoal</v>
          </cell>
          <cell r="B6" t="str">
            <v>CH Normal</v>
          </cell>
          <cell r="C6">
            <v>5</v>
          </cell>
          <cell r="D6" t="str">
            <v>12h</v>
          </cell>
        </row>
        <row r="7">
          <cell r="A7" t="str">
            <v>Agente VSPP Motorista</v>
          </cell>
          <cell r="B7" t="str">
            <v>10x24</v>
          </cell>
          <cell r="C7">
            <v>6</v>
          </cell>
          <cell r="D7" t="str">
            <v>24h</v>
          </cell>
        </row>
        <row r="8">
          <cell r="A8" t="str">
            <v>Analista Operacional</v>
          </cell>
          <cell r="B8" t="str">
            <v>10x38</v>
          </cell>
          <cell r="C8">
            <v>7</v>
          </cell>
          <cell r="D8" t="str">
            <v>4h</v>
          </cell>
        </row>
        <row r="9">
          <cell r="A9" t="str">
            <v>Ascensorista</v>
          </cell>
          <cell r="B9" t="str">
            <v>12 SDF</v>
          </cell>
          <cell r="C9">
            <v>8</v>
          </cell>
          <cell r="D9" t="str">
            <v>6h</v>
          </cell>
        </row>
        <row r="10">
          <cell r="A10" t="str">
            <v>Assistente Administrativo</v>
          </cell>
          <cell r="B10" t="str">
            <v>12x24</v>
          </cell>
          <cell r="C10">
            <v>9</v>
          </cell>
          <cell r="D10" t="str">
            <v>6h e 12hSD</v>
          </cell>
        </row>
        <row r="11">
          <cell r="A11" t="str">
            <v>Assistente Geral Bilíngüe</v>
          </cell>
          <cell r="B11" t="str">
            <v>12x24x48</v>
          </cell>
          <cell r="C11">
            <v>10</v>
          </cell>
          <cell r="D11" t="str">
            <v>7h</v>
          </cell>
        </row>
        <row r="12">
          <cell r="A12" t="str">
            <v>Assistente Operacional</v>
          </cell>
          <cell r="B12" t="str">
            <v>12x36</v>
          </cell>
          <cell r="C12">
            <v>11</v>
          </cell>
          <cell r="D12" t="str">
            <v>7h20'</v>
          </cell>
        </row>
        <row r="13">
          <cell r="A13" t="str">
            <v>Auxiliar Administrativo</v>
          </cell>
          <cell r="B13" t="str">
            <v>12x36 SDF</v>
          </cell>
          <cell r="C13">
            <v>12</v>
          </cell>
          <cell r="D13" t="str">
            <v>8h</v>
          </cell>
        </row>
        <row r="14">
          <cell r="A14" t="str">
            <v>Auxiliar de Inspeção</v>
          </cell>
          <cell r="B14" t="str">
            <v>13x34</v>
          </cell>
          <cell r="C14">
            <v>13</v>
          </cell>
          <cell r="D14" t="str">
            <v>8h30'</v>
          </cell>
        </row>
        <row r="15">
          <cell r="A15" t="str">
            <v>Auxiliar de Monitoramento</v>
          </cell>
          <cell r="B15" t="str">
            <v>13x35</v>
          </cell>
          <cell r="C15">
            <v>14</v>
          </cell>
          <cell r="D15" t="str">
            <v>8h48'</v>
          </cell>
        </row>
        <row r="16">
          <cell r="A16" t="str">
            <v>Auxiliar de Operações</v>
          </cell>
          <cell r="B16" t="str">
            <v>14x24</v>
          </cell>
          <cell r="C16">
            <v>15</v>
          </cell>
          <cell r="D16" t="str">
            <v>9h</v>
          </cell>
        </row>
        <row r="17">
          <cell r="A17" t="str">
            <v>Auxiliar de Operador de Carga</v>
          </cell>
          <cell r="B17" t="str">
            <v>14x34</v>
          </cell>
          <cell r="C17">
            <v>16</v>
          </cell>
          <cell r="D17" t="str">
            <v>9h33'</v>
          </cell>
        </row>
        <row r="18">
          <cell r="A18" t="str">
            <v>Auxiliar de Serviços Gerais</v>
          </cell>
          <cell r="B18" t="str">
            <v>2x1</v>
          </cell>
          <cell r="C18">
            <v>17</v>
          </cell>
          <cell r="D18" t="str">
            <v>9h48'</v>
          </cell>
        </row>
        <row r="19">
          <cell r="A19" t="str">
            <v>Auxiliar de Supervisão</v>
          </cell>
          <cell r="B19" t="str">
            <v>2x2</v>
          </cell>
          <cell r="C19">
            <v>18</v>
          </cell>
        </row>
        <row r="20">
          <cell r="A20" t="str">
            <v>Bombeiro</v>
          </cell>
          <cell r="B20" t="str">
            <v>2x5</v>
          </cell>
          <cell r="C20">
            <v>19</v>
          </cell>
        </row>
        <row r="21">
          <cell r="A21" t="str">
            <v>Bombeiro Industrial</v>
          </cell>
          <cell r="B21" t="str">
            <v>3x1</v>
          </cell>
          <cell r="C21">
            <v>20</v>
          </cell>
        </row>
        <row r="22">
          <cell r="A22" t="str">
            <v>Bombeiro Líder</v>
          </cell>
          <cell r="B22" t="str">
            <v>4x1</v>
          </cell>
          <cell r="C22">
            <v>21</v>
          </cell>
        </row>
        <row r="23">
          <cell r="A23" t="str">
            <v>Comercial Patrimonial</v>
          </cell>
          <cell r="B23" t="str">
            <v>4x2</v>
          </cell>
          <cell r="C23">
            <v>22</v>
          </cell>
        </row>
        <row r="24">
          <cell r="A24" t="str">
            <v>Contínuo</v>
          </cell>
          <cell r="B24" t="str">
            <v>5x1</v>
          </cell>
          <cell r="C24">
            <v>23</v>
          </cell>
        </row>
        <row r="25">
          <cell r="A25" t="str">
            <v>Controlador de Acesso</v>
          </cell>
          <cell r="B25" t="str">
            <v>5x2</v>
          </cell>
          <cell r="C25">
            <v>24</v>
          </cell>
        </row>
        <row r="26">
          <cell r="A26" t="str">
            <v>Controlador de Acesso Líder</v>
          </cell>
          <cell r="B26" t="str">
            <v>6x1</v>
          </cell>
          <cell r="C26">
            <v>25</v>
          </cell>
        </row>
        <row r="27">
          <cell r="A27" t="str">
            <v>Coordenador</v>
          </cell>
          <cell r="B27" t="str">
            <v>6x12</v>
          </cell>
          <cell r="C27">
            <v>26</v>
          </cell>
        </row>
        <row r="28">
          <cell r="A28" t="str">
            <v>Coordenador VSPP</v>
          </cell>
          <cell r="B28" t="str">
            <v>6x2</v>
          </cell>
          <cell r="C28">
            <v>27</v>
          </cell>
        </row>
        <row r="29">
          <cell r="A29" t="str">
            <v>Coordenador de Seg. Privada</v>
          </cell>
          <cell r="B29" t="str">
            <v>8x40</v>
          </cell>
          <cell r="C29">
            <v>28</v>
          </cell>
        </row>
        <row r="30">
          <cell r="A30" t="str">
            <v>Coordenador Regional</v>
          </cell>
          <cell r="C30">
            <v>29</v>
          </cell>
        </row>
        <row r="31">
          <cell r="A31" t="str">
            <v>Encarregado</v>
          </cell>
          <cell r="C31">
            <v>30</v>
          </cell>
        </row>
        <row r="32">
          <cell r="A32" t="str">
            <v>Engenheiro de Seg.</v>
          </cell>
          <cell r="C32">
            <v>31</v>
          </cell>
        </row>
        <row r="33">
          <cell r="A33" t="str">
            <v>Engenheiro do Trabalho</v>
          </cell>
          <cell r="C33">
            <v>32</v>
          </cell>
        </row>
        <row r="34">
          <cell r="A34" t="str">
            <v>Fiscal de Loja</v>
          </cell>
          <cell r="C34">
            <v>33</v>
          </cell>
        </row>
        <row r="35">
          <cell r="A35" t="str">
            <v>Fiscal de Vigilância Patrimonial</v>
          </cell>
          <cell r="C35">
            <v>34</v>
          </cell>
        </row>
        <row r="36">
          <cell r="A36" t="str">
            <v>Gerente Operacional</v>
          </cell>
          <cell r="C36">
            <v>35</v>
          </cell>
        </row>
        <row r="37">
          <cell r="A37" t="str">
            <v>Guardete</v>
          </cell>
          <cell r="C37">
            <v>36</v>
          </cell>
        </row>
        <row r="38">
          <cell r="A38" t="str">
            <v>Inspetor</v>
          </cell>
          <cell r="C38">
            <v>37</v>
          </cell>
        </row>
        <row r="39">
          <cell r="A39" t="str">
            <v>Inspetor Administrativo</v>
          </cell>
          <cell r="C39">
            <v>38</v>
          </cell>
        </row>
        <row r="40">
          <cell r="A40" t="str">
            <v>Inspetor Chefe</v>
          </cell>
          <cell r="C40">
            <v>39</v>
          </cell>
        </row>
        <row r="41">
          <cell r="A41" t="str">
            <v>Inspetor de Portaria</v>
          </cell>
          <cell r="C41">
            <v>40</v>
          </cell>
        </row>
        <row r="42">
          <cell r="A42" t="str">
            <v>Inspetor de Seg.</v>
          </cell>
          <cell r="C42">
            <v>41</v>
          </cell>
        </row>
        <row r="43">
          <cell r="A43" t="str">
            <v>Inspetor Líder</v>
          </cell>
          <cell r="C43">
            <v>42</v>
          </cell>
        </row>
        <row r="44">
          <cell r="A44" t="str">
            <v>Inspetor Patrimonial</v>
          </cell>
          <cell r="C44">
            <v>43</v>
          </cell>
        </row>
        <row r="45">
          <cell r="A45" t="str">
            <v>Médico</v>
          </cell>
          <cell r="C45">
            <v>44</v>
          </cell>
        </row>
        <row r="46">
          <cell r="A46" t="str">
            <v>Médico do Trabalho</v>
          </cell>
          <cell r="C46">
            <v>45</v>
          </cell>
        </row>
        <row r="47">
          <cell r="A47" t="str">
            <v>Monitor de Equipamento</v>
          </cell>
          <cell r="C47">
            <v>46</v>
          </cell>
        </row>
        <row r="48">
          <cell r="A48" t="str">
            <v>Motorista</v>
          </cell>
          <cell r="C48">
            <v>47</v>
          </cell>
        </row>
        <row r="49">
          <cell r="A49" t="str">
            <v>Operador de Monitoramento</v>
          </cell>
          <cell r="C49">
            <v>48</v>
          </cell>
        </row>
        <row r="50">
          <cell r="A50" t="str">
            <v>Operador de Monitoramento Líder</v>
          </cell>
          <cell r="C50">
            <v>49</v>
          </cell>
        </row>
        <row r="51">
          <cell r="A51" t="str">
            <v>Porteiro</v>
          </cell>
          <cell r="C51">
            <v>50</v>
          </cell>
        </row>
        <row r="52">
          <cell r="A52" t="str">
            <v>Porteiro Líder</v>
          </cell>
          <cell r="C52">
            <v>51</v>
          </cell>
        </row>
        <row r="53">
          <cell r="A53" t="str">
            <v>Porteiro Rendição de Almoço</v>
          </cell>
          <cell r="C53">
            <v>52</v>
          </cell>
        </row>
        <row r="54">
          <cell r="A54" t="str">
            <v>Porteiro Tempo Parcial</v>
          </cell>
          <cell r="C54">
            <v>53</v>
          </cell>
        </row>
        <row r="55">
          <cell r="A55" t="str">
            <v>Recepcionista</v>
          </cell>
          <cell r="C55">
            <v>54</v>
          </cell>
        </row>
        <row r="56">
          <cell r="A56" t="str">
            <v>Recepcionista / Telefonista</v>
          </cell>
          <cell r="C56">
            <v>55</v>
          </cell>
        </row>
        <row r="57">
          <cell r="A57" t="str">
            <v>Recepcionista Bilingue</v>
          </cell>
          <cell r="C57">
            <v>56</v>
          </cell>
        </row>
        <row r="58">
          <cell r="A58" t="str">
            <v>Recepcionista Bilingue - SDU</v>
          </cell>
          <cell r="C58">
            <v>57</v>
          </cell>
        </row>
        <row r="59">
          <cell r="A59" t="str">
            <v>Supervisor</v>
          </cell>
          <cell r="C59">
            <v>58</v>
          </cell>
        </row>
        <row r="60">
          <cell r="A60" t="str">
            <v>Supervisor Administrativo</v>
          </cell>
          <cell r="C60">
            <v>59</v>
          </cell>
        </row>
        <row r="61">
          <cell r="A61" t="str">
            <v>Supervisor Bilingue</v>
          </cell>
          <cell r="C61">
            <v>60</v>
          </cell>
        </row>
        <row r="62">
          <cell r="A62" t="str">
            <v>Supervisor de Seg.</v>
          </cell>
          <cell r="C62">
            <v>61</v>
          </cell>
        </row>
        <row r="63">
          <cell r="A63" t="str">
            <v>Supervisor Monitoramento</v>
          </cell>
          <cell r="C63">
            <v>62</v>
          </cell>
        </row>
        <row r="64">
          <cell r="A64" t="str">
            <v>Supervisor Portaria</v>
          </cell>
          <cell r="C64">
            <v>63</v>
          </cell>
        </row>
        <row r="65">
          <cell r="A65" t="str">
            <v xml:space="preserve">Supervisor </v>
          </cell>
          <cell r="C65">
            <v>64</v>
          </cell>
        </row>
        <row r="66">
          <cell r="A66" t="str">
            <v>Técnico de Seg.</v>
          </cell>
          <cell r="C66">
            <v>65</v>
          </cell>
        </row>
        <row r="67">
          <cell r="A67" t="str">
            <v>Técnico de Seg. do Trabalho</v>
          </cell>
          <cell r="C67">
            <v>66</v>
          </cell>
        </row>
        <row r="68">
          <cell r="A68" t="str">
            <v>Técnico Prevencionista</v>
          </cell>
          <cell r="C68">
            <v>67</v>
          </cell>
        </row>
        <row r="69">
          <cell r="A69" t="str">
            <v>Telefonista - Recepção</v>
          </cell>
          <cell r="C69">
            <v>68</v>
          </cell>
        </row>
        <row r="70">
          <cell r="A70" t="str">
            <v>Vigia</v>
          </cell>
          <cell r="C70">
            <v>69</v>
          </cell>
        </row>
        <row r="71">
          <cell r="A71" t="str">
            <v>Vigilante Bombeiro</v>
          </cell>
          <cell r="C71">
            <v>70</v>
          </cell>
        </row>
        <row r="72">
          <cell r="A72" t="str">
            <v>Vigilante Cobertura de Almoço</v>
          </cell>
          <cell r="C72">
            <v>71</v>
          </cell>
        </row>
        <row r="73">
          <cell r="A73" t="str">
            <v>Vigilante Cond. Residencial</v>
          </cell>
          <cell r="C73">
            <v>72</v>
          </cell>
        </row>
        <row r="74">
          <cell r="A74" t="str">
            <v>Vigilante Condutor Ciclo</v>
          </cell>
          <cell r="C74">
            <v>73</v>
          </cell>
        </row>
        <row r="75">
          <cell r="A75" t="str">
            <v>Vigilante Condutor de Cães</v>
          </cell>
          <cell r="C75">
            <v>74</v>
          </cell>
        </row>
        <row r="76">
          <cell r="A76" t="str">
            <v>Vigilante de Escolta Armada</v>
          </cell>
          <cell r="C76">
            <v>75</v>
          </cell>
        </row>
        <row r="77">
          <cell r="A77" t="str">
            <v>Vigilante Fiscal</v>
          </cell>
          <cell r="C77">
            <v>76</v>
          </cell>
        </row>
        <row r="78">
          <cell r="A78" t="str">
            <v>Vigilante Líder</v>
          </cell>
          <cell r="C78">
            <v>77</v>
          </cell>
        </row>
        <row r="79">
          <cell r="A79" t="str">
            <v>Vigilante Monitor de Seg. Eletrônica</v>
          </cell>
          <cell r="C79">
            <v>78</v>
          </cell>
        </row>
        <row r="80">
          <cell r="A80" t="str">
            <v>Vigilante Motorista</v>
          </cell>
          <cell r="C80">
            <v>79</v>
          </cell>
        </row>
        <row r="81">
          <cell r="A81" t="str">
            <v>Vigilante Patrimonial</v>
          </cell>
          <cell r="C81">
            <v>80</v>
          </cell>
        </row>
        <row r="82">
          <cell r="A82" t="str">
            <v>Vigilante Rendição de Almoço</v>
          </cell>
          <cell r="C82">
            <v>81</v>
          </cell>
        </row>
        <row r="83">
          <cell r="A83" t="str">
            <v>Vigilante SDF</v>
          </cell>
          <cell r="C83">
            <v>82</v>
          </cell>
        </row>
        <row r="84">
          <cell r="A84" t="str">
            <v>Vigilante Supervisor</v>
          </cell>
          <cell r="C84">
            <v>83</v>
          </cell>
        </row>
        <row r="85">
          <cell r="A85" t="str">
            <v>Vigilante Tempo Parcial</v>
          </cell>
          <cell r="C85">
            <v>84</v>
          </cell>
        </row>
        <row r="86">
          <cell r="C86">
            <v>85</v>
          </cell>
        </row>
        <row r="87">
          <cell r="C87">
            <v>86</v>
          </cell>
        </row>
        <row r="88">
          <cell r="C88">
            <v>87</v>
          </cell>
        </row>
        <row r="89">
          <cell r="C89">
            <v>88</v>
          </cell>
        </row>
        <row r="90">
          <cell r="C90">
            <v>89</v>
          </cell>
        </row>
        <row r="91">
          <cell r="C91">
            <v>90</v>
          </cell>
        </row>
        <row r="92">
          <cell r="C92">
            <v>91</v>
          </cell>
        </row>
        <row r="93">
          <cell r="C93">
            <v>92</v>
          </cell>
        </row>
        <row r="94">
          <cell r="C94">
            <v>93</v>
          </cell>
        </row>
        <row r="95">
          <cell r="C95">
            <v>94</v>
          </cell>
        </row>
        <row r="96">
          <cell r="C96">
            <v>95</v>
          </cell>
        </row>
        <row r="97">
          <cell r="C97">
            <v>96</v>
          </cell>
        </row>
        <row r="98">
          <cell r="C98">
            <v>97</v>
          </cell>
        </row>
        <row r="99">
          <cell r="C99">
            <v>98</v>
          </cell>
        </row>
        <row r="100">
          <cell r="C100">
            <v>99</v>
          </cell>
        </row>
        <row r="101">
          <cell r="C101">
            <v>100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L150"/>
  <sheetViews>
    <sheetView tabSelected="1" topLeftCell="A71" zoomScale="118" zoomScaleNormal="118" workbookViewId="0">
      <selection activeCell="K81" sqref="K81"/>
    </sheetView>
  </sheetViews>
  <sheetFormatPr defaultRowHeight="12.75" x14ac:dyDescent="0.2"/>
  <cols>
    <col min="1" max="1" width="10" bestFit="1" customWidth="1"/>
    <col min="5" max="5" width="10.85546875" bestFit="1" customWidth="1"/>
    <col min="7" max="7" width="19.140625" customWidth="1"/>
    <col min="8" max="8" width="8.85546875" customWidth="1"/>
    <col min="9" max="9" width="13.28515625" customWidth="1"/>
    <col min="10" max="10" width="5" customWidth="1"/>
    <col min="11" max="11" width="33.140625" customWidth="1"/>
    <col min="12" max="12" width="15.85546875" customWidth="1"/>
    <col min="13" max="13" width="9.5703125" bestFit="1" customWidth="1"/>
  </cols>
  <sheetData>
    <row r="1" spans="1:9" x14ac:dyDescent="0.2">
      <c r="A1" s="203"/>
      <c r="B1" s="203"/>
      <c r="C1" s="203"/>
      <c r="D1" s="203"/>
      <c r="E1" s="203"/>
      <c r="F1" s="203"/>
      <c r="G1" s="203"/>
      <c r="H1" s="203"/>
      <c r="I1" s="203"/>
    </row>
    <row r="2" spans="1:9" x14ac:dyDescent="0.2">
      <c r="A2" s="205" t="s">
        <v>148</v>
      </c>
      <c r="B2" s="205"/>
      <c r="C2" s="205"/>
      <c r="D2" s="205"/>
      <c r="E2" s="205"/>
      <c r="F2" s="205"/>
      <c r="G2" s="205"/>
      <c r="H2" s="205"/>
      <c r="I2" s="205"/>
    </row>
    <row r="3" spans="1:9" x14ac:dyDescent="0.2">
      <c r="A3" s="3"/>
      <c r="B3" s="3"/>
      <c r="C3" s="3"/>
      <c r="D3" s="3"/>
      <c r="E3" s="3"/>
      <c r="F3" s="3"/>
      <c r="G3" s="3"/>
      <c r="H3" s="3"/>
      <c r="I3" s="3"/>
    </row>
    <row r="4" spans="1:9" x14ac:dyDescent="0.2">
      <c r="A4" s="206" t="s">
        <v>53</v>
      </c>
      <c r="B4" s="206"/>
      <c r="C4" s="206"/>
      <c r="D4" s="206"/>
      <c r="E4" s="206"/>
      <c r="F4" s="206"/>
      <c r="G4" s="206"/>
      <c r="H4" s="206"/>
      <c r="I4" s="206"/>
    </row>
    <row r="5" spans="1:9" x14ac:dyDescent="0.2">
      <c r="A5" s="45" t="s">
        <v>9</v>
      </c>
      <c r="B5" s="180" t="s">
        <v>54</v>
      </c>
      <c r="C5" s="180"/>
      <c r="D5" s="180"/>
      <c r="E5" s="180"/>
      <c r="F5" s="180"/>
      <c r="G5" s="180"/>
      <c r="H5" s="180"/>
      <c r="I5" s="61">
        <v>43215</v>
      </c>
    </row>
    <row r="6" spans="1:9" x14ac:dyDescent="0.2">
      <c r="A6" s="45" t="s">
        <v>10</v>
      </c>
      <c r="B6" s="180" t="s">
        <v>55</v>
      </c>
      <c r="C6" s="180"/>
      <c r="D6" s="180"/>
      <c r="E6" s="180"/>
      <c r="F6" s="180"/>
      <c r="G6" s="180"/>
      <c r="H6" s="180"/>
      <c r="I6" s="59" t="s">
        <v>149</v>
      </c>
    </row>
    <row r="7" spans="1:9" x14ac:dyDescent="0.2">
      <c r="A7" s="45" t="s">
        <v>11</v>
      </c>
      <c r="B7" s="183" t="s">
        <v>67</v>
      </c>
      <c r="C7" s="183"/>
      <c r="D7" s="183"/>
      <c r="E7" s="183"/>
      <c r="F7" s="183"/>
      <c r="G7" s="183"/>
      <c r="H7" s="183"/>
      <c r="I7" s="60">
        <v>2018</v>
      </c>
    </row>
    <row r="8" spans="1:9" x14ac:dyDescent="0.2">
      <c r="A8" s="45" t="s">
        <v>12</v>
      </c>
      <c r="B8" s="180" t="s">
        <v>56</v>
      </c>
      <c r="C8" s="180"/>
      <c r="D8" s="180"/>
      <c r="E8" s="180"/>
      <c r="F8" s="180"/>
      <c r="G8" s="180"/>
      <c r="H8" s="180"/>
      <c r="I8" s="92">
        <v>12</v>
      </c>
    </row>
    <row r="9" spans="1:9" x14ac:dyDescent="0.2">
      <c r="A9" s="12"/>
      <c r="B9" s="34"/>
      <c r="C9" s="34"/>
      <c r="D9" s="34"/>
      <c r="E9" s="34"/>
      <c r="F9" s="34"/>
      <c r="G9" s="34"/>
      <c r="H9" s="12"/>
      <c r="I9" s="12"/>
    </row>
    <row r="10" spans="1:9" x14ac:dyDescent="0.2">
      <c r="A10" s="206" t="s">
        <v>60</v>
      </c>
      <c r="B10" s="206"/>
      <c r="C10" s="206"/>
      <c r="D10" s="206"/>
      <c r="E10" s="206"/>
      <c r="F10" s="206"/>
      <c r="G10" s="206"/>
      <c r="H10" s="206"/>
      <c r="I10" s="206"/>
    </row>
    <row r="11" spans="1:9" x14ac:dyDescent="0.2">
      <c r="A11" s="208" t="s">
        <v>57</v>
      </c>
      <c r="B11" s="208"/>
      <c r="C11" s="208" t="s">
        <v>58</v>
      </c>
      <c r="D11" s="208"/>
      <c r="E11" s="208" t="s">
        <v>59</v>
      </c>
      <c r="F11" s="208"/>
      <c r="G11" s="208"/>
      <c r="H11" s="208"/>
      <c r="I11" s="208"/>
    </row>
    <row r="12" spans="1:9" x14ac:dyDescent="0.2">
      <c r="A12" s="207" t="s">
        <v>133</v>
      </c>
      <c r="B12" s="208"/>
      <c r="C12" s="207" t="s">
        <v>136</v>
      </c>
      <c r="D12" s="208"/>
      <c r="E12" s="182">
        <v>2</v>
      </c>
      <c r="F12" s="182"/>
      <c r="G12" s="182"/>
      <c r="H12" s="182"/>
      <c r="I12" s="182"/>
    </row>
    <row r="13" spans="1:9" x14ac:dyDescent="0.2">
      <c r="A13" s="12"/>
      <c r="B13" s="34"/>
      <c r="C13" s="34"/>
      <c r="D13" s="34"/>
      <c r="E13" s="34"/>
      <c r="F13" s="34"/>
      <c r="G13" s="34"/>
      <c r="H13" s="12"/>
      <c r="I13" s="12"/>
    </row>
    <row r="14" spans="1:9" x14ac:dyDescent="0.2">
      <c r="A14" s="206" t="s">
        <v>68</v>
      </c>
      <c r="B14" s="206"/>
      <c r="C14" s="206"/>
      <c r="D14" s="206"/>
      <c r="E14" s="206"/>
      <c r="F14" s="206"/>
      <c r="G14" s="206"/>
      <c r="H14" s="206"/>
      <c r="I14" s="206"/>
    </row>
    <row r="15" spans="1:9" x14ac:dyDescent="0.2">
      <c r="A15" s="45">
        <v>1</v>
      </c>
      <c r="B15" s="180" t="s">
        <v>8</v>
      </c>
      <c r="C15" s="180"/>
      <c r="D15" s="180"/>
      <c r="E15" s="180"/>
      <c r="F15" s="180"/>
      <c r="G15" s="180"/>
      <c r="H15" s="180"/>
      <c r="I15" s="65" t="s">
        <v>132</v>
      </c>
    </row>
    <row r="16" spans="1:9" x14ac:dyDescent="0.2">
      <c r="A16" s="45">
        <v>2</v>
      </c>
      <c r="B16" s="183" t="s">
        <v>69</v>
      </c>
      <c r="C16" s="183"/>
      <c r="D16" s="183"/>
      <c r="E16" s="183"/>
      <c r="F16" s="183"/>
      <c r="G16" s="183"/>
      <c r="H16" s="183"/>
      <c r="I16" s="66" t="s">
        <v>134</v>
      </c>
    </row>
    <row r="17" spans="1:10" x14ac:dyDescent="0.2">
      <c r="A17" s="45">
        <v>3</v>
      </c>
      <c r="B17" s="180" t="s">
        <v>7</v>
      </c>
      <c r="C17" s="180"/>
      <c r="D17" s="180"/>
      <c r="E17" s="180"/>
      <c r="F17" s="180"/>
      <c r="G17" s="180"/>
      <c r="H17" s="180"/>
      <c r="I17" s="97">
        <v>1404.52</v>
      </c>
    </row>
    <row r="18" spans="1:10" x14ac:dyDescent="0.2">
      <c r="A18" s="45">
        <v>4</v>
      </c>
      <c r="B18" s="183" t="s">
        <v>135</v>
      </c>
      <c r="C18" s="180"/>
      <c r="D18" s="180"/>
      <c r="E18" s="180"/>
      <c r="F18" s="180"/>
      <c r="G18" s="180"/>
      <c r="H18" s="180"/>
      <c r="I18" s="60"/>
    </row>
    <row r="19" spans="1:10" x14ac:dyDescent="0.2">
      <c r="A19" s="45">
        <v>5</v>
      </c>
      <c r="B19" s="180" t="s">
        <v>6</v>
      </c>
      <c r="C19" s="180"/>
      <c r="D19" s="180"/>
      <c r="E19" s="180"/>
      <c r="F19" s="180"/>
      <c r="G19" s="180"/>
      <c r="H19" s="180"/>
      <c r="I19" s="61">
        <v>42795</v>
      </c>
    </row>
    <row r="20" spans="1:10" x14ac:dyDescent="0.2">
      <c r="A20" s="204"/>
      <c r="B20" s="204"/>
      <c r="C20" s="204"/>
      <c r="D20" s="204"/>
      <c r="E20" s="204"/>
      <c r="F20" s="204"/>
      <c r="G20" s="204"/>
      <c r="H20" s="204"/>
      <c r="I20" s="204"/>
    </row>
    <row r="21" spans="1:10" x14ac:dyDescent="0.2">
      <c r="A21" s="188" t="s">
        <v>31</v>
      </c>
      <c r="B21" s="188"/>
      <c r="C21" s="188"/>
      <c r="D21" s="188"/>
      <c r="E21" s="188"/>
      <c r="F21" s="188"/>
      <c r="G21" s="188"/>
      <c r="H21" s="188"/>
      <c r="I21" s="188"/>
    </row>
    <row r="22" spans="1:10" x14ac:dyDescent="0.2">
      <c r="A22" s="39">
        <v>1</v>
      </c>
      <c r="B22" s="182" t="s">
        <v>17</v>
      </c>
      <c r="C22" s="182"/>
      <c r="D22" s="182"/>
      <c r="E22" s="182"/>
      <c r="F22" s="182"/>
      <c r="G22" s="182"/>
      <c r="H22" s="39" t="s">
        <v>3</v>
      </c>
      <c r="I22" s="39" t="s">
        <v>1</v>
      </c>
    </row>
    <row r="23" spans="1:10" x14ac:dyDescent="0.2">
      <c r="A23" s="39" t="s">
        <v>9</v>
      </c>
      <c r="B23" s="177" t="s">
        <v>52</v>
      </c>
      <c r="C23" s="183"/>
      <c r="D23" s="183"/>
      <c r="E23" s="183"/>
      <c r="F23" s="183"/>
      <c r="G23" s="183"/>
      <c r="H23" s="44"/>
      <c r="I23" s="78">
        <f>I17</f>
        <v>1404.52</v>
      </c>
    </row>
    <row r="24" spans="1:10" x14ac:dyDescent="0.2">
      <c r="A24" s="39" t="s">
        <v>10</v>
      </c>
      <c r="B24" s="177" t="s">
        <v>70</v>
      </c>
      <c r="C24" s="183"/>
      <c r="D24" s="183"/>
      <c r="E24" s="183"/>
      <c r="F24" s="183"/>
      <c r="G24" s="183"/>
      <c r="H24" s="67">
        <v>0.3</v>
      </c>
      <c r="I24" s="78">
        <f>I23*H24</f>
        <v>421.35599999999999</v>
      </c>
    </row>
    <row r="25" spans="1:10" x14ac:dyDescent="0.2">
      <c r="A25" s="39" t="s">
        <v>11</v>
      </c>
      <c r="B25" s="177" t="s">
        <v>71</v>
      </c>
      <c r="C25" s="183"/>
      <c r="D25" s="183"/>
      <c r="E25" s="183"/>
      <c r="F25" s="183"/>
      <c r="G25" s="183"/>
      <c r="H25" s="2"/>
      <c r="I25" s="69">
        <f>H25*I23</f>
        <v>0</v>
      </c>
    </row>
    <row r="26" spans="1:10" x14ac:dyDescent="0.2">
      <c r="A26" s="39" t="s">
        <v>12</v>
      </c>
      <c r="B26" s="183" t="s">
        <v>2</v>
      </c>
      <c r="C26" s="183"/>
      <c r="D26" s="183"/>
      <c r="E26" s="183"/>
      <c r="F26" s="183"/>
      <c r="G26" s="183"/>
      <c r="H26" s="67">
        <v>0.2</v>
      </c>
      <c r="I26" s="69">
        <f xml:space="preserve"> TRUNC( TRUNC((I23+I24)/220,2)*H26,2)*(8*15)</f>
        <v>198</v>
      </c>
    </row>
    <row r="27" spans="1:10" x14ac:dyDescent="0.2">
      <c r="A27" s="47" t="s">
        <v>13</v>
      </c>
      <c r="B27" s="183" t="s">
        <v>72</v>
      </c>
      <c r="C27" s="183"/>
      <c r="D27" s="183"/>
      <c r="E27" s="183"/>
      <c r="F27" s="183"/>
      <c r="G27" s="183"/>
      <c r="H27" s="82" t="s">
        <v>137</v>
      </c>
      <c r="I27" s="81">
        <f>TRUNC(((I23+I24)/220),2)*15</f>
        <v>124.35</v>
      </c>
    </row>
    <row r="28" spans="1:10" x14ac:dyDescent="0.2">
      <c r="A28" s="39"/>
      <c r="B28" s="198"/>
      <c r="C28" s="199"/>
      <c r="D28" s="199"/>
      <c r="E28" s="199"/>
      <c r="F28" s="199"/>
      <c r="G28" s="200"/>
      <c r="H28" s="33"/>
      <c r="I28" s="69">
        <v>0</v>
      </c>
    </row>
    <row r="29" spans="1:10" x14ac:dyDescent="0.2">
      <c r="A29" s="47" t="s">
        <v>15</v>
      </c>
      <c r="B29" s="177" t="s">
        <v>4</v>
      </c>
      <c r="C29" s="183"/>
      <c r="D29" s="183"/>
      <c r="E29" s="183"/>
      <c r="F29" s="183"/>
      <c r="G29" s="183"/>
      <c r="H29" s="2"/>
      <c r="I29" s="69">
        <v>0</v>
      </c>
    </row>
    <row r="30" spans="1:10" x14ac:dyDescent="0.2">
      <c r="A30" s="182" t="s">
        <v>100</v>
      </c>
      <c r="B30" s="182"/>
      <c r="C30" s="182"/>
      <c r="D30" s="182"/>
      <c r="E30" s="182"/>
      <c r="F30" s="182"/>
      <c r="G30" s="182"/>
      <c r="H30" s="182"/>
      <c r="I30" s="68">
        <f>TRUNC(SUM(I23:I29),2)</f>
        <v>2148.2199999999998</v>
      </c>
    </row>
    <row r="31" spans="1:10" x14ac:dyDescent="0.2">
      <c r="A31" s="5"/>
      <c r="B31" s="5"/>
      <c r="C31" s="5"/>
      <c r="D31" s="5"/>
      <c r="E31" s="5"/>
      <c r="F31" s="5"/>
      <c r="G31" s="5"/>
      <c r="H31" s="5"/>
      <c r="I31" s="6"/>
      <c r="J31" s="7"/>
    </row>
    <row r="32" spans="1:10" x14ac:dyDescent="0.2">
      <c r="A32" s="188" t="s">
        <v>73</v>
      </c>
      <c r="B32" s="188"/>
      <c r="C32" s="188"/>
      <c r="D32" s="188"/>
      <c r="E32" s="188"/>
      <c r="F32" s="188"/>
      <c r="G32" s="188"/>
      <c r="H32" s="188"/>
      <c r="I32" s="188"/>
      <c r="J32" s="7"/>
    </row>
    <row r="33" spans="1:12" x14ac:dyDescent="0.2">
      <c r="A33" s="182" t="s">
        <v>87</v>
      </c>
      <c r="B33" s="182"/>
      <c r="C33" s="182"/>
      <c r="D33" s="182"/>
      <c r="E33" s="182"/>
      <c r="F33" s="182"/>
      <c r="G33" s="182"/>
      <c r="H33" s="39" t="s">
        <v>3</v>
      </c>
      <c r="I33" s="39" t="s">
        <v>1</v>
      </c>
      <c r="J33" s="7"/>
    </row>
    <row r="34" spans="1:12" x14ac:dyDescent="0.2">
      <c r="A34" s="39" t="s">
        <v>9</v>
      </c>
      <c r="B34" s="177" t="s">
        <v>75</v>
      </c>
      <c r="C34" s="183"/>
      <c r="D34" s="183"/>
      <c r="E34" s="183"/>
      <c r="F34" s="183"/>
      <c r="G34" s="183"/>
      <c r="H34" s="84">
        <v>9.0749999999999997E-2</v>
      </c>
      <c r="I34" s="52">
        <f>$I$30*H34</f>
        <v>194.95096499999997</v>
      </c>
      <c r="J34" s="7"/>
    </row>
    <row r="35" spans="1:12" x14ac:dyDescent="0.2">
      <c r="A35" s="39" t="s">
        <v>10</v>
      </c>
      <c r="B35" s="183" t="s">
        <v>131</v>
      </c>
      <c r="C35" s="183"/>
      <c r="D35" s="183"/>
      <c r="E35" s="183"/>
      <c r="F35" s="183"/>
      <c r="G35" s="183"/>
      <c r="H35" s="70">
        <v>3.0249999999999999E-2</v>
      </c>
      <c r="I35" s="52">
        <f>H35*I30</f>
        <v>64.983654999999999</v>
      </c>
      <c r="J35" s="7"/>
      <c r="K35" s="83"/>
    </row>
    <row r="36" spans="1:12" x14ac:dyDescent="0.2">
      <c r="A36" s="182" t="s">
        <v>76</v>
      </c>
      <c r="B36" s="182"/>
      <c r="C36" s="182"/>
      <c r="D36" s="182"/>
      <c r="E36" s="182"/>
      <c r="F36" s="182"/>
      <c r="G36" s="182"/>
      <c r="H36" s="9">
        <f>TRUNC(SUM(H34:H35),4)</f>
        <v>0.121</v>
      </c>
      <c r="I36" s="51">
        <f>TRUNC(SUM(I34:I35),2)</f>
        <v>259.93</v>
      </c>
      <c r="J36" s="7"/>
    </row>
    <row r="37" spans="1:12" x14ac:dyDescent="0.2">
      <c r="A37" s="201"/>
      <c r="B37" s="202"/>
      <c r="C37" s="202"/>
      <c r="D37" s="202"/>
      <c r="E37" s="202"/>
      <c r="F37" s="202"/>
      <c r="G37" s="202"/>
      <c r="H37" s="202"/>
      <c r="I37" s="202"/>
      <c r="J37" s="7"/>
    </row>
    <row r="38" spans="1:12" x14ac:dyDescent="0.2">
      <c r="A38" s="182" t="s">
        <v>88</v>
      </c>
      <c r="B38" s="182"/>
      <c r="C38" s="182"/>
      <c r="D38" s="182"/>
      <c r="E38" s="182"/>
      <c r="F38" s="182"/>
      <c r="G38" s="182"/>
      <c r="H38" s="39" t="s">
        <v>3</v>
      </c>
      <c r="I38" s="39" t="s">
        <v>1</v>
      </c>
      <c r="J38" s="7"/>
      <c r="K38" s="63"/>
      <c r="L38" s="62"/>
    </row>
    <row r="39" spans="1:12" x14ac:dyDescent="0.2">
      <c r="A39" s="39" t="s">
        <v>9</v>
      </c>
      <c r="B39" s="177" t="s">
        <v>79</v>
      </c>
      <c r="C39" s="183"/>
      <c r="D39" s="183"/>
      <c r="E39" s="183"/>
      <c r="F39" s="183"/>
      <c r="G39" s="183"/>
      <c r="H39" s="1">
        <v>0.2</v>
      </c>
      <c r="I39" s="52">
        <f>H39*$I$30</f>
        <v>429.64400000000001</v>
      </c>
      <c r="J39" s="7"/>
      <c r="K39" s="64"/>
      <c r="L39" s="62"/>
    </row>
    <row r="40" spans="1:12" x14ac:dyDescent="0.2">
      <c r="A40" s="39" t="s">
        <v>10</v>
      </c>
      <c r="B40" s="177" t="s">
        <v>80</v>
      </c>
      <c r="C40" s="183"/>
      <c r="D40" s="183"/>
      <c r="E40" s="183"/>
      <c r="F40" s="183"/>
      <c r="G40" s="183"/>
      <c r="H40" s="1">
        <v>2.5000000000000001E-2</v>
      </c>
      <c r="I40" s="52">
        <f t="shared" ref="I40:I46" si="0">H40*$I$30</f>
        <v>53.705500000000001</v>
      </c>
      <c r="J40" s="7"/>
      <c r="K40" s="63"/>
    </row>
    <row r="41" spans="1:12" x14ac:dyDescent="0.2">
      <c r="A41" s="39" t="s">
        <v>11</v>
      </c>
      <c r="B41" s="177" t="s">
        <v>81</v>
      </c>
      <c r="C41" s="183"/>
      <c r="D41" s="183"/>
      <c r="E41" s="183"/>
      <c r="F41" s="183"/>
      <c r="G41" s="183"/>
      <c r="H41" s="42">
        <v>0.03</v>
      </c>
      <c r="I41" s="52">
        <f t="shared" si="0"/>
        <v>64.446599999999989</v>
      </c>
      <c r="J41" s="7"/>
      <c r="K41" s="63"/>
    </row>
    <row r="42" spans="1:12" x14ac:dyDescent="0.2">
      <c r="A42" s="39" t="s">
        <v>12</v>
      </c>
      <c r="B42" s="177" t="s">
        <v>78</v>
      </c>
      <c r="C42" s="177"/>
      <c r="D42" s="177"/>
      <c r="E42" s="177"/>
      <c r="F42" s="177"/>
      <c r="G42" s="177"/>
      <c r="H42" s="1">
        <v>1.4999999999999999E-2</v>
      </c>
      <c r="I42" s="52">
        <f t="shared" si="0"/>
        <v>32.223299999999995</v>
      </c>
      <c r="J42" s="7"/>
    </row>
    <row r="43" spans="1:12" x14ac:dyDescent="0.2">
      <c r="A43" s="39" t="s">
        <v>13</v>
      </c>
      <c r="B43" s="177" t="s">
        <v>82</v>
      </c>
      <c r="C43" s="183"/>
      <c r="D43" s="183"/>
      <c r="E43" s="183"/>
      <c r="F43" s="183"/>
      <c r="G43" s="183"/>
      <c r="H43" s="1">
        <v>0.01</v>
      </c>
      <c r="I43" s="52">
        <f t="shared" si="0"/>
        <v>21.482199999999999</v>
      </c>
      <c r="J43" s="7"/>
    </row>
    <row r="44" spans="1:12" x14ac:dyDescent="0.2">
      <c r="A44" s="39" t="s">
        <v>14</v>
      </c>
      <c r="B44" s="177" t="s">
        <v>83</v>
      </c>
      <c r="C44" s="183"/>
      <c r="D44" s="183"/>
      <c r="E44" s="183"/>
      <c r="F44" s="183"/>
      <c r="G44" s="183"/>
      <c r="H44" s="1">
        <v>6.0000000000000001E-3</v>
      </c>
      <c r="I44" s="52">
        <f t="shared" si="0"/>
        <v>12.88932</v>
      </c>
      <c r="J44" s="7"/>
    </row>
    <row r="45" spans="1:12" x14ac:dyDescent="0.2">
      <c r="A45" s="39" t="s">
        <v>15</v>
      </c>
      <c r="B45" s="177" t="s">
        <v>84</v>
      </c>
      <c r="C45" s="183"/>
      <c r="D45" s="183"/>
      <c r="E45" s="183"/>
      <c r="F45" s="183"/>
      <c r="G45" s="183"/>
      <c r="H45" s="1">
        <v>2E-3</v>
      </c>
      <c r="I45" s="52">
        <f t="shared" si="0"/>
        <v>4.2964399999999996</v>
      </c>
      <c r="J45" s="7"/>
    </row>
    <row r="46" spans="1:12" x14ac:dyDescent="0.2">
      <c r="A46" s="39" t="s">
        <v>16</v>
      </c>
      <c r="B46" s="177" t="s">
        <v>85</v>
      </c>
      <c r="C46" s="183"/>
      <c r="D46" s="183"/>
      <c r="E46" s="183"/>
      <c r="F46" s="183"/>
      <c r="G46" s="183"/>
      <c r="H46" s="1">
        <v>0.08</v>
      </c>
      <c r="I46" s="52">
        <f t="shared" si="0"/>
        <v>171.85759999999999</v>
      </c>
      <c r="J46" s="7"/>
    </row>
    <row r="47" spans="1:12" x14ac:dyDescent="0.2">
      <c r="A47" s="182" t="s">
        <v>86</v>
      </c>
      <c r="B47" s="182"/>
      <c r="C47" s="182"/>
      <c r="D47" s="182"/>
      <c r="E47" s="182"/>
      <c r="F47" s="182"/>
      <c r="G47" s="182"/>
      <c r="H47" s="9">
        <f>SUM(H39:H46)</f>
        <v>0.36800000000000005</v>
      </c>
      <c r="I47" s="51">
        <f>TRUNC(SUM(I39:I46),2)</f>
        <v>790.54</v>
      </c>
      <c r="J47" s="7"/>
      <c r="K47" s="43"/>
    </row>
    <row r="48" spans="1:12" x14ac:dyDescent="0.2">
      <c r="A48" s="196"/>
      <c r="B48" s="196"/>
      <c r="C48" s="196"/>
      <c r="D48" s="196"/>
      <c r="E48" s="196"/>
      <c r="F48" s="196"/>
      <c r="G48" s="196"/>
      <c r="H48" s="196"/>
      <c r="I48" s="197"/>
      <c r="J48" s="7"/>
    </row>
    <row r="49" spans="1:10" x14ac:dyDescent="0.2">
      <c r="A49" s="182" t="s">
        <v>89</v>
      </c>
      <c r="B49" s="182"/>
      <c r="C49" s="182"/>
      <c r="D49" s="182"/>
      <c r="E49" s="182"/>
      <c r="F49" s="182"/>
      <c r="G49" s="182"/>
      <c r="H49" s="9"/>
      <c r="I49" s="39" t="s">
        <v>1</v>
      </c>
      <c r="J49" s="7"/>
    </row>
    <row r="50" spans="1:10" x14ac:dyDescent="0.2">
      <c r="A50" s="39" t="s">
        <v>9</v>
      </c>
      <c r="B50" s="189" t="s">
        <v>90</v>
      </c>
      <c r="C50" s="195"/>
      <c r="D50" s="195"/>
      <c r="E50" s="195"/>
      <c r="F50" s="195"/>
      <c r="G50" s="195"/>
      <c r="H50" s="73">
        <v>3.6</v>
      </c>
      <c r="I50" s="50">
        <f>(H50*2*15)-(I23*0.06)</f>
        <v>23.728800000000007</v>
      </c>
      <c r="J50" s="7"/>
    </row>
    <row r="51" spans="1:10" x14ac:dyDescent="0.2">
      <c r="A51" s="39" t="s">
        <v>10</v>
      </c>
      <c r="B51" s="189" t="s">
        <v>91</v>
      </c>
      <c r="C51" s="195"/>
      <c r="D51" s="195"/>
      <c r="E51" s="195"/>
      <c r="F51" s="195"/>
      <c r="G51" s="195"/>
      <c r="H51" s="46">
        <v>22</v>
      </c>
      <c r="I51" s="50">
        <f>H51*15*0.8</f>
        <v>264</v>
      </c>
      <c r="J51" s="7"/>
    </row>
    <row r="52" spans="1:10" x14ac:dyDescent="0.2">
      <c r="A52" s="39" t="s">
        <v>11</v>
      </c>
      <c r="B52" s="189" t="s">
        <v>92</v>
      </c>
      <c r="C52" s="195"/>
      <c r="D52" s="195"/>
      <c r="E52" s="195"/>
      <c r="F52" s="195"/>
      <c r="G52" s="195"/>
      <c r="H52" s="46" t="s">
        <v>0</v>
      </c>
      <c r="I52" s="50">
        <v>27.5</v>
      </c>
      <c r="J52" s="7"/>
    </row>
    <row r="53" spans="1:10" x14ac:dyDescent="0.2">
      <c r="A53" s="39" t="s">
        <v>12</v>
      </c>
      <c r="B53" s="189" t="s">
        <v>4</v>
      </c>
      <c r="C53" s="195"/>
      <c r="D53" s="195"/>
      <c r="E53" s="195"/>
      <c r="F53" s="195"/>
      <c r="G53" s="195"/>
      <c r="H53" s="46" t="s">
        <v>0</v>
      </c>
      <c r="I53" s="50">
        <v>0</v>
      </c>
      <c r="J53" s="7"/>
    </row>
    <row r="54" spans="1:10" x14ac:dyDescent="0.2">
      <c r="A54" s="182" t="s">
        <v>93</v>
      </c>
      <c r="B54" s="182"/>
      <c r="C54" s="182"/>
      <c r="D54" s="182"/>
      <c r="E54" s="182"/>
      <c r="F54" s="182"/>
      <c r="G54" s="182"/>
      <c r="H54" s="182"/>
      <c r="I54" s="51">
        <f>TRUNC(SUM(I50:I53),2)</f>
        <v>315.22000000000003</v>
      </c>
      <c r="J54" s="7"/>
    </row>
    <row r="55" spans="1:10" x14ac:dyDescent="0.2">
      <c r="A55" s="196"/>
      <c r="B55" s="196"/>
      <c r="C55" s="196"/>
      <c r="D55" s="196"/>
      <c r="E55" s="196"/>
      <c r="F55" s="196"/>
      <c r="G55" s="196"/>
      <c r="H55" s="196"/>
      <c r="I55" s="197"/>
      <c r="J55" s="7"/>
    </row>
    <row r="56" spans="1:10" x14ac:dyDescent="0.2">
      <c r="A56" s="179" t="s">
        <v>94</v>
      </c>
      <c r="B56" s="179"/>
      <c r="C56" s="179"/>
      <c r="D56" s="179"/>
      <c r="E56" s="179"/>
      <c r="F56" s="179"/>
      <c r="G56" s="179"/>
      <c r="H56" s="179"/>
      <c r="I56" s="179"/>
      <c r="J56" s="7"/>
    </row>
    <row r="57" spans="1:10" x14ac:dyDescent="0.2">
      <c r="A57" s="182" t="s">
        <v>98</v>
      </c>
      <c r="B57" s="182"/>
      <c r="C57" s="182"/>
      <c r="D57" s="182"/>
      <c r="E57" s="182"/>
      <c r="F57" s="182"/>
      <c r="G57" s="182"/>
      <c r="H57" s="182"/>
      <c r="I57" s="39" t="s">
        <v>1</v>
      </c>
      <c r="J57" s="7"/>
    </row>
    <row r="58" spans="1:10" x14ac:dyDescent="0.2">
      <c r="A58" s="39" t="s">
        <v>95</v>
      </c>
      <c r="B58" s="177" t="s">
        <v>74</v>
      </c>
      <c r="C58" s="177"/>
      <c r="D58" s="177"/>
      <c r="E58" s="177"/>
      <c r="F58" s="177"/>
      <c r="G58" s="177"/>
      <c r="H58" s="177"/>
      <c r="I58" s="69">
        <f>I36</f>
        <v>259.93</v>
      </c>
      <c r="J58" s="7"/>
    </row>
    <row r="59" spans="1:10" x14ac:dyDescent="0.2">
      <c r="A59" s="47" t="s">
        <v>96</v>
      </c>
      <c r="B59" s="177" t="s">
        <v>77</v>
      </c>
      <c r="C59" s="177"/>
      <c r="D59" s="177"/>
      <c r="E59" s="177"/>
      <c r="F59" s="177"/>
      <c r="G59" s="177"/>
      <c r="H59" s="177"/>
      <c r="I59" s="71">
        <f>I47</f>
        <v>790.54</v>
      </c>
      <c r="J59" s="7"/>
    </row>
    <row r="60" spans="1:10" x14ac:dyDescent="0.2">
      <c r="A60" s="47" t="s">
        <v>97</v>
      </c>
      <c r="B60" s="177" t="s">
        <v>99</v>
      </c>
      <c r="C60" s="177"/>
      <c r="D60" s="177"/>
      <c r="E60" s="177"/>
      <c r="F60" s="177"/>
      <c r="G60" s="177"/>
      <c r="H60" s="177"/>
      <c r="I60" s="71">
        <f>I54</f>
        <v>315.22000000000003</v>
      </c>
      <c r="J60" s="7"/>
    </row>
    <row r="61" spans="1:10" x14ac:dyDescent="0.2">
      <c r="A61" s="182" t="s">
        <v>101</v>
      </c>
      <c r="B61" s="182"/>
      <c r="C61" s="182"/>
      <c r="D61" s="182"/>
      <c r="E61" s="182"/>
      <c r="F61" s="182"/>
      <c r="G61" s="182"/>
      <c r="H61" s="182"/>
      <c r="I61" s="72">
        <f>TRUNC(SUM(I58:I60),2)</f>
        <v>1365.69</v>
      </c>
      <c r="J61" s="7"/>
    </row>
    <row r="62" spans="1:10" x14ac:dyDescent="0.2">
      <c r="A62" s="186"/>
      <c r="B62" s="187"/>
      <c r="C62" s="187"/>
      <c r="D62" s="187"/>
      <c r="E62" s="187"/>
      <c r="F62" s="187"/>
      <c r="G62" s="187"/>
      <c r="H62" s="187"/>
      <c r="I62" s="187"/>
      <c r="J62" s="7"/>
    </row>
    <row r="63" spans="1:10" x14ac:dyDescent="0.2">
      <c r="A63" s="188" t="s">
        <v>102</v>
      </c>
      <c r="B63" s="188"/>
      <c r="C63" s="188"/>
      <c r="D63" s="188"/>
      <c r="E63" s="188"/>
      <c r="F63" s="188"/>
      <c r="G63" s="188"/>
      <c r="H63" s="188"/>
      <c r="I63" s="188"/>
      <c r="J63" s="7"/>
    </row>
    <row r="64" spans="1:10" x14ac:dyDescent="0.2">
      <c r="A64" s="39">
        <v>3</v>
      </c>
      <c r="B64" s="182" t="s">
        <v>103</v>
      </c>
      <c r="C64" s="182"/>
      <c r="D64" s="182"/>
      <c r="E64" s="182"/>
      <c r="F64" s="182"/>
      <c r="G64" s="182"/>
      <c r="H64" s="39" t="s">
        <v>3</v>
      </c>
      <c r="I64" s="39" t="s">
        <v>1</v>
      </c>
      <c r="J64" s="7"/>
    </row>
    <row r="65" spans="1:10" x14ac:dyDescent="0.2">
      <c r="A65" s="39" t="s">
        <v>9</v>
      </c>
      <c r="B65" s="190" t="s">
        <v>106</v>
      </c>
      <c r="C65" s="181"/>
      <c r="D65" s="181"/>
      <c r="E65" s="181"/>
      <c r="F65" s="181"/>
      <c r="G65" s="181"/>
      <c r="H65" s="40">
        <v>4.1999999999999997E-3</v>
      </c>
      <c r="I65" s="49">
        <f>$I$30*H65</f>
        <v>9.0225239999999989</v>
      </c>
      <c r="J65" s="7"/>
    </row>
    <row r="66" spans="1:10" x14ac:dyDescent="0.2">
      <c r="A66" s="39" t="s">
        <v>10</v>
      </c>
      <c r="B66" s="177" t="s">
        <v>105</v>
      </c>
      <c r="C66" s="177"/>
      <c r="D66" s="177"/>
      <c r="E66" s="177"/>
      <c r="F66" s="177"/>
      <c r="G66" s="177"/>
      <c r="H66" s="40">
        <f>0.08*H65</f>
        <v>3.3599999999999998E-4</v>
      </c>
      <c r="I66" s="52">
        <f>H66*I30</f>
        <v>0.72180191999999987</v>
      </c>
      <c r="J66" s="7"/>
    </row>
    <row r="67" spans="1:10" x14ac:dyDescent="0.2">
      <c r="A67" s="39" t="s">
        <v>11</v>
      </c>
      <c r="B67" s="190" t="s">
        <v>107</v>
      </c>
      <c r="C67" s="181"/>
      <c r="D67" s="181"/>
      <c r="E67" s="181"/>
      <c r="F67" s="181"/>
      <c r="G67" s="181"/>
      <c r="H67" s="79">
        <v>2.5000000000000001E-2</v>
      </c>
      <c r="I67" s="52">
        <f>$I$30*H67</f>
        <v>53.705500000000001</v>
      </c>
      <c r="J67" s="7"/>
    </row>
    <row r="68" spans="1:10" x14ac:dyDescent="0.2">
      <c r="A68" s="39" t="s">
        <v>12</v>
      </c>
      <c r="B68" s="177" t="s">
        <v>104</v>
      </c>
      <c r="C68" s="177"/>
      <c r="D68" s="177"/>
      <c r="E68" s="177"/>
      <c r="F68" s="177"/>
      <c r="G68" s="177"/>
      <c r="H68" s="1">
        <v>1.9400000000000001E-2</v>
      </c>
      <c r="I68" s="52">
        <f>$I$30*H68</f>
        <v>41.675467999999995</v>
      </c>
      <c r="J68" s="7"/>
    </row>
    <row r="69" spans="1:10" x14ac:dyDescent="0.2">
      <c r="A69" s="39" t="s">
        <v>13</v>
      </c>
      <c r="B69" s="177" t="s">
        <v>108</v>
      </c>
      <c r="C69" s="177"/>
      <c r="D69" s="177"/>
      <c r="E69" s="177"/>
      <c r="F69" s="177"/>
      <c r="G69" s="177"/>
      <c r="H69" s="48">
        <f>H47*H68</f>
        <v>7.1392000000000009E-3</v>
      </c>
      <c r="I69" s="52">
        <f t="shared" ref="I69:I70" si="1">$I$30*H69</f>
        <v>15.336572224000001</v>
      </c>
      <c r="J69" s="7"/>
    </row>
    <row r="70" spans="1:10" x14ac:dyDescent="0.2">
      <c r="A70" s="39" t="s">
        <v>14</v>
      </c>
      <c r="B70" s="190" t="s">
        <v>109</v>
      </c>
      <c r="C70" s="190"/>
      <c r="D70" s="190"/>
      <c r="E70" s="190"/>
      <c r="F70" s="190"/>
      <c r="G70" s="190"/>
      <c r="H70" s="80">
        <v>2.5000000000000001E-2</v>
      </c>
      <c r="I70" s="52">
        <f t="shared" si="1"/>
        <v>53.705500000000001</v>
      </c>
      <c r="J70" s="7"/>
    </row>
    <row r="71" spans="1:10" x14ac:dyDescent="0.2">
      <c r="A71" s="182" t="s">
        <v>110</v>
      </c>
      <c r="B71" s="182"/>
      <c r="C71" s="182"/>
      <c r="D71" s="182"/>
      <c r="E71" s="182"/>
      <c r="F71" s="182"/>
      <c r="G71" s="182"/>
      <c r="H71" s="9">
        <f>TRUNC(SUM(H65:H70),4)</f>
        <v>8.1000000000000003E-2</v>
      </c>
      <c r="I71" s="51">
        <f>TRUNC(SUM(I65:I70),2)</f>
        <v>174.16</v>
      </c>
      <c r="J71" s="7"/>
    </row>
    <row r="72" spans="1:10" x14ac:dyDescent="0.2">
      <c r="A72" s="193"/>
      <c r="B72" s="194"/>
      <c r="C72" s="194"/>
      <c r="D72" s="194"/>
      <c r="E72" s="194"/>
      <c r="F72" s="194"/>
      <c r="G72" s="194"/>
      <c r="H72" s="194"/>
      <c r="I72" s="194"/>
      <c r="J72" s="7"/>
    </row>
    <row r="73" spans="1:10" x14ac:dyDescent="0.2">
      <c r="A73" s="188" t="s">
        <v>111</v>
      </c>
      <c r="B73" s="188"/>
      <c r="C73" s="188"/>
      <c r="D73" s="188"/>
      <c r="E73" s="188"/>
      <c r="F73" s="188"/>
      <c r="G73" s="188"/>
      <c r="H73" s="188"/>
      <c r="I73" s="188"/>
      <c r="J73" s="7"/>
    </row>
    <row r="74" spans="1:10" x14ac:dyDescent="0.2">
      <c r="A74" s="182" t="s">
        <v>112</v>
      </c>
      <c r="B74" s="182"/>
      <c r="C74" s="182"/>
      <c r="D74" s="182"/>
      <c r="E74" s="182"/>
      <c r="F74" s="182"/>
      <c r="G74" s="182"/>
      <c r="H74" s="39" t="s">
        <v>3</v>
      </c>
      <c r="I74" s="39" t="s">
        <v>1</v>
      </c>
      <c r="J74" s="7"/>
    </row>
    <row r="75" spans="1:10" x14ac:dyDescent="0.2">
      <c r="A75" s="39" t="s">
        <v>9</v>
      </c>
      <c r="B75" s="183" t="s">
        <v>113</v>
      </c>
      <c r="C75" s="183"/>
      <c r="D75" s="183"/>
      <c r="E75" s="183"/>
      <c r="F75" s="183"/>
      <c r="G75" s="183"/>
      <c r="H75" s="84">
        <v>9.0749999999999997E-2</v>
      </c>
      <c r="I75" s="52">
        <f t="shared" ref="I75:I80" si="2">$I$30*H75</f>
        <v>194.95096499999997</v>
      </c>
      <c r="J75" s="7"/>
    </row>
    <row r="76" spans="1:10" x14ac:dyDescent="0.2">
      <c r="A76" s="47" t="s">
        <v>10</v>
      </c>
      <c r="B76" s="190" t="s">
        <v>114</v>
      </c>
      <c r="C76" s="181"/>
      <c r="D76" s="181"/>
      <c r="E76" s="181"/>
      <c r="F76" s="181"/>
      <c r="G76" s="181"/>
      <c r="H76" s="32">
        <v>7.3000000000000001E-3</v>
      </c>
      <c r="I76" s="49">
        <f t="shared" si="2"/>
        <v>15.682005999999999</v>
      </c>
      <c r="J76" s="7"/>
    </row>
    <row r="77" spans="1:10" x14ac:dyDescent="0.2">
      <c r="A77" s="47" t="s">
        <v>11</v>
      </c>
      <c r="B77" s="181" t="s">
        <v>115</v>
      </c>
      <c r="C77" s="181"/>
      <c r="D77" s="181"/>
      <c r="E77" s="181"/>
      <c r="F77" s="181"/>
      <c r="G77" s="181"/>
      <c r="H77" s="32">
        <v>8.0000000000000004E-4</v>
      </c>
      <c r="I77" s="49">
        <f t="shared" si="2"/>
        <v>1.7185759999999999</v>
      </c>
      <c r="J77" s="7"/>
    </row>
    <row r="78" spans="1:10" x14ac:dyDescent="0.2">
      <c r="A78" s="47" t="s">
        <v>12</v>
      </c>
      <c r="B78" s="190" t="s">
        <v>116</v>
      </c>
      <c r="C78" s="181"/>
      <c r="D78" s="181"/>
      <c r="E78" s="181"/>
      <c r="F78" s="181"/>
      <c r="G78" s="181"/>
      <c r="H78" s="40">
        <v>2.7000000000000001E-3</v>
      </c>
      <c r="I78" s="49">
        <f t="shared" si="2"/>
        <v>5.8001939999999994</v>
      </c>
      <c r="J78" s="7"/>
    </row>
    <row r="79" spans="1:10" x14ac:dyDescent="0.2">
      <c r="A79" s="47" t="s">
        <v>13</v>
      </c>
      <c r="B79" s="177" t="s">
        <v>24</v>
      </c>
      <c r="C79" s="177"/>
      <c r="D79" s="177"/>
      <c r="E79" s="177"/>
      <c r="F79" s="177"/>
      <c r="G79" s="177"/>
      <c r="H79" s="32">
        <v>2.9999999999999997E-4</v>
      </c>
      <c r="I79" s="49">
        <f t="shared" si="2"/>
        <v>0.64446599999999987</v>
      </c>
      <c r="J79" s="7"/>
    </row>
    <row r="80" spans="1:10" x14ac:dyDescent="0.2">
      <c r="A80" s="39" t="s">
        <v>14</v>
      </c>
      <c r="B80" s="181" t="s">
        <v>4</v>
      </c>
      <c r="C80" s="181"/>
      <c r="D80" s="181"/>
      <c r="E80" s="181"/>
      <c r="F80" s="181"/>
      <c r="G80" s="181"/>
      <c r="H80" s="32"/>
      <c r="I80" s="49">
        <f t="shared" si="2"/>
        <v>0</v>
      </c>
      <c r="J80" s="7"/>
    </row>
    <row r="81" spans="1:10" x14ac:dyDescent="0.2">
      <c r="A81" s="193" t="s">
        <v>236</v>
      </c>
      <c r="B81" s="194"/>
      <c r="C81" s="194"/>
      <c r="D81" s="194"/>
      <c r="E81" s="194"/>
      <c r="F81" s="194"/>
      <c r="G81" s="194"/>
      <c r="H81" s="9">
        <f>TRUNC(SUM(H75:H80),4)</f>
        <v>0.1018</v>
      </c>
      <c r="I81" s="270">
        <f>TRUNC(SUM(I75:I80),2)</f>
        <v>218.79</v>
      </c>
      <c r="J81" s="7"/>
    </row>
    <row r="82" spans="1:10" x14ac:dyDescent="0.2">
      <c r="A82" s="95"/>
      <c r="B82" s="271" t="s">
        <v>237</v>
      </c>
      <c r="C82" s="272"/>
      <c r="D82" s="272"/>
      <c r="E82" s="272"/>
      <c r="F82" s="272"/>
      <c r="G82" s="273"/>
      <c r="H82" s="40">
        <f>H81*H47</f>
        <v>3.7462400000000007E-2</v>
      </c>
      <c r="I82" s="49">
        <f>I81*H82</f>
        <v>8.1963984960000005</v>
      </c>
      <c r="J82" s="7"/>
    </row>
    <row r="83" spans="1:10" x14ac:dyDescent="0.2">
      <c r="A83" s="182" t="s">
        <v>21</v>
      </c>
      <c r="B83" s="182"/>
      <c r="C83" s="182"/>
      <c r="D83" s="182"/>
      <c r="E83" s="182"/>
      <c r="F83" s="182"/>
      <c r="G83" s="182"/>
      <c r="H83" s="9"/>
      <c r="I83" s="51">
        <f>TRUNC(SUM(I81:I82),2)</f>
        <v>226.98</v>
      </c>
      <c r="J83" s="7"/>
    </row>
    <row r="84" spans="1:10" x14ac:dyDescent="0.2">
      <c r="A84" s="184"/>
      <c r="B84" s="185"/>
      <c r="C84" s="185"/>
      <c r="D84" s="185"/>
      <c r="E84" s="185"/>
      <c r="F84" s="185"/>
      <c r="G84" s="185"/>
      <c r="H84" s="185"/>
      <c r="I84" s="185"/>
      <c r="J84" s="7"/>
    </row>
    <row r="85" spans="1:10" x14ac:dyDescent="0.2">
      <c r="A85" s="182" t="s">
        <v>117</v>
      </c>
      <c r="B85" s="182"/>
      <c r="C85" s="182"/>
      <c r="D85" s="182"/>
      <c r="E85" s="182"/>
      <c r="F85" s="182"/>
      <c r="G85" s="182"/>
      <c r="H85" s="39" t="s">
        <v>3</v>
      </c>
      <c r="I85" s="39" t="s">
        <v>1</v>
      </c>
      <c r="J85" s="7"/>
    </row>
    <row r="86" spans="1:10" x14ac:dyDescent="0.2">
      <c r="A86" s="39" t="s">
        <v>9</v>
      </c>
      <c r="B86" s="183" t="s">
        <v>118</v>
      </c>
      <c r="C86" s="183"/>
      <c r="D86" s="183"/>
      <c r="E86" s="183"/>
      <c r="F86" s="183"/>
      <c r="G86" s="183"/>
      <c r="H86" s="10">
        <f>I86/(I23+I24)</f>
        <v>0.10885186069590706</v>
      </c>
      <c r="I86" s="69">
        <f xml:space="preserve"> TRUNC( TRUNC( TRUNC(  (I23+I24) / 220,2) + (TRUNC( ((I23+I24) / 220)*0.5,2) )* 1.2,2)*15, 2)</f>
        <v>198.75</v>
      </c>
      <c r="J86" s="7"/>
    </row>
    <row r="87" spans="1:10" x14ac:dyDescent="0.2">
      <c r="A87" s="182" t="s">
        <v>23</v>
      </c>
      <c r="B87" s="182"/>
      <c r="C87" s="182"/>
      <c r="D87" s="182"/>
      <c r="E87" s="182"/>
      <c r="F87" s="182"/>
      <c r="G87" s="182"/>
      <c r="H87" s="9">
        <f>TRUNC(SUM(H86),4)</f>
        <v>0.10879999999999999</v>
      </c>
      <c r="I87" s="78">
        <f>TRUNC(SUM(I86),2)</f>
        <v>198.75</v>
      </c>
      <c r="J87" s="7"/>
    </row>
    <row r="88" spans="1:10" x14ac:dyDescent="0.2">
      <c r="A88" s="191"/>
      <c r="B88" s="192"/>
      <c r="C88" s="192"/>
      <c r="D88" s="192"/>
      <c r="E88" s="192"/>
      <c r="F88" s="192"/>
      <c r="G88" s="192"/>
      <c r="H88" s="192"/>
      <c r="I88" s="192"/>
      <c r="J88" s="7"/>
    </row>
    <row r="89" spans="1:10" x14ac:dyDescent="0.2">
      <c r="A89" s="179" t="s">
        <v>119</v>
      </c>
      <c r="B89" s="179"/>
      <c r="C89" s="179"/>
      <c r="D89" s="179"/>
      <c r="E89" s="179"/>
      <c r="F89" s="179"/>
      <c r="G89" s="179"/>
      <c r="H89" s="179"/>
      <c r="I89" s="179"/>
      <c r="J89" s="7"/>
    </row>
    <row r="90" spans="1:10" x14ac:dyDescent="0.2">
      <c r="A90" s="182" t="s">
        <v>120</v>
      </c>
      <c r="B90" s="182"/>
      <c r="C90" s="182"/>
      <c r="D90" s="182"/>
      <c r="E90" s="182"/>
      <c r="F90" s="182"/>
      <c r="G90" s="182"/>
      <c r="H90" s="182"/>
      <c r="I90" s="39" t="s">
        <v>1</v>
      </c>
      <c r="J90" s="7"/>
    </row>
    <row r="91" spans="1:10" x14ac:dyDescent="0.2">
      <c r="A91" s="39" t="s">
        <v>27</v>
      </c>
      <c r="B91" s="177" t="s">
        <v>114</v>
      </c>
      <c r="C91" s="177"/>
      <c r="D91" s="177"/>
      <c r="E91" s="177"/>
      <c r="F91" s="177"/>
      <c r="G91" s="177"/>
      <c r="H91" s="177"/>
      <c r="I91" s="69">
        <f>I83</f>
        <v>226.98</v>
      </c>
      <c r="J91" s="7"/>
    </row>
    <row r="92" spans="1:10" x14ac:dyDescent="0.2">
      <c r="A92" s="47" t="s">
        <v>28</v>
      </c>
      <c r="B92" s="177" t="s">
        <v>121</v>
      </c>
      <c r="C92" s="177"/>
      <c r="D92" s="177"/>
      <c r="E92" s="177"/>
      <c r="F92" s="177"/>
      <c r="G92" s="177"/>
      <c r="H92" s="177"/>
      <c r="I92" s="71">
        <f>I87</f>
        <v>198.75</v>
      </c>
      <c r="J92" s="7"/>
    </row>
    <row r="93" spans="1:10" x14ac:dyDescent="0.2">
      <c r="A93" s="182" t="s">
        <v>122</v>
      </c>
      <c r="B93" s="182"/>
      <c r="C93" s="182"/>
      <c r="D93" s="182"/>
      <c r="E93" s="182"/>
      <c r="F93" s="182"/>
      <c r="G93" s="182"/>
      <c r="H93" s="182"/>
      <c r="I93" s="72">
        <f>TRUNC(SUM(I91:I92),2)</f>
        <v>425.73</v>
      </c>
      <c r="J93" s="7"/>
    </row>
    <row r="94" spans="1:10" x14ac:dyDescent="0.2">
      <c r="A94" s="186"/>
      <c r="B94" s="187"/>
      <c r="C94" s="187"/>
      <c r="D94" s="187"/>
      <c r="E94" s="187"/>
      <c r="F94" s="187"/>
      <c r="G94" s="187"/>
      <c r="H94" s="187"/>
      <c r="I94" s="187"/>
      <c r="J94" s="7"/>
    </row>
    <row r="95" spans="1:10" x14ac:dyDescent="0.2">
      <c r="A95" s="188" t="s">
        <v>123</v>
      </c>
      <c r="B95" s="188"/>
      <c r="C95" s="188"/>
      <c r="D95" s="188"/>
      <c r="E95" s="188"/>
      <c r="F95" s="188"/>
      <c r="G95" s="188"/>
      <c r="H95" s="188"/>
      <c r="I95" s="188"/>
      <c r="J95" s="7"/>
    </row>
    <row r="96" spans="1:10" x14ac:dyDescent="0.2">
      <c r="A96" s="39">
        <v>5</v>
      </c>
      <c r="B96" s="182" t="s">
        <v>18</v>
      </c>
      <c r="C96" s="182"/>
      <c r="D96" s="182"/>
      <c r="E96" s="182"/>
      <c r="F96" s="182"/>
      <c r="G96" s="182"/>
      <c r="H96" s="39"/>
      <c r="I96" s="39" t="s">
        <v>1</v>
      </c>
      <c r="J96" s="7"/>
    </row>
    <row r="97" spans="1:10" x14ac:dyDescent="0.2">
      <c r="A97" s="39" t="s">
        <v>9</v>
      </c>
      <c r="B97" s="189" t="s">
        <v>124</v>
      </c>
      <c r="C97" s="189"/>
      <c r="D97" s="189"/>
      <c r="E97" s="189"/>
      <c r="F97" s="189"/>
      <c r="G97" s="189"/>
      <c r="H97" s="46" t="s">
        <v>0</v>
      </c>
      <c r="I97" s="69">
        <f>'INSUMOS DIVERSOS'!F33</f>
        <v>42.360000000000007</v>
      </c>
      <c r="J97" s="7"/>
    </row>
    <row r="98" spans="1:10" x14ac:dyDescent="0.2">
      <c r="A98" s="39" t="s">
        <v>10</v>
      </c>
      <c r="B98" s="189" t="s">
        <v>19</v>
      </c>
      <c r="C98" s="189"/>
      <c r="D98" s="189"/>
      <c r="E98" s="189"/>
      <c r="F98" s="189"/>
      <c r="G98" s="189"/>
      <c r="H98" s="46" t="s">
        <v>0</v>
      </c>
      <c r="I98" s="69">
        <f>'INSUMOS DIVERSOS'!F44</f>
        <v>38.18</v>
      </c>
      <c r="J98" s="7"/>
    </row>
    <row r="99" spans="1:10" x14ac:dyDescent="0.2">
      <c r="A99" s="53" t="s">
        <v>11</v>
      </c>
      <c r="B99" s="189" t="s">
        <v>20</v>
      </c>
      <c r="C99" s="189"/>
      <c r="D99" s="189"/>
      <c r="E99" s="189"/>
      <c r="F99" s="189"/>
      <c r="G99" s="189"/>
      <c r="H99" s="46" t="s">
        <v>0</v>
      </c>
      <c r="I99" s="69">
        <f>'INSUMOS DIVERSOS'!F51</f>
        <v>39.340000000000003</v>
      </c>
      <c r="J99" s="7"/>
    </row>
    <row r="100" spans="1:10" x14ac:dyDescent="0.2">
      <c r="A100" s="53" t="s">
        <v>12</v>
      </c>
      <c r="B100" s="195" t="s">
        <v>232</v>
      </c>
      <c r="C100" s="195"/>
      <c r="D100" s="195"/>
      <c r="E100" s="195"/>
      <c r="F100" s="195"/>
      <c r="G100" s="195"/>
      <c r="H100" s="46" t="s">
        <v>0</v>
      </c>
      <c r="I100" s="69">
        <f>'INSUMOS DIVERSOS'!O55</f>
        <v>45.611111111111114</v>
      </c>
      <c r="J100" s="7"/>
    </row>
    <row r="101" spans="1:10" x14ac:dyDescent="0.2">
      <c r="A101" s="93" t="s">
        <v>14</v>
      </c>
      <c r="B101" s="171" t="s">
        <v>233</v>
      </c>
      <c r="C101" s="172"/>
      <c r="D101" s="172"/>
      <c r="E101" s="172"/>
      <c r="F101" s="172"/>
      <c r="G101" s="173"/>
      <c r="H101" s="94" t="s">
        <v>0</v>
      </c>
      <c r="I101" s="69">
        <f>'INSUMOS DIVERSOS'!K28</f>
        <v>12.86</v>
      </c>
      <c r="J101" s="7"/>
    </row>
    <row r="102" spans="1:10" x14ac:dyDescent="0.2">
      <c r="A102" s="182" t="s">
        <v>125</v>
      </c>
      <c r="B102" s="182"/>
      <c r="C102" s="182"/>
      <c r="D102" s="182"/>
      <c r="E102" s="182"/>
      <c r="F102" s="182"/>
      <c r="G102" s="182"/>
      <c r="H102" s="9" t="s">
        <v>0</v>
      </c>
      <c r="I102" s="51">
        <f>TRUNC(SUM(I97:I101),2)</f>
        <v>178.35</v>
      </c>
      <c r="J102" s="7"/>
    </row>
    <row r="103" spans="1:10" x14ac:dyDescent="0.2">
      <c r="A103" s="186"/>
      <c r="B103" s="187"/>
      <c r="C103" s="187"/>
      <c r="D103" s="187"/>
      <c r="E103" s="187"/>
      <c r="F103" s="187"/>
      <c r="G103" s="187"/>
      <c r="H103" s="187"/>
      <c r="I103" s="187"/>
      <c r="J103" s="7"/>
    </row>
    <row r="104" spans="1:10" x14ac:dyDescent="0.2">
      <c r="A104" s="188" t="s">
        <v>126</v>
      </c>
      <c r="B104" s="188"/>
      <c r="C104" s="188"/>
      <c r="D104" s="188"/>
      <c r="E104" s="188"/>
      <c r="F104" s="188"/>
      <c r="G104" s="188"/>
      <c r="H104" s="188"/>
      <c r="I104" s="188"/>
      <c r="J104" s="7"/>
    </row>
    <row r="105" spans="1:10" x14ac:dyDescent="0.2">
      <c r="A105" s="39">
        <v>6</v>
      </c>
      <c r="B105" s="182" t="s">
        <v>26</v>
      </c>
      <c r="C105" s="182"/>
      <c r="D105" s="182"/>
      <c r="E105" s="182"/>
      <c r="F105" s="182"/>
      <c r="G105" s="182"/>
      <c r="H105" s="39" t="s">
        <v>3</v>
      </c>
      <c r="I105" s="39" t="s">
        <v>1</v>
      </c>
      <c r="J105" s="7"/>
    </row>
    <row r="106" spans="1:10" x14ac:dyDescent="0.2">
      <c r="A106" s="39" t="s">
        <v>9</v>
      </c>
      <c r="B106" s="177" t="s">
        <v>29</v>
      </c>
      <c r="C106" s="177"/>
      <c r="D106" s="177"/>
      <c r="E106" s="177"/>
      <c r="F106" s="177"/>
      <c r="G106" s="177"/>
      <c r="H106" s="54">
        <v>0.06</v>
      </c>
      <c r="I106" s="74">
        <f>TRUNC(H106*I121,2)</f>
        <v>257.52</v>
      </c>
      <c r="J106" s="7"/>
    </row>
    <row r="107" spans="1:10" x14ac:dyDescent="0.2">
      <c r="A107" s="47" t="s">
        <v>10</v>
      </c>
      <c r="B107" s="177" t="s">
        <v>5</v>
      </c>
      <c r="C107" s="177"/>
      <c r="D107" s="177"/>
      <c r="E107" s="177"/>
      <c r="F107" s="177"/>
      <c r="G107" s="177"/>
      <c r="H107" s="55">
        <v>6.7900000000000002E-2</v>
      </c>
      <c r="I107" s="74">
        <f>TRUNC(H107*(I106+I121),2)</f>
        <v>308.92</v>
      </c>
      <c r="J107" s="7"/>
    </row>
    <row r="108" spans="1:10" x14ac:dyDescent="0.2">
      <c r="A108" s="39" t="s">
        <v>11</v>
      </c>
      <c r="B108" s="178" t="s">
        <v>146</v>
      </c>
      <c r="C108" s="178"/>
      <c r="D108" s="178"/>
      <c r="E108" s="178"/>
      <c r="F108" s="178"/>
      <c r="G108" s="178"/>
      <c r="H108" s="89">
        <f>(I121+I106+I107) / (1-(H109+H110+H111))</f>
        <v>5318.6535303776682</v>
      </c>
      <c r="I108" s="75"/>
      <c r="J108" s="7"/>
    </row>
    <row r="109" spans="1:10" x14ac:dyDescent="0.2">
      <c r="A109" s="47" t="s">
        <v>64</v>
      </c>
      <c r="B109" s="177" t="s">
        <v>61</v>
      </c>
      <c r="C109" s="177"/>
      <c r="D109" s="177"/>
      <c r="E109" s="177"/>
      <c r="F109" s="177"/>
      <c r="G109" s="177"/>
      <c r="H109" s="37">
        <v>6.4999999999999997E-3</v>
      </c>
      <c r="I109" s="76">
        <f>H108*H109</f>
        <v>34.571247947454843</v>
      </c>
      <c r="J109" s="7"/>
    </row>
    <row r="110" spans="1:10" x14ac:dyDescent="0.2">
      <c r="A110" s="47" t="s">
        <v>65</v>
      </c>
      <c r="B110" s="177" t="s">
        <v>62</v>
      </c>
      <c r="C110" s="177"/>
      <c r="D110" s="177"/>
      <c r="E110" s="177"/>
      <c r="F110" s="177"/>
      <c r="G110" s="177"/>
      <c r="H110" s="36">
        <v>0.03</v>
      </c>
      <c r="I110" s="76">
        <f>H108*H110</f>
        <v>159.55960591133004</v>
      </c>
      <c r="J110" s="7"/>
    </row>
    <row r="111" spans="1:10" x14ac:dyDescent="0.2">
      <c r="A111" s="47" t="s">
        <v>66</v>
      </c>
      <c r="B111" s="177" t="s">
        <v>63</v>
      </c>
      <c r="C111" s="177"/>
      <c r="D111" s="177"/>
      <c r="E111" s="177"/>
      <c r="F111" s="177"/>
      <c r="G111" s="177"/>
      <c r="H111" s="35">
        <v>0.05</v>
      </c>
      <c r="I111" s="76">
        <f>H108*H111</f>
        <v>265.9326765188834</v>
      </c>
      <c r="J111" s="7"/>
    </row>
    <row r="112" spans="1:10" ht="13.5" x14ac:dyDescent="0.25">
      <c r="A112" s="182" t="s">
        <v>127</v>
      </c>
      <c r="B112" s="182"/>
      <c r="C112" s="182"/>
      <c r="D112" s="182"/>
      <c r="E112" s="182"/>
      <c r="F112" s="182"/>
      <c r="G112" s="182"/>
      <c r="H112" s="77"/>
      <c r="I112" s="72">
        <f>TRUNC(SUM(I106:I111),2)</f>
        <v>1026.5</v>
      </c>
      <c r="J112" s="7"/>
    </row>
    <row r="113" spans="1:11" x14ac:dyDescent="0.2">
      <c r="A113" s="12"/>
      <c r="B113" s="12"/>
      <c r="C113" s="12"/>
      <c r="D113" s="12"/>
      <c r="E113" s="12"/>
      <c r="F113" s="12"/>
      <c r="G113" s="12"/>
      <c r="H113" s="12"/>
      <c r="I113" s="13"/>
    </row>
    <row r="114" spans="1:11" x14ac:dyDescent="0.2">
      <c r="A114" s="179" t="s">
        <v>128</v>
      </c>
      <c r="B114" s="179"/>
      <c r="C114" s="179"/>
      <c r="D114" s="179"/>
      <c r="E114" s="179"/>
      <c r="F114" s="179"/>
      <c r="G114" s="179"/>
      <c r="H114" s="179"/>
      <c r="I114" s="179"/>
      <c r="K114" s="41"/>
    </row>
    <row r="115" spans="1:11" x14ac:dyDescent="0.2">
      <c r="A115" s="182" t="s">
        <v>30</v>
      </c>
      <c r="B115" s="182"/>
      <c r="C115" s="182"/>
      <c r="D115" s="182"/>
      <c r="E115" s="182"/>
      <c r="F115" s="182"/>
      <c r="G115" s="182"/>
      <c r="H115" s="182"/>
      <c r="I115" s="39" t="s">
        <v>1</v>
      </c>
    </row>
    <row r="116" spans="1:11" x14ac:dyDescent="0.2">
      <c r="A116" s="45" t="s">
        <v>9</v>
      </c>
      <c r="B116" s="180" t="str">
        <f>A21</f>
        <v>MÓDULO 1 - COMPOSIÇÃO DA REMUNERAÇÃO</v>
      </c>
      <c r="C116" s="180"/>
      <c r="D116" s="180"/>
      <c r="E116" s="180"/>
      <c r="F116" s="180"/>
      <c r="G116" s="180"/>
      <c r="H116" s="180"/>
      <c r="I116" s="74">
        <f>I30</f>
        <v>2148.2199999999998</v>
      </c>
    </row>
    <row r="117" spans="1:11" x14ac:dyDescent="0.2">
      <c r="A117" s="56" t="s">
        <v>10</v>
      </c>
      <c r="B117" s="180" t="str">
        <f>A32</f>
        <v>MÓDULO 2 – ENCARGOS E BENEFÍCIOS ANUAIS, MENSAIS E DIÁRIOS</v>
      </c>
      <c r="C117" s="180"/>
      <c r="D117" s="180"/>
      <c r="E117" s="180"/>
      <c r="F117" s="180"/>
      <c r="G117" s="180"/>
      <c r="H117" s="180"/>
      <c r="I117" s="76">
        <f>I61</f>
        <v>1365.69</v>
      </c>
    </row>
    <row r="118" spans="1:11" x14ac:dyDescent="0.2">
      <c r="A118" s="56" t="s">
        <v>11</v>
      </c>
      <c r="B118" s="180" t="str">
        <f>A63</f>
        <v>MÓDULO 3 – PROVISÃO PARA RESCISÃO</v>
      </c>
      <c r="C118" s="180"/>
      <c r="D118" s="180"/>
      <c r="E118" s="180"/>
      <c r="F118" s="180"/>
      <c r="G118" s="180"/>
      <c r="H118" s="180"/>
      <c r="I118" s="76">
        <f>I71</f>
        <v>174.16</v>
      </c>
      <c r="K118" s="41"/>
    </row>
    <row r="119" spans="1:11" x14ac:dyDescent="0.2">
      <c r="A119" s="57" t="s">
        <v>12</v>
      </c>
      <c r="B119" s="180" t="str">
        <f>A73</f>
        <v>MÓDULO 4 – CUSTO DE REPOSIÇÃO DO PROFISSIONAL AUSENTE</v>
      </c>
      <c r="C119" s="180"/>
      <c r="D119" s="180"/>
      <c r="E119" s="180"/>
      <c r="F119" s="180"/>
      <c r="G119" s="180"/>
      <c r="H119" s="180"/>
      <c r="I119" s="76">
        <f>I93</f>
        <v>425.73</v>
      </c>
      <c r="K119" s="41"/>
    </row>
    <row r="120" spans="1:11" x14ac:dyDescent="0.2">
      <c r="A120" s="58" t="s">
        <v>13</v>
      </c>
      <c r="B120" s="180" t="str">
        <f>A95</f>
        <v>MÓDULO 5 – INSUMOS DIVERSOS</v>
      </c>
      <c r="C120" s="180"/>
      <c r="D120" s="180"/>
      <c r="E120" s="180"/>
      <c r="F120" s="180"/>
      <c r="G120" s="180"/>
      <c r="H120" s="180"/>
      <c r="I120" s="76">
        <f>I102</f>
        <v>178.35</v>
      </c>
    </row>
    <row r="121" spans="1:11" x14ac:dyDescent="0.2">
      <c r="A121" s="47"/>
      <c r="B121" s="182" t="s">
        <v>129</v>
      </c>
      <c r="C121" s="182"/>
      <c r="D121" s="182"/>
      <c r="E121" s="182"/>
      <c r="F121" s="182"/>
      <c r="G121" s="182"/>
      <c r="H121" s="182"/>
      <c r="I121" s="72">
        <f>TRUNC(SUM(I116:I120),2)</f>
        <v>4292.1499999999996</v>
      </c>
      <c r="K121" s="38"/>
    </row>
    <row r="122" spans="1:11" x14ac:dyDescent="0.2">
      <c r="A122" s="57" t="s">
        <v>14</v>
      </c>
      <c r="B122" s="180" t="str">
        <f>A104</f>
        <v>MÓDULO 6 – CUSTOS INDIRETOS, TRIBUTOS E LUCRO</v>
      </c>
      <c r="C122" s="180"/>
      <c r="D122" s="180"/>
      <c r="E122" s="180"/>
      <c r="F122" s="180"/>
      <c r="G122" s="180"/>
      <c r="H122" s="180"/>
      <c r="I122" s="69">
        <f>I112</f>
        <v>1026.5</v>
      </c>
    </row>
    <row r="123" spans="1:11" x14ac:dyDescent="0.2">
      <c r="A123" s="182" t="s">
        <v>130</v>
      </c>
      <c r="B123" s="182"/>
      <c r="C123" s="182"/>
      <c r="D123" s="182"/>
      <c r="E123" s="182"/>
      <c r="F123" s="182"/>
      <c r="G123" s="182"/>
      <c r="H123" s="182"/>
      <c r="I123" s="72">
        <f>TRUNC(SUM(I121:I122),2)</f>
        <v>5318.65</v>
      </c>
    </row>
    <row r="124" spans="1:11" ht="13.5" thickBot="1" x14ac:dyDescent="0.25">
      <c r="I124" s="38"/>
    </row>
    <row r="125" spans="1:11" ht="13.5" hidden="1" thickBot="1" x14ac:dyDescent="0.25">
      <c r="A125" s="12"/>
      <c r="B125" s="212" t="s">
        <v>32</v>
      </c>
      <c r="C125" s="212"/>
      <c r="D125" s="212"/>
      <c r="E125" s="212"/>
      <c r="F125" s="212"/>
      <c r="G125" s="212"/>
      <c r="H125" s="5"/>
      <c r="I125" s="5"/>
    </row>
    <row r="126" spans="1:11" ht="40.5" hidden="1" customHeight="1" thickBot="1" x14ac:dyDescent="0.25">
      <c r="A126" s="219" t="s">
        <v>34</v>
      </c>
      <c r="B126" s="220"/>
      <c r="C126" s="219" t="s">
        <v>35</v>
      </c>
      <c r="D126" s="220"/>
      <c r="E126" s="219" t="s">
        <v>37</v>
      </c>
      <c r="F126" s="220"/>
      <c r="G126" s="28" t="s">
        <v>36</v>
      </c>
      <c r="H126" s="29" t="s">
        <v>33</v>
      </c>
      <c r="I126" s="14" t="s">
        <v>1</v>
      </c>
    </row>
    <row r="127" spans="1:11" hidden="1" x14ac:dyDescent="0.2">
      <c r="A127" s="223" t="s">
        <v>38</v>
      </c>
      <c r="B127" s="224"/>
      <c r="C127" s="231" t="s">
        <v>42</v>
      </c>
      <c r="D127" s="232"/>
      <c r="E127" s="221"/>
      <c r="F127" s="222"/>
      <c r="G127" s="18" t="s">
        <v>42</v>
      </c>
      <c r="H127" s="24"/>
      <c r="I127" s="21">
        <v>0</v>
      </c>
    </row>
    <row r="128" spans="1:11" hidden="1" x14ac:dyDescent="0.2">
      <c r="A128" s="208" t="s">
        <v>39</v>
      </c>
      <c r="B128" s="233"/>
      <c r="C128" s="227" t="s">
        <v>42</v>
      </c>
      <c r="D128" s="228"/>
      <c r="E128" s="229"/>
      <c r="F128" s="230"/>
      <c r="G128" s="8" t="s">
        <v>42</v>
      </c>
      <c r="H128" s="25"/>
      <c r="I128" s="22">
        <v>0</v>
      </c>
    </row>
    <row r="129" spans="1:9" hidden="1" x14ac:dyDescent="0.2">
      <c r="A129" s="208" t="s">
        <v>40</v>
      </c>
      <c r="B129" s="233"/>
      <c r="C129" s="227" t="s">
        <v>42</v>
      </c>
      <c r="D129" s="228"/>
      <c r="E129" s="229"/>
      <c r="F129" s="230"/>
      <c r="G129" s="8" t="s">
        <v>42</v>
      </c>
      <c r="H129" s="25"/>
      <c r="I129" s="22">
        <v>0</v>
      </c>
    </row>
    <row r="130" spans="1:9" hidden="1" x14ac:dyDescent="0.2">
      <c r="A130" s="208" t="s">
        <v>41</v>
      </c>
      <c r="B130" s="233"/>
      <c r="C130" s="227" t="s">
        <v>42</v>
      </c>
      <c r="D130" s="228"/>
      <c r="E130" s="229"/>
      <c r="F130" s="230"/>
      <c r="G130" s="8" t="s">
        <v>42</v>
      </c>
      <c r="H130" s="25"/>
      <c r="I130" s="22">
        <v>0</v>
      </c>
    </row>
    <row r="131" spans="1:9" hidden="1" x14ac:dyDescent="0.2">
      <c r="A131" s="246"/>
      <c r="B131" s="193"/>
      <c r="C131" s="229"/>
      <c r="D131" s="230"/>
      <c r="E131" s="229"/>
      <c r="F131" s="230"/>
      <c r="G131" s="19"/>
      <c r="H131" s="26"/>
      <c r="I131" s="22"/>
    </row>
    <row r="132" spans="1:9" ht="13.5" hidden="1" thickBot="1" x14ac:dyDescent="0.25">
      <c r="A132" s="247"/>
      <c r="B132" s="248"/>
      <c r="C132" s="225"/>
      <c r="D132" s="226"/>
      <c r="E132" s="225"/>
      <c r="F132" s="226"/>
      <c r="G132" s="20"/>
      <c r="H132" s="27"/>
      <c r="I132" s="23"/>
    </row>
    <row r="133" spans="1:9" ht="13.5" hidden="1" thickBot="1" x14ac:dyDescent="0.25">
      <c r="A133" s="243" t="s">
        <v>43</v>
      </c>
      <c r="B133" s="244"/>
      <c r="C133" s="244"/>
      <c r="D133" s="244"/>
      <c r="E133" s="244"/>
      <c r="F133" s="244"/>
      <c r="G133" s="244"/>
      <c r="H133" s="245"/>
      <c r="I133" s="11">
        <f>SUM(I131:I132)</f>
        <v>0</v>
      </c>
    </row>
    <row r="134" spans="1:9" hidden="1" x14ac:dyDescent="0.2"/>
    <row r="135" spans="1:9" ht="13.5" hidden="1" thickBot="1" x14ac:dyDescent="0.25">
      <c r="A135" s="12" t="s">
        <v>44</v>
      </c>
      <c r="B135" s="212" t="s">
        <v>45</v>
      </c>
      <c r="C135" s="212"/>
      <c r="D135" s="212"/>
      <c r="E135" s="212"/>
      <c r="F135" s="212"/>
      <c r="G135" s="212"/>
      <c r="H135" s="5"/>
      <c r="I135" s="5"/>
    </row>
    <row r="136" spans="1:9" ht="13.5" hidden="1" thickBot="1" x14ac:dyDescent="0.25">
      <c r="A136" s="237" t="s">
        <v>46</v>
      </c>
      <c r="B136" s="238"/>
      <c r="C136" s="238"/>
      <c r="D136" s="238"/>
      <c r="E136" s="238"/>
      <c r="F136" s="238"/>
      <c r="G136" s="238"/>
      <c r="H136" s="238"/>
      <c r="I136" s="239"/>
    </row>
    <row r="137" spans="1:9" ht="13.5" hidden="1" thickBot="1" x14ac:dyDescent="0.25">
      <c r="A137" s="30"/>
      <c r="B137" s="240" t="s">
        <v>47</v>
      </c>
      <c r="C137" s="241"/>
      <c r="D137" s="241"/>
      <c r="E137" s="241"/>
      <c r="F137" s="241"/>
      <c r="G137" s="241"/>
      <c r="H137" s="242"/>
      <c r="I137" s="14" t="s">
        <v>1</v>
      </c>
    </row>
    <row r="138" spans="1:9" hidden="1" x14ac:dyDescent="0.2">
      <c r="A138" s="4" t="s">
        <v>9</v>
      </c>
      <c r="B138" s="213" t="s">
        <v>48</v>
      </c>
      <c r="C138" s="214"/>
      <c r="D138" s="214"/>
      <c r="E138" s="214"/>
      <c r="F138" s="214"/>
      <c r="G138" s="214"/>
      <c r="H138" s="215"/>
      <c r="I138" s="17">
        <f>I109</f>
        <v>34.571247947454843</v>
      </c>
    </row>
    <row r="139" spans="1:9" hidden="1" x14ac:dyDescent="0.2">
      <c r="A139" s="15" t="s">
        <v>10</v>
      </c>
      <c r="B139" s="216" t="s">
        <v>49</v>
      </c>
      <c r="C139" s="217"/>
      <c r="D139" s="217"/>
      <c r="E139" s="217"/>
      <c r="F139" s="217"/>
      <c r="G139" s="217"/>
      <c r="H139" s="218"/>
      <c r="I139" s="16" t="e">
        <f>#REF!</f>
        <v>#REF!</v>
      </c>
    </row>
    <row r="140" spans="1:9" ht="13.5" hidden="1" thickBot="1" x14ac:dyDescent="0.25">
      <c r="A140" s="15" t="s">
        <v>11</v>
      </c>
      <c r="B140" s="234" t="s">
        <v>50</v>
      </c>
      <c r="C140" s="235"/>
      <c r="D140" s="235"/>
      <c r="E140" s="235"/>
      <c r="F140" s="235"/>
      <c r="G140" s="235"/>
      <c r="H140" s="236"/>
      <c r="I140" s="16">
        <f>I112</f>
        <v>1026.5</v>
      </c>
    </row>
    <row r="141" spans="1:9" ht="13.5" hidden="1" thickBot="1" x14ac:dyDescent="0.25">
      <c r="A141" s="209" t="s">
        <v>25</v>
      </c>
      <c r="B141" s="210"/>
      <c r="C141" s="210"/>
      <c r="D141" s="210"/>
      <c r="E141" s="210"/>
      <c r="F141" s="210"/>
      <c r="G141" s="210"/>
      <c r="H141" s="211"/>
      <c r="I141" s="11" t="e">
        <f>SUM(I138:I140)</f>
        <v>#REF!</v>
      </c>
    </row>
    <row r="142" spans="1:9" hidden="1" x14ac:dyDescent="0.2">
      <c r="A142" s="31" t="s">
        <v>22</v>
      </c>
      <c r="B142" t="s">
        <v>51</v>
      </c>
    </row>
    <row r="143" spans="1:9" hidden="1" x14ac:dyDescent="0.2"/>
    <row r="144" spans="1:9" hidden="1" x14ac:dyDescent="0.2"/>
    <row r="145" spans="1:9" ht="39" customHeight="1" x14ac:dyDescent="0.2">
      <c r="A145" s="175" t="s">
        <v>138</v>
      </c>
      <c r="B145" s="176"/>
      <c r="C145" s="176"/>
      <c r="D145" s="176"/>
      <c r="E145" s="91" t="s">
        <v>139</v>
      </c>
      <c r="F145" s="91" t="s">
        <v>144</v>
      </c>
      <c r="G145" s="91" t="s">
        <v>140</v>
      </c>
      <c r="H145" s="91" t="s">
        <v>141</v>
      </c>
      <c r="I145" s="88" t="s">
        <v>142</v>
      </c>
    </row>
    <row r="146" spans="1:9" ht="33.75" customHeight="1" x14ac:dyDescent="0.2">
      <c r="A146" s="86" t="s">
        <v>143</v>
      </c>
      <c r="B146" s="174" t="s">
        <v>145</v>
      </c>
      <c r="C146" s="174"/>
      <c r="D146" s="174"/>
      <c r="E146" s="85">
        <f>I123</f>
        <v>5318.65</v>
      </c>
      <c r="F146" s="90">
        <f>E12</f>
        <v>2</v>
      </c>
      <c r="G146" s="85">
        <f>E146*F146</f>
        <v>10637.3</v>
      </c>
      <c r="H146" s="153">
        <v>5</v>
      </c>
      <c r="I146" s="87">
        <f>ROUND(G146*H146,2)</f>
        <v>53186.5</v>
      </c>
    </row>
    <row r="147" spans="1:9" ht="15.75" customHeight="1" thickBot="1" x14ac:dyDescent="0.25">
      <c r="A147" s="169" t="s">
        <v>147</v>
      </c>
      <c r="B147" s="170"/>
      <c r="C147" s="170"/>
      <c r="D147" s="170"/>
      <c r="E147" s="170"/>
      <c r="F147" s="170"/>
      <c r="G147" s="170"/>
      <c r="H147" s="170"/>
      <c r="I147" s="96">
        <f>I146*I8</f>
        <v>638238</v>
      </c>
    </row>
    <row r="149" spans="1:9" x14ac:dyDescent="0.2">
      <c r="A149" s="43"/>
    </row>
    <row r="150" spans="1:9" x14ac:dyDescent="0.2">
      <c r="A150" s="43"/>
    </row>
  </sheetData>
  <mergeCells count="155">
    <mergeCell ref="B125:G125"/>
    <mergeCell ref="B122:H122"/>
    <mergeCell ref="A123:H123"/>
    <mergeCell ref="B109:G109"/>
    <mergeCell ref="B110:G110"/>
    <mergeCell ref="B29:G29"/>
    <mergeCell ref="A30:H30"/>
    <mergeCell ref="B50:G50"/>
    <mergeCell ref="B51:G51"/>
    <mergeCell ref="B52:G52"/>
    <mergeCell ref="B100:G100"/>
    <mergeCell ref="A32:I32"/>
    <mergeCell ref="B98:G98"/>
    <mergeCell ref="B97:G97"/>
    <mergeCell ref="A38:G38"/>
    <mergeCell ref="B39:G39"/>
    <mergeCell ref="B42:G42"/>
    <mergeCell ref="B43:G43"/>
    <mergeCell ref="B45:G45"/>
    <mergeCell ref="B46:G46"/>
    <mergeCell ref="B41:G41"/>
    <mergeCell ref="B44:G44"/>
    <mergeCell ref="A112:G112"/>
    <mergeCell ref="A33:G33"/>
    <mergeCell ref="B140:H140"/>
    <mergeCell ref="A136:I136"/>
    <mergeCell ref="B137:H137"/>
    <mergeCell ref="E128:F128"/>
    <mergeCell ref="E129:F129"/>
    <mergeCell ref="A133:H133"/>
    <mergeCell ref="A130:B130"/>
    <mergeCell ref="A131:B131"/>
    <mergeCell ref="A132:B132"/>
    <mergeCell ref="E130:F130"/>
    <mergeCell ref="A126:B126"/>
    <mergeCell ref="E132:F132"/>
    <mergeCell ref="C130:D130"/>
    <mergeCell ref="C131:D131"/>
    <mergeCell ref="C132:D132"/>
    <mergeCell ref="E131:F131"/>
    <mergeCell ref="C126:D126"/>
    <mergeCell ref="C127:D127"/>
    <mergeCell ref="C128:D128"/>
    <mergeCell ref="C129:D129"/>
    <mergeCell ref="A128:B128"/>
    <mergeCell ref="A129:B129"/>
    <mergeCell ref="A1:I1"/>
    <mergeCell ref="A20:I20"/>
    <mergeCell ref="A2:I2"/>
    <mergeCell ref="A14:I14"/>
    <mergeCell ref="A4:I4"/>
    <mergeCell ref="A12:B12"/>
    <mergeCell ref="A11:B11"/>
    <mergeCell ref="C11:D11"/>
    <mergeCell ref="E11:I11"/>
    <mergeCell ref="A10:I10"/>
    <mergeCell ref="C12:D12"/>
    <mergeCell ref="E12:I12"/>
    <mergeCell ref="B5:H5"/>
    <mergeCell ref="B6:H6"/>
    <mergeCell ref="B7:H7"/>
    <mergeCell ref="B8:H8"/>
    <mergeCell ref="B15:H15"/>
    <mergeCell ref="B16:H16"/>
    <mergeCell ref="B17:H17"/>
    <mergeCell ref="B18:H18"/>
    <mergeCell ref="B19:H19"/>
    <mergeCell ref="A21:I21"/>
    <mergeCell ref="B22:G22"/>
    <mergeCell ref="B23:G23"/>
    <mergeCell ref="B28:G28"/>
    <mergeCell ref="B27:G27"/>
    <mergeCell ref="B26:G26"/>
    <mergeCell ref="B24:G24"/>
    <mergeCell ref="B25:G25"/>
    <mergeCell ref="A47:G47"/>
    <mergeCell ref="A37:I37"/>
    <mergeCell ref="B40:G40"/>
    <mergeCell ref="B34:G34"/>
    <mergeCell ref="B35:G35"/>
    <mergeCell ref="A36:G36"/>
    <mergeCell ref="B53:G53"/>
    <mergeCell ref="A54:H54"/>
    <mergeCell ref="A55:I55"/>
    <mergeCell ref="A56:I56"/>
    <mergeCell ref="A48:I48"/>
    <mergeCell ref="A49:G49"/>
    <mergeCell ref="B75:G75"/>
    <mergeCell ref="B76:G76"/>
    <mergeCell ref="B77:G77"/>
    <mergeCell ref="A88:I88"/>
    <mergeCell ref="A73:I73"/>
    <mergeCell ref="A74:G74"/>
    <mergeCell ref="A57:H57"/>
    <mergeCell ref="B58:H58"/>
    <mergeCell ref="B59:H59"/>
    <mergeCell ref="B78:G78"/>
    <mergeCell ref="B60:H60"/>
    <mergeCell ref="A61:H61"/>
    <mergeCell ref="A71:G71"/>
    <mergeCell ref="A87:G87"/>
    <mergeCell ref="A72:I72"/>
    <mergeCell ref="A62:I62"/>
    <mergeCell ref="A63:I63"/>
    <mergeCell ref="B64:G64"/>
    <mergeCell ref="B65:G65"/>
    <mergeCell ref="B66:G66"/>
    <mergeCell ref="B67:G67"/>
    <mergeCell ref="B68:G68"/>
    <mergeCell ref="B69:G69"/>
    <mergeCell ref="B70:G70"/>
    <mergeCell ref="B79:G79"/>
    <mergeCell ref="A83:G83"/>
    <mergeCell ref="A85:G85"/>
    <mergeCell ref="B86:G86"/>
    <mergeCell ref="A84:I84"/>
    <mergeCell ref="A102:G102"/>
    <mergeCell ref="A103:I103"/>
    <mergeCell ref="A104:I104"/>
    <mergeCell ref="B105:G105"/>
    <mergeCell ref="B96:G96"/>
    <mergeCell ref="B99:G99"/>
    <mergeCell ref="A94:I94"/>
    <mergeCell ref="A95:I95"/>
    <mergeCell ref="A90:H90"/>
    <mergeCell ref="B91:H91"/>
    <mergeCell ref="B92:H92"/>
    <mergeCell ref="A93:H93"/>
    <mergeCell ref="A89:I89"/>
    <mergeCell ref="A81:G81"/>
    <mergeCell ref="B82:G82"/>
    <mergeCell ref="A147:H147"/>
    <mergeCell ref="B101:G101"/>
    <mergeCell ref="B146:D146"/>
    <mergeCell ref="A145:D145"/>
    <mergeCell ref="B107:G107"/>
    <mergeCell ref="B108:G108"/>
    <mergeCell ref="A114:I114"/>
    <mergeCell ref="B119:H119"/>
    <mergeCell ref="B80:G80"/>
    <mergeCell ref="B106:G106"/>
    <mergeCell ref="A141:H141"/>
    <mergeCell ref="B135:G135"/>
    <mergeCell ref="B138:H138"/>
    <mergeCell ref="B139:H139"/>
    <mergeCell ref="E126:F126"/>
    <mergeCell ref="E127:F127"/>
    <mergeCell ref="A127:B127"/>
    <mergeCell ref="B111:G111"/>
    <mergeCell ref="A115:H115"/>
    <mergeCell ref="B120:H120"/>
    <mergeCell ref="B121:H121"/>
    <mergeCell ref="B116:H116"/>
    <mergeCell ref="B117:H117"/>
    <mergeCell ref="B118:H118"/>
  </mergeCells>
  <phoneticPr fontId="4" type="noConversion"/>
  <pageMargins left="0.39370078740157483" right="0.19685039370078741" top="0.59055118110236227" bottom="0.39370078740157483" header="0.15748031496062992" footer="0.15748031496062992"/>
  <pageSetup paperSize="9" scale="80" firstPageNumber="0" orientation="portrait" horizontalDpi="300" verticalDpi="300" r:id="rId1"/>
  <headerFooter alignWithMargins="0"/>
  <ignoredErrors>
    <ignoredError sqref="I66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75"/>
  <sheetViews>
    <sheetView view="pageBreakPreview" topLeftCell="A18" zoomScaleSheetLayoutView="100" workbookViewId="0">
      <selection activeCell="H49" sqref="H49"/>
    </sheetView>
  </sheetViews>
  <sheetFormatPr defaultRowHeight="12.75" x14ac:dyDescent="0.2"/>
  <cols>
    <col min="1" max="1" width="26.28515625" style="98" customWidth="1"/>
    <col min="2" max="2" width="9.140625" style="98"/>
    <col min="3" max="3" width="10.140625" style="98" customWidth="1"/>
    <col min="4" max="4" width="12.28515625" style="98" customWidth="1"/>
    <col min="5" max="5" width="11.42578125" style="98" customWidth="1"/>
    <col min="6" max="6" width="9.140625" style="98"/>
    <col min="7" max="7" width="3.7109375" style="98" customWidth="1"/>
    <col min="8" max="8" width="17.42578125" style="98" customWidth="1"/>
    <col min="9" max="9" width="9.140625" style="98"/>
    <col min="10" max="10" width="15.140625" style="98" customWidth="1"/>
    <col min="11" max="11" width="10.140625" style="98" bestFit="1" customWidth="1"/>
    <col min="12" max="12" width="16.5703125" style="98" customWidth="1"/>
    <col min="13" max="13" width="9.140625" style="98"/>
    <col min="14" max="14" width="10" style="98" customWidth="1"/>
    <col min="15" max="15" width="9.85546875" style="98" customWidth="1"/>
    <col min="16" max="16" width="9.140625" style="98" customWidth="1"/>
    <col min="17" max="17" width="10.140625" style="98" customWidth="1"/>
    <col min="18" max="18" width="13.85546875" style="98" customWidth="1"/>
    <col min="19" max="19" width="12.85546875" style="98" customWidth="1"/>
    <col min="20" max="20" width="10.5703125" style="98" customWidth="1"/>
    <col min="21" max="16384" width="9.140625" style="98"/>
  </cols>
  <sheetData>
    <row r="1" spans="1:5" ht="18" hidden="1" customHeight="1" x14ac:dyDescent="0.2">
      <c r="A1" s="99" t="s">
        <v>150</v>
      </c>
      <c r="B1" s="100"/>
      <c r="C1" s="101" t="e">
        <f>IF(#REF!=1,K1,IF(#REF!=2,K2,IF(#REF!=3,K3,IF(#REF!=4,K4,1))))</f>
        <v>#REF!</v>
      </c>
      <c r="D1" s="102" t="s">
        <v>151</v>
      </c>
      <c r="E1" s="103"/>
    </row>
    <row r="2" spans="1:5" ht="18" hidden="1" customHeight="1" x14ac:dyDescent="0.2">
      <c r="A2" s="104"/>
      <c r="B2" s="105"/>
      <c r="C2" s="106"/>
      <c r="D2" s="107"/>
      <c r="E2" s="108"/>
    </row>
    <row r="3" spans="1:5" ht="18" hidden="1" customHeight="1" x14ac:dyDescent="0.2">
      <c r="A3" s="104" t="s">
        <v>152</v>
      </c>
      <c r="B3" s="109">
        <v>0.05</v>
      </c>
      <c r="C3" s="106"/>
      <c r="D3" s="107" t="s">
        <v>152</v>
      </c>
      <c r="E3" s="110">
        <v>0.05</v>
      </c>
    </row>
    <row r="4" spans="1:5" ht="18" hidden="1" customHeight="1" x14ac:dyDescent="0.2">
      <c r="A4" s="104" t="s">
        <v>153</v>
      </c>
      <c r="B4" s="109">
        <v>0.04</v>
      </c>
      <c r="C4" s="106"/>
      <c r="D4" s="107" t="s">
        <v>153</v>
      </c>
      <c r="E4" s="110">
        <v>0.05</v>
      </c>
    </row>
    <row r="5" spans="1:5" ht="18" hidden="1" customHeight="1" x14ac:dyDescent="0.2">
      <c r="A5" s="104" t="s">
        <v>63</v>
      </c>
      <c r="B5" s="109">
        <v>0.02</v>
      </c>
      <c r="C5" s="106"/>
      <c r="D5" s="107" t="s">
        <v>63</v>
      </c>
      <c r="E5" s="110">
        <v>0.05</v>
      </c>
    </row>
    <row r="6" spans="1:5" ht="18" hidden="1" customHeight="1" x14ac:dyDescent="0.2">
      <c r="A6" s="104" t="s">
        <v>61</v>
      </c>
      <c r="B6" s="109">
        <v>6.4999999999999997E-3</v>
      </c>
      <c r="C6" s="106"/>
      <c r="D6" s="107" t="s">
        <v>61</v>
      </c>
      <c r="E6" s="110">
        <v>1.6500000000000001E-2</v>
      </c>
    </row>
    <row r="7" spans="1:5" ht="18" hidden="1" customHeight="1" x14ac:dyDescent="0.2">
      <c r="A7" s="111" t="s">
        <v>62</v>
      </c>
      <c r="B7" s="109">
        <v>0.03</v>
      </c>
      <c r="C7" s="106"/>
      <c r="D7" s="107" t="s">
        <v>62</v>
      </c>
      <c r="E7" s="110">
        <v>7.5999999999999998E-2</v>
      </c>
    </row>
    <row r="8" spans="1:5" ht="18" hidden="1" customHeight="1" x14ac:dyDescent="0.2">
      <c r="A8" s="111" t="s">
        <v>154</v>
      </c>
      <c r="B8" s="109">
        <f>ROUND((B4*0.09),4)</f>
        <v>3.5999999999999999E-3</v>
      </c>
      <c r="C8" s="106"/>
      <c r="D8" s="107" t="s">
        <v>154</v>
      </c>
      <c r="E8" s="110">
        <f>E4*0.09</f>
        <v>4.4999999999999997E-3</v>
      </c>
    </row>
    <row r="9" spans="1:5" ht="18" hidden="1" customHeight="1" thickBot="1" x14ac:dyDescent="0.25">
      <c r="A9" s="112" t="s">
        <v>155</v>
      </c>
      <c r="B9" s="113">
        <f>ROUND((B4*0.25),4)</f>
        <v>0.01</v>
      </c>
      <c r="C9" s="106"/>
      <c r="D9" s="114" t="s">
        <v>155</v>
      </c>
      <c r="E9" s="115">
        <f>E4*0.2</f>
        <v>1.0000000000000002E-2</v>
      </c>
    </row>
    <row r="10" spans="1:5" ht="15.95" hidden="1" customHeight="1" x14ac:dyDescent="0.2">
      <c r="B10" s="116">
        <f>SUM(B3:B9)</f>
        <v>0.16010000000000002</v>
      </c>
      <c r="C10" s="106"/>
      <c r="D10" s="106"/>
      <c r="E10" s="117">
        <f>SUM(E3:E9)</f>
        <v>0.25700000000000006</v>
      </c>
    </row>
    <row r="11" spans="1:5" ht="15.95" hidden="1" customHeight="1" x14ac:dyDescent="0.2">
      <c r="C11" s="106"/>
      <c r="D11" s="106"/>
      <c r="E11" s="106"/>
    </row>
    <row r="12" spans="1:5" ht="15.95" hidden="1" customHeight="1" x14ac:dyDescent="0.2">
      <c r="A12" s="118" t="s">
        <v>156</v>
      </c>
      <c r="B12" s="119"/>
      <c r="C12" s="120"/>
      <c r="D12" s="120"/>
      <c r="E12" s="121">
        <f>ROUND((50400/303),2)</f>
        <v>166.34</v>
      </c>
    </row>
    <row r="13" spans="1:5" ht="15.95" hidden="1" customHeight="1" x14ac:dyDescent="0.2">
      <c r="A13" s="118" t="s">
        <v>157</v>
      </c>
      <c r="B13" s="119"/>
      <c r="C13" s="120"/>
      <c r="D13" s="120"/>
      <c r="E13" s="121" t="e">
        <f>13*$C$1</f>
        <v>#REF!</v>
      </c>
    </row>
    <row r="14" spans="1:5" ht="15.95" hidden="1" customHeight="1" x14ac:dyDescent="0.2">
      <c r="A14" s="118" t="s">
        <v>158</v>
      </c>
      <c r="B14" s="122">
        <f>14.75*0.8</f>
        <v>11.8</v>
      </c>
      <c r="C14" s="120"/>
      <c r="D14" s="120"/>
      <c r="E14" s="121">
        <f>6.02*0.8</f>
        <v>4.8159999999999998</v>
      </c>
    </row>
    <row r="15" spans="1:5" ht="15.95" hidden="1" customHeight="1" x14ac:dyDescent="0.2">
      <c r="A15" s="118" t="s">
        <v>159</v>
      </c>
      <c r="B15" s="122"/>
      <c r="C15" s="120"/>
      <c r="D15" s="120"/>
      <c r="E15" s="121">
        <v>34.18</v>
      </c>
    </row>
    <row r="16" spans="1:5" ht="15.95" hidden="1" customHeight="1" x14ac:dyDescent="0.2">
      <c r="A16" s="118" t="s">
        <v>160</v>
      </c>
      <c r="B16" s="122"/>
      <c r="C16" s="120"/>
      <c r="D16" s="120"/>
      <c r="E16" s="121">
        <v>100</v>
      </c>
    </row>
    <row r="17" spans="1:21" ht="15.95" hidden="1" customHeight="1" x14ac:dyDescent="0.2">
      <c r="A17" s="118" t="s">
        <v>161</v>
      </c>
      <c r="B17" s="119"/>
      <c r="C17" s="120"/>
      <c r="D17" s="120"/>
      <c r="E17" s="121" t="e">
        <f>13*$C$1</f>
        <v>#REF!</v>
      </c>
    </row>
    <row r="18" spans="1:21" x14ac:dyDescent="0.2">
      <c r="A18" s="267" t="s">
        <v>235</v>
      </c>
      <c r="B18" s="267"/>
      <c r="C18" s="267"/>
      <c r="D18" s="267"/>
      <c r="E18" s="267"/>
      <c r="F18" s="267"/>
      <c r="H18" s="267" t="s">
        <v>163</v>
      </c>
      <c r="I18" s="267"/>
      <c r="J18" s="267"/>
      <c r="K18" s="267"/>
    </row>
    <row r="19" spans="1:21" ht="25.5" x14ac:dyDescent="0.2">
      <c r="A19" s="123" t="s">
        <v>47</v>
      </c>
      <c r="B19" s="124" t="s">
        <v>164</v>
      </c>
      <c r="C19" s="124" t="s">
        <v>165</v>
      </c>
      <c r="D19" s="124" t="s">
        <v>166</v>
      </c>
      <c r="E19" s="125" t="s">
        <v>167</v>
      </c>
      <c r="F19" s="126" t="s">
        <v>168</v>
      </c>
      <c r="H19" s="123" t="s">
        <v>47</v>
      </c>
      <c r="I19" s="126" t="s">
        <v>169</v>
      </c>
      <c r="J19" s="126" t="s">
        <v>170</v>
      </c>
      <c r="K19" s="123" t="s">
        <v>162</v>
      </c>
    </row>
    <row r="20" spans="1:21" x14ac:dyDescent="0.2">
      <c r="A20" s="127" t="s">
        <v>171</v>
      </c>
      <c r="B20" s="128">
        <v>41.771697817500133</v>
      </c>
      <c r="C20" s="124">
        <v>2</v>
      </c>
      <c r="D20" s="128">
        <f>B20*C20</f>
        <v>83.543395635000266</v>
      </c>
      <c r="E20" s="124">
        <v>6</v>
      </c>
      <c r="F20" s="128">
        <f>ROUND((D20/E20),2)</f>
        <v>13.92</v>
      </c>
      <c r="H20" s="129" t="s">
        <v>172</v>
      </c>
      <c r="I20" s="127"/>
      <c r="J20" s="127">
        <v>0</v>
      </c>
      <c r="K20" s="128">
        <f>I20*J20</f>
        <v>0</v>
      </c>
    </row>
    <row r="21" spans="1:21" x14ac:dyDescent="0.2">
      <c r="A21" s="127" t="s">
        <v>173</v>
      </c>
      <c r="B21" s="128">
        <v>40.716000000000008</v>
      </c>
      <c r="C21" s="124">
        <v>2</v>
      </c>
      <c r="D21" s="128">
        <f t="shared" ref="D21:D32" si="0">ROUND((B21*C21),2)</f>
        <v>81.430000000000007</v>
      </c>
      <c r="E21" s="124">
        <v>6</v>
      </c>
      <c r="F21" s="128">
        <f t="shared" ref="F21:F32" si="1">ROUND((D21/E21),2)</f>
        <v>13.57</v>
      </c>
      <c r="H21" s="129" t="s">
        <v>174</v>
      </c>
      <c r="I21" s="128">
        <v>190</v>
      </c>
      <c r="J21" s="127">
        <v>1</v>
      </c>
      <c r="K21" s="128">
        <f>I21*J21</f>
        <v>190</v>
      </c>
    </row>
    <row r="22" spans="1:21" x14ac:dyDescent="0.2">
      <c r="A22" s="127" t="s">
        <v>175</v>
      </c>
      <c r="B22" s="128">
        <v>11</v>
      </c>
      <c r="C22" s="124">
        <v>1</v>
      </c>
      <c r="D22" s="128">
        <f t="shared" si="0"/>
        <v>11</v>
      </c>
      <c r="E22" s="124">
        <v>12</v>
      </c>
      <c r="F22" s="128">
        <f t="shared" si="1"/>
        <v>0.92</v>
      </c>
      <c r="H22" s="129" t="s">
        <v>176</v>
      </c>
      <c r="I22" s="128"/>
      <c r="J22" s="127">
        <v>50</v>
      </c>
      <c r="K22" s="128">
        <f>J22*I22</f>
        <v>0</v>
      </c>
    </row>
    <row r="23" spans="1:21" x14ac:dyDescent="0.2">
      <c r="A23" s="127" t="s">
        <v>177</v>
      </c>
      <c r="B23" s="128">
        <v>8.56</v>
      </c>
      <c r="C23" s="124">
        <v>1</v>
      </c>
      <c r="D23" s="128">
        <f t="shared" si="0"/>
        <v>8.56</v>
      </c>
      <c r="E23" s="124">
        <v>12</v>
      </c>
      <c r="F23" s="128">
        <f t="shared" si="1"/>
        <v>0.71</v>
      </c>
      <c r="H23" s="129" t="s">
        <v>178</v>
      </c>
      <c r="I23" s="127"/>
      <c r="J23" s="130">
        <f>80%</f>
        <v>0.8</v>
      </c>
      <c r="K23" s="128">
        <f>J23*K22</f>
        <v>0</v>
      </c>
    </row>
    <row r="24" spans="1:21" x14ac:dyDescent="0.2">
      <c r="A24" s="129" t="s">
        <v>179</v>
      </c>
      <c r="B24" s="128">
        <v>48.2</v>
      </c>
      <c r="C24" s="124">
        <v>2</v>
      </c>
      <c r="D24" s="128">
        <f t="shared" si="0"/>
        <v>96.4</v>
      </c>
      <c r="E24" s="124">
        <v>12</v>
      </c>
      <c r="F24" s="128">
        <f t="shared" si="1"/>
        <v>8.0299999999999994</v>
      </c>
      <c r="H24" s="129" t="s">
        <v>180</v>
      </c>
      <c r="I24" s="131"/>
      <c r="J24" s="127"/>
      <c r="K24" s="128">
        <v>44.77</v>
      </c>
    </row>
    <row r="25" spans="1:21" x14ac:dyDescent="0.2">
      <c r="A25" s="129" t="s">
        <v>181</v>
      </c>
      <c r="B25" s="128">
        <v>7.5</v>
      </c>
      <c r="C25" s="124">
        <v>1</v>
      </c>
      <c r="D25" s="128">
        <f t="shared" si="0"/>
        <v>7.5</v>
      </c>
      <c r="E25" s="124">
        <v>12</v>
      </c>
      <c r="F25" s="128">
        <f t="shared" si="1"/>
        <v>0.63</v>
      </c>
      <c r="H25" s="129" t="s">
        <v>182</v>
      </c>
      <c r="I25" s="128">
        <v>14.75</v>
      </c>
      <c r="J25" s="127">
        <v>5</v>
      </c>
      <c r="K25" s="128">
        <f>J25*I25</f>
        <v>73.75</v>
      </c>
    </row>
    <row r="26" spans="1:21" x14ac:dyDescent="0.2">
      <c r="A26" s="129" t="s">
        <v>183</v>
      </c>
      <c r="B26" s="128">
        <v>7</v>
      </c>
      <c r="C26" s="124">
        <v>1</v>
      </c>
      <c r="D26" s="128">
        <f t="shared" si="0"/>
        <v>7</v>
      </c>
      <c r="E26" s="124">
        <v>12</v>
      </c>
      <c r="F26" s="128">
        <f t="shared" si="1"/>
        <v>0.57999999999999996</v>
      </c>
      <c r="H26" s="268" t="s">
        <v>162</v>
      </c>
      <c r="I26" s="268"/>
      <c r="J26" s="268"/>
      <c r="K26" s="154">
        <f>SUM(K20:K25)</f>
        <v>308.52</v>
      </c>
    </row>
    <row r="27" spans="1:21" x14ac:dyDescent="0.2">
      <c r="A27" s="129" t="s">
        <v>184</v>
      </c>
      <c r="B27" s="128">
        <v>8</v>
      </c>
      <c r="C27" s="124">
        <v>1</v>
      </c>
      <c r="D27" s="128">
        <f t="shared" si="0"/>
        <v>8</v>
      </c>
      <c r="E27" s="124">
        <v>12</v>
      </c>
      <c r="F27" s="128">
        <f t="shared" si="1"/>
        <v>0.67</v>
      </c>
      <c r="H27" s="269" t="s">
        <v>185</v>
      </c>
      <c r="I27" s="269"/>
      <c r="J27" s="269"/>
      <c r="K27" s="132">
        <v>24</v>
      </c>
    </row>
    <row r="28" spans="1:21" x14ac:dyDescent="0.2">
      <c r="A28" s="129" t="s">
        <v>186</v>
      </c>
      <c r="B28" s="128">
        <v>7.5</v>
      </c>
      <c r="C28" s="124">
        <v>2</v>
      </c>
      <c r="D28" s="128">
        <f t="shared" si="0"/>
        <v>15</v>
      </c>
      <c r="E28" s="124">
        <v>6</v>
      </c>
      <c r="F28" s="128">
        <f t="shared" si="1"/>
        <v>2.5</v>
      </c>
      <c r="H28" s="263" t="s">
        <v>187</v>
      </c>
      <c r="I28" s="263"/>
      <c r="J28" s="263"/>
      <c r="K28" s="155">
        <f>ROUND((K26/K27),2)</f>
        <v>12.86</v>
      </c>
    </row>
    <row r="29" spans="1:21" x14ac:dyDescent="0.2">
      <c r="A29" s="129" t="s">
        <v>188</v>
      </c>
      <c r="B29" s="128">
        <v>3</v>
      </c>
      <c r="C29" s="124">
        <v>1</v>
      </c>
      <c r="D29" s="128">
        <f t="shared" si="0"/>
        <v>3</v>
      </c>
      <c r="E29" s="124">
        <v>12</v>
      </c>
      <c r="F29" s="128">
        <f t="shared" si="1"/>
        <v>0.25</v>
      </c>
    </row>
    <row r="30" spans="1:21" x14ac:dyDescent="0.2">
      <c r="A30" s="129" t="s">
        <v>189</v>
      </c>
      <c r="B30" s="128">
        <v>7</v>
      </c>
      <c r="C30" s="124">
        <v>1</v>
      </c>
      <c r="D30" s="128">
        <f t="shared" si="0"/>
        <v>7</v>
      </c>
      <c r="E30" s="124">
        <v>12</v>
      </c>
      <c r="F30" s="128">
        <f t="shared" si="1"/>
        <v>0.57999999999999996</v>
      </c>
      <c r="H30" s="257" t="s">
        <v>203</v>
      </c>
      <c r="I30" s="258"/>
      <c r="J30" s="257" t="s">
        <v>204</v>
      </c>
      <c r="K30" s="258"/>
      <c r="L30" s="258"/>
      <c r="M30" s="258"/>
      <c r="N30" s="258"/>
      <c r="O30" s="259"/>
    </row>
    <row r="31" spans="1:21" x14ac:dyDescent="0.2">
      <c r="A31" s="129" t="s">
        <v>190</v>
      </c>
      <c r="B31" s="128">
        <v>12</v>
      </c>
      <c r="C31" s="124">
        <v>2</v>
      </c>
      <c r="D31" s="128">
        <f t="shared" si="0"/>
        <v>24</v>
      </c>
      <c r="E31" s="124">
        <v>12</v>
      </c>
      <c r="F31" s="128">
        <f t="shared" si="1"/>
        <v>2</v>
      </c>
      <c r="H31" s="157" t="s">
        <v>206</v>
      </c>
      <c r="I31" s="156" t="s">
        <v>42</v>
      </c>
      <c r="J31" s="257" t="s">
        <v>207</v>
      </c>
      <c r="K31" s="259"/>
      <c r="L31" s="257" t="s">
        <v>208</v>
      </c>
      <c r="M31" s="259"/>
      <c r="N31" s="157" t="s">
        <v>209</v>
      </c>
      <c r="O31" s="158"/>
      <c r="P31" s="133"/>
      <c r="Q31" s="133"/>
      <c r="R31" s="133"/>
      <c r="S31" s="133"/>
      <c r="T31" s="133"/>
      <c r="U31" s="133"/>
    </row>
    <row r="32" spans="1:21" x14ac:dyDescent="0.2">
      <c r="A32" s="129" t="s">
        <v>191</v>
      </c>
      <c r="B32" s="128">
        <v>39</v>
      </c>
      <c r="C32" s="124">
        <v>1</v>
      </c>
      <c r="D32" s="128">
        <f t="shared" si="0"/>
        <v>39</v>
      </c>
      <c r="E32" s="124">
        <v>6</v>
      </c>
      <c r="F32" s="128">
        <f t="shared" si="1"/>
        <v>6.5</v>
      </c>
      <c r="H32" s="138" t="s">
        <v>210</v>
      </c>
      <c r="I32" s="139">
        <v>232</v>
      </c>
      <c r="J32" s="140" t="s">
        <v>211</v>
      </c>
      <c r="K32" s="140"/>
      <c r="L32" s="254" t="s">
        <v>212</v>
      </c>
      <c r="M32" s="255"/>
      <c r="N32" s="141"/>
      <c r="O32" s="141">
        <v>25</v>
      </c>
      <c r="P32" s="134"/>
      <c r="Q32" s="134"/>
      <c r="R32" s="134"/>
      <c r="S32" s="134"/>
      <c r="T32" s="134"/>
      <c r="U32" s="134"/>
    </row>
    <row r="33" spans="1:21" x14ac:dyDescent="0.2">
      <c r="A33" s="264" t="s">
        <v>192</v>
      </c>
      <c r="B33" s="265"/>
      <c r="C33" s="265"/>
      <c r="D33" s="265"/>
      <c r="E33" s="266"/>
      <c r="F33" s="155">
        <f>SUM(F20:F30)</f>
        <v>42.360000000000007</v>
      </c>
      <c r="H33" s="142" t="s">
        <v>213</v>
      </c>
      <c r="I33" s="143">
        <v>232</v>
      </c>
      <c r="J33" s="252" t="s">
        <v>210</v>
      </c>
      <c r="K33" s="253"/>
      <c r="L33" s="252" t="s">
        <v>214</v>
      </c>
      <c r="M33" s="253"/>
      <c r="N33" s="159"/>
      <c r="O33" s="159">
        <f>SUM(N34:N41)</f>
        <v>232</v>
      </c>
    </row>
    <row r="34" spans="1:21" x14ac:dyDescent="0.2">
      <c r="H34" s="142" t="s">
        <v>215</v>
      </c>
      <c r="I34" s="143">
        <v>25</v>
      </c>
      <c r="J34" s="144" t="s">
        <v>216</v>
      </c>
      <c r="K34" s="144"/>
      <c r="L34" s="254"/>
      <c r="M34" s="255"/>
      <c r="N34" s="141">
        <v>50</v>
      </c>
      <c r="O34" s="141"/>
    </row>
    <row r="35" spans="1:21" x14ac:dyDescent="0.2">
      <c r="A35" s="260" t="s">
        <v>193</v>
      </c>
      <c r="B35" s="261"/>
      <c r="C35" s="261"/>
      <c r="D35" s="261"/>
      <c r="E35" s="261"/>
      <c r="F35" s="262"/>
      <c r="H35" s="142" t="s">
        <v>217</v>
      </c>
      <c r="I35" s="143">
        <v>12.5</v>
      </c>
      <c r="J35" s="145" t="s">
        <v>218</v>
      </c>
      <c r="K35" s="146"/>
      <c r="L35" s="256"/>
      <c r="M35" s="255"/>
      <c r="N35" s="141">
        <v>9.5</v>
      </c>
      <c r="O35" s="141"/>
    </row>
    <row r="36" spans="1:21" ht="25.5" x14ac:dyDescent="0.2">
      <c r="A36" s="123" t="s">
        <v>47</v>
      </c>
      <c r="B36" s="124" t="s">
        <v>164</v>
      </c>
      <c r="C36" s="124" t="s">
        <v>165</v>
      </c>
      <c r="D36" s="124" t="s">
        <v>166</v>
      </c>
      <c r="E36" s="125" t="s">
        <v>167</v>
      </c>
      <c r="F36" s="126" t="s">
        <v>168</v>
      </c>
      <c r="H36" s="142" t="s">
        <v>219</v>
      </c>
      <c r="I36" s="143">
        <v>37.5</v>
      </c>
      <c r="J36" s="147" t="s">
        <v>220</v>
      </c>
      <c r="K36" s="148"/>
      <c r="L36" s="256"/>
      <c r="M36" s="255"/>
      <c r="N36" s="141">
        <v>5.5</v>
      </c>
      <c r="O36" s="141"/>
    </row>
    <row r="37" spans="1:21" x14ac:dyDescent="0.2">
      <c r="A37" s="127" t="s">
        <v>194</v>
      </c>
      <c r="B37" s="128">
        <v>494</v>
      </c>
      <c r="C37" s="124">
        <v>1</v>
      </c>
      <c r="D37" s="128">
        <f t="shared" ref="D37:D43" si="2">ROUND((B37*C37),2)</f>
        <v>494</v>
      </c>
      <c r="E37" s="124">
        <v>60</v>
      </c>
      <c r="F37" s="128">
        <f t="shared" ref="F37:F43" si="3">ROUND((D37/E37),2)</f>
        <v>8.23</v>
      </c>
      <c r="H37" s="142" t="s">
        <v>221</v>
      </c>
      <c r="I37" s="143">
        <v>8.33</v>
      </c>
      <c r="J37" s="147" t="s">
        <v>222</v>
      </c>
      <c r="K37" s="148"/>
      <c r="L37" s="256"/>
      <c r="M37" s="255"/>
      <c r="N37" s="141">
        <v>60</v>
      </c>
      <c r="O37" s="141"/>
      <c r="P37" s="135"/>
      <c r="Q37" s="135"/>
      <c r="R37" s="135"/>
      <c r="S37" s="135"/>
      <c r="T37" s="135"/>
      <c r="U37" s="135"/>
    </row>
    <row r="38" spans="1:21" x14ac:dyDescent="0.2">
      <c r="A38" s="127" t="s">
        <v>195</v>
      </c>
      <c r="B38" s="128">
        <v>60</v>
      </c>
      <c r="C38" s="124">
        <v>1</v>
      </c>
      <c r="D38" s="128">
        <f t="shared" si="2"/>
        <v>60</v>
      </c>
      <c r="E38" s="124">
        <v>12</v>
      </c>
      <c r="F38" s="128">
        <f t="shared" si="3"/>
        <v>5</v>
      </c>
      <c r="H38" s="160" t="s">
        <v>25</v>
      </c>
      <c r="I38" s="161">
        <f>SUM(I32:I37)</f>
        <v>547.33000000000004</v>
      </c>
      <c r="J38" s="147" t="s">
        <v>223</v>
      </c>
      <c r="K38" s="148"/>
      <c r="L38" s="256"/>
      <c r="M38" s="255"/>
      <c r="N38" s="141">
        <v>21</v>
      </c>
      <c r="O38" s="141"/>
    </row>
    <row r="39" spans="1:21" x14ac:dyDescent="0.2">
      <c r="A39" s="129" t="s">
        <v>196</v>
      </c>
      <c r="B39" s="128">
        <v>15</v>
      </c>
      <c r="C39" s="124">
        <v>1</v>
      </c>
      <c r="D39" s="128">
        <f t="shared" si="2"/>
        <v>15</v>
      </c>
      <c r="E39" s="124">
        <v>10</v>
      </c>
      <c r="F39" s="128">
        <f t="shared" si="3"/>
        <v>1.5</v>
      </c>
      <c r="H39" s="160" t="s">
        <v>231</v>
      </c>
      <c r="I39" s="161">
        <f>I38/12</f>
        <v>45.610833333333339</v>
      </c>
      <c r="J39" s="147" t="s">
        <v>211</v>
      </c>
      <c r="K39" s="148"/>
      <c r="L39" s="256"/>
      <c r="M39" s="255"/>
      <c r="N39" s="141">
        <v>25</v>
      </c>
      <c r="O39" s="141"/>
    </row>
    <row r="40" spans="1:21" x14ac:dyDescent="0.2">
      <c r="A40" s="129" t="s">
        <v>197</v>
      </c>
      <c r="B40" s="128">
        <v>35</v>
      </c>
      <c r="C40" s="124">
        <v>1</v>
      </c>
      <c r="D40" s="128">
        <f t="shared" si="2"/>
        <v>35</v>
      </c>
      <c r="E40" s="124">
        <v>3</v>
      </c>
      <c r="F40" s="128">
        <f t="shared" si="3"/>
        <v>11.67</v>
      </c>
      <c r="J40" s="147" t="s">
        <v>224</v>
      </c>
      <c r="K40" s="148"/>
      <c r="L40" s="256"/>
      <c r="M40" s="255"/>
      <c r="N40" s="141">
        <v>20</v>
      </c>
      <c r="O40" s="127"/>
    </row>
    <row r="41" spans="1:21" x14ac:dyDescent="0.2">
      <c r="A41" s="129" t="s">
        <v>198</v>
      </c>
      <c r="B41" s="136">
        <v>12</v>
      </c>
      <c r="C41" s="123">
        <v>1</v>
      </c>
      <c r="D41" s="128">
        <f t="shared" si="2"/>
        <v>12</v>
      </c>
      <c r="E41" s="123">
        <v>6</v>
      </c>
      <c r="F41" s="128">
        <f t="shared" si="3"/>
        <v>2</v>
      </c>
      <c r="J41" s="147" t="s">
        <v>225</v>
      </c>
      <c r="K41" s="148"/>
      <c r="L41" s="256"/>
      <c r="M41" s="255"/>
      <c r="N41" s="141">
        <v>41</v>
      </c>
      <c r="O41" s="127"/>
      <c r="Q41" s="137"/>
      <c r="R41" s="137"/>
    </row>
    <row r="42" spans="1:21" x14ac:dyDescent="0.2">
      <c r="A42" s="129" t="s">
        <v>199</v>
      </c>
      <c r="B42" s="128">
        <v>81.3</v>
      </c>
      <c r="C42" s="124">
        <v>1</v>
      </c>
      <c r="D42" s="128">
        <f t="shared" si="2"/>
        <v>81.3</v>
      </c>
      <c r="E42" s="124">
        <v>12</v>
      </c>
      <c r="F42" s="128">
        <f t="shared" si="3"/>
        <v>6.78</v>
      </c>
      <c r="J42" s="252" t="s">
        <v>213</v>
      </c>
      <c r="K42" s="253"/>
      <c r="L42" s="252" t="s">
        <v>214</v>
      </c>
      <c r="M42" s="253"/>
      <c r="N42" s="159"/>
      <c r="O42" s="159">
        <f>SUM(N43:N50)</f>
        <v>232</v>
      </c>
      <c r="P42" s="137"/>
    </row>
    <row r="43" spans="1:21" x14ac:dyDescent="0.2">
      <c r="A43" s="129" t="s">
        <v>200</v>
      </c>
      <c r="B43" s="131">
        <v>180.03</v>
      </c>
      <c r="C43" s="124">
        <v>1</v>
      </c>
      <c r="D43" s="128">
        <f t="shared" si="2"/>
        <v>180.03</v>
      </c>
      <c r="E43" s="124">
        <v>60</v>
      </c>
      <c r="F43" s="128">
        <f t="shared" si="3"/>
        <v>3</v>
      </c>
      <c r="J43" s="140" t="s">
        <v>216</v>
      </c>
      <c r="K43" s="140"/>
      <c r="L43" s="254"/>
      <c r="M43" s="255"/>
      <c r="N43" s="141">
        <v>50</v>
      </c>
      <c r="O43" s="141"/>
    </row>
    <row r="44" spans="1:21" x14ac:dyDescent="0.2">
      <c r="A44" s="162" t="s">
        <v>192</v>
      </c>
      <c r="B44" s="163"/>
      <c r="C44" s="163"/>
      <c r="D44" s="163"/>
      <c r="E44" s="164"/>
      <c r="F44" s="155">
        <f>SUM(F37:F43)</f>
        <v>38.18</v>
      </c>
      <c r="J44" s="147" t="s">
        <v>218</v>
      </c>
      <c r="K44" s="148"/>
      <c r="L44" s="254"/>
      <c r="M44" s="255"/>
      <c r="N44" s="141">
        <v>9.5</v>
      </c>
      <c r="O44" s="141"/>
    </row>
    <row r="45" spans="1:21" x14ac:dyDescent="0.2">
      <c r="J45" s="147" t="s">
        <v>220</v>
      </c>
      <c r="K45" s="148"/>
      <c r="L45" s="254"/>
      <c r="M45" s="255"/>
      <c r="N45" s="141">
        <v>5.5</v>
      </c>
      <c r="O45" s="141"/>
    </row>
    <row r="46" spans="1:21" x14ac:dyDescent="0.2">
      <c r="A46" s="260" t="s">
        <v>234</v>
      </c>
      <c r="B46" s="261"/>
      <c r="C46" s="261"/>
      <c r="D46" s="261"/>
      <c r="E46" s="261"/>
      <c r="F46" s="262"/>
      <c r="J46" s="147" t="s">
        <v>222</v>
      </c>
      <c r="K46" s="148"/>
      <c r="L46" s="254"/>
      <c r="M46" s="255"/>
      <c r="N46" s="141">
        <v>60</v>
      </c>
      <c r="O46" s="141"/>
    </row>
    <row r="47" spans="1:21" ht="25.5" x14ac:dyDescent="0.2">
      <c r="A47" s="123" t="s">
        <v>47</v>
      </c>
      <c r="B47" s="124" t="s">
        <v>164</v>
      </c>
      <c r="C47" s="124" t="s">
        <v>165</v>
      </c>
      <c r="D47" s="124" t="s">
        <v>166</v>
      </c>
      <c r="E47" s="125" t="s">
        <v>167</v>
      </c>
      <c r="F47" s="126" t="s">
        <v>168</v>
      </c>
      <c r="J47" s="147" t="s">
        <v>223</v>
      </c>
      <c r="K47" s="148"/>
      <c r="L47" s="254"/>
      <c r="M47" s="255"/>
      <c r="N47" s="141">
        <v>21</v>
      </c>
      <c r="O47" s="141"/>
      <c r="R47" s="137"/>
    </row>
    <row r="48" spans="1:21" x14ac:dyDescent="0.2">
      <c r="A48" s="129" t="s">
        <v>201</v>
      </c>
      <c r="B48" s="128">
        <v>1600</v>
      </c>
      <c r="C48" s="124">
        <v>1</v>
      </c>
      <c r="D48" s="128">
        <f>ROUND((B48*C48),2)</f>
        <v>1600</v>
      </c>
      <c r="E48" s="124">
        <v>60</v>
      </c>
      <c r="F48" s="128">
        <f>IF(C48&gt;0,ROUND((D48/E48),2),0)</f>
        <v>26.67</v>
      </c>
      <c r="J48" s="147" t="s">
        <v>211</v>
      </c>
      <c r="K48" s="148"/>
      <c r="L48" s="254"/>
      <c r="M48" s="255"/>
      <c r="N48" s="141">
        <v>25</v>
      </c>
      <c r="O48" s="141"/>
    </row>
    <row r="49" spans="1:16" ht="15" customHeight="1" x14ac:dyDescent="0.2">
      <c r="A49" s="129" t="s">
        <v>202</v>
      </c>
      <c r="B49" s="128">
        <v>20</v>
      </c>
      <c r="C49" s="124">
        <v>4</v>
      </c>
      <c r="D49" s="128">
        <f>ROUND((B49*C49),2)</f>
        <v>80</v>
      </c>
      <c r="E49" s="124">
        <v>12</v>
      </c>
      <c r="F49" s="128">
        <f>ROUND((D49/E49),2)</f>
        <v>6.67</v>
      </c>
      <c r="J49" s="147" t="s">
        <v>224</v>
      </c>
      <c r="K49" s="148"/>
      <c r="L49" s="254"/>
      <c r="M49" s="255"/>
      <c r="N49" s="141">
        <v>20</v>
      </c>
      <c r="O49" s="127"/>
    </row>
    <row r="50" spans="1:16" x14ac:dyDescent="0.2">
      <c r="A50" s="129" t="s">
        <v>205</v>
      </c>
      <c r="B50" s="128">
        <f>60/10</f>
        <v>6</v>
      </c>
      <c r="C50" s="124">
        <v>6</v>
      </c>
      <c r="D50" s="128">
        <f>ROUND((B50*C50),2)</f>
        <v>36</v>
      </c>
      <c r="E50" s="124">
        <v>6</v>
      </c>
      <c r="F50" s="128">
        <f>IF(B50&gt;0,ROUND((D50/E50),2),0)</f>
        <v>6</v>
      </c>
      <c r="J50" s="147" t="s">
        <v>225</v>
      </c>
      <c r="K50" s="148"/>
      <c r="L50" s="254"/>
      <c r="M50" s="255"/>
      <c r="N50" s="141">
        <v>41</v>
      </c>
      <c r="O50" s="127"/>
    </row>
    <row r="51" spans="1:16" x14ac:dyDescent="0.2">
      <c r="A51" s="162" t="s">
        <v>192</v>
      </c>
      <c r="B51" s="163"/>
      <c r="C51" s="163"/>
      <c r="D51" s="163"/>
      <c r="E51" s="164"/>
      <c r="F51" s="155">
        <f>SUM(F48:F50)</f>
        <v>39.340000000000003</v>
      </c>
      <c r="J51" s="140" t="s">
        <v>217</v>
      </c>
      <c r="K51" s="140"/>
      <c r="L51" s="254" t="s">
        <v>226</v>
      </c>
      <c r="M51" s="255"/>
      <c r="N51" s="149">
        <v>25</v>
      </c>
      <c r="O51" s="150">
        <f>N51/2</f>
        <v>12.5</v>
      </c>
    </row>
    <row r="52" spans="1:16" x14ac:dyDescent="0.2">
      <c r="J52" s="140" t="s">
        <v>227</v>
      </c>
      <c r="K52" s="140"/>
      <c r="L52" s="254" t="s">
        <v>228</v>
      </c>
      <c r="M52" s="255"/>
      <c r="N52" s="149">
        <v>75</v>
      </c>
      <c r="O52" s="150">
        <f>N52/2</f>
        <v>37.5</v>
      </c>
    </row>
    <row r="53" spans="1:16" x14ac:dyDescent="0.2">
      <c r="J53" s="140" t="s">
        <v>229</v>
      </c>
      <c r="K53" s="140"/>
      <c r="L53" s="254" t="s">
        <v>230</v>
      </c>
      <c r="M53" s="255"/>
      <c r="N53" s="149">
        <v>25</v>
      </c>
      <c r="O53" s="150">
        <f>N53/3</f>
        <v>8.3333333333333339</v>
      </c>
    </row>
    <row r="54" spans="1:16" x14ac:dyDescent="0.2">
      <c r="J54" s="165" t="s">
        <v>25</v>
      </c>
      <c r="K54" s="166"/>
      <c r="L54" s="166"/>
      <c r="M54" s="166"/>
      <c r="N54" s="167"/>
      <c r="O54" s="168">
        <f>SUM(O32:O53)</f>
        <v>547.33333333333337</v>
      </c>
    </row>
    <row r="55" spans="1:16" x14ac:dyDescent="0.2">
      <c r="J55" s="249" t="s">
        <v>231</v>
      </c>
      <c r="K55" s="250"/>
      <c r="L55" s="250"/>
      <c r="M55" s="250"/>
      <c r="N55" s="251"/>
      <c r="O55" s="168">
        <f>O54/12</f>
        <v>45.611111111111114</v>
      </c>
    </row>
    <row r="58" spans="1:16" x14ac:dyDescent="0.2">
      <c r="N58" s="151"/>
    </row>
    <row r="59" spans="1:16" x14ac:dyDescent="0.2">
      <c r="P59" s="137"/>
    </row>
    <row r="60" spans="1:16" x14ac:dyDescent="0.2">
      <c r="I60" s="152"/>
    </row>
    <row r="61" spans="1:16" x14ac:dyDescent="0.2">
      <c r="I61" s="152"/>
    </row>
    <row r="69" spans="16:17" x14ac:dyDescent="0.2">
      <c r="P69" s="151"/>
      <c r="Q69" s="151"/>
    </row>
    <row r="70" spans="16:17" x14ac:dyDescent="0.2">
      <c r="P70" s="151"/>
      <c r="Q70" s="151"/>
    </row>
    <row r="71" spans="16:17" x14ac:dyDescent="0.2">
      <c r="P71" s="151"/>
      <c r="Q71" s="151"/>
    </row>
    <row r="72" spans="16:17" x14ac:dyDescent="0.2">
      <c r="P72" s="151"/>
      <c r="Q72" s="151"/>
    </row>
    <row r="73" spans="16:17" x14ac:dyDescent="0.2">
      <c r="P73" s="151"/>
      <c r="Q73" s="151"/>
    </row>
    <row r="74" spans="16:17" ht="12.75" customHeight="1" x14ac:dyDescent="0.2">
      <c r="P74" s="151"/>
      <c r="Q74" s="151"/>
    </row>
    <row r="75" spans="16:17" x14ac:dyDescent="0.2">
      <c r="P75" s="151"/>
      <c r="Q75" s="151"/>
    </row>
  </sheetData>
  <mergeCells count="37">
    <mergeCell ref="A46:F46"/>
    <mergeCell ref="A35:F35"/>
    <mergeCell ref="H28:J28"/>
    <mergeCell ref="A33:E33"/>
    <mergeCell ref="A18:F18"/>
    <mergeCell ref="H18:K18"/>
    <mergeCell ref="H26:J26"/>
    <mergeCell ref="H27:J27"/>
    <mergeCell ref="L41:M41"/>
    <mergeCell ref="H30:I30"/>
    <mergeCell ref="J31:K31"/>
    <mergeCell ref="L31:M31"/>
    <mergeCell ref="L32:M32"/>
    <mergeCell ref="L34:M34"/>
    <mergeCell ref="L35:M35"/>
    <mergeCell ref="J30:O30"/>
    <mergeCell ref="L36:M36"/>
    <mergeCell ref="L37:M37"/>
    <mergeCell ref="L38:M38"/>
    <mergeCell ref="L39:M39"/>
    <mergeCell ref="L40:M40"/>
    <mergeCell ref="J55:N55"/>
    <mergeCell ref="L42:M42"/>
    <mergeCell ref="L33:M33"/>
    <mergeCell ref="J33:K33"/>
    <mergeCell ref="J42:K42"/>
    <mergeCell ref="L49:M49"/>
    <mergeCell ref="L50:M50"/>
    <mergeCell ref="L51:M51"/>
    <mergeCell ref="L52:M52"/>
    <mergeCell ref="L53:M53"/>
    <mergeCell ref="L43:M43"/>
    <mergeCell ref="L44:M44"/>
    <mergeCell ref="L45:M45"/>
    <mergeCell ref="L46:M46"/>
    <mergeCell ref="L47:M47"/>
    <mergeCell ref="L48:M48"/>
  </mergeCells>
  <pageMargins left="0.51181102362204722" right="0.51181102362204722" top="0.78740157480314965" bottom="0.78740157480314965" header="0.31496062992125984" footer="0.31496062992125984"/>
  <pageSetup paperSize="9" scale="5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Option Button 1">
              <controlPr defaultSize="0" autoFill="0" autoLine="0" autoPict="0">
                <anchor moveWithCells="1" sizeWithCells="1">
                  <from>
                    <xdr:col>8</xdr:col>
                    <xdr:colOff>361950</xdr:colOff>
                    <xdr:row>0</xdr:row>
                    <xdr:rowOff>0</xdr:rowOff>
                  </from>
                  <to>
                    <xdr:col>9</xdr:col>
                    <xdr:colOff>28575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Option Button 2">
              <controlPr defaultSize="0" autoFill="0" autoLine="0" autoPict="0">
                <anchor moveWithCells="1" sizeWithCells="1">
                  <from>
                    <xdr:col>8</xdr:col>
                    <xdr:colOff>361950</xdr:colOff>
                    <xdr:row>0</xdr:row>
                    <xdr:rowOff>0</xdr:rowOff>
                  </from>
                  <to>
                    <xdr:col>8</xdr:col>
                    <xdr:colOff>600075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Option Button 3">
              <controlPr defaultSize="0" autoFill="0" autoLine="0" autoPict="0">
                <anchor moveWithCells="1" sizeWithCells="1">
                  <from>
                    <xdr:col>8</xdr:col>
                    <xdr:colOff>361950</xdr:colOff>
                    <xdr:row>0</xdr:row>
                    <xdr:rowOff>0</xdr:rowOff>
                  </from>
                  <to>
                    <xdr:col>8</xdr:col>
                    <xdr:colOff>600075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Option Button 4">
              <controlPr defaultSize="0" autoFill="0" autoLine="0" autoPict="0">
                <anchor moveWithCells="1" sizeWithCells="1">
                  <from>
                    <xdr:col>8</xdr:col>
                    <xdr:colOff>361950</xdr:colOff>
                    <xdr:row>0</xdr:row>
                    <xdr:rowOff>0</xdr:rowOff>
                  </from>
                  <to>
                    <xdr:col>8</xdr:col>
                    <xdr:colOff>600075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Option Button 5">
              <controlPr defaultSize="0" autoFill="0" autoLine="0" autoPict="0">
                <anchor moveWithCells="1" sizeWithCells="1">
                  <from>
                    <xdr:col>8</xdr:col>
                    <xdr:colOff>361950</xdr:colOff>
                    <xdr:row>0</xdr:row>
                    <xdr:rowOff>0</xdr:rowOff>
                  </from>
                  <to>
                    <xdr:col>8</xdr:col>
                    <xdr:colOff>600075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12X36 NOTURNO</vt:lpstr>
      <vt:lpstr>INSUMOS DIVERSOS</vt:lpstr>
      <vt:lpstr>'12X36 NOTURNO'!Area_de_impressao</vt:lpstr>
    </vt:vector>
  </TitlesOfParts>
  <Company>Licitação Online</Company>
  <LinksUpToDate>false</LinksUpToDate>
  <SharedDoc>false</SharedDoc>
  <HyperlinkBase>www.licitacao.online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e Formação de Preços</dc:title>
  <dc:creator>Anderson Cardoso</dc:creator>
  <cp:keywords>Licitação Online</cp:keywords>
  <cp:lastModifiedBy>Anderson Cardoso</cp:lastModifiedBy>
  <cp:lastPrinted>2017-05-27T18:29:27Z</cp:lastPrinted>
  <dcterms:created xsi:type="dcterms:W3CDTF">2010-12-08T17:56:29Z</dcterms:created>
  <dcterms:modified xsi:type="dcterms:W3CDTF">2018-10-05T17:58:40Z</dcterms:modified>
</cp:coreProperties>
</file>