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oseane.gomes\Desktop\LICITAÇÃO\DNOCS - INTERTRAVADO\16.09.24\"/>
    </mc:Choice>
  </mc:AlternateContent>
  <xr:revisionPtr revIDLastSave="0" documentId="8_{236A6A1F-0F11-4622-A427-72625FE0F575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Resumo" sheetId="6" r:id="rId1"/>
    <sheet name="Orçamento Sintético" sheetId="1" r:id="rId2"/>
    <sheet name="CPU's" sheetId="2" r:id="rId3"/>
    <sheet name="CRONOGRAMA" sheetId="3" r:id="rId4"/>
    <sheet name="BDI" sheetId="4" r:id="rId5"/>
    <sheet name="ENCARGOS" sheetId="5" r:id="rId6"/>
  </sheets>
  <externalReferences>
    <externalReference r:id="rId7"/>
    <externalReference r:id="rId8"/>
  </externalReferences>
  <definedNames>
    <definedName name="_xlnm._FilterDatabase" localSheetId="2" hidden="1">'CPU''s'!$A$1:$M$421</definedName>
    <definedName name="_xlnm._FilterDatabase" localSheetId="1" hidden="1">'Orçamento Sintético'!$B$2:$K$54</definedName>
    <definedName name="_xlnm.Print_Area" localSheetId="2">'CPU''s'!$A$5:$J$432</definedName>
    <definedName name="_xlnm.Print_Area" localSheetId="3">CRONOGRAMA!$A$1:$Q$45</definedName>
    <definedName name="_xlnm.Print_Area" localSheetId="1">'Orçamento Sintético'!$B$1:$J$46</definedName>
    <definedName name="_xlnm.Print_Area" localSheetId="0">Resumo!$A$2:$F$28</definedName>
    <definedName name="_xlnm.Print_Titles" localSheetId="2">'CPU''s'!$1:$4</definedName>
    <definedName name="_xlnm.Print_Titles" localSheetId="1">'Orçamento Sintético'!$1:$4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17" i="2" l="1"/>
  <c r="J417" i="2" s="1"/>
  <c r="I418" i="2"/>
  <c r="J418" i="2" s="1"/>
  <c r="I414" i="2"/>
  <c r="J414" i="2" s="1"/>
  <c r="I416" i="2"/>
  <c r="J416" i="2" s="1"/>
  <c r="I415" i="2"/>
  <c r="J415" i="2" s="1"/>
  <c r="I408" i="2"/>
  <c r="J408" i="2"/>
  <c r="I407" i="2"/>
  <c r="J407" i="2" s="1"/>
  <c r="G387" i="2"/>
  <c r="J387" i="2" s="1"/>
  <c r="H395" i="2"/>
  <c r="H394" i="2"/>
  <c r="J394" i="2" s="1"/>
  <c r="G391" i="2"/>
  <c r="J391" i="2" s="1"/>
  <c r="G390" i="2"/>
  <c r="J390" i="2" s="1"/>
  <c r="G386" i="2"/>
  <c r="J386" i="2" s="1"/>
  <c r="I377" i="2"/>
  <c r="J377" i="2" s="1"/>
  <c r="I376" i="2"/>
  <c r="J376" i="2" s="1"/>
  <c r="I373" i="2"/>
  <c r="H373" i="2"/>
  <c r="J395" i="2"/>
  <c r="G364" i="2"/>
  <c r="J364" i="2" s="1"/>
  <c r="J365" i="2" s="1"/>
  <c r="I355" i="2"/>
  <c r="J355" i="2" s="1"/>
  <c r="I354" i="2"/>
  <c r="J354" i="2" s="1"/>
  <c r="I351" i="2"/>
  <c r="H351" i="2"/>
  <c r="G341" i="2"/>
  <c r="J341" i="2" s="1"/>
  <c r="G340" i="2"/>
  <c r="J340" i="2" s="1"/>
  <c r="G339" i="2"/>
  <c r="J339" i="2" s="1"/>
  <c r="G342" i="2"/>
  <c r="J342" i="2" s="1"/>
  <c r="J373" i="2" l="1"/>
  <c r="J374" i="2" s="1"/>
  <c r="J380" i="2" s="1"/>
  <c r="J384" i="2" s="1"/>
  <c r="I413" i="2"/>
  <c r="J413" i="2" s="1"/>
  <c r="F420" i="2" s="1"/>
  <c r="J420" i="2" s="1"/>
  <c r="I406" i="2"/>
  <c r="J406" i="2" s="1"/>
  <c r="J396" i="2"/>
  <c r="J392" i="2"/>
  <c r="J388" i="2"/>
  <c r="J378" i="2"/>
  <c r="J356" i="2"/>
  <c r="J358" i="2" s="1"/>
  <c r="J362" i="2" s="1"/>
  <c r="I348" i="2" s="1"/>
  <c r="J348" i="2" s="1"/>
  <c r="J351" i="2"/>
  <c r="J352" i="2" s="1"/>
  <c r="J343" i="2"/>
  <c r="I332" i="2" s="1"/>
  <c r="J332" i="2" s="1"/>
  <c r="F410" i="2" l="1"/>
  <c r="J410" i="2" s="1"/>
  <c r="I370" i="2"/>
  <c r="J370" i="2" s="1"/>
  <c r="F367" i="2"/>
  <c r="J367" i="2" s="1"/>
  <c r="F345" i="2"/>
  <c r="J327" i="2"/>
  <c r="J326" i="2" s="1"/>
  <c r="I315" i="2"/>
  <c r="J315" i="2" s="1"/>
  <c r="J316" i="2" s="1"/>
  <c r="J317" i="2" s="1"/>
  <c r="J321" i="2" s="1"/>
  <c r="I312" i="2" s="1"/>
  <c r="J312" i="2" s="1"/>
  <c r="F323" i="2" s="1"/>
  <c r="J323" i="2" s="1"/>
  <c r="J301" i="2"/>
  <c r="J302" i="2" s="1"/>
  <c r="J303" i="2" s="1"/>
  <c r="J307" i="2" s="1"/>
  <c r="I298" i="2" s="1"/>
  <c r="J298" i="2" s="1"/>
  <c r="F309" i="2" s="1"/>
  <c r="J309" i="2" s="1"/>
  <c r="A269" i="2"/>
  <c r="H273" i="2"/>
  <c r="J273" i="2" s="1"/>
  <c r="J274" i="2" s="1"/>
  <c r="J275" i="2" s="1"/>
  <c r="J279" i="2" s="1"/>
  <c r="I270" i="2" s="1"/>
  <c r="J270" i="2" s="1"/>
  <c r="F281" i="2" s="1"/>
  <c r="J281" i="2" s="1"/>
  <c r="A283" i="2"/>
  <c r="H287" i="2"/>
  <c r="J287" i="2" s="1"/>
  <c r="J288" i="2" s="1"/>
  <c r="J289" i="2" s="1"/>
  <c r="J293" i="2" s="1"/>
  <c r="I284" i="2" s="1"/>
  <c r="J284" i="2" s="1"/>
  <c r="F295" i="2" s="1"/>
  <c r="J295" i="2" s="1"/>
  <c r="J259" i="2"/>
  <c r="J260" i="2"/>
  <c r="J261" i="2"/>
  <c r="J262" i="2"/>
  <c r="J263" i="2"/>
  <c r="J264" i="2"/>
  <c r="J265" i="2"/>
  <c r="J258" i="2"/>
  <c r="I245" i="2"/>
  <c r="J245" i="2" s="1"/>
  <c r="J246" i="2" s="1"/>
  <c r="J247" i="2" s="1"/>
  <c r="J251" i="2" s="1"/>
  <c r="I242" i="2" s="1"/>
  <c r="J242" i="2" s="1"/>
  <c r="F253" i="2" s="1"/>
  <c r="J253" i="2" s="1"/>
  <c r="J231" i="2"/>
  <c r="J232" i="2" s="1"/>
  <c r="J233" i="2" s="1"/>
  <c r="J237" i="2" s="1"/>
  <c r="I228" i="2" s="1"/>
  <c r="J228" i="2" s="1"/>
  <c r="F239" i="2" s="1"/>
  <c r="J239" i="2" s="1"/>
  <c r="H218" i="2"/>
  <c r="J218" i="2" s="1"/>
  <c r="J219" i="2" s="1"/>
  <c r="G215" i="2"/>
  <c r="J215" i="2" s="1"/>
  <c r="J216" i="2" s="1"/>
  <c r="I206" i="2"/>
  <c r="J206" i="2" s="1"/>
  <c r="J207" i="2" s="1"/>
  <c r="J199" i="2"/>
  <c r="J200" i="2"/>
  <c r="J201" i="2"/>
  <c r="J202" i="2"/>
  <c r="J203" i="2"/>
  <c r="J198" i="2"/>
  <c r="J180" i="2"/>
  <c r="I180" i="2"/>
  <c r="I183" i="2"/>
  <c r="J183" i="2" s="1"/>
  <c r="J184" i="2" s="1"/>
  <c r="I166" i="2"/>
  <c r="J166" i="2" s="1"/>
  <c r="J138" i="2"/>
  <c r="J122" i="2"/>
  <c r="J123" i="2" s="1"/>
  <c r="J115" i="2"/>
  <c r="J116" i="2"/>
  <c r="J117" i="2"/>
  <c r="J118" i="2"/>
  <c r="J119" i="2"/>
  <c r="J114" i="2"/>
  <c r="J99" i="2"/>
  <c r="J100" i="2" s="1"/>
  <c r="J95" i="2"/>
  <c r="J96" i="2"/>
  <c r="J94" i="2"/>
  <c r="F403" i="2" l="1"/>
  <c r="J403" i="2" s="1"/>
  <c r="F329" i="2"/>
  <c r="J329" i="2" s="1"/>
  <c r="I326" i="2"/>
  <c r="I256" i="2"/>
  <c r="J256" i="2" s="1"/>
  <c r="F267" i="2" s="1"/>
  <c r="J267" i="2" s="1"/>
  <c r="J204" i="2"/>
  <c r="J209" i="2" s="1"/>
  <c r="J213" i="2" s="1"/>
  <c r="I195" i="2" s="1"/>
  <c r="J195" i="2" s="1"/>
  <c r="F225" i="2" s="1"/>
  <c r="J225" i="2" s="1"/>
  <c r="J181" i="2"/>
  <c r="J186" i="2" s="1"/>
  <c r="J190" i="2" s="1"/>
  <c r="I177" i="2" s="1"/>
  <c r="J177" i="2" s="1"/>
  <c r="F192" i="2" s="1"/>
  <c r="J192" i="2" s="1"/>
  <c r="J167" i="2"/>
  <c r="J168" i="2" s="1"/>
  <c r="J172" i="2" s="1"/>
  <c r="J152" i="2"/>
  <c r="J153" i="2" s="1"/>
  <c r="J154" i="2" s="1"/>
  <c r="J158" i="2" s="1"/>
  <c r="I149" i="2" s="1"/>
  <c r="J149" i="2" s="1"/>
  <c r="F160" i="2" s="1"/>
  <c r="J160" i="2" s="1"/>
  <c r="J137" i="2"/>
  <c r="J120" i="2"/>
  <c r="J125" i="2" s="1"/>
  <c r="J129" i="2" s="1"/>
  <c r="I111" i="2" s="1"/>
  <c r="J111" i="2" s="1"/>
  <c r="F131" i="2" s="1"/>
  <c r="J131" i="2" s="1"/>
  <c r="J97" i="2"/>
  <c r="J102" i="2" s="1"/>
  <c r="J106" i="2" s="1"/>
  <c r="I91" i="2" s="1"/>
  <c r="J91" i="2" s="1"/>
  <c r="F108" i="2" s="1"/>
  <c r="J108" i="2" s="1"/>
  <c r="J163" i="2" l="1"/>
  <c r="F174" i="2" s="1"/>
  <c r="J174" i="2" s="1"/>
  <c r="I163" i="2"/>
  <c r="J139" i="2"/>
  <c r="J140" i="2" s="1"/>
  <c r="J144" i="2" s="1"/>
  <c r="I134" i="2" s="1"/>
  <c r="J134" i="2" s="1"/>
  <c r="F146" i="2" s="1"/>
  <c r="J146" i="2" s="1"/>
  <c r="A412" i="2"/>
  <c r="A405" i="2"/>
  <c r="A369" i="2"/>
  <c r="A347" i="2"/>
  <c r="A331" i="2"/>
  <c r="A325" i="2"/>
  <c r="A255" i="2"/>
  <c r="A194" i="2"/>
  <c r="A176" i="2"/>
  <c r="A162" i="2"/>
  <c r="A148" i="2"/>
  <c r="A133" i="2"/>
  <c r="A110" i="2"/>
  <c r="A90" i="2"/>
  <c r="J345" i="2" l="1"/>
  <c r="J82" i="2" l="1"/>
  <c r="J83" i="2"/>
  <c r="J84" i="2"/>
  <c r="J85" i="2"/>
  <c r="J86" i="2"/>
  <c r="J81" i="2"/>
  <c r="I80" i="2" s="1"/>
  <c r="J75" i="2"/>
  <c r="I74" i="2" s="1"/>
  <c r="J74" i="2" s="1"/>
  <c r="F77" i="2" s="1"/>
  <c r="J77" i="2" s="1"/>
  <c r="A62" i="2"/>
  <c r="J65" i="2"/>
  <c r="J66" i="2"/>
  <c r="J67" i="2"/>
  <c r="J68" i="2"/>
  <c r="J69" i="2"/>
  <c r="A73" i="2"/>
  <c r="A79" i="2"/>
  <c r="J80" i="2" l="1"/>
  <c r="F88" i="2" s="1"/>
  <c r="J88" i="2" s="1"/>
  <c r="I63" i="2"/>
  <c r="J63" i="2" s="1"/>
  <c r="J64" i="2" s="1"/>
  <c r="F71" i="2" l="1"/>
  <c r="J71" i="2" s="1"/>
  <c r="J38" i="2" l="1"/>
  <c r="J13" i="2"/>
  <c r="I12" i="2" s="1"/>
  <c r="J12" i="2" s="1"/>
  <c r="F15" i="2" s="1"/>
  <c r="J15" i="2" s="1"/>
  <c r="J7" i="2"/>
  <c r="I6" i="2" s="1"/>
  <c r="J6" i="2" s="1"/>
  <c r="F9" i="2" l="1"/>
  <c r="J9" i="2" s="1"/>
  <c r="J58" i="2"/>
  <c r="J57" i="2"/>
  <c r="J56" i="2"/>
  <c r="J55" i="2"/>
  <c r="J54" i="2"/>
  <c r="J53" i="2"/>
  <c r="J52" i="2"/>
  <c r="J51" i="2"/>
  <c r="J50" i="2"/>
  <c r="J49" i="2"/>
  <c r="A46" i="2"/>
  <c r="J42" i="2"/>
  <c r="J41" i="2"/>
  <c r="J40" i="2"/>
  <c r="J39" i="2"/>
  <c r="J37" i="2"/>
  <c r="J35" i="2"/>
  <c r="J34" i="2"/>
  <c r="J33" i="2"/>
  <c r="J32" i="2"/>
  <c r="J25" i="2"/>
  <c r="J24" i="2"/>
  <c r="J23" i="2"/>
  <c r="J22" i="2"/>
  <c r="J21" i="2"/>
  <c r="J20" i="2"/>
  <c r="J19" i="2"/>
  <c r="A5" i="2"/>
  <c r="J18" i="2" l="1"/>
  <c r="F27" i="2" s="1"/>
  <c r="J27" i="2" s="1"/>
  <c r="J47" i="2"/>
  <c r="J48" i="2" s="1"/>
  <c r="J30" i="2"/>
  <c r="J31" i="2" s="1"/>
  <c r="I47" i="2" l="1"/>
  <c r="I30" i="2"/>
  <c r="F44" i="2"/>
  <c r="J44" i="2" s="1"/>
  <c r="F60" i="2"/>
  <c r="J60" i="2" s="1"/>
  <c r="F8" i="4" l="1"/>
  <c r="P26" i="3"/>
  <c r="P24" i="3"/>
  <c r="A9" i="6" l="1"/>
  <c r="A8" i="6"/>
  <c r="A14" i="6"/>
  <c r="A13" i="6"/>
  <c r="A12" i="6"/>
  <c r="A11" i="6"/>
  <c r="A10" i="6"/>
  <c r="D28" i="3"/>
  <c r="C28" i="3"/>
  <c r="D26" i="3"/>
  <c r="C26" i="3"/>
  <c r="D24" i="3"/>
  <c r="C24" i="3"/>
  <c r="D22" i="3"/>
  <c r="C22" i="3"/>
  <c r="D20" i="3"/>
  <c r="C20" i="3"/>
  <c r="D18" i="3"/>
  <c r="C18" i="3"/>
  <c r="C16" i="3"/>
  <c r="J40" i="1"/>
  <c r="J39" i="1"/>
  <c r="J38" i="1" s="1"/>
  <c r="J37" i="1"/>
  <c r="J36" i="1"/>
  <c r="J35" i="1" s="1"/>
  <c r="J34" i="1"/>
  <c r="J32" i="1"/>
  <c r="J31" i="1"/>
  <c r="J30" i="1"/>
  <c r="J29" i="1"/>
  <c r="J28" i="1"/>
  <c r="J27" i="1"/>
  <c r="J26" i="1"/>
  <c r="J25" i="1"/>
  <c r="J24" i="1"/>
  <c r="J22" i="1"/>
  <c r="J21" i="1"/>
  <c r="J20" i="1"/>
  <c r="J19" i="1"/>
  <c r="J18" i="1"/>
  <c r="J17" i="1"/>
  <c r="J16" i="1"/>
  <c r="J14" i="1"/>
  <c r="J13" i="1"/>
  <c r="J12" i="1"/>
  <c r="J11" i="1"/>
  <c r="J10" i="1"/>
  <c r="J9" i="1"/>
  <c r="J8" i="1"/>
  <c r="J23" i="1" l="1"/>
  <c r="J33" i="1"/>
  <c r="D12" i="6" s="1"/>
  <c r="E12" i="6" s="1"/>
  <c r="C11" i="6"/>
  <c r="D14" i="6"/>
  <c r="E14" i="6" s="1"/>
  <c r="E28" i="3"/>
  <c r="J15" i="1"/>
  <c r="J7" i="1"/>
  <c r="E24" i="3" l="1"/>
  <c r="K25" i="3" s="1"/>
  <c r="J6" i="1"/>
  <c r="J41" i="1" s="1"/>
  <c r="M29" i="3"/>
  <c r="O29" i="3"/>
  <c r="N29" i="3"/>
  <c r="L29" i="3"/>
  <c r="K29" i="3"/>
  <c r="J29" i="3"/>
  <c r="L25" i="3"/>
  <c r="M25" i="3"/>
  <c r="N25" i="3"/>
  <c r="O25" i="3"/>
  <c r="J25" i="3"/>
  <c r="D11" i="6"/>
  <c r="E11" i="6" s="1"/>
  <c r="E22" i="3"/>
  <c r="J23" i="3" s="1"/>
  <c r="E20" i="3"/>
  <c r="D10" i="6"/>
  <c r="E10" i="6" s="1"/>
  <c r="D9" i="6"/>
  <c r="E18" i="3"/>
  <c r="D13" i="6"/>
  <c r="E13" i="6" s="1"/>
  <c r="E26" i="3"/>
  <c r="J27" i="3" s="1"/>
  <c r="E31" i="3" l="1"/>
  <c r="N21" i="3"/>
  <c r="M21" i="3"/>
  <c r="O21" i="3"/>
  <c r="J21" i="3"/>
  <c r="K21" i="3"/>
  <c r="L21" i="3"/>
  <c r="K19" i="3"/>
  <c r="L19" i="3"/>
  <c r="M19" i="3"/>
  <c r="N19" i="3"/>
  <c r="O19" i="3"/>
  <c r="J19" i="3"/>
  <c r="K27" i="3"/>
  <c r="L27" i="3"/>
  <c r="M27" i="3"/>
  <c r="O27" i="3"/>
  <c r="N27" i="3"/>
  <c r="N23" i="3"/>
  <c r="K23" i="3"/>
  <c r="M23" i="3"/>
  <c r="O23" i="3"/>
  <c r="L23" i="3"/>
  <c r="D8" i="6"/>
  <c r="D15" i="6" s="1"/>
  <c r="E9" i="6"/>
  <c r="N32" i="3" l="1"/>
  <c r="O32" i="3"/>
  <c r="M32" i="3"/>
  <c r="L32" i="3"/>
  <c r="P28" i="3"/>
  <c r="P20" i="3"/>
  <c r="P16" i="3"/>
  <c r="D26" i="5"/>
  <c r="D28" i="5" s="1"/>
  <c r="D31" i="5" s="1"/>
  <c r="C26" i="5"/>
  <c r="C28" i="5" s="1"/>
  <c r="C31" i="5" s="1"/>
  <c r="D19" i="5"/>
  <c r="C19" i="5"/>
  <c r="C33" i="5" s="1"/>
  <c r="C35" i="5" s="1"/>
  <c r="A6" i="5"/>
  <c r="P22" i="3"/>
  <c r="P18" i="3"/>
  <c r="C36" i="5" l="1"/>
  <c r="P27" i="3"/>
  <c r="P25" i="3"/>
  <c r="D33" i="5"/>
  <c r="D35" i="5" s="1"/>
  <c r="D36" i="5" s="1"/>
  <c r="P29" i="3" l="1"/>
  <c r="P23" i="3" l="1"/>
  <c r="C8" i="6" l="1"/>
  <c r="C15" i="6" s="1"/>
  <c r="E8" i="6" l="1"/>
  <c r="E15" i="6" s="1"/>
  <c r="D18" i="6" s="1"/>
  <c r="J32" i="3"/>
  <c r="P19" i="3"/>
  <c r="J34" i="3" l="1"/>
  <c r="F24" i="3"/>
  <c r="M31" i="3" l="1"/>
  <c r="F18" i="3"/>
  <c r="E33" i="3"/>
  <c r="E16" i="3" s="1"/>
  <c r="F26" i="3"/>
  <c r="J31" i="3"/>
  <c r="J33" i="3" s="1"/>
  <c r="L31" i="3"/>
  <c r="F22" i="3"/>
  <c r="N31" i="3"/>
  <c r="F20" i="3"/>
  <c r="F28" i="3"/>
  <c r="O31" i="3"/>
  <c r="M17" i="3" l="1"/>
  <c r="O17" i="3"/>
  <c r="K17" i="3"/>
  <c r="N17" i="3"/>
  <c r="J17" i="3"/>
  <c r="L17" i="3"/>
  <c r="F31" i="3"/>
  <c r="F33" i="3" s="1"/>
  <c r="K32" i="3"/>
  <c r="P21" i="3"/>
  <c r="P17" i="3" l="1"/>
  <c r="K31" i="3"/>
  <c r="K33" i="3" s="1"/>
  <c r="L33" i="3" s="1"/>
  <c r="M33" i="3" s="1"/>
  <c r="N33" i="3" s="1"/>
  <c r="O33" i="3" s="1"/>
  <c r="K34" i="3"/>
  <c r="L34" i="3" s="1"/>
  <c r="M34" i="3" s="1"/>
  <c r="N34" i="3" s="1"/>
  <c r="O34" i="3" s="1"/>
</calcChain>
</file>

<file path=xl/sharedStrings.xml><?xml version="1.0" encoding="utf-8"?>
<sst xmlns="http://schemas.openxmlformats.org/spreadsheetml/2006/main" count="1878" uniqueCount="477">
  <si>
    <t>Obra</t>
  </si>
  <si>
    <t>Bancos</t>
  </si>
  <si>
    <t>B.D.I.</t>
  </si>
  <si>
    <t>Encargos Sociais</t>
  </si>
  <si>
    <t>Não Desonerado: embutido nos preços unitário dos insumos de mão de obra, de acordo com as bases.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</si>
  <si>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</si>
  <si>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</si>
  <si>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</si>
  <si>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</si>
  <si>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</si>
  <si>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</si>
  <si>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</si>
  <si>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</si>
  <si>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</si>
  <si>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Próprio</t>
  </si>
  <si>
    <t>UN</t>
  </si>
  <si>
    <t>SERVIÇOS PRELIMINARES</t>
  </si>
  <si>
    <t>SINAPI</t>
  </si>
  <si>
    <t>m²</t>
  </si>
  <si>
    <t>SEINFRA</t>
  </si>
  <si>
    <t>MES</t>
  </si>
  <si>
    <t>TXKM</t>
  </si>
  <si>
    <t>m³</t>
  </si>
  <si>
    <t>m</t>
  </si>
  <si>
    <t>SICRO3</t>
  </si>
  <si>
    <t>t</t>
  </si>
  <si>
    <t>un</t>
  </si>
  <si>
    <t>M</t>
  </si>
  <si>
    <t>KG</t>
  </si>
  <si>
    <t>PAVIMENTAÇÃO</t>
  </si>
  <si>
    <t xml:space="preserve"> 4011228 </t>
  </si>
  <si>
    <t>Sub-base estabilizada granulometricamente com mistura de solos na pista com material de jazida</t>
  </si>
  <si>
    <t/>
  </si>
  <si>
    <t>Composições Analíticas com Preço Unitário</t>
  </si>
  <si>
    <t>Composições Principais</t>
  </si>
  <si>
    <t>Tipo</t>
  </si>
  <si>
    <t>Composição</t>
  </si>
  <si>
    <t>SERP - SERVIÇOS PRELIMINARES</t>
  </si>
  <si>
    <t>Composição Auxiliar</t>
  </si>
  <si>
    <t xml:space="preserve"> 93565 </t>
  </si>
  <si>
    <t>ENGENHEIRO CIVIL DE OBRA JUNIOR COM ENCARGOS COMPLEMENTARES</t>
  </si>
  <si>
    <t>SEDI - SERVIÇOS DIVERSOS</t>
  </si>
  <si>
    <t>MO sem LS =&gt;</t>
  </si>
  <si>
    <t>LS =&gt;</t>
  </si>
  <si>
    <t>MO com LS =&gt;</t>
  </si>
  <si>
    <t>Valor do BDI =&gt;</t>
  </si>
  <si>
    <t>Valor com BDI =&gt;</t>
  </si>
  <si>
    <t>PAVI - PAVIMENTAÇÃO</t>
  </si>
  <si>
    <t xml:space="preserve"> 88262 </t>
  </si>
  <si>
    <t>CARPINTEIRO DE FORMAS COM ENCARGOS COMPLEMENTARES</t>
  </si>
  <si>
    <t>H</t>
  </si>
  <si>
    <t xml:space="preserve"> 88316 </t>
  </si>
  <si>
    <t>SERVENTE COM ENCARGOS COMPLEMENTARES</t>
  </si>
  <si>
    <t>Insumo</t>
  </si>
  <si>
    <t xml:space="preserve"> 00004509 </t>
  </si>
  <si>
    <t>SARRAFO *2,5 X 10* CM EM PINUS, MISTA OU EQUIVALENTE DA REGIAO - BRUTA</t>
  </si>
  <si>
    <t>Material</t>
  </si>
  <si>
    <t xml:space="preserve"> 00004813 </t>
  </si>
  <si>
    <t>PLACA DE OBRA (PARA CONSTRUCAO CIVIL) EM CHAPA GALVANIZADA *N. 22*, ADESIVADA, DE *2,4 X 1,2* M (SEM POSTES PARA FIXACAO)</t>
  </si>
  <si>
    <t>Mão de Obra</t>
  </si>
  <si>
    <t>CANT - CANTEIRO DE OBRAS</t>
  </si>
  <si>
    <t>Equipamento</t>
  </si>
  <si>
    <t>Serviços</t>
  </si>
  <si>
    <t>CHOR - CUSTOS HORÁRIOS DE MÁQUINAS E EQUIPAMENTOS</t>
  </si>
  <si>
    <t>CHP</t>
  </si>
  <si>
    <t>CHI</t>
  </si>
  <si>
    <t>FUES - FUNDAÇÕES E ESTRUTURAS</t>
  </si>
  <si>
    <t xml:space="preserve"> 00004491 </t>
  </si>
  <si>
    <t>PONTALETE *7,5 X 7,5* CM EM PINUS, MISTA OU EQUIVALENTE DA REGIAO - BRUTA</t>
  </si>
  <si>
    <t xml:space="preserve"> 91283 </t>
  </si>
  <si>
    <t>CORTADORA DE PISO COM MOTOR 4 TEMPOS A GASOLINA, POTÊNCIA DE 13 HP, COM DISCO DE CORTE DIAMANTADO SEGMENTADO PARA CONCRETO, DIÂMETRO DE 350 MM, FURO DE 1" (14 X 1") - CHP DIURNO. AF_08/2015</t>
  </si>
  <si>
    <t xml:space="preserve"> 91285 </t>
  </si>
  <si>
    <t>CORTADORA DE PISO COM MOTOR 4 TEMPOS A GASOLINA, POTÊNCIA DE 13 HP, COM DISCO DE CORTE DIAMANTADO SEGMENTADO PARA CONCRETO, DIÂMETRO DE 350 MM, FURO DE 1" (14 X 1") - CHI DIURNO. AF_08/2015</t>
  </si>
  <si>
    <t>MOVT - MOVIMENTO DE TERRA</t>
  </si>
  <si>
    <t xml:space="preserve"> 91277 </t>
  </si>
  <si>
    <t>PLACA VIBRATÓRIA REVERSÍVEL COM MOTOR 4 TEMPOS A GASOLINA, FORÇA CENTRÍFUGA DE 25 KN (2500 KGF), POTÊNCIA 5,5 CV - CHP DIURNO. AF_08/2015</t>
  </si>
  <si>
    <t>A</t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</si>
  <si>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</si>
  <si>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</si>
  <si>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</si>
  <si>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</si>
  <si>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</si>
  <si>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</si>
  <si>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</si>
  <si>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Custo Horário de Equipamentos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</si>
  <si>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</si>
  <si>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</si>
  <si>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</si>
  <si>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</si>
  <si>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</si>
  <si>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 xml:space="preserve"> 00000370 </t>
  </si>
  <si>
    <t>AREIA MEDIA - POSTO JAZIDA/FORNECEDOR (RETIRADO NA JAZIDA, SEM TRANSPORTE)</t>
  </si>
  <si>
    <t>kg</t>
  </si>
  <si>
    <t>B</t>
  </si>
  <si>
    <t>Salário Hora</t>
  </si>
  <si>
    <t>P9824</t>
  </si>
  <si>
    <t>Servente</t>
  </si>
  <si>
    <t>Custo Horário da Mão de Obra =&gt;</t>
  </si>
  <si>
    <t>Adc.M.O. - Ferramentas (0,0%) =&gt;</t>
  </si>
  <si>
    <t>C</t>
  </si>
  <si>
    <t>Unidade</t>
  </si>
  <si>
    <t>Preço Unitário</t>
  </si>
  <si>
    <t>Custo Total do Material =&gt;</t>
  </si>
  <si>
    <t>D</t>
  </si>
  <si>
    <t>Atividades Auxiliares</t>
  </si>
  <si>
    <t>Atividade Auxiliar</t>
  </si>
  <si>
    <t>Fôrmas de tábuas de pinho para dispositivos de drenagem - utilização de 3 vezes - confecção, instalação e retirada</t>
  </si>
  <si>
    <t>Custo Total das Atividades =&gt;</t>
  </si>
  <si>
    <t>E</t>
  </si>
  <si>
    <t>Tempos Fixos</t>
  </si>
  <si>
    <t>Tempo Fixo</t>
  </si>
  <si>
    <t>Carga, manobra e descarga de materiais diversos em caminhão carroceria de 15 t - carga e descarga manuais</t>
  </si>
  <si>
    <t>Custo Total dos Tempos Fixos =&gt;</t>
  </si>
  <si>
    <t>F</t>
  </si>
  <si>
    <t>Momento de Transporte</t>
  </si>
  <si>
    <t>Distância Média de Transporte (DMT)</t>
  </si>
  <si>
    <t>LN</t>
  </si>
  <si>
    <t>RP</t>
  </si>
  <si>
    <t>P</t>
  </si>
  <si>
    <t>tkm</t>
  </si>
  <si>
    <t>5914449
0,000
R$ 1,14</t>
  </si>
  <si>
    <t>5914464
0,000
R$ 0,91</t>
  </si>
  <si>
    <t>5914479
0,000
R$ 0,75</t>
  </si>
  <si>
    <t>Custo total dos Momentos de Transportes =&gt;</t>
  </si>
  <si>
    <t>E9571</t>
  </si>
  <si>
    <t>Caminhão tanque com capacidade de 10.000 l - 188 kW</t>
  </si>
  <si>
    <t>E9518</t>
  </si>
  <si>
    <t>Grade de 24 discos rebocável de D = 60 cm (24")</t>
  </si>
  <si>
    <t>E9524</t>
  </si>
  <si>
    <t>Motoniveladora - 93 kW</t>
  </si>
  <si>
    <t>E9762</t>
  </si>
  <si>
    <t>Rolo compactador de pneus autopropelido de 27 t - 85 kW</t>
  </si>
  <si>
    <t>E9685</t>
  </si>
  <si>
    <t>Rolo compactador pé de carneiro vibratório autopropelido por pneus de 11,6 t - 82 kW</t>
  </si>
  <si>
    <t>E9577</t>
  </si>
  <si>
    <t>Trator agrícola sobre pneus - 77 kW</t>
  </si>
  <si>
    <t>Escavação e carga de material de jazida com escavadeira hidráulica de 1,56 m³</t>
  </si>
  <si>
    <t>Carga, manobra e descarga de agregados ou solos em caminhão basculante de 10 m³ - carga com escavadeira de 1,56 m³ (exclusa) e descarga livre</t>
  </si>
  <si>
    <t>Escavação e carga de material de jazida com escavadeira hidráulica de 1,56 m³ - Caminhão basculante com capacidade de 10 m³ - 188 kW</t>
  </si>
  <si>
    <t>5914359
0,000
R$ 1,22</t>
  </si>
  <si>
    <t>5914374
0,000
R$ 0,98</t>
  </si>
  <si>
    <t>5914389
0,000
R$ 0,81</t>
  </si>
  <si>
    <t xml:space="preserve"> 88260 </t>
  </si>
  <si>
    <t>CALCETEIRO COM ENCARGOS COMPLEMENTARES</t>
  </si>
  <si>
    <t xml:space="preserve"> 91278 </t>
  </si>
  <si>
    <t>PLACA VIBRATÓRIA REVERSÍVEL COM MOTOR 4 TEMPOS A GASOLINA, FORÇA CENTRÍFUGA DE 25 KN (2500 KGF), POTÊNCIA 5,5 CV - CHI DIURNO. AF_08/2015</t>
  </si>
  <si>
    <t xml:space="preserve"> 00004741 </t>
  </si>
  <si>
    <t>PO DE PEDRA (POSTO PEDREIRA/FORNECEDOR, SEM FRETE)</t>
  </si>
  <si>
    <t>P9830</t>
  </si>
  <si>
    <t>Montador</t>
  </si>
  <si>
    <t>E9511</t>
  </si>
  <si>
    <t>Carregadeira de pneus com capacidade de 3,40 m³ - 195 kW</t>
  </si>
  <si>
    <t>E9540</t>
  </si>
  <si>
    <t>Trator sobre esteiras com lâmina - 127 kW</t>
  </si>
  <si>
    <t>CRONOGRAMA FÍSICO-FINANCEIRO</t>
  </si>
  <si>
    <t>OBRA:</t>
  </si>
  <si>
    <t>90 DIAS</t>
  </si>
  <si>
    <t>ITEM</t>
  </si>
  <si>
    <t>DISCRIMINAÇÃO DOS SERVIÇOS</t>
  </si>
  <si>
    <t>VALORES ITENS</t>
  </si>
  <si>
    <t>PERÍODOS</t>
  </si>
  <si>
    <t>TOTAIS MÊS</t>
  </si>
  <si>
    <t>VALOR</t>
  </si>
  <si>
    <t>PERC.</t>
  </si>
  <si>
    <t>%</t>
  </si>
  <si>
    <t>(R$)</t>
  </si>
  <si>
    <t>30 DIAS</t>
  </si>
  <si>
    <t>60 DIAS</t>
  </si>
  <si>
    <t>R$</t>
  </si>
  <si>
    <t>TOTAIS MENSAIS ►</t>
  </si>
  <si>
    <t>TOTAIS ACUMULADOS ►</t>
  </si>
  <si>
    <t>Engenheiro Civil</t>
  </si>
  <si>
    <t>POTIGUAR CONSTRUTORA LTDA - CNPJ/MF n° 10.791.675/0001-50,  sediada no Sítio Jacarandá, S/N, Sala 02, Rodovia RN 233, Zona Rural, Município de Caraúbas– RN, CEP: 59780-000, anderson.marques@potipedras.com.br, TEL: (84) 3271-8700, (84) 99900-1350</t>
  </si>
  <si>
    <t>CREA nº 210043491-8</t>
  </si>
  <si>
    <t>QUADRO DAS TAXAS DE ENCARGOS SOCIAIS</t>
  </si>
  <si>
    <t>DESCRIÇÃO</t>
  </si>
  <si>
    <t>HORISTA</t>
  </si>
  <si>
    <t>MENSAL</t>
  </si>
  <si>
    <t>Encargos Sociais Básicos</t>
  </si>
  <si>
    <t>A1</t>
  </si>
  <si>
    <t>Previdência Social (desonerado lei federal Nº12.546)</t>
  </si>
  <si>
    <t>A2</t>
  </si>
  <si>
    <t>Fundo de Garantia por Tempo de Serviços</t>
  </si>
  <si>
    <t>A3</t>
  </si>
  <si>
    <t>Salário-Educação</t>
  </si>
  <si>
    <t>A4</t>
  </si>
  <si>
    <t>SESI</t>
  </si>
  <si>
    <t>A5</t>
  </si>
  <si>
    <t>SENAI</t>
  </si>
  <si>
    <t>A6</t>
  </si>
  <si>
    <t>SEBRAE</t>
  </si>
  <si>
    <t>A7</t>
  </si>
  <si>
    <t>INCRA</t>
  </si>
  <si>
    <t>A8</t>
  </si>
  <si>
    <t>INSS</t>
  </si>
  <si>
    <t>Sub-total A</t>
  </si>
  <si>
    <t>PINTURA DE BANQUETA/MEIO FIO A CAL(2DEMÃOS)</t>
  </si>
  <si>
    <t>B1</t>
  </si>
  <si>
    <t>Repouso semanal e feriados</t>
  </si>
  <si>
    <t>B2</t>
  </si>
  <si>
    <t>Auxilio-enfermidade</t>
  </si>
  <si>
    <t xml:space="preserve">B3 </t>
  </si>
  <si>
    <t>Licença-paternidade</t>
  </si>
  <si>
    <t>B4</t>
  </si>
  <si>
    <t xml:space="preserve">13º Salário </t>
  </si>
  <si>
    <t>B5</t>
  </si>
  <si>
    <t>Dias de chuva, faltas justificadas na obra, outras dificuldades, acidentes de trabalho, greves, falta ou atraso na entrega de materiais ou serviços</t>
  </si>
  <si>
    <t>Sub-total B</t>
  </si>
  <si>
    <t>Encargos Sociais que não recebem incidências globais de A</t>
  </si>
  <si>
    <t>C1</t>
  </si>
  <si>
    <t xml:space="preserve">Depósito por despedida injusta 50% sobre [A2+(A2xB)] </t>
  </si>
  <si>
    <t>C2</t>
  </si>
  <si>
    <t>Férias (indenizadas)</t>
  </si>
  <si>
    <t>C3</t>
  </si>
  <si>
    <t>Aviso-prévio (indenização)</t>
  </si>
  <si>
    <t>Sub-total C</t>
  </si>
  <si>
    <t>Total das Taxas incidências e reincidências</t>
  </si>
  <si>
    <t>D1</t>
  </si>
  <si>
    <t>Reincidência de A sobre B</t>
  </si>
  <si>
    <t>D2</t>
  </si>
  <si>
    <t>Reincidência de A-A9 sobre C3</t>
  </si>
  <si>
    <t>Sub-total D</t>
  </si>
  <si>
    <t>Total ( A+B+C+D)</t>
  </si>
  <si>
    <t>120 DIAS</t>
  </si>
  <si>
    <t>O PRESENTE ORÇAMENTO IMPORTA O VALOR DE:</t>
  </si>
  <si>
    <t>VALOR C/BDI:</t>
  </si>
  <si>
    <t xml:space="preserve">ANDERSON DA SILVA MARQUES         </t>
  </si>
  <si>
    <t xml:space="preserve">   CREA RN Nº 210043491-8</t>
  </si>
  <si>
    <t>POTIGUAR CONSTRUTORA LTDA</t>
  </si>
  <si>
    <t xml:space="preserve">BDI DA OBRA ADOTADO </t>
  </si>
  <si>
    <t>SERVIÇOS COMUNS DE ENGENHARIA PARA PAVIMENTAÇÃO EM BLOCO DE CONCRETO INTERTRAVADO (BLOQUETE) EM DIVERSOS MUNICÍPIOS NA ÁREA DE ATUAÇÃO DO DNOCS - ESTADO DO RIO GRANDE DO NORTE</t>
  </si>
  <si>
    <t xml:space="preserve">SINAPI - 02/2024 - Rio Grande do Norte
SICRO3 - 01/2024 - Rio Grande do Norte
</t>
  </si>
  <si>
    <t>21,35%</t>
  </si>
  <si>
    <t>Orçamento Sintético</t>
  </si>
  <si>
    <t>08</t>
  </si>
  <si>
    <t>08.01</t>
  </si>
  <si>
    <t>08.01.01</t>
  </si>
  <si>
    <t xml:space="preserve"> COMP-283 </t>
  </si>
  <si>
    <t>MOBILIZAÇÃO E DESMOBILIZAÇÃO - TRANSPORTE COM CAVALO MECÂNICO DOS EQUIPAMENTOS PESADOS - RODOVIA PAVIMENTADA</t>
  </si>
  <si>
    <t>08.01.02</t>
  </si>
  <si>
    <t xml:space="preserve"> COMP-284 </t>
  </si>
  <si>
    <t>MOBILIZAÇÃO E DESMOBILIZAÇÃO - TRANSPORTE COM CAVALO MECÂNICO DOS EQUIPAMENTOS PESADOS - RODOVIA REVESTIMENTO PRIMÁRIO</t>
  </si>
  <si>
    <t>08.01.03</t>
  </si>
  <si>
    <t xml:space="preserve"> COMP-285 </t>
  </si>
  <si>
    <t>PLACA DE OBRA - PADRÃO GOVERNO FEDERAL DE DIMENSÕES 3 M X 2 M, EM CHAPA DE AÇO GALVANIZADO</t>
  </si>
  <si>
    <t>UND</t>
  </si>
  <si>
    <t>08.01.04</t>
  </si>
  <si>
    <t xml:space="preserve"> COMP-287 </t>
  </si>
  <si>
    <t>PROJETO EXECUTIVO DE PAVIMENTAÇÃO INCLUSO TOPOGRAFIA (NOTA DE SERVIÇOS, ACOMPANHAMENTO E GREIDE), ENSAIOS TECNOLÓGICOS DAS JAZIDAS, ACOMPANHAMENTO TÉCNICO PARA AS LICENÇAS OBRIGATÓRIAS</t>
  </si>
  <si>
    <t>08.01.05</t>
  </si>
  <si>
    <t xml:space="preserve"> COMP-288 </t>
  </si>
  <si>
    <t>ADMINISTRAÇÃO LOCAL, CANTEIRO DE OBRAS, ALMOXARIFADO E ENTREGA DO PROJETO "AS BUILT", INCLUSO ACOMPANHAMENTO TÉCNICO</t>
  </si>
  <si>
    <t>08.01.06</t>
  </si>
  <si>
    <t xml:space="preserve"> COMP-289 </t>
  </si>
  <si>
    <t>ENSAIOS LABORATORIAIS (ACOMPANHAMENTO E CUMPRIMENTO DA NORMA DNIT 147/2012-ES)</t>
  </si>
  <si>
    <t>08.01.07</t>
  </si>
  <si>
    <t xml:space="preserve"> COMP-296 </t>
  </si>
  <si>
    <t>INDENIZAÇÃO DE JAZIDA (DEVERÁ SER COMPROVADO ATRAVÉS DE CONTRATO COM O PROPRIETÁRIO DA TERRA)</t>
  </si>
  <si>
    <t>08.02</t>
  </si>
  <si>
    <t>TERRAPLENAGEM</t>
  </si>
  <si>
    <t>08.02.01</t>
  </si>
  <si>
    <t xml:space="preserve"> COMP-295 </t>
  </si>
  <si>
    <t>SERVIÇOS TOPOGRÁFICOS PARA PAVIMENTAÇÃO, INCLUSIVE NOTA DE SERVIÇOS, ACOMPANHAMENTO E GREIDE</t>
  </si>
  <si>
    <t>08.02.02</t>
  </si>
  <si>
    <t xml:space="preserve"> 5501901 </t>
  </si>
  <si>
    <t>Escavação, carga e transporte de material de 1ª categoria - DMT de 50 a 200 m - caminho de serviço em revestimento primário - com carregadeira e caminhão basculante de 14 m³</t>
  </si>
  <si>
    <t>08.02.03</t>
  </si>
  <si>
    <t xml:space="preserve"> 4011209 </t>
  </si>
  <si>
    <t>Regularização do subleito</t>
  </si>
  <si>
    <t>08.02.04</t>
  </si>
  <si>
    <t xml:space="preserve"> 5914351 </t>
  </si>
  <si>
    <t>Carga, manobra e descarga de agregados ou solos em caminhão basculante de 14 m³ - carga com carregadeira de 3,40 m³ e descarga livre</t>
  </si>
  <si>
    <t>08.02.05</t>
  </si>
  <si>
    <t xml:space="preserve"> 5915320 </t>
  </si>
  <si>
    <t>Transporte com caminhão basculante de 14 m³ - rodovia em revestimento primário</t>
  </si>
  <si>
    <t>08.02.06</t>
  </si>
  <si>
    <t xml:space="preserve"> 5915321 </t>
  </si>
  <si>
    <t>Transporte com caminhão basculante de 14 m³ - rodovia pavimentada</t>
  </si>
  <si>
    <t>08.02.07</t>
  </si>
  <si>
    <t xml:space="preserve"> 4413942 </t>
  </si>
  <si>
    <t>Espalhamento de material em bota-fora</t>
  </si>
  <si>
    <t>08.03</t>
  </si>
  <si>
    <t>08.03.01</t>
  </si>
  <si>
    <t>08.03.02</t>
  </si>
  <si>
    <t>Transporte com caminhão basculante de 14 m³ - rodovia em revestimento primário (DMT jazida = 10 km)</t>
  </si>
  <si>
    <t>08.03.03</t>
  </si>
  <si>
    <t>Transporte com caminhão basculante de 14 m³ - rodovia pavimentada (DMT jazida = 15 km)</t>
  </si>
  <si>
    <t>08.03.04</t>
  </si>
  <si>
    <t xml:space="preserve"> COMP-299 </t>
  </si>
  <si>
    <t>EXECUÇÃO DE PAVIMENTO EM PISO INTERTRAVADO DE CONCRETO 35 MPA, ESPESSURA 8 CM, TIPOS: RAQUETE, RETANGULAR, SEXTAVADO E 16 FACES, COM REJUNTE EM PÓ DE PEDRA - EXCLUSIVE FORNECIMENTO DE BLOQUETE</t>
  </si>
  <si>
    <t>08.03.05</t>
  </si>
  <si>
    <t xml:space="preserve"> 5915013 </t>
  </si>
  <si>
    <t>Transporte com caminhão carroceria com capacidade de 11 t e com guindauto de 45 t.m - rodovia em revestimento primário</t>
  </si>
  <si>
    <t>08.03.06</t>
  </si>
  <si>
    <t xml:space="preserve"> 5915014 </t>
  </si>
  <si>
    <t>Transporte com caminhão carroceria com capacidade de 11 t e com guindauto de 45 t.m - rodovia pavimentada</t>
  </si>
  <si>
    <t>08.03.07</t>
  </si>
  <si>
    <t>08.03.08</t>
  </si>
  <si>
    <t>08.03.09</t>
  </si>
  <si>
    <t xml:space="preserve"> COMP-298 </t>
  </si>
  <si>
    <t>FORNECIMENTO DE PAVIMENTO INTERTRAVADO DE CONCRETO 35 MPA, ESPESSURA 8 CM, TIPOS: RAQUETE, RETANGULAR, SEXTAVADO E 16 FACES</t>
  </si>
  <si>
    <t>08.04</t>
  </si>
  <si>
    <t>DRENAGEM</t>
  </si>
  <si>
    <t>08.04.01</t>
  </si>
  <si>
    <t xml:space="preserve"> 2003377 </t>
  </si>
  <si>
    <t>Meio-fio de concreto - MFC 05 - areia e brita comerciais - fôrma de madeira</t>
  </si>
  <si>
    <t>08.05</t>
  </si>
  <si>
    <t>SINALIZAÇÃO HORIZONTAL E VERTICAL</t>
  </si>
  <si>
    <t>08.05.01</t>
  </si>
  <si>
    <t xml:space="preserve"> 5213440 </t>
  </si>
  <si>
    <t>Placa de regulamentação em aço D = 0,60 m - película retrorrefletiva tipo I + SI - fornecimento e implantação</t>
  </si>
  <si>
    <t xml:space="preserve"> 5213863 </t>
  </si>
  <si>
    <t>Suporte metálico galvanizado para placa de advertência ou regulamentação - lado ou diâmetro de 0,60 m - fornecimento e implantação</t>
  </si>
  <si>
    <t>08.06</t>
  </si>
  <si>
    <t>SERVIÇOS COMPLEMENTARES</t>
  </si>
  <si>
    <t>08.06.01</t>
  </si>
  <si>
    <t xml:space="preserve"> COMP-292 </t>
  </si>
  <si>
    <t>LEVANTAMENTO DE TAMPÃO DE POÇO DE VISITA, INCLUINDO RETIRADA E ACRÉSCIMO DE PISO EM CONCRETO ARMADO, E= 6 CM, COM ABERTURA CIRCULAR DE 600 MM PARA TAMPÃO</t>
  </si>
  <si>
    <t>08.06.02</t>
  </si>
  <si>
    <t xml:space="preserve"> COMP-294 </t>
  </si>
  <si>
    <t>RECUPERAÇÃO DO RAMAL PREDIAL DANIFICADO</t>
  </si>
  <si>
    <t xml:space="preserve"> 5914640 </t>
  </si>
  <si>
    <t>Transporte com cavalo mecânico com semirreboque com capacidade de 30 t - rodovia pavimentada</t>
  </si>
  <si>
    <t xml:space="preserve"> 5914639 </t>
  </si>
  <si>
    <t>Transporte com cavalo mecânico com semirreboque com capacidade de 30 t - rodovia em revestimento primário</t>
  </si>
  <si>
    <t xml:space="preserve"> 94962 </t>
  </si>
  <si>
    <t>CONCRETO MAGRO PARA LASTRO, TRAÇO 1:4,5:4,5 (EM MASSA SECA DE CIMENTO/ AREIA MÉDIA/ BRITA 1) - PREPARO MECÂNICO COM BETONEIRA 400 L. AF_05/2021</t>
  </si>
  <si>
    <t xml:space="preserve"> 00004417 </t>
  </si>
  <si>
    <t>SARRAFO NAO APARELHADO *2,5 X 7* CM, EM MACARANDUBA/MASSARANDUBA, ANGELIM, PEROBA-ROSA OU EQUIVALENTE DA REGIAO - BRUTA</t>
  </si>
  <si>
    <t xml:space="preserve"> 00005075 </t>
  </si>
  <si>
    <t>PREGO DE ACO POLIDO COM CABECA 18 X 30 (2 3/4 X 10)</t>
  </si>
  <si>
    <t xml:space="preserve"> 90781 </t>
  </si>
  <si>
    <t>TOPOGRAFO COM ENCARGOS COMPLEMENTARES</t>
  </si>
  <si>
    <t xml:space="preserve"> 88253 </t>
  </si>
  <si>
    <t>AUXILIAR DE TOPÓGRAFO COM ENCARGOS COMPLEMENTARES</t>
  </si>
  <si>
    <t xml:space="preserve"> 90775 </t>
  </si>
  <si>
    <t>DESENHISTA PROJETISTA COM ENCARGOS COMPLEMENTARES</t>
  </si>
  <si>
    <t xml:space="preserve"> 88321 </t>
  </si>
  <si>
    <t>TÉCNICO DE LABORATÓRIO COM ENCARGOS COMPLEMENTARES</t>
  </si>
  <si>
    <t xml:space="preserve"> INS-134 </t>
  </si>
  <si>
    <t>ENGENHEIRO DE PROJETOS JÚNIOR (ELABORAÇÃO DE PROJETO EXECUTIVO)</t>
  </si>
  <si>
    <t xml:space="preserve"> INS-148 </t>
  </si>
  <si>
    <t>EQUIPAMENTOS DE TOPOGRAFIA - (LEVANTAMENTOS DE CAMPO)</t>
  </si>
  <si>
    <t>Aluguel</t>
  </si>
  <si>
    <t>DIA</t>
  </si>
  <si>
    <t xml:space="preserve"> INS-135 </t>
  </si>
  <si>
    <t>LABORATÓRIO DE SOLOS</t>
  </si>
  <si>
    <t xml:space="preserve"> INS-136 </t>
  </si>
  <si>
    <t>SERVIÇOS GRÁFICOS E IMPRESSÃO - (IMPRESSÃO DOS RELATÓRIOS)</t>
  </si>
  <si>
    <t xml:space="preserve"> INS-137 </t>
  </si>
  <si>
    <t>ENGENHEIRO AMBIENTAL JÚNIOR (ACOMPANHAMENTO TÉCNICO PARA EMISSÃO DE LICENÇAS)</t>
  </si>
  <si>
    <t xml:space="preserve"> INS-138 </t>
  </si>
  <si>
    <t>VEICULO LEVE PICK UP GASOLINA (SEM MOTORISTA) - (LOCAÇÃO + COMBUSTÍVEL + MANUTENÇÃO) - (DESLOCAMENTOS DOS LEVANTAMENTOS DE CAMPO)</t>
  </si>
  <si>
    <t xml:space="preserve"> INS-129 </t>
  </si>
  <si>
    <t>ART - CREA - (ART DO PROJETISTA)</t>
  </si>
  <si>
    <t>Outros</t>
  </si>
  <si>
    <t xml:space="preserve"> 101460 </t>
  </si>
  <si>
    <t xml:space="preserve"> 73847/004 </t>
  </si>
  <si>
    <t>ALUGUEL CONTAINER/SANIT C/4 VASOS/1 LAVAT/1 MIC/4 CHUV LARG=          2,20M COMPR=6,20M ALT=2,50M CHAPAS ACO C/NERV TRAPEZ FORRO C/         ISOL TERMO-ACUST CHASSIS REFORC PISO COMPENS NAVAL INCL INST RA       ELETR/HIDRO-SANIT EXCL TRANSP/CARGA/DESCARGA</t>
  </si>
  <si>
    <t xml:space="preserve"> INS-139 </t>
  </si>
  <si>
    <t>VEICULO LEVE - 53 KW (SEM MOTORISTA) - (LOCAÇÃO + COMBUSTÍVEL + MANUTENÇÃO) - (TOPOGRAFIA E MEDIÇÃO + ACOMPANHAMENTO)</t>
  </si>
  <si>
    <t>Transporte</t>
  </si>
  <si>
    <t>MÊS</t>
  </si>
  <si>
    <t xml:space="preserve"> INS-140 </t>
  </si>
  <si>
    <t>ALUGUEL DE IMÓVEL RESIDENCIAL (ALOJAMENTO)</t>
  </si>
  <si>
    <t xml:space="preserve"> INS-141 </t>
  </si>
  <si>
    <t>MOBILIÁRIO DE RESIDÊNCIA</t>
  </si>
  <si>
    <t xml:space="preserve"> INS-142 </t>
  </si>
  <si>
    <t>CUSTOS DIVERSOS DE RESIDÊNCIA (ALOJAMENTO)</t>
  </si>
  <si>
    <t xml:space="preserve"> INS-143 </t>
  </si>
  <si>
    <t>VEÍCULO LEVE PICK UP 4X4 DIESEL - 147 KW (SEM MOTORISTA) - (LOCAÇÃO + COMBUSTÍVEL + MANUTENÇÃO) - (VEÍCULO DA FISCALIZAÇÃO)</t>
  </si>
  <si>
    <t xml:space="preserve"> INS-144 </t>
  </si>
  <si>
    <t>MOTORISTA DE VEÍCULO LEVE COM ENCARGOS COMPLEMENTARES (VEÍCULO DA FISCALIZAÇÃO)</t>
  </si>
  <si>
    <t xml:space="preserve"> 101456 </t>
  </si>
  <si>
    <t>TÉCNICO DE LABORATÓRIO E CAMPO DE CONSTRUÇÃO COM ENCARGOS COMPLEMENTARES</t>
  </si>
  <si>
    <t xml:space="preserve"> 101385 </t>
  </si>
  <si>
    <t>AUXILIAR DE LABORATORISTA DE SOLOS E DE CONCRETO COM ENCARGOS COMPLEMENTARES</t>
  </si>
  <si>
    <t xml:space="preserve"> INS-146 </t>
  </si>
  <si>
    <t xml:space="preserve"> INS-147 </t>
  </si>
  <si>
    <t>VEÍCULO LEVE PICK UP GASOLINA (SEM MOTORISTA) - (LOCAÇÃO + COMBUSTÍVEL + MANUTENÇÃO)</t>
  </si>
  <si>
    <t xml:space="preserve"> C2840 </t>
  </si>
  <si>
    <t>INDENIZAÇÃO DE JAZIDA</t>
  </si>
  <si>
    <t>INDENIZAÇÕES</t>
  </si>
  <si>
    <t xml:space="preserve"> 92145 </t>
  </si>
  <si>
    <t>CAMINHONETE CABINE SIMPLES COM MOTOR 1.6 FLEX, CÂMBIO MANUAL, POTÊNCIA 101/104 CV, 2 PORTAS - CHP DIURNO. AF_11/2015</t>
  </si>
  <si>
    <t xml:space="preserve"> 88288 </t>
  </si>
  <si>
    <t>NIVELADOR COM ENCARGOS COMPLEMENTARES</t>
  </si>
  <si>
    <t>E9667</t>
  </si>
  <si>
    <t>Caminhão basculante com capacidade de 14 m³ - 188 kW</t>
  </si>
  <si>
    <t>E9541</t>
  </si>
  <si>
    <t>Trator sobre esteiras com lâmina - 259 kW</t>
  </si>
  <si>
    <t xml:space="preserve"> 92398 </t>
  </si>
  <si>
    <t>EXECUÇÃO DE PAVIMENTO EM PISO INTERTRAVADO, COM BLOCO RETANGULAR COR NATURAL DE 20 X 10 CM, ESPESSURA 8 CM. AF_10/2022</t>
  </si>
  <si>
    <t>E9041</t>
  </si>
  <si>
    <t>Caminhão carroceria com guindauto com capacidade de 45 t.m - 188 kW</t>
  </si>
  <si>
    <t xml:space="preserve"> 00036170 </t>
  </si>
  <si>
    <t>BLOQUETE/PISO INTERTRAVADO DE CONCRETO - MODELO ONDA/16 FACES/RETANGULAR/TIJOLINHO/PAVER/HOLANDES/PARALELEPIPEDO, *22 CM X 11* CM, E = 8 CM, RESISTENCIA DE 35 MPA (NBR 9781), COR NATURAL</t>
  </si>
  <si>
    <t>Concreto fck = 20 MPa - confecção em betoneira e lançamento manual - areia e brita comerciais</t>
  </si>
  <si>
    <t>Enchimento de junta de concreto com argamassa asfáltica de densidade 1.700 kg/m³ - espessura de 1 cm</t>
  </si>
  <si>
    <t>Escavação manual em material de 1ª categoria na profundidade de até 1 m</t>
  </si>
  <si>
    <t>E9687</t>
  </si>
  <si>
    <t>Caminhão carroceria com capacidade de 5 t - 115 kW</t>
  </si>
  <si>
    <t>Placa em aço nº 16 galvanizado com película retrorrefletiva tipo I + SI - confecção</t>
  </si>
  <si>
    <t>M0789</t>
  </si>
  <si>
    <t>Conjunto para fixação de placas em aço galvanizado composto por barra chata, abraçadeira, parafusos, porcas e arruelas</t>
  </si>
  <si>
    <t>M0787</t>
  </si>
  <si>
    <t>Suporte em aço-carbono galvanizado tipo perfil C para placa de sinalização</t>
  </si>
  <si>
    <t>Conjunto para fixação de placas em aço galvanizado composto por barra chata, abraçadeira, parafusos, porcas e arruelas - Caminhão carroceria com capacidade de 15 t - 188 kW</t>
  </si>
  <si>
    <t>Suporte em aço-carbono galvanizado tipo perfil C para placa de sinalização - Caminhão carroceria com capacidade de 15 t - 188 kW</t>
  </si>
  <si>
    <t xml:space="preserve"> INS-132 </t>
  </si>
  <si>
    <t>RETIRADA DE TAMPÃO DE FERRO FUNDIDO 600 MM COM REAPROVEITAMENTO, INC_05/2018</t>
  </si>
  <si>
    <t xml:space="preserve"> INS-133 </t>
  </si>
  <si>
    <t>LEVANTAMENTO OU REBAIXAMENTO DE TAMPÃO DE POÇO DE VISITA</t>
  </si>
  <si>
    <t xml:space="preserve"> 88267 </t>
  </si>
  <si>
    <t>ENCANADOR OU BOMBEIRO HIDRÁULICO COM ENCARGOS COMPLEMENTARES</t>
  </si>
  <si>
    <t xml:space="preserve"> 00009867 </t>
  </si>
  <si>
    <t>TUBO PVC, SOLDAVEL, DE 20 MM, AGUA FRIA (NBR-5648)</t>
  </si>
  <si>
    <t xml:space="preserve"> G0673 </t>
  </si>
  <si>
    <t>ARCO DE SERRA, COM SISTEMA RÁPIDO PARA TROCA DE LÂMINA E REGULAGEM DE TENSÃO
REFERÊNCIA: 12”</t>
  </si>
  <si>
    <t xml:space="preserve"> 00003859 </t>
  </si>
  <si>
    <t>LUVA SOLDAVEL COM ROSCA, PVC, 20 MM X 1/2", PARA AGUA FRIA PREDIAL</t>
  </si>
  <si>
    <t>SERVIÇO</t>
  </si>
  <si>
    <t>TOTAL</t>
  </si>
  <si>
    <t>PREÇO POR M² C/ BDI</t>
  </si>
  <si>
    <t>VALORES</t>
  </si>
  <si>
    <t>SERVIÇOS DE PAVIMENTAÇÃO EM BLOCO INTERTRAVADO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</si>
  <si>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</si>
  <si>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</si>
  <si>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</si>
  <si>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</si>
  <si>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</si>
  <si>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</si>
  <si>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</si>
  <si>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</si>
  <si>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</si>
  <si>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150 DIAS</t>
  </si>
  <si>
    <t>180 DIAS</t>
  </si>
  <si>
    <t>210 DIAS</t>
  </si>
  <si>
    <t>240 DIAS</t>
  </si>
  <si>
    <t>270 DIAS</t>
  </si>
  <si>
    <t>ELABORAÇÃO DOS PROJETOS EXECUTIVOS</t>
  </si>
  <si>
    <t xml:space="preserve"> 08.01.2 </t>
  </si>
  <si>
    <t xml:space="preserve"> 08.01.3 </t>
  </si>
  <si>
    <t xml:space="preserve"> 08.01.4 </t>
  </si>
  <si>
    <t>VIGIA NOTURNO COM ENCARGOS COMPLEMENTARES</t>
  </si>
  <si>
    <t>ART CREA</t>
  </si>
  <si>
    <t>SERVIÇOS DE PAVIMENTAÇÃO EM BLOCO DE CONCRETO INTERTRAVADO (BLOQUETE) NO ESTADO DO RIO GRANDE DO NORTE</t>
  </si>
  <si>
    <t>15,28% (Fornecimento)</t>
  </si>
  <si>
    <t>Dezoito milhões, setecentos e três mil, quinhentos e seis reais e cinco centavos</t>
  </si>
  <si>
    <t>15,28% (fornecimento)</t>
  </si>
  <si>
    <t>08.05.02</t>
  </si>
  <si>
    <t>Anderson da Silva Marques</t>
  </si>
  <si>
    <t>Engenheiro Civil / Responsável Técnico</t>
  </si>
  <si>
    <t>CPF nº 080.819.847-55</t>
  </si>
  <si>
    <t>Seguro</t>
  </si>
  <si>
    <t>Garantia</t>
  </si>
  <si>
    <t>1. Custo de Administração Central - AC</t>
  </si>
  <si>
    <t>2. SEGUROS E GARANTIAS CONTRATUAIS (S+G)</t>
  </si>
  <si>
    <t>3. Risco (R)</t>
  </si>
  <si>
    <t>4. DESPESAS FINANCEIRAS</t>
  </si>
  <si>
    <t>5. LUCRO (L)</t>
  </si>
  <si>
    <t>6. IMPOSTOS E TAXAS</t>
  </si>
  <si>
    <t>ISS</t>
  </si>
  <si>
    <t>PIS</t>
  </si>
  <si>
    <t>COFINS</t>
  </si>
  <si>
    <t>DESCRIÇÃO DOS SERVIÇOS</t>
  </si>
  <si>
    <t>ALÍQUOTA</t>
  </si>
  <si>
    <t xml:space="preserve">BDI (%)       </t>
  </si>
  <si>
    <t>SERVIÇOS COMUNS DE ENGENHARIA PARA PAVIMENTAÇÃO EM BLOCO DE CONCRETO INTERTRAVADO (BLOQUETE) EM DIVERSOS MUNICÍPIOS NA ÁREA DE ATUAÇÃO DO DNOCS NO RIO GRANDE DO NORTE</t>
  </si>
  <si>
    <t>MATERIAL / COTAÇÃO</t>
  </si>
  <si>
    <t>ÁREA TOTAL (m²)</t>
  </si>
  <si>
    <t>VALOR DA ÁREA S/ BDI(R$ 3.046,31*22)/140.000</t>
  </si>
  <si>
    <t>VALOR DA ADMINISTRAÇÃO S/ BDI(R$ 270.863,27/100 UN)</t>
  </si>
  <si>
    <t>VALOR DA ÁREA S/ BDI(R$ 3.691,77*22)/140.000</t>
  </si>
  <si>
    <t>LABORATÓRIO DE CONCRETO</t>
  </si>
  <si>
    <t>8.03.02</t>
  </si>
  <si>
    <t>8.03.07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</si>
</sst>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0"/>
    <numFmt numFmtId="165" formatCode="#,##0.0000000"/>
    <numFmt numFmtId="166" formatCode="0#"/>
    <numFmt numFmtId="167" formatCode="_(* #,##0.00_);_(* \(#,##0.00\);_(* \-??_);_(@_)"/>
    <numFmt numFmtId="168" formatCode="00"/>
    <numFmt numFmtId="169" formatCode="_(* #,##0.00_);_(* \(#,##0.00\);_(* &quot;-&quot;??_);_(@_)"/>
    <numFmt numFmtId="170" formatCode="_-&quot;R$ &quot;* #,##0.00_-;&quot;-R$ &quot;* #,##0.00_-;_-&quot;R$ &quot;* \-??_-;_-@"/>
  </numFmts>
  <fonts count="37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1"/>
      <name val="Arial"/>
      <family val="1"/>
    </font>
    <font>
      <b/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5"/>
      <color theme="0"/>
      <name val="Aptos Narrow"/>
      <family val="2"/>
      <scheme val="minor"/>
    </font>
    <font>
      <b/>
      <sz val="14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Aptos Narrow"/>
      <family val="2"/>
      <scheme val="minor"/>
    </font>
    <font>
      <b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8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12"/>
      <color rgb="FF000000"/>
      <name val="Aptos Narrow"/>
      <family val="2"/>
      <scheme val="minor"/>
    </font>
    <font>
      <b/>
      <sz val="10"/>
      <color rgb="FF000000"/>
      <name val="Aptos Narrow"/>
      <family val="2"/>
      <scheme val="minor"/>
    </font>
    <font>
      <sz val="10"/>
      <color rgb="FF000000"/>
      <name val="Aptos Narrow"/>
      <family val="2"/>
      <scheme val="minor"/>
    </font>
    <font>
      <b/>
      <sz val="13"/>
      <color rgb="FF000000"/>
      <name val="Aptos Narrow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3"/>
      <name val="Aptos Narrow"/>
      <family val="2"/>
      <scheme val="minor"/>
    </font>
    <font>
      <b/>
      <sz val="13"/>
      <color theme="0"/>
      <name val="Aptos Narrow"/>
      <family val="2"/>
      <scheme val="minor"/>
    </font>
    <font>
      <b/>
      <sz val="18"/>
      <color rgb="FF000000"/>
      <name val="Arial"/>
      <family val="2"/>
    </font>
    <font>
      <sz val="8"/>
      <name val="Arial"/>
      <family val="1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666699"/>
        <bgColor rgb="FF3366FF"/>
      </patternFill>
    </fill>
    <fill>
      <patternFill patternType="solid">
        <fgColor rgb="FFC0C0C0"/>
        <bgColor rgb="FFBFBFBF"/>
      </patternFill>
    </fill>
    <fill>
      <patternFill patternType="solid">
        <fgColor rgb="FF33CCCC"/>
        <bgColor rgb="FF00CC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2060"/>
        <bgColor rgb="FF00CCFF"/>
      </patternFill>
    </fill>
    <fill>
      <patternFill patternType="solid">
        <fgColor theme="0"/>
        <bgColor rgb="FFBFBFBF"/>
      </patternFill>
    </fill>
  </fills>
  <borders count="78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theme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000000"/>
      </bottom>
      <diagonal/>
    </border>
    <border>
      <left/>
      <right/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</borders>
  <cellStyleXfs count="7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" fillId="0" borderId="0"/>
    <xf numFmtId="0" fontId="21" fillId="0" borderId="0"/>
    <xf numFmtId="169" fontId="21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43">
    <xf numFmtId="0" fontId="0" fillId="0" borderId="0" xfId="0"/>
    <xf numFmtId="0" fontId="0" fillId="0" borderId="0" xfId="0" applyAlignment="1">
      <alignment horizontal="center" vertical="center"/>
    </xf>
    <xf numFmtId="0" fontId="8" fillId="4" borderId="0" xfId="3" applyFill="1"/>
    <xf numFmtId="0" fontId="8" fillId="0" borderId="0" xfId="3"/>
    <xf numFmtId="4" fontId="10" fillId="0" borderId="0" xfId="3" applyNumberFormat="1" applyFont="1" applyAlignment="1">
      <alignment horizontal="center"/>
    </xf>
    <xf numFmtId="4" fontId="10" fillId="0" borderId="0" xfId="3" applyNumberFormat="1" applyFont="1" applyAlignment="1">
      <alignment horizontal="center" wrapText="1"/>
    </xf>
    <xf numFmtId="0" fontId="11" fillId="0" borderId="0" xfId="3" applyFont="1" applyAlignment="1">
      <alignment horizontal="center"/>
    </xf>
    <xf numFmtId="0" fontId="8" fillId="0" borderId="0" xfId="3" applyAlignment="1">
      <alignment horizontal="center"/>
    </xf>
    <xf numFmtId="166" fontId="15" fillId="0" borderId="0" xfId="3" applyNumberFormat="1" applyFont="1" applyAlignment="1">
      <alignment horizontal="center"/>
    </xf>
    <xf numFmtId="166" fontId="15" fillId="0" borderId="0" xfId="3" applyNumberFormat="1" applyFont="1" applyAlignment="1">
      <alignment horizontal="center" wrapText="1"/>
    </xf>
    <xf numFmtId="4" fontId="16" fillId="0" borderId="0" xfId="3" applyNumberFormat="1" applyFont="1" applyAlignment="1">
      <alignment horizontal="center"/>
    </xf>
    <xf numFmtId="167" fontId="15" fillId="0" borderId="0" xfId="3" applyNumberFormat="1" applyFont="1"/>
    <xf numFmtId="0" fontId="15" fillId="0" borderId="0" xfId="3" applyFont="1"/>
    <xf numFmtId="0" fontId="12" fillId="6" borderId="9" xfId="3" applyFont="1" applyFill="1" applyBorder="1" applyAlignment="1">
      <alignment horizontal="center" vertical="center"/>
    </xf>
    <xf numFmtId="0" fontId="12" fillId="6" borderId="4" xfId="3" applyFont="1" applyFill="1" applyBorder="1" applyAlignment="1">
      <alignment horizontal="center" vertical="center"/>
    </xf>
    <xf numFmtId="0" fontId="12" fillId="6" borderId="4" xfId="3" applyFont="1" applyFill="1" applyBorder="1" applyAlignment="1">
      <alignment horizontal="center" vertical="center" wrapText="1"/>
    </xf>
    <xf numFmtId="10" fontId="19" fillId="6" borderId="22" xfId="3" applyNumberFormat="1" applyFont="1" applyFill="1" applyBorder="1" applyAlignment="1">
      <alignment horizontal="center" vertical="center"/>
    </xf>
    <xf numFmtId="44" fontId="19" fillId="0" borderId="25" xfId="2" applyFont="1" applyBorder="1" applyAlignment="1">
      <alignment horizontal="center" vertical="center"/>
    </xf>
    <xf numFmtId="49" fontId="13" fillId="4" borderId="0" xfId="3" applyNumberFormat="1" applyFont="1" applyFill="1" applyAlignment="1">
      <alignment horizontal="center" vertical="center"/>
    </xf>
    <xf numFmtId="0" fontId="13" fillId="4" borderId="0" xfId="3" applyFont="1" applyFill="1" applyAlignment="1">
      <alignment horizontal="left" vertical="center" shrinkToFit="1"/>
    </xf>
    <xf numFmtId="4" fontId="13" fillId="4" borderId="0" xfId="3" applyNumberFormat="1" applyFont="1" applyFill="1" applyAlignment="1">
      <alignment horizontal="center" vertical="center"/>
    </xf>
    <xf numFmtId="10" fontId="13" fillId="4" borderId="0" xfId="3" applyNumberFormat="1" applyFont="1" applyFill="1" applyAlignment="1">
      <alignment horizontal="center" vertical="center"/>
    </xf>
    <xf numFmtId="4" fontId="14" fillId="4" borderId="0" xfId="3" applyNumberFormat="1" applyFont="1" applyFill="1" applyAlignment="1">
      <alignment horizontal="center" vertical="center"/>
    </xf>
    <xf numFmtId="0" fontId="13" fillId="4" borderId="0" xfId="3" applyFont="1" applyFill="1" applyAlignment="1">
      <alignment horizontal="center" vertical="center"/>
    </xf>
    <xf numFmtId="166" fontId="15" fillId="4" borderId="0" xfId="3" applyNumberFormat="1" applyFont="1" applyFill="1" applyAlignment="1">
      <alignment horizontal="center"/>
    </xf>
    <xf numFmtId="4" fontId="14" fillId="4" borderId="8" xfId="3" applyNumberFormat="1" applyFont="1" applyFill="1" applyBorder="1"/>
    <xf numFmtId="4" fontId="14" fillId="4" borderId="0" xfId="3" applyNumberFormat="1" applyFont="1" applyFill="1"/>
    <xf numFmtId="0" fontId="22" fillId="0" borderId="5" xfId="4" applyFont="1" applyBorder="1"/>
    <xf numFmtId="0" fontId="21" fillId="0" borderId="0" xfId="4"/>
    <xf numFmtId="0" fontId="22" fillId="0" borderId="8" xfId="4" applyFont="1" applyBorder="1" applyAlignment="1">
      <alignment horizontal="left"/>
    </xf>
    <xf numFmtId="1" fontId="22" fillId="0" borderId="8" xfId="4" applyNumberFormat="1" applyFont="1" applyBorder="1"/>
    <xf numFmtId="1" fontId="22" fillId="0" borderId="46" xfId="4" applyNumberFormat="1" applyFont="1" applyBorder="1"/>
    <xf numFmtId="1" fontId="22" fillId="8" borderId="8" xfId="4" applyNumberFormat="1" applyFont="1" applyFill="1" applyBorder="1" applyAlignment="1">
      <alignment horizontal="left"/>
    </xf>
    <xf numFmtId="0" fontId="7" fillId="10" borderId="25" xfId="4" applyFont="1" applyFill="1" applyBorder="1" applyAlignment="1">
      <alignment horizontal="center" vertical="center"/>
    </xf>
    <xf numFmtId="0" fontId="7" fillId="10" borderId="26" xfId="4" applyFont="1" applyFill="1" applyBorder="1" applyAlignment="1">
      <alignment horizontal="center" vertical="center"/>
    </xf>
    <xf numFmtId="0" fontId="7" fillId="0" borderId="25" xfId="4" applyFont="1" applyBorder="1" applyAlignment="1">
      <alignment horizontal="center" vertical="center"/>
    </xf>
    <xf numFmtId="0" fontId="7" fillId="0" borderId="26" xfId="4" applyFont="1" applyBorder="1" applyAlignment="1">
      <alignment horizontal="center" vertical="center"/>
    </xf>
    <xf numFmtId="0" fontId="22" fillId="0" borderId="24" xfId="4" applyFont="1" applyBorder="1" applyAlignment="1">
      <alignment horizontal="center" vertical="center"/>
    </xf>
    <xf numFmtId="0" fontId="22" fillId="0" borderId="25" xfId="4" applyFont="1" applyBorder="1" applyAlignment="1">
      <alignment vertical="center"/>
    </xf>
    <xf numFmtId="0" fontId="22" fillId="0" borderId="25" xfId="4" applyFont="1" applyBorder="1" applyAlignment="1">
      <alignment horizontal="center" vertical="center"/>
    </xf>
    <xf numFmtId="0" fontId="22" fillId="0" borderId="26" xfId="4" applyFont="1" applyBorder="1" applyAlignment="1">
      <alignment horizontal="center" vertical="center"/>
    </xf>
    <xf numFmtId="0" fontId="24" fillId="0" borderId="24" xfId="4" applyFont="1" applyBorder="1" applyAlignment="1">
      <alignment horizontal="center" vertical="center"/>
    </xf>
    <xf numFmtId="0" fontId="24" fillId="0" borderId="25" xfId="4" applyFont="1" applyBorder="1" applyAlignment="1">
      <alignment vertical="center"/>
    </xf>
    <xf numFmtId="4" fontId="24" fillId="0" borderId="25" xfId="4" applyNumberFormat="1" applyFont="1" applyBorder="1" applyAlignment="1">
      <alignment horizontal="center" vertical="center"/>
    </xf>
    <xf numFmtId="4" fontId="24" fillId="0" borderId="26" xfId="4" applyNumberFormat="1" applyFont="1" applyBorder="1" applyAlignment="1">
      <alignment horizontal="center" vertical="center"/>
    </xf>
    <xf numFmtId="4" fontId="22" fillId="0" borderId="25" xfId="4" applyNumberFormat="1" applyFont="1" applyBorder="1" applyAlignment="1">
      <alignment horizontal="center" vertical="center"/>
    </xf>
    <xf numFmtId="4" fontId="22" fillId="0" borderId="26" xfId="4" applyNumberFormat="1" applyFont="1" applyBorder="1" applyAlignment="1">
      <alignment horizontal="center" vertical="center"/>
    </xf>
    <xf numFmtId="0" fontId="24" fillId="0" borderId="25" xfId="4" applyFont="1" applyBorder="1" applyAlignment="1">
      <alignment horizontal="justify" vertical="center" wrapText="1"/>
    </xf>
    <xf numFmtId="0" fontId="22" fillId="0" borderId="25" xfId="4" applyFont="1" applyBorder="1" applyAlignment="1">
      <alignment horizontal="left" vertical="center" wrapText="1"/>
    </xf>
    <xf numFmtId="0" fontId="24" fillId="0" borderId="25" xfId="4" applyFont="1" applyBorder="1" applyAlignment="1">
      <alignment horizontal="left" vertical="center" wrapText="1"/>
    </xf>
    <xf numFmtId="4" fontId="22" fillId="2" borderId="51" xfId="4" applyNumberFormat="1" applyFont="1" applyFill="1" applyBorder="1" applyAlignment="1">
      <alignment horizontal="center" vertical="center"/>
    </xf>
    <xf numFmtId="4" fontId="22" fillId="2" borderId="13" xfId="4" applyNumberFormat="1" applyFont="1" applyFill="1" applyBorder="1" applyAlignment="1">
      <alignment horizontal="center" vertical="center"/>
    </xf>
    <xf numFmtId="44" fontId="8" fillId="0" borderId="0" xfId="3" applyNumberFormat="1"/>
    <xf numFmtId="0" fontId="0" fillId="0" borderId="3" xfId="0" applyBorder="1" applyAlignment="1">
      <alignment horizontal="center" vertical="center"/>
    </xf>
    <xf numFmtId="170" fontId="26" fillId="11" borderId="52" xfId="3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43" fontId="6" fillId="3" borderId="0" xfId="1" applyFont="1" applyFill="1" applyAlignment="1">
      <alignment horizontal="center" vertical="center"/>
    </xf>
    <xf numFmtId="0" fontId="8" fillId="0" borderId="0" xfId="3" applyAlignment="1">
      <alignment horizontal="center" vertical="center"/>
    </xf>
    <xf numFmtId="0" fontId="15" fillId="0" borderId="0" xfId="3" applyFont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7" fontId="4" fillId="0" borderId="25" xfId="1" applyNumberFormat="1" applyFont="1" applyFill="1" applyBorder="1" applyAlignment="1">
      <alignment horizontal="center" vertical="center" wrapText="1"/>
    </xf>
    <xf numFmtId="4" fontId="4" fillId="0" borderId="25" xfId="1" applyNumberFormat="1" applyFont="1" applyFill="1" applyBorder="1" applyAlignment="1">
      <alignment horizontal="center" vertical="center" wrapText="1"/>
    </xf>
    <xf numFmtId="4" fontId="0" fillId="3" borderId="0" xfId="0" applyNumberForma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2" fillId="8" borderId="25" xfId="0" quotePrefix="1" applyFont="1" applyFill="1" applyBorder="1" applyAlignment="1">
      <alignment horizontal="center" vertical="center" wrapText="1"/>
    </xf>
    <xf numFmtId="0" fontId="2" fillId="8" borderId="25" xfId="0" applyFont="1" applyFill="1" applyBorder="1" applyAlignment="1">
      <alignment horizontal="center" vertical="center" wrapText="1"/>
    </xf>
    <xf numFmtId="4" fontId="2" fillId="8" borderId="25" xfId="1" applyNumberFormat="1" applyFont="1" applyFill="1" applyBorder="1" applyAlignment="1">
      <alignment horizontal="center" vertical="center" wrapText="1"/>
    </xf>
    <xf numFmtId="7" fontId="2" fillId="8" borderId="25" xfId="1" applyNumberFormat="1" applyFont="1" applyFill="1" applyBorder="1" applyAlignment="1">
      <alignment horizontal="center" vertical="center" wrapText="1"/>
    </xf>
    <xf numFmtId="0" fontId="12" fillId="12" borderId="25" xfId="3" applyFont="1" applyFill="1" applyBorder="1" applyAlignment="1">
      <alignment horizontal="left" vertical="center" shrinkToFit="1"/>
    </xf>
    <xf numFmtId="0" fontId="6" fillId="0" borderId="25" xfId="0" applyFont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 wrapText="1"/>
    </xf>
    <xf numFmtId="4" fontId="1" fillId="3" borderId="2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168" fontId="12" fillId="6" borderId="4" xfId="3" applyNumberFormat="1" applyFont="1" applyFill="1" applyBorder="1" applyAlignment="1">
      <alignment horizontal="center" vertical="center"/>
    </xf>
    <xf numFmtId="10" fontId="19" fillId="4" borderId="4" xfId="3" applyNumberFormat="1" applyFont="1" applyFill="1" applyBorder="1" applyAlignment="1">
      <alignment horizontal="center" vertical="center"/>
    </xf>
    <xf numFmtId="44" fontId="18" fillId="3" borderId="4" xfId="2" applyFont="1" applyFill="1" applyBorder="1" applyAlignment="1">
      <alignment horizontal="center" vertical="center"/>
    </xf>
    <xf numFmtId="0" fontId="2" fillId="8" borderId="25" xfId="0" applyFont="1" applyFill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30" fillId="0" borderId="0" xfId="0" applyFont="1"/>
    <xf numFmtId="0" fontId="31" fillId="0" borderId="0" xfId="0" applyFont="1" applyAlignment="1">
      <alignment horizontal="left" vertical="top" wrapText="1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horizontal="center" vertical="center" wrapText="1"/>
    </xf>
    <xf numFmtId="0" fontId="33" fillId="0" borderId="2" xfId="0" applyFont="1" applyBorder="1" applyAlignment="1">
      <alignment horizontal="left" vertical="top" wrapText="1"/>
    </xf>
    <xf numFmtId="0" fontId="33" fillId="0" borderId="2" xfId="0" applyFont="1" applyBorder="1" applyAlignment="1">
      <alignment horizontal="right" vertical="top" wrapText="1"/>
    </xf>
    <xf numFmtId="0" fontId="33" fillId="0" borderId="2" xfId="0" applyFont="1" applyBorder="1" applyAlignment="1">
      <alignment horizontal="center" vertical="top" wrapText="1"/>
    </xf>
    <xf numFmtId="0" fontId="31" fillId="0" borderId="2" xfId="0" applyFont="1" applyBorder="1" applyAlignment="1">
      <alignment horizontal="left" vertical="top" wrapText="1"/>
    </xf>
    <xf numFmtId="0" fontId="31" fillId="0" borderId="2" xfId="0" applyFont="1" applyBorder="1" applyAlignment="1">
      <alignment horizontal="right" vertical="top" wrapText="1"/>
    </xf>
    <xf numFmtId="0" fontId="31" fillId="0" borderId="2" xfId="0" applyFont="1" applyBorder="1" applyAlignment="1">
      <alignment horizontal="center" vertical="top" wrapText="1"/>
    </xf>
    <xf numFmtId="165" fontId="31" fillId="0" borderId="2" xfId="0" applyNumberFormat="1" applyFont="1" applyBorder="1" applyAlignment="1">
      <alignment horizontal="right" vertical="top" wrapText="1"/>
    </xf>
    <xf numFmtId="4" fontId="31" fillId="0" borderId="2" xfId="0" applyNumberFormat="1" applyFont="1" applyBorder="1" applyAlignment="1">
      <alignment horizontal="right" vertical="top" wrapText="1"/>
    </xf>
    <xf numFmtId="0" fontId="29" fillId="0" borderId="2" xfId="0" applyFont="1" applyBorder="1" applyAlignment="1">
      <alignment horizontal="left" vertical="top" wrapText="1"/>
    </xf>
    <xf numFmtId="0" fontId="29" fillId="0" borderId="2" xfId="0" applyFont="1" applyBorder="1" applyAlignment="1">
      <alignment horizontal="right" vertical="top" wrapText="1"/>
    </xf>
    <xf numFmtId="0" fontId="29" fillId="0" borderId="2" xfId="0" applyFont="1" applyBorder="1" applyAlignment="1">
      <alignment horizontal="center" vertical="top" wrapText="1"/>
    </xf>
    <xf numFmtId="165" fontId="29" fillId="0" borderId="2" xfId="0" applyNumberFormat="1" applyFont="1" applyBorder="1" applyAlignment="1">
      <alignment horizontal="right" vertical="top" wrapText="1"/>
    </xf>
    <xf numFmtId="4" fontId="29" fillId="0" borderId="2" xfId="0" applyNumberFormat="1" applyFont="1" applyBorder="1" applyAlignment="1">
      <alignment horizontal="right" vertical="top" wrapText="1"/>
    </xf>
    <xf numFmtId="0" fontId="29" fillId="0" borderId="0" xfId="0" applyFont="1" applyAlignment="1">
      <alignment horizontal="right" vertical="top" wrapText="1"/>
    </xf>
    <xf numFmtId="4" fontId="29" fillId="0" borderId="0" xfId="0" applyNumberFormat="1" applyFont="1" applyAlignment="1">
      <alignment horizontal="right" vertical="top" wrapText="1"/>
    </xf>
    <xf numFmtId="0" fontId="33" fillId="0" borderId="0" xfId="0" applyFont="1" applyAlignment="1">
      <alignment horizontal="left" vertical="center" wrapText="1"/>
    </xf>
    <xf numFmtId="164" fontId="29" fillId="0" borderId="2" xfId="0" applyNumberFormat="1" applyFont="1" applyBorder="1" applyAlignment="1">
      <alignment horizontal="right" vertical="top" wrapText="1"/>
    </xf>
    <xf numFmtId="0" fontId="30" fillId="0" borderId="0" xfId="0" applyFont="1" applyAlignment="1">
      <alignment vertical="center"/>
    </xf>
    <xf numFmtId="0" fontId="33" fillId="0" borderId="0" xfId="0" applyFont="1"/>
    <xf numFmtId="0" fontId="29" fillId="0" borderId="1" xfId="0" applyFont="1" applyBorder="1" applyAlignment="1">
      <alignment horizontal="left" vertical="top" wrapText="1"/>
    </xf>
    <xf numFmtId="164" fontId="31" fillId="0" borderId="0" xfId="0" applyNumberFormat="1" applyFont="1" applyAlignment="1">
      <alignment horizontal="right" vertical="top" wrapText="1"/>
    </xf>
    <xf numFmtId="0" fontId="29" fillId="0" borderId="0" xfId="0" applyFont="1" applyAlignment="1">
      <alignment horizontal="center" vertical="top" wrapText="1"/>
    </xf>
    <xf numFmtId="0" fontId="7" fillId="0" borderId="0" xfId="4" applyFont="1"/>
    <xf numFmtId="0" fontId="22" fillId="0" borderId="28" xfId="4" applyFont="1" applyBorder="1"/>
    <xf numFmtId="0" fontId="22" fillId="0" borderId="24" xfId="4" applyFont="1" applyBorder="1" applyAlignment="1">
      <alignment horizontal="left"/>
    </xf>
    <xf numFmtId="0" fontId="22" fillId="8" borderId="24" xfId="4" applyFont="1" applyFill="1" applyBorder="1" applyAlignment="1">
      <alignment horizontal="left" vertical="center"/>
    </xf>
    <xf numFmtId="0" fontId="23" fillId="10" borderId="24" xfId="4" applyFont="1" applyFill="1" applyBorder="1"/>
    <xf numFmtId="0" fontId="23" fillId="10" borderId="25" xfId="4" applyFont="1" applyFill="1" applyBorder="1"/>
    <xf numFmtId="0" fontId="6" fillId="10" borderId="24" xfId="4" applyFont="1" applyFill="1" applyBorder="1"/>
    <xf numFmtId="10" fontId="6" fillId="10" borderId="25" xfId="5" applyNumberFormat="1" applyFont="1" applyFill="1" applyBorder="1"/>
    <xf numFmtId="10" fontId="23" fillId="10" borderId="25" xfId="5" applyNumberFormat="1" applyFont="1" applyFill="1" applyBorder="1"/>
    <xf numFmtId="0" fontId="6" fillId="10" borderId="25" xfId="4" applyFont="1" applyFill="1" applyBorder="1"/>
    <xf numFmtId="0" fontId="22" fillId="0" borderId="0" xfId="4" applyFont="1" applyAlignment="1">
      <alignment horizontal="center" vertical="center"/>
    </xf>
    <xf numFmtId="4" fontId="22" fillId="0" borderId="0" xfId="4" applyNumberFormat="1" applyFont="1" applyAlignment="1">
      <alignment horizontal="center" vertical="center"/>
    </xf>
    <xf numFmtId="43" fontId="6" fillId="3" borderId="25" xfId="1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64" xfId="0" applyFont="1" applyFill="1" applyBorder="1" applyAlignment="1">
      <alignment horizontal="center" vertical="center"/>
    </xf>
    <xf numFmtId="0" fontId="6" fillId="3" borderId="64" xfId="0" applyFont="1" applyFill="1" applyBorder="1" applyAlignment="1">
      <alignment horizontal="center" vertical="center" wrapText="1"/>
    </xf>
    <xf numFmtId="0" fontId="6" fillId="3" borderId="65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12" fillId="12" borderId="24" xfId="3" applyFont="1" applyFill="1" applyBorder="1" applyAlignment="1">
      <alignment horizontal="center" vertical="center"/>
    </xf>
    <xf numFmtId="43" fontId="6" fillId="3" borderId="26" xfId="1" applyFont="1" applyFill="1" applyBorder="1" applyAlignment="1">
      <alignment horizontal="center" vertical="center"/>
    </xf>
    <xf numFmtId="0" fontId="0" fillId="0" borderId="8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4" fontId="6" fillId="0" borderId="60" xfId="0" applyNumberFormat="1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4" fontId="30" fillId="0" borderId="0" xfId="0" applyNumberFormat="1" applyFont="1"/>
    <xf numFmtId="0" fontId="34" fillId="0" borderId="0" xfId="0" applyFont="1" applyAlignment="1">
      <alignment horizontal="center"/>
    </xf>
    <xf numFmtId="0" fontId="6" fillId="0" borderId="67" xfId="0" applyFont="1" applyBorder="1" applyAlignment="1">
      <alignment horizontal="center" vertical="center" wrapText="1"/>
    </xf>
    <xf numFmtId="0" fontId="6" fillId="0" borderId="68" xfId="0" applyFont="1" applyBorder="1" applyAlignment="1">
      <alignment horizontal="center" vertical="center" wrapText="1"/>
    </xf>
    <xf numFmtId="0" fontId="6" fillId="0" borderId="69" xfId="0" applyFont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6" fillId="3" borderId="58" xfId="0" applyFont="1" applyFill="1" applyBorder="1" applyAlignment="1">
      <alignment horizontal="center" vertical="center"/>
    </xf>
    <xf numFmtId="0" fontId="6" fillId="3" borderId="59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7" fontId="6" fillId="0" borderId="60" xfId="0" applyNumberFormat="1" applyFont="1" applyBorder="1" applyAlignment="1">
      <alignment horizontal="center" vertical="center"/>
    </xf>
    <xf numFmtId="7" fontId="6" fillId="0" borderId="61" xfId="0" applyNumberFormat="1" applyFont="1" applyBorder="1" applyAlignment="1">
      <alignment horizontal="center" vertical="center"/>
    </xf>
    <xf numFmtId="0" fontId="12" fillId="12" borderId="31" xfId="3" applyFont="1" applyFill="1" applyBorder="1" applyAlignment="1">
      <alignment horizontal="center" vertical="center" wrapText="1"/>
    </xf>
    <xf numFmtId="0" fontId="12" fillId="12" borderId="33" xfId="3" applyFont="1" applyFill="1" applyBorder="1" applyAlignment="1">
      <alignment horizontal="center" vertical="center" wrapText="1"/>
    </xf>
    <xf numFmtId="0" fontId="12" fillId="12" borderId="22" xfId="3" applyFont="1" applyFill="1" applyBorder="1" applyAlignment="1">
      <alignment horizontal="center" vertical="center" wrapText="1"/>
    </xf>
    <xf numFmtId="166" fontId="12" fillId="12" borderId="30" xfId="3" applyNumberFormat="1" applyFont="1" applyFill="1" applyBorder="1" applyAlignment="1">
      <alignment horizontal="center" vertical="center"/>
    </xf>
    <xf numFmtId="166" fontId="12" fillId="12" borderId="32" xfId="3" applyNumberFormat="1" applyFont="1" applyFill="1" applyBorder="1" applyAlignment="1">
      <alignment horizontal="center" vertical="center"/>
    </xf>
    <xf numFmtId="166" fontId="12" fillId="12" borderId="21" xfId="3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2" fontId="20" fillId="4" borderId="5" xfId="3" applyNumberFormat="1" applyFont="1" applyFill="1" applyBorder="1" applyAlignment="1">
      <alignment horizontal="center" vertical="center"/>
    </xf>
    <xf numFmtId="2" fontId="20" fillId="4" borderId="7" xfId="3" applyNumberFormat="1" applyFont="1" applyFill="1" applyBorder="1" applyAlignment="1">
      <alignment horizontal="center" vertical="center"/>
    </xf>
    <xf numFmtId="2" fontId="20" fillId="4" borderId="6" xfId="3" applyNumberFormat="1" applyFont="1" applyFill="1" applyBorder="1" applyAlignment="1">
      <alignment horizontal="center" vertical="center"/>
    </xf>
    <xf numFmtId="2" fontId="20" fillId="4" borderId="8" xfId="3" applyNumberFormat="1" applyFont="1" applyFill="1" applyBorder="1" applyAlignment="1">
      <alignment horizontal="center" vertical="center"/>
    </xf>
    <xf numFmtId="2" fontId="20" fillId="4" borderId="0" xfId="3" applyNumberFormat="1" applyFont="1" applyFill="1" applyAlignment="1">
      <alignment horizontal="center" vertical="center"/>
    </xf>
    <xf numFmtId="2" fontId="20" fillId="4" borderId="11" xfId="3" applyNumberFormat="1" applyFont="1" applyFill="1" applyBorder="1" applyAlignment="1">
      <alignment horizontal="center" vertical="center"/>
    </xf>
    <xf numFmtId="0" fontId="26" fillId="11" borderId="12" xfId="3" applyFont="1" applyFill="1" applyBorder="1" applyAlignment="1">
      <alignment horizontal="center" vertical="center"/>
    </xf>
    <xf numFmtId="0" fontId="26" fillId="11" borderId="13" xfId="3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10" fontId="25" fillId="4" borderId="27" xfId="3" applyNumberFormat="1" applyFont="1" applyFill="1" applyBorder="1" applyAlignment="1">
      <alignment horizontal="center" vertical="center" wrapText="1"/>
    </xf>
    <xf numFmtId="10" fontId="25" fillId="4" borderId="56" xfId="3" applyNumberFormat="1" applyFont="1" applyFill="1" applyBorder="1" applyAlignment="1">
      <alignment horizontal="center" vertical="center" wrapText="1"/>
    </xf>
    <xf numFmtId="10" fontId="25" fillId="4" borderId="57" xfId="3" applyNumberFormat="1" applyFont="1" applyFill="1" applyBorder="1" applyAlignment="1">
      <alignment horizontal="center" vertical="center" wrapText="1"/>
    </xf>
    <xf numFmtId="10" fontId="25" fillId="4" borderId="5" xfId="3" quotePrefix="1" applyNumberFormat="1" applyFont="1" applyFill="1" applyBorder="1" applyAlignment="1">
      <alignment horizontal="center" vertical="center" wrapText="1"/>
    </xf>
    <xf numFmtId="10" fontId="25" fillId="4" borderId="6" xfId="3" applyNumberFormat="1" applyFont="1" applyFill="1" applyBorder="1" applyAlignment="1">
      <alignment horizontal="center" vertical="center" wrapText="1"/>
    </xf>
    <xf numFmtId="10" fontId="25" fillId="4" borderId="8" xfId="3" applyNumberFormat="1" applyFont="1" applyFill="1" applyBorder="1" applyAlignment="1">
      <alignment horizontal="center" vertical="center" wrapText="1"/>
    </xf>
    <xf numFmtId="10" fontId="25" fillId="4" borderId="11" xfId="3" applyNumberFormat="1" applyFont="1" applyFill="1" applyBorder="1" applyAlignment="1">
      <alignment horizontal="center" vertical="center" wrapText="1"/>
    </xf>
    <xf numFmtId="10" fontId="25" fillId="4" borderId="12" xfId="3" applyNumberFormat="1" applyFont="1" applyFill="1" applyBorder="1" applyAlignment="1">
      <alignment horizontal="center" vertical="center" wrapText="1"/>
    </xf>
    <xf numFmtId="10" fontId="25" fillId="4" borderId="13" xfId="3" applyNumberFormat="1" applyFont="1" applyFill="1" applyBorder="1" applyAlignment="1">
      <alignment horizontal="center" vertical="center" wrapText="1"/>
    </xf>
    <xf numFmtId="0" fontId="25" fillId="4" borderId="9" xfId="3" applyFont="1" applyFill="1" applyBorder="1" applyAlignment="1">
      <alignment horizontal="left" vertical="center" wrapText="1"/>
    </xf>
    <xf numFmtId="0" fontId="25" fillId="4" borderId="18" xfId="3" applyFont="1" applyFill="1" applyBorder="1" applyAlignment="1">
      <alignment horizontal="left" vertical="center" wrapText="1"/>
    </xf>
    <xf numFmtId="0" fontId="25" fillId="4" borderId="10" xfId="3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5" fillId="4" borderId="4" xfId="3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20" fillId="4" borderId="12" xfId="3" applyFont="1" applyFill="1" applyBorder="1" applyAlignment="1">
      <alignment horizontal="center" vertical="center"/>
    </xf>
    <xf numFmtId="0" fontId="20" fillId="4" borderId="14" xfId="3" applyFont="1" applyFill="1" applyBorder="1" applyAlignment="1">
      <alignment horizontal="center" vertical="center"/>
    </xf>
    <xf numFmtId="0" fontId="20" fillId="4" borderId="13" xfId="3" applyFont="1" applyFill="1" applyBorder="1" applyAlignment="1">
      <alignment horizontal="center" vertical="center"/>
    </xf>
    <xf numFmtId="0" fontId="33" fillId="0" borderId="2" xfId="0" applyFont="1" applyBorder="1" applyAlignment="1">
      <alignment horizontal="left" vertical="top" wrapText="1"/>
    </xf>
    <xf numFmtId="0" fontId="29" fillId="0" borderId="0" xfId="0" applyFont="1" applyAlignment="1">
      <alignment horizontal="right" vertical="top" wrapText="1"/>
    </xf>
    <xf numFmtId="0" fontId="31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9" fillId="0" borderId="2" xfId="0" applyFont="1" applyBorder="1" applyAlignment="1">
      <alignment horizontal="left" vertical="top" wrapText="1"/>
    </xf>
    <xf numFmtId="0" fontId="31" fillId="0" borderId="0" xfId="0" applyFont="1" applyAlignment="1">
      <alignment horizontal="right" vertical="top" wrapText="1"/>
    </xf>
    <xf numFmtId="0" fontId="31" fillId="0" borderId="2" xfId="0" applyFont="1" applyBorder="1" applyAlignment="1">
      <alignment horizontal="left" vertical="top" wrapText="1"/>
    </xf>
    <xf numFmtId="0" fontId="33" fillId="0" borderId="0" xfId="0" applyFont="1" applyAlignment="1">
      <alignment horizontal="center" wrapText="1"/>
    </xf>
    <xf numFmtId="0" fontId="30" fillId="0" borderId="0" xfId="0" applyFont="1"/>
    <xf numFmtId="0" fontId="33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top" wrapText="1"/>
    </xf>
    <xf numFmtId="0" fontId="12" fillId="6" borderId="24" xfId="3" applyFont="1" applyFill="1" applyBorder="1" applyAlignment="1">
      <alignment horizontal="center" vertical="center"/>
    </xf>
    <xf numFmtId="0" fontId="12" fillId="6" borderId="25" xfId="3" applyFont="1" applyFill="1" applyBorder="1" applyAlignment="1">
      <alignment horizontal="left" vertical="center" shrinkToFit="1"/>
    </xf>
    <xf numFmtId="7" fontId="18" fillId="6" borderId="25" xfId="2" applyNumberFormat="1" applyFont="1" applyFill="1" applyBorder="1" applyAlignment="1">
      <alignment horizontal="center" vertical="center"/>
    </xf>
    <xf numFmtId="44" fontId="18" fillId="6" borderId="25" xfId="2" applyFont="1" applyFill="1" applyBorder="1" applyAlignment="1">
      <alignment horizontal="left" vertical="center" shrinkToFit="1"/>
    </xf>
    <xf numFmtId="10" fontId="18" fillId="6" borderId="25" xfId="3" applyNumberFormat="1" applyFont="1" applyFill="1" applyBorder="1" applyAlignment="1">
      <alignment horizontal="center" vertical="center"/>
    </xf>
    <xf numFmtId="0" fontId="18" fillId="6" borderId="25" xfId="3" applyFont="1" applyFill="1" applyBorder="1" applyAlignment="1">
      <alignment horizontal="left" vertical="center" shrinkToFit="1"/>
    </xf>
    <xf numFmtId="44" fontId="18" fillId="0" borderId="25" xfId="2" applyFont="1" applyBorder="1" applyAlignment="1">
      <alignment horizontal="center" vertical="center"/>
    </xf>
    <xf numFmtId="44" fontId="18" fillId="0" borderId="26" xfId="2" applyFont="1" applyBorder="1" applyAlignment="1">
      <alignment horizontal="center" vertical="center"/>
    </xf>
    <xf numFmtId="166" fontId="12" fillId="7" borderId="20" xfId="3" applyNumberFormat="1" applyFont="1" applyFill="1" applyBorder="1" applyAlignment="1">
      <alignment horizontal="center" vertical="center" wrapText="1"/>
    </xf>
    <xf numFmtId="44" fontId="18" fillId="6" borderId="15" xfId="2" applyFont="1" applyFill="1" applyBorder="1" applyAlignment="1">
      <alignment horizontal="center" vertical="center"/>
    </xf>
    <xf numFmtId="44" fontId="18" fillId="6" borderId="4" xfId="2" applyFont="1" applyFill="1" applyBorder="1" applyAlignment="1">
      <alignment horizontal="center" vertical="center"/>
    </xf>
    <xf numFmtId="10" fontId="18" fillId="6" borderId="15" xfId="3" applyNumberFormat="1" applyFont="1" applyFill="1" applyBorder="1" applyAlignment="1">
      <alignment horizontal="center" vertical="center"/>
    </xf>
    <xf numFmtId="10" fontId="18" fillId="6" borderId="4" xfId="3" applyNumberFormat="1" applyFont="1" applyFill="1" applyBorder="1" applyAlignment="1">
      <alignment horizontal="center" vertical="center"/>
    </xf>
    <xf numFmtId="166" fontId="12" fillId="7" borderId="27" xfId="3" applyNumberFormat="1" applyFont="1" applyFill="1" applyBorder="1" applyAlignment="1">
      <alignment horizontal="center" vertical="center" wrapText="1"/>
    </xf>
    <xf numFmtId="7" fontId="18" fillId="6" borderId="28" xfId="2" applyNumberFormat="1" applyFont="1" applyFill="1" applyBorder="1" applyAlignment="1">
      <alignment horizontal="center" vertical="center"/>
    </xf>
    <xf numFmtId="44" fontId="18" fillId="6" borderId="28" xfId="2" applyFont="1" applyFill="1" applyBorder="1" applyAlignment="1">
      <alignment horizontal="center" vertical="center"/>
    </xf>
    <xf numFmtId="10" fontId="19" fillId="6" borderId="22" xfId="3" applyNumberFormat="1" applyFont="1" applyFill="1" applyBorder="1" applyAlignment="1">
      <alignment horizontal="center" vertical="center"/>
    </xf>
    <xf numFmtId="10" fontId="19" fillId="6" borderId="23" xfId="3" applyNumberFormat="1" applyFont="1" applyFill="1" applyBorder="1" applyAlignment="1">
      <alignment horizontal="center" vertical="center"/>
    </xf>
    <xf numFmtId="0" fontId="12" fillId="6" borderId="21" xfId="3" applyFont="1" applyFill="1" applyBorder="1" applyAlignment="1">
      <alignment horizontal="center" vertical="center"/>
    </xf>
    <xf numFmtId="0" fontId="12" fillId="6" borderId="22" xfId="3" applyFont="1" applyFill="1" applyBorder="1" applyAlignment="1">
      <alignment horizontal="left" vertical="center" shrinkToFit="1"/>
    </xf>
    <xf numFmtId="44" fontId="18" fillId="6" borderId="22" xfId="2" applyFont="1" applyFill="1" applyBorder="1" applyAlignment="1">
      <alignment horizontal="center" vertical="center"/>
    </xf>
    <xf numFmtId="10" fontId="18" fillId="6" borderId="22" xfId="3" applyNumberFormat="1" applyFont="1" applyFill="1" applyBorder="1" applyAlignment="1">
      <alignment horizontal="center" vertical="center"/>
    </xf>
    <xf numFmtId="10" fontId="19" fillId="6" borderId="54" xfId="3" applyNumberFormat="1" applyFont="1" applyFill="1" applyBorder="1" applyAlignment="1">
      <alignment horizontal="center" vertical="center"/>
    </xf>
    <xf numFmtId="10" fontId="19" fillId="6" borderId="7" xfId="3" applyNumberFormat="1" applyFont="1" applyFill="1" applyBorder="1" applyAlignment="1">
      <alignment horizontal="center" vertical="center"/>
    </xf>
    <xf numFmtId="10" fontId="19" fillId="6" borderId="55" xfId="3" applyNumberFormat="1" applyFont="1" applyFill="1" applyBorder="1" applyAlignment="1">
      <alignment horizontal="center" vertical="center"/>
    </xf>
    <xf numFmtId="10" fontId="19" fillId="6" borderId="40" xfId="3" applyNumberFormat="1" applyFont="1" applyFill="1" applyBorder="1" applyAlignment="1">
      <alignment horizontal="center" vertical="center"/>
    </xf>
    <xf numFmtId="10" fontId="19" fillId="6" borderId="0" xfId="3" applyNumberFormat="1" applyFont="1" applyFill="1" applyAlignment="1">
      <alignment horizontal="center" vertical="center"/>
    </xf>
    <xf numFmtId="10" fontId="19" fillId="6" borderId="41" xfId="3" applyNumberFormat="1" applyFont="1" applyFill="1" applyBorder="1" applyAlignment="1">
      <alignment horizontal="center" vertical="center"/>
    </xf>
    <xf numFmtId="10" fontId="19" fillId="6" borderId="42" xfId="3" applyNumberFormat="1" applyFont="1" applyFill="1" applyBorder="1" applyAlignment="1">
      <alignment horizontal="center" vertical="center"/>
    </xf>
    <xf numFmtId="10" fontId="19" fillId="6" borderId="43" xfId="3" applyNumberFormat="1" applyFont="1" applyFill="1" applyBorder="1" applyAlignment="1">
      <alignment horizontal="center" vertical="center"/>
    </xf>
    <xf numFmtId="10" fontId="19" fillId="6" borderId="44" xfId="3" applyNumberFormat="1" applyFont="1" applyFill="1" applyBorder="1" applyAlignment="1">
      <alignment horizontal="center" vertical="center"/>
    </xf>
    <xf numFmtId="0" fontId="27" fillId="4" borderId="0" xfId="3" applyFont="1" applyFill="1" applyAlignment="1">
      <alignment horizontal="center" vertical="center" wrapText="1"/>
    </xf>
    <xf numFmtId="0" fontId="27" fillId="4" borderId="14" xfId="3" applyFont="1" applyFill="1" applyBorder="1" applyAlignment="1">
      <alignment horizontal="center" vertical="center" wrapText="1"/>
    </xf>
    <xf numFmtId="4" fontId="9" fillId="5" borderId="4" xfId="3" applyNumberFormat="1" applyFont="1" applyFill="1" applyBorder="1" applyAlignment="1">
      <alignment horizontal="center" vertical="center"/>
    </xf>
    <xf numFmtId="0" fontId="12" fillId="6" borderId="16" xfId="3" applyFont="1" applyFill="1" applyBorder="1" applyAlignment="1">
      <alignment horizontal="center" vertical="center"/>
    </xf>
    <xf numFmtId="0" fontId="12" fillId="6" borderId="17" xfId="3" applyFont="1" applyFill="1" applyBorder="1" applyAlignment="1">
      <alignment horizontal="center" vertical="center"/>
    </xf>
    <xf numFmtId="168" fontId="17" fillId="6" borderId="16" xfId="3" applyNumberFormat="1" applyFont="1" applyFill="1" applyBorder="1" applyAlignment="1">
      <alignment horizontal="center" vertical="center"/>
    </xf>
    <xf numFmtId="168" fontId="17" fillId="6" borderId="17" xfId="3" applyNumberFormat="1" applyFont="1" applyFill="1" applyBorder="1" applyAlignment="1">
      <alignment horizontal="center" vertical="center"/>
    </xf>
    <xf numFmtId="166" fontId="12" fillId="6" borderId="15" xfId="3" applyNumberFormat="1" applyFont="1" applyFill="1" applyBorder="1" applyAlignment="1">
      <alignment horizontal="center" vertical="center"/>
    </xf>
    <xf numFmtId="166" fontId="12" fillId="6" borderId="19" xfId="3" applyNumberFormat="1" applyFont="1" applyFill="1" applyBorder="1" applyAlignment="1">
      <alignment horizontal="center" vertical="center"/>
    </xf>
    <xf numFmtId="166" fontId="12" fillId="6" borderId="20" xfId="3" applyNumberFormat="1" applyFont="1" applyFill="1" applyBorder="1" applyAlignment="1">
      <alignment horizontal="center" vertical="center"/>
    </xf>
    <xf numFmtId="0" fontId="12" fillId="6" borderId="15" xfId="3" applyFont="1" applyFill="1" applyBorder="1" applyAlignment="1">
      <alignment horizontal="center" vertical="center" wrapText="1"/>
    </xf>
    <xf numFmtId="0" fontId="12" fillId="6" borderId="19" xfId="3" applyFont="1" applyFill="1" applyBorder="1" applyAlignment="1">
      <alignment horizontal="center" vertical="center" wrapText="1"/>
    </xf>
    <xf numFmtId="0" fontId="12" fillId="6" borderId="20" xfId="3" applyFont="1" applyFill="1" applyBorder="1" applyAlignment="1">
      <alignment horizontal="center" vertical="center" wrapText="1"/>
    </xf>
    <xf numFmtId="4" fontId="12" fillId="6" borderId="16" xfId="3" applyNumberFormat="1" applyFont="1" applyFill="1" applyBorder="1" applyAlignment="1">
      <alignment horizontal="center" vertical="center"/>
    </xf>
    <xf numFmtId="4" fontId="12" fillId="6" borderId="17" xfId="3" applyNumberFormat="1" applyFont="1" applyFill="1" applyBorder="1" applyAlignment="1">
      <alignment horizontal="center" vertical="center"/>
    </xf>
    <xf numFmtId="0" fontId="12" fillId="6" borderId="9" xfId="3" applyFont="1" applyFill="1" applyBorder="1" applyAlignment="1">
      <alignment horizontal="center" vertical="center"/>
    </xf>
    <xf numFmtId="0" fontId="12" fillId="6" borderId="18" xfId="3" applyFont="1" applyFill="1" applyBorder="1" applyAlignment="1">
      <alignment horizontal="center" vertical="center"/>
    </xf>
    <xf numFmtId="0" fontId="12" fillId="6" borderId="10" xfId="3" applyFont="1" applyFill="1" applyBorder="1" applyAlignment="1">
      <alignment horizontal="center" vertical="center"/>
    </xf>
    <xf numFmtId="0" fontId="6" fillId="0" borderId="58" xfId="4" applyFont="1" applyBorder="1" applyAlignment="1">
      <alignment horizontal="center" vertical="justify"/>
    </xf>
    <xf numFmtId="0" fontId="6" fillId="0" borderId="59" xfId="4" applyFont="1" applyBorder="1" applyAlignment="1">
      <alignment horizontal="center" vertical="justify"/>
    </xf>
    <xf numFmtId="0" fontId="6" fillId="0" borderId="25" xfId="4" applyFont="1" applyBorder="1" applyAlignment="1">
      <alignment horizontal="center" vertical="justify"/>
    </xf>
    <xf numFmtId="0" fontId="6" fillId="0" borderId="26" xfId="4" applyFont="1" applyBorder="1" applyAlignment="1">
      <alignment horizontal="center" vertical="justify"/>
    </xf>
    <xf numFmtId="0" fontId="22" fillId="8" borderId="25" xfId="4" applyFont="1" applyFill="1" applyBorder="1" applyAlignment="1">
      <alignment horizontal="left" vertical="center" wrapText="1"/>
    </xf>
    <xf numFmtId="0" fontId="22" fillId="8" borderId="26" xfId="4" applyFont="1" applyFill="1" applyBorder="1" applyAlignment="1">
      <alignment horizontal="left" vertical="center" wrapText="1"/>
    </xf>
    <xf numFmtId="0" fontId="22" fillId="0" borderId="35" xfId="4" applyFont="1" applyBorder="1" applyAlignment="1">
      <alignment horizontal="center" vertical="center"/>
    </xf>
    <xf numFmtId="0" fontId="22" fillId="0" borderId="34" xfId="4" applyFont="1" applyBorder="1" applyAlignment="1">
      <alignment horizontal="center" vertical="center"/>
    </xf>
    <xf numFmtId="0" fontId="22" fillId="0" borderId="29" xfId="4" applyFont="1" applyBorder="1" applyAlignment="1">
      <alignment horizontal="center" vertical="center"/>
    </xf>
    <xf numFmtId="0" fontId="22" fillId="0" borderId="38" xfId="4" applyFont="1" applyBorder="1" applyAlignment="1">
      <alignment horizontal="center" vertical="center"/>
    </xf>
    <xf numFmtId="0" fontId="22" fillId="0" borderId="37" xfId="4" applyFont="1" applyBorder="1" applyAlignment="1">
      <alignment horizontal="center" vertical="center"/>
    </xf>
    <xf numFmtId="0" fontId="22" fillId="0" borderId="40" xfId="4" applyFont="1" applyBorder="1" applyAlignment="1">
      <alignment horizontal="center" vertical="center"/>
    </xf>
    <xf numFmtId="0" fontId="22" fillId="0" borderId="11" xfId="4" applyFont="1" applyBorder="1" applyAlignment="1">
      <alignment horizontal="center" vertical="center"/>
    </xf>
    <xf numFmtId="0" fontId="22" fillId="0" borderId="42" xfId="4" applyFont="1" applyBorder="1" applyAlignment="1">
      <alignment horizontal="center" vertical="center"/>
    </xf>
    <xf numFmtId="0" fontId="22" fillId="0" borderId="47" xfId="4" applyFont="1" applyBorder="1" applyAlignment="1">
      <alignment horizontal="center" vertical="center"/>
    </xf>
    <xf numFmtId="0" fontId="6" fillId="10" borderId="35" xfId="4" applyFont="1" applyFill="1" applyBorder="1" applyAlignment="1">
      <alignment horizontal="right"/>
    </xf>
    <xf numFmtId="0" fontId="6" fillId="10" borderId="34" xfId="4" applyFont="1" applyFill="1" applyBorder="1" applyAlignment="1">
      <alignment horizontal="right"/>
    </xf>
    <xf numFmtId="0" fontId="6" fillId="10" borderId="29" xfId="4" applyFont="1" applyFill="1" applyBorder="1" applyAlignment="1">
      <alignment horizontal="right"/>
    </xf>
    <xf numFmtId="0" fontId="6" fillId="10" borderId="53" xfId="4" applyFont="1" applyFill="1" applyBorder="1" applyAlignment="1">
      <alignment horizontal="center"/>
    </xf>
    <xf numFmtId="0" fontId="6" fillId="10" borderId="45" xfId="4" applyFont="1" applyFill="1" applyBorder="1" applyAlignment="1">
      <alignment horizontal="center"/>
    </xf>
    <xf numFmtId="0" fontId="21" fillId="0" borderId="49" xfId="4" applyBorder="1" applyAlignment="1">
      <alignment horizontal="center"/>
    </xf>
    <xf numFmtId="0" fontId="21" fillId="0" borderId="62" xfId="4" applyBorder="1" applyAlignment="1">
      <alignment horizontal="center"/>
    </xf>
    <xf numFmtId="0" fontId="21" fillId="0" borderId="63" xfId="4" applyBorder="1" applyAlignment="1">
      <alignment horizontal="center"/>
    </xf>
    <xf numFmtId="1" fontId="22" fillId="8" borderId="36" xfId="4" applyNumberFormat="1" applyFont="1" applyFill="1" applyBorder="1" applyAlignment="1">
      <alignment horizontal="left" wrapText="1"/>
    </xf>
    <xf numFmtId="1" fontId="22" fillId="8" borderId="37" xfId="4" applyNumberFormat="1" applyFont="1" applyFill="1" applyBorder="1" applyAlignment="1">
      <alignment horizontal="left" wrapText="1"/>
    </xf>
    <xf numFmtId="0" fontId="22" fillId="9" borderId="49" xfId="4" applyFont="1" applyFill="1" applyBorder="1" applyAlignment="1">
      <alignment horizontal="center" vertical="center"/>
    </xf>
    <xf numFmtId="0" fontId="22" fillId="9" borderId="50" xfId="4" applyFont="1" applyFill="1" applyBorder="1" applyAlignment="1">
      <alignment horizontal="center" vertical="center"/>
    </xf>
    <xf numFmtId="0" fontId="22" fillId="0" borderId="7" xfId="4" applyFont="1" applyBorder="1" applyAlignment="1">
      <alignment horizontal="center" vertical="justify"/>
    </xf>
    <xf numFmtId="0" fontId="22" fillId="0" borderId="6" xfId="4" applyFont="1" applyBorder="1" applyAlignment="1">
      <alignment horizontal="center" vertical="justify"/>
    </xf>
    <xf numFmtId="0" fontId="22" fillId="0" borderId="0" xfId="4" applyFont="1" applyAlignment="1">
      <alignment horizontal="center" vertical="justify"/>
    </xf>
    <xf numFmtId="0" fontId="22" fillId="0" borderId="11" xfId="4" applyFont="1" applyBorder="1" applyAlignment="1">
      <alignment horizontal="center" vertical="justify"/>
    </xf>
    <xf numFmtId="0" fontId="22" fillId="0" borderId="43" xfId="4" applyFont="1" applyBorder="1" applyAlignment="1">
      <alignment horizontal="center" vertical="justify"/>
    </xf>
    <xf numFmtId="0" fontId="22" fillId="0" borderId="47" xfId="4" applyFont="1" applyBorder="1" applyAlignment="1">
      <alignment horizontal="center" vertical="justify"/>
    </xf>
    <xf numFmtId="0" fontId="22" fillId="9" borderId="46" xfId="4" applyFont="1" applyFill="1" applyBorder="1" applyAlignment="1">
      <alignment horizontal="center" vertical="center"/>
    </xf>
    <xf numFmtId="0" fontId="22" fillId="9" borderId="43" xfId="4" applyFont="1" applyFill="1" applyBorder="1" applyAlignment="1">
      <alignment horizontal="center" vertical="center"/>
    </xf>
    <xf numFmtId="0" fontId="22" fillId="9" borderId="47" xfId="4" applyFont="1" applyFill="1" applyBorder="1" applyAlignment="1">
      <alignment horizontal="center" vertical="center"/>
    </xf>
    <xf numFmtId="0" fontId="7" fillId="0" borderId="48" xfId="4" applyFont="1" applyBorder="1" applyAlignment="1">
      <alignment horizontal="center" vertical="center"/>
    </xf>
    <xf numFmtId="0" fontId="7" fillId="0" borderId="21" xfId="4" applyFont="1" applyBorder="1" applyAlignment="1">
      <alignment horizontal="center" vertical="center"/>
    </xf>
    <xf numFmtId="0" fontId="7" fillId="0" borderId="39" xfId="4" applyFont="1" applyBorder="1" applyAlignment="1">
      <alignment horizontal="center" vertical="center"/>
    </xf>
    <xf numFmtId="0" fontId="7" fillId="0" borderId="44" xfId="4" applyFont="1" applyBorder="1" applyAlignment="1">
      <alignment horizontal="center" vertical="center"/>
    </xf>
    <xf numFmtId="7" fontId="0" fillId="0" borderId="0" xfId="0" applyNumberFormat="1" applyAlignment="1">
      <alignment horizontal="center" vertical="center"/>
    </xf>
    <xf numFmtId="4" fontId="21" fillId="0" borderId="2" xfId="0" applyNumberFormat="1" applyFont="1" applyBorder="1" applyAlignment="1">
      <alignment horizontal="right" vertical="top" wrapText="1"/>
    </xf>
    <xf numFmtId="0" fontId="31" fillId="0" borderId="2" xfId="0" applyFont="1" applyBorder="1" applyAlignment="1">
      <alignment horizontal="center" vertical="center" wrapText="1"/>
    </xf>
    <xf numFmtId="165" fontId="31" fillId="0" borderId="2" xfId="0" applyNumberFormat="1" applyFont="1" applyBorder="1" applyAlignment="1">
      <alignment horizontal="right" vertical="center" wrapText="1"/>
    </xf>
    <xf numFmtId="4" fontId="31" fillId="0" borderId="2" xfId="0" applyNumberFormat="1" applyFont="1" applyBorder="1" applyAlignment="1">
      <alignment horizontal="right" vertical="center" wrapText="1"/>
    </xf>
    <xf numFmtId="0" fontId="31" fillId="0" borderId="70" xfId="0" applyFont="1" applyBorder="1" applyAlignment="1">
      <alignment horizontal="center" vertical="top" wrapText="1"/>
    </xf>
    <xf numFmtId="0" fontId="31" fillId="0" borderId="71" xfId="0" applyFont="1" applyBorder="1" applyAlignment="1">
      <alignment horizontal="center" vertical="top" wrapText="1"/>
    </xf>
    <xf numFmtId="0" fontId="31" fillId="0" borderId="72" xfId="0" applyFont="1" applyBorder="1" applyAlignment="1">
      <alignment horizontal="center" vertical="top" wrapText="1"/>
    </xf>
    <xf numFmtId="0" fontId="35" fillId="0" borderId="0" xfId="0" applyFont="1"/>
    <xf numFmtId="0" fontId="29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right" vertical="center" wrapText="1"/>
    </xf>
    <xf numFmtId="165" fontId="29" fillId="0" borderId="2" xfId="0" applyNumberFormat="1" applyFont="1" applyBorder="1" applyAlignment="1">
      <alignment horizontal="right" vertical="center" wrapText="1"/>
    </xf>
    <xf numFmtId="4" fontId="29" fillId="0" borderId="2" xfId="0" applyNumberFormat="1" applyFont="1" applyBorder="1" applyAlignment="1">
      <alignment horizontal="right" vertical="center" wrapText="1"/>
    </xf>
    <xf numFmtId="0" fontId="35" fillId="0" borderId="0" xfId="0" applyFont="1" applyAlignment="1">
      <alignment vertical="center"/>
    </xf>
    <xf numFmtId="164" fontId="29" fillId="0" borderId="2" xfId="0" applyNumberFormat="1" applyFont="1" applyBorder="1" applyAlignment="1">
      <alignment horizontal="right" vertical="center" wrapText="1"/>
    </xf>
    <xf numFmtId="43" fontId="29" fillId="0" borderId="0" xfId="1" applyFont="1" applyAlignment="1">
      <alignment horizontal="right" vertical="top" wrapText="1"/>
    </xf>
    <xf numFmtId="0" fontId="29" fillId="0" borderId="2" xfId="0" applyFont="1" applyBorder="1" applyAlignment="1">
      <alignment vertical="top" wrapText="1"/>
    </xf>
    <xf numFmtId="4" fontId="33" fillId="0" borderId="0" xfId="0" applyNumberFormat="1" applyFont="1"/>
    <xf numFmtId="0" fontId="30" fillId="3" borderId="0" xfId="0" applyFont="1" applyFill="1" applyAlignment="1">
      <alignment vertical="center"/>
    </xf>
    <xf numFmtId="0" fontId="30" fillId="3" borderId="0" xfId="0" applyFont="1" applyFill="1"/>
    <xf numFmtId="0" fontId="33" fillId="3" borderId="0" xfId="0" applyFont="1" applyFill="1"/>
    <xf numFmtId="4" fontId="30" fillId="3" borderId="0" xfId="0" applyNumberFormat="1" applyFont="1" applyFill="1"/>
    <xf numFmtId="4" fontId="21" fillId="3" borderId="2" xfId="0" applyNumberFormat="1" applyFont="1" applyFill="1" applyBorder="1" applyAlignment="1">
      <alignment horizontal="right" vertical="top" wrapText="1"/>
    </xf>
    <xf numFmtId="4" fontId="29" fillId="3" borderId="2" xfId="0" applyNumberFormat="1" applyFont="1" applyFill="1" applyBorder="1" applyAlignment="1">
      <alignment horizontal="right" vertical="top" wrapText="1"/>
    </xf>
    <xf numFmtId="10" fontId="36" fillId="3" borderId="0" xfId="6" applyNumberFormat="1" applyFont="1" applyFill="1" applyAlignment="1">
      <alignment vertical="center"/>
    </xf>
    <xf numFmtId="43" fontId="30" fillId="3" borderId="0" xfId="0" applyNumberFormat="1" applyFont="1" applyFill="1"/>
    <xf numFmtId="164" fontId="29" fillId="3" borderId="2" xfId="0" applyNumberFormat="1" applyFont="1" applyFill="1" applyBorder="1" applyAlignment="1">
      <alignment vertical="top" wrapText="1"/>
    </xf>
    <xf numFmtId="0" fontId="29" fillId="0" borderId="70" xfId="0" applyFont="1" applyBorder="1" applyAlignment="1">
      <alignment horizontal="left" vertical="top" wrapText="1"/>
    </xf>
    <xf numFmtId="0" fontId="29" fillId="0" borderId="72" xfId="0" applyFont="1" applyBorder="1" applyAlignment="1">
      <alignment horizontal="left" vertical="top" wrapText="1"/>
    </xf>
    <xf numFmtId="0" fontId="33" fillId="0" borderId="70" xfId="0" applyFont="1" applyBorder="1" applyAlignment="1">
      <alignment horizontal="left" vertical="top" wrapText="1"/>
    </xf>
    <xf numFmtId="0" fontId="33" fillId="0" borderId="72" xfId="0" applyFont="1" applyBorder="1" applyAlignment="1">
      <alignment horizontal="left" vertical="top" wrapText="1"/>
    </xf>
    <xf numFmtId="0" fontId="29" fillId="0" borderId="73" xfId="0" applyFont="1" applyBorder="1" applyAlignment="1">
      <alignment horizontal="right" vertical="top" wrapText="1"/>
    </xf>
    <xf numFmtId="0" fontId="31" fillId="0" borderId="74" xfId="0" applyFont="1" applyBorder="1" applyAlignment="1">
      <alignment horizontal="right" vertical="top" wrapText="1"/>
    </xf>
    <xf numFmtId="0" fontId="33" fillId="0" borderId="75" xfId="0" applyFont="1" applyBorder="1" applyAlignment="1">
      <alignment horizontal="right" vertical="top" wrapText="1"/>
    </xf>
    <xf numFmtId="0" fontId="33" fillId="0" borderId="76" xfId="0" applyFont="1" applyBorder="1" applyAlignment="1">
      <alignment horizontal="right" vertical="top" wrapText="1"/>
    </xf>
    <xf numFmtId="0" fontId="33" fillId="0" borderId="70" xfId="0" applyFont="1" applyBorder="1" applyAlignment="1">
      <alignment horizontal="center" vertical="top" wrapText="1"/>
    </xf>
    <xf numFmtId="0" fontId="33" fillId="0" borderId="72" xfId="0" applyFont="1" applyBorder="1" applyAlignment="1">
      <alignment horizontal="center" vertical="top" wrapText="1"/>
    </xf>
    <xf numFmtId="0" fontId="33" fillId="0" borderId="75" xfId="0" applyFont="1" applyBorder="1" applyAlignment="1">
      <alignment horizontal="left" vertical="top" wrapText="1"/>
    </xf>
    <xf numFmtId="0" fontId="33" fillId="0" borderId="76" xfId="0" applyFont="1" applyBorder="1" applyAlignment="1">
      <alignment horizontal="left" vertical="top" wrapText="1"/>
    </xf>
    <xf numFmtId="0" fontId="33" fillId="0" borderId="71" xfId="0" applyFont="1" applyBorder="1" applyAlignment="1">
      <alignment horizontal="center" vertical="top" wrapText="1"/>
    </xf>
    <xf numFmtId="0" fontId="31" fillId="0" borderId="71" xfId="0" applyFont="1" applyBorder="1" applyAlignment="1">
      <alignment horizontal="right" vertical="top" wrapText="1"/>
    </xf>
    <xf numFmtId="164" fontId="29" fillId="0" borderId="70" xfId="0" applyNumberFormat="1" applyFont="1" applyBorder="1" applyAlignment="1">
      <alignment horizontal="right" vertical="top" wrapText="1"/>
    </xf>
    <xf numFmtId="164" fontId="29" fillId="0" borderId="72" xfId="0" applyNumberFormat="1" applyFont="1" applyBorder="1" applyAlignment="1">
      <alignment horizontal="right" vertical="top" wrapText="1"/>
    </xf>
    <xf numFmtId="0" fontId="33" fillId="0" borderId="70" xfId="0" applyFont="1" applyBorder="1" applyAlignment="1">
      <alignment horizontal="right" vertical="top" wrapText="1"/>
    </xf>
    <xf numFmtId="0" fontId="33" fillId="0" borderId="72" xfId="0" applyFont="1" applyBorder="1" applyAlignment="1">
      <alignment horizontal="right" vertical="top" wrapText="1"/>
    </xf>
    <xf numFmtId="164" fontId="29" fillId="0" borderId="71" xfId="0" applyNumberFormat="1" applyFont="1" applyBorder="1" applyAlignment="1">
      <alignment horizontal="right" vertical="top" wrapText="1"/>
    </xf>
    <xf numFmtId="0" fontId="33" fillId="0" borderId="71" xfId="0" applyFont="1" applyBorder="1" applyAlignment="1">
      <alignment horizontal="right" vertical="top" wrapText="1"/>
    </xf>
    <xf numFmtId="0" fontId="31" fillId="0" borderId="77" xfId="0" applyFont="1" applyBorder="1" applyAlignment="1">
      <alignment horizontal="right" vertical="top" wrapText="1"/>
    </xf>
    <xf numFmtId="0" fontId="31" fillId="0" borderId="70" xfId="0" applyFont="1" applyBorder="1" applyAlignment="1">
      <alignment horizontal="left" vertical="top" wrapText="1"/>
    </xf>
    <xf numFmtId="0" fontId="31" fillId="0" borderId="72" xfId="0" applyFont="1" applyBorder="1" applyAlignment="1">
      <alignment horizontal="left" vertical="top" wrapText="1"/>
    </xf>
    <xf numFmtId="0" fontId="31" fillId="0" borderId="70" xfId="0" applyFont="1" applyBorder="1" applyAlignment="1">
      <alignment horizontal="left" vertical="center" wrapText="1"/>
    </xf>
    <xf numFmtId="0" fontId="31" fillId="0" borderId="72" xfId="0" applyFont="1" applyBorder="1" applyAlignment="1">
      <alignment horizontal="left" vertical="center" wrapText="1"/>
    </xf>
    <xf numFmtId="4" fontId="33" fillId="3" borderId="0" xfId="0" applyNumberFormat="1" applyFont="1" applyFill="1"/>
    <xf numFmtId="7" fontId="33" fillId="0" borderId="0" xfId="0" applyNumberFormat="1" applyFont="1"/>
    <xf numFmtId="7" fontId="33" fillId="3" borderId="0" xfId="0" applyNumberFormat="1" applyFont="1" applyFill="1"/>
  </cellXfs>
  <cellStyles count="7">
    <cellStyle name="Moeda" xfId="2" builtinId="4"/>
    <cellStyle name="Normal" xfId="0" builtinId="0"/>
    <cellStyle name="Normal 2 2" xfId="3" xr:uid="{0C97A224-1AC7-4D13-93FD-B25AF454E099}"/>
    <cellStyle name="Normal 2 3" xfId="4" xr:uid="{E0339506-AFCE-47CE-8F3A-41E01BC21192}"/>
    <cellStyle name="Porcentagem" xfId="6" builtinId="5"/>
    <cellStyle name="Separador de milhares 4 2" xfId="5" xr:uid="{64EB8C26-FD8F-4314-B7F6-D6F660DADC90}"/>
    <cellStyle name="Vírgula" xfId="1" builtinId="3"/>
  </cellStyles>
  <dxfs count="5">
    <dxf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color rgb="FFFFFFFF"/>
      </font>
      <fill>
        <patternFill>
          <bgColor rgb="FFFFFFFF"/>
        </patternFill>
      </fill>
    </dxf>
    <dxf>
      <font>
        <b/>
      </font>
      <fill>
        <patternFill>
          <bgColor rgb="FFA1A9B4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ont>
        <color rgb="FFF2F2F2"/>
      </font>
      <fill>
        <patternFill>
          <bgColor rgb="FFFFFF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28574</xdr:colOff>
      <xdr:row>1</xdr:row>
      <xdr:rowOff>27346</xdr:rowOff>
    </xdr:from>
    <xdr:ext cx="1362075" cy="1281299"/>
    <xdr:pic>
      <xdr:nvPicPr>
        <xdr:cNvPr id="3" name="Picture 4">
          <a:extLst>
            <a:ext uri="{FF2B5EF4-FFF2-40B4-BE49-F238E27FC236}">
              <a16:creationId xmlns:a16="http://schemas.microsoft.com/office/drawing/2014/main" id="{8EABDCF4-0F07-48C2-925D-CAB9C3345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" y="217846"/>
          <a:ext cx="1362075" cy="1281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124883</xdr:colOff>
      <xdr:row>0</xdr:row>
      <xdr:rowOff>43394</xdr:rowOff>
    </xdr:from>
    <xdr:ext cx="1001659" cy="1174748"/>
    <xdr:pic>
      <xdr:nvPicPr>
        <xdr:cNvPr id="2" name="Picture 4">
          <a:extLst>
            <a:ext uri="{FF2B5EF4-FFF2-40B4-BE49-F238E27FC236}">
              <a16:creationId xmlns:a16="http://schemas.microsoft.com/office/drawing/2014/main" id="{165A2E68-F7D8-4EFC-A5FF-FBEABFAF98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83" y="43394"/>
          <a:ext cx="1001659" cy="11747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111125</xdr:colOff>
      <xdr:row>0</xdr:row>
      <xdr:rowOff>79375</xdr:rowOff>
    </xdr:from>
    <xdr:ext cx="1001659" cy="1174748"/>
    <xdr:pic>
      <xdr:nvPicPr>
        <xdr:cNvPr id="3" name="Picture 4">
          <a:extLst>
            <a:ext uri="{FF2B5EF4-FFF2-40B4-BE49-F238E27FC236}">
              <a16:creationId xmlns:a16="http://schemas.microsoft.com/office/drawing/2014/main" id="{E92D0049-FEA4-4A44-A28C-5609183B37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79375"/>
          <a:ext cx="1001659" cy="11747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25400</xdr:colOff>
      <xdr:row>0</xdr:row>
      <xdr:rowOff>60325</xdr:rowOff>
    </xdr:from>
    <xdr:ext cx="865909" cy="695325"/>
    <xdr:pic>
      <xdr:nvPicPr>
        <xdr:cNvPr id="2" name="Picture 4">
          <a:extLst>
            <a:ext uri="{FF2B5EF4-FFF2-40B4-BE49-F238E27FC236}">
              <a16:creationId xmlns:a16="http://schemas.microsoft.com/office/drawing/2014/main" id="{0A0D487C-CC22-47F6-AF83-80E1D8DEB6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" y="60325"/>
          <a:ext cx="865909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158750</xdr:colOff>
      <xdr:row>1</xdr:row>
      <xdr:rowOff>79375</xdr:rowOff>
    </xdr:from>
    <xdr:to>
      <xdr:col>0</xdr:col>
      <xdr:colOff>1024659</xdr:colOff>
      <xdr:row>4</xdr:row>
      <xdr:rowOff>248270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C6CBFF00-E63A-4C26-A900-5CB0448D76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250825"/>
          <a:ext cx="865909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OJETO%20DE%20LICITA&#199;&#195;O%202021\PB-073%20-%20GUARABIRA-PIRPIRITUBA-RUA%20NOVA-RESTAURA&#199;&#195;O\Or&#231;amentoGeral-PB-073%20Trecho%20Guarabira%20-%20Pirpirituba%20-%20Rua%20Nova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oseane.gomes\Downloads\Planilha%20de%20Precos_90006-2024_DNOCS_RN%20-%2016.09.24-ROSEANE%20(1)%20(1).xlsx" TargetMode="External"/><Relationship Id="rId1" Type="http://schemas.openxmlformats.org/officeDocument/2006/relationships/externalLinkPath" Target="/Users/roseane.gomes/Downloads/Planilha%20de%20Precos_90006-2024_DNOCS_RN%20-%2016.09.24-ROSEANE%20(1)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stTransp "/>
      <sheetName val="DemonstQuant"/>
      <sheetName val="QUANTITATIVOS"/>
      <sheetName val="Resumo de Preços"/>
      <sheetName val="Orçamento"/>
      <sheetName val="Cronograma"/>
      <sheetName val="BDI"/>
      <sheetName val="ENCARGOS"/>
    </sheetNames>
    <sheetDataSet>
      <sheetData sheetId="0"/>
      <sheetData sheetId="1"/>
      <sheetData sheetId="2">
        <row r="2">
          <cell r="B2" t="str">
            <v>SECRETARIA DE INFRA-ESTRUTURA - SEIRHMA</v>
          </cell>
        </row>
        <row r="6">
          <cell r="A6" t="str">
            <v>OBRA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o"/>
      <sheetName val="Orçamento Sintético"/>
      <sheetName val="CPU's"/>
      <sheetName val="CRONOGRAMA"/>
      <sheetName val="BDI"/>
      <sheetName val="ENCARGOS"/>
    </sheetNames>
    <sheetDataSet>
      <sheetData sheetId="0"/>
      <sheetData sheetId="1">
        <row r="8">
          <cell r="B8" t="str">
            <v>08.01.01</v>
          </cell>
        </row>
        <row r="12">
          <cell r="B12" t="str">
            <v>08.01.05</v>
          </cell>
        </row>
        <row r="13">
          <cell r="B13" t="str">
            <v>08.01.06</v>
          </cell>
        </row>
        <row r="14">
          <cell r="B14" t="str">
            <v>08.01.07</v>
          </cell>
        </row>
        <row r="16">
          <cell r="B16" t="str">
            <v>08.02.01</v>
          </cell>
        </row>
        <row r="17">
          <cell r="B17" t="str">
            <v>08.02.02</v>
          </cell>
        </row>
        <row r="18">
          <cell r="B18" t="str">
            <v>08.02.03</v>
          </cell>
        </row>
        <row r="19">
          <cell r="B19" t="str">
            <v>08.02.04</v>
          </cell>
        </row>
        <row r="20">
          <cell r="B20" t="str">
            <v>08.02.05</v>
          </cell>
        </row>
        <row r="21">
          <cell r="B21" t="str">
            <v>08.02.06</v>
          </cell>
        </row>
        <row r="22">
          <cell r="B22" t="str">
            <v>08.02.07</v>
          </cell>
        </row>
        <row r="24">
          <cell r="B24" t="str">
            <v>08.03.01</v>
          </cell>
        </row>
        <row r="27">
          <cell r="B27" t="str">
            <v>08.03.04</v>
          </cell>
        </row>
        <row r="28">
          <cell r="B28" t="str">
            <v>08.03.05</v>
          </cell>
        </row>
        <row r="29">
          <cell r="B29" t="str">
            <v>08.03.06</v>
          </cell>
        </row>
        <row r="32">
          <cell r="B32" t="str">
            <v>08.03.09</v>
          </cell>
        </row>
        <row r="34">
          <cell r="B34" t="str">
            <v>08.04.01</v>
          </cell>
        </row>
        <row r="36">
          <cell r="B36" t="str">
            <v>08.05.01</v>
          </cell>
        </row>
        <row r="37">
          <cell r="B37" t="str">
            <v>08.05.02</v>
          </cell>
        </row>
        <row r="39">
          <cell r="B39" t="str">
            <v>08.06.01</v>
          </cell>
        </row>
        <row r="40">
          <cell r="B40" t="str">
            <v>08.06.02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E9F40-CB1B-4839-B33B-AA7857138065}">
  <dimension ref="A1:G27"/>
  <sheetViews>
    <sheetView topLeftCell="A16" workbookViewId="0">
      <selection activeCell="G13" sqref="G13"/>
    </sheetView>
  </sheetViews>
  <sheetFormatPr defaultRowHeight="14.25" x14ac:dyDescent="0.2"/>
  <cols>
    <col min="1" max="1" width="18.5" customWidth="1"/>
    <col min="2" max="2" width="51" customWidth="1"/>
    <col min="3" max="3" width="17.875" customWidth="1"/>
    <col min="4" max="5" width="15.375" bestFit="1" customWidth="1"/>
  </cols>
  <sheetData>
    <row r="1" spans="1:7" ht="15" thickBot="1" x14ac:dyDescent="0.25"/>
    <row r="2" spans="1:7" s="1" customFormat="1" ht="105.75" customHeight="1" thickBot="1" x14ac:dyDescent="0.25">
      <c r="A2" s="134"/>
      <c r="B2" s="137" t="s">
        <v>172</v>
      </c>
      <c r="C2" s="138"/>
      <c r="D2" s="138"/>
      <c r="E2" s="139"/>
      <c r="G2" s="56"/>
    </row>
    <row r="3" spans="1:7" ht="4.5" customHeight="1" thickBot="1" x14ac:dyDescent="0.25"/>
    <row r="4" spans="1:7" ht="14.25" customHeight="1" x14ac:dyDescent="0.2">
      <c r="A4" s="154" t="s">
        <v>157</v>
      </c>
      <c r="B4" s="151" t="s">
        <v>158</v>
      </c>
      <c r="C4" s="141" t="s">
        <v>424</v>
      </c>
      <c r="D4" s="141"/>
      <c r="E4" s="142"/>
    </row>
    <row r="5" spans="1:7" ht="13.5" customHeight="1" x14ac:dyDescent="0.2">
      <c r="A5" s="155"/>
      <c r="B5" s="152"/>
      <c r="C5" s="143"/>
      <c r="D5" s="143"/>
      <c r="E5" s="144"/>
    </row>
    <row r="6" spans="1:7" ht="28.5" customHeight="1" x14ac:dyDescent="0.2">
      <c r="A6" s="155"/>
      <c r="B6" s="152"/>
      <c r="C6" s="124" t="s">
        <v>469</v>
      </c>
      <c r="D6" s="123" t="s">
        <v>421</v>
      </c>
      <c r="E6" s="125" t="s">
        <v>422</v>
      </c>
    </row>
    <row r="7" spans="1:7" ht="15" customHeight="1" x14ac:dyDescent="0.2">
      <c r="A7" s="156"/>
      <c r="B7" s="153"/>
      <c r="C7" s="122" t="s">
        <v>165</v>
      </c>
      <c r="D7" s="122" t="s">
        <v>165</v>
      </c>
      <c r="E7" s="126" t="s">
        <v>165</v>
      </c>
    </row>
    <row r="8" spans="1:7" ht="24.95" customHeight="1" x14ac:dyDescent="0.2">
      <c r="A8" s="127" t="str">
        <f>'Orçamento Sintético'!B6</f>
        <v>08</v>
      </c>
      <c r="B8" s="71" t="s">
        <v>425</v>
      </c>
      <c r="C8" s="121">
        <f>SUM(C9:C14)</f>
        <v>7645400</v>
      </c>
      <c r="D8" s="121">
        <f>SUM(D9:D14)</f>
        <v>11031199.720000001</v>
      </c>
      <c r="E8" s="128">
        <f>C8+D8</f>
        <v>18676599.719999999</v>
      </c>
    </row>
    <row r="9" spans="1:7" ht="24.95" customHeight="1" x14ac:dyDescent="0.2">
      <c r="A9" s="127" t="str">
        <f>'Orçamento Sintético'!B7</f>
        <v>08.01</v>
      </c>
      <c r="B9" s="71" t="s">
        <v>16</v>
      </c>
      <c r="C9" s="121"/>
      <c r="D9" s="121">
        <f>'Orçamento Sintético'!J7</f>
        <v>538844.32000000007</v>
      </c>
      <c r="E9" s="128">
        <f t="shared" ref="E9:E14" si="0">C9+D9</f>
        <v>538844.32000000007</v>
      </c>
    </row>
    <row r="10" spans="1:7" ht="24.95" customHeight="1" x14ac:dyDescent="0.2">
      <c r="A10" s="127" t="str">
        <f>'Orçamento Sintético'!B15</f>
        <v>08.02</v>
      </c>
      <c r="B10" s="71" t="s">
        <v>259</v>
      </c>
      <c r="C10" s="121"/>
      <c r="D10" s="121">
        <f>'Orçamento Sintético'!J15</f>
        <v>1112720</v>
      </c>
      <c r="E10" s="128">
        <f t="shared" si="0"/>
        <v>1112720</v>
      </c>
    </row>
    <row r="11" spans="1:7" ht="24.95" customHeight="1" x14ac:dyDescent="0.2">
      <c r="A11" s="127" t="str">
        <f>'Orçamento Sintético'!B23</f>
        <v>08.03</v>
      </c>
      <c r="B11" s="71" t="s">
        <v>29</v>
      </c>
      <c r="C11" s="121">
        <f>'Orçamento Sintético'!J32</f>
        <v>7645400</v>
      </c>
      <c r="D11" s="121">
        <f>'Orçamento Sintético'!J23-'Orçamento Sintético'!J32</f>
        <v>7007280</v>
      </c>
      <c r="E11" s="128">
        <f t="shared" si="0"/>
        <v>14652680</v>
      </c>
    </row>
    <row r="12" spans="1:7" ht="24.95" customHeight="1" x14ac:dyDescent="0.2">
      <c r="A12" s="127" t="str">
        <f>'Orçamento Sintético'!B33</f>
        <v>08.04</v>
      </c>
      <c r="B12" s="71" t="s">
        <v>302</v>
      </c>
      <c r="C12" s="121"/>
      <c r="D12" s="121">
        <f>'Orçamento Sintético'!J33</f>
        <v>2306000</v>
      </c>
      <c r="E12" s="128">
        <f t="shared" si="0"/>
        <v>2306000</v>
      </c>
    </row>
    <row r="13" spans="1:7" ht="24.95" customHeight="1" x14ac:dyDescent="0.2">
      <c r="A13" s="127" t="str">
        <f>'Orçamento Sintético'!B35</f>
        <v>08.05</v>
      </c>
      <c r="B13" s="71" t="s">
        <v>307</v>
      </c>
      <c r="C13" s="121"/>
      <c r="D13" s="121">
        <f>'Orçamento Sintético'!J35</f>
        <v>27820.400000000001</v>
      </c>
      <c r="E13" s="128">
        <f t="shared" si="0"/>
        <v>27820.400000000001</v>
      </c>
    </row>
    <row r="14" spans="1:7" ht="24.95" customHeight="1" x14ac:dyDescent="0.2">
      <c r="A14" s="127" t="str">
        <f>'Orçamento Sintético'!B38</f>
        <v>08.06</v>
      </c>
      <c r="B14" s="71" t="s">
        <v>314</v>
      </c>
      <c r="C14" s="121"/>
      <c r="D14" s="121">
        <f>'Orçamento Sintético'!J38</f>
        <v>38535</v>
      </c>
      <c r="E14" s="128">
        <f t="shared" si="0"/>
        <v>38535</v>
      </c>
    </row>
    <row r="15" spans="1:7" ht="24.95" customHeight="1" x14ac:dyDescent="0.2">
      <c r="A15" s="145" t="s">
        <v>422</v>
      </c>
      <c r="B15" s="146"/>
      <c r="C15" s="121">
        <f>C8</f>
        <v>7645400</v>
      </c>
      <c r="D15" s="121">
        <f t="shared" ref="D15:E15" si="1">D8</f>
        <v>11031199.720000001</v>
      </c>
      <c r="E15" s="128">
        <f t="shared" si="1"/>
        <v>18676599.719999999</v>
      </c>
    </row>
    <row r="16" spans="1:7" x14ac:dyDescent="0.2">
      <c r="A16" s="129"/>
      <c r="E16" s="130"/>
    </row>
    <row r="17" spans="1:6" ht="24.95" customHeight="1" x14ac:dyDescent="0.2">
      <c r="A17" s="129"/>
      <c r="C17" s="72" t="s">
        <v>470</v>
      </c>
      <c r="D17" s="147" t="s">
        <v>423</v>
      </c>
      <c r="E17" s="148"/>
    </row>
    <row r="18" spans="1:6" ht="24.95" customHeight="1" thickBot="1" x14ac:dyDescent="0.25">
      <c r="A18" s="131"/>
      <c r="B18" s="132"/>
      <c r="C18" s="133">
        <v>140000</v>
      </c>
      <c r="D18" s="149">
        <f>E15/C18</f>
        <v>133.4042837142857</v>
      </c>
      <c r="E18" s="150"/>
    </row>
    <row r="23" spans="1:6" x14ac:dyDescent="0.2">
      <c r="D23" s="140" t="s">
        <v>228</v>
      </c>
      <c r="E23" s="140"/>
      <c r="F23" s="140"/>
    </row>
    <row r="24" spans="1:6" x14ac:dyDescent="0.2">
      <c r="D24" s="136" t="s">
        <v>451</v>
      </c>
      <c r="E24" s="136"/>
      <c r="F24" s="136"/>
    </row>
    <row r="25" spans="1:6" x14ac:dyDescent="0.2">
      <c r="D25" s="136" t="s">
        <v>452</v>
      </c>
      <c r="E25" s="136"/>
      <c r="F25" s="136"/>
    </row>
    <row r="26" spans="1:6" x14ac:dyDescent="0.2">
      <c r="D26" s="136" t="s">
        <v>173</v>
      </c>
      <c r="E26" s="136"/>
      <c r="F26" s="136"/>
    </row>
    <row r="27" spans="1:6" x14ac:dyDescent="0.2">
      <c r="D27" s="136" t="s">
        <v>453</v>
      </c>
      <c r="E27" s="136"/>
      <c r="F27" s="136"/>
    </row>
  </sheetData>
  <mergeCells count="12">
    <mergeCell ref="D26:F26"/>
    <mergeCell ref="D27:F27"/>
    <mergeCell ref="B2:E2"/>
    <mergeCell ref="D23:F23"/>
    <mergeCell ref="D24:F24"/>
    <mergeCell ref="D25:F25"/>
    <mergeCell ref="C4:E5"/>
    <mergeCell ref="A15:B15"/>
    <mergeCell ref="D17:E17"/>
    <mergeCell ref="D18:E18"/>
    <mergeCell ref="B4:B7"/>
    <mergeCell ref="A4:A7"/>
  </mergeCells>
  <printOptions horizontalCentered="1"/>
  <pageMargins left="0.51181102362204722" right="0.51181102362204722" top="1.1811023622047245" bottom="0.78740157480314965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59"/>
  <sheetViews>
    <sheetView tabSelected="1" showOutlineSymbols="0" showWhiteSpace="0" zoomScale="80" zoomScaleNormal="80" zoomScaleSheetLayoutView="80" workbookViewId="0">
      <selection activeCell="M36" sqref="M36"/>
    </sheetView>
  </sheetViews>
  <sheetFormatPr defaultRowHeight="14.25" x14ac:dyDescent="0.2"/>
  <cols>
    <col min="1" max="1" width="2.875" style="1" customWidth="1"/>
    <col min="2" max="2" width="15.625" style="1" customWidth="1"/>
    <col min="3" max="3" width="10" style="1" customWidth="1"/>
    <col min="4" max="4" width="11.375" style="1" customWidth="1"/>
    <col min="5" max="5" width="60" style="55" bestFit="1" customWidth="1"/>
    <col min="6" max="6" width="8" style="1" customWidth="1"/>
    <col min="7" max="7" width="11.25" style="66" bestFit="1" customWidth="1"/>
    <col min="8" max="8" width="12" style="1" customWidth="1"/>
    <col min="9" max="9" width="14" style="1" customWidth="1"/>
    <col min="10" max="10" width="20" style="1" customWidth="1"/>
    <col min="12" max="16384" width="9" style="1"/>
  </cols>
  <sheetData>
    <row r="1" spans="2:10" ht="105.75" customHeight="1" x14ac:dyDescent="0.2">
      <c r="B1" s="53"/>
      <c r="C1" s="157" t="s">
        <v>172</v>
      </c>
      <c r="D1" s="157"/>
      <c r="E1" s="157"/>
      <c r="F1" s="157"/>
      <c r="G1" s="157"/>
      <c r="H1" s="157"/>
      <c r="I1" s="157"/>
      <c r="J1" s="157"/>
    </row>
    <row r="2" spans="2:10" ht="29.25" customHeight="1" x14ac:dyDescent="0.2">
      <c r="B2" s="181" t="s">
        <v>0</v>
      </c>
      <c r="C2" s="181"/>
      <c r="D2" s="181"/>
      <c r="E2" s="181"/>
      <c r="F2" s="166" t="s">
        <v>1</v>
      </c>
      <c r="G2" s="166"/>
      <c r="H2" s="166" t="s">
        <v>2</v>
      </c>
      <c r="I2" s="166"/>
      <c r="J2" s="77" t="s">
        <v>3</v>
      </c>
    </row>
    <row r="3" spans="2:10" ht="72.75" customHeight="1" x14ac:dyDescent="0.2">
      <c r="B3" s="180" t="s">
        <v>230</v>
      </c>
      <c r="C3" s="180"/>
      <c r="D3" s="180"/>
      <c r="E3" s="180"/>
      <c r="F3" s="180" t="s">
        <v>231</v>
      </c>
      <c r="G3" s="180"/>
      <c r="H3" s="75" t="s">
        <v>232</v>
      </c>
      <c r="I3" s="75" t="s">
        <v>447</v>
      </c>
      <c r="J3" s="76" t="s">
        <v>4</v>
      </c>
    </row>
    <row r="4" spans="2:10" ht="19.5" customHeight="1" x14ac:dyDescent="0.2">
      <c r="B4" s="166" t="s">
        <v>233</v>
      </c>
      <c r="C4" s="167"/>
      <c r="D4" s="167"/>
      <c r="E4" s="167"/>
      <c r="F4" s="167"/>
      <c r="G4" s="167"/>
      <c r="H4" s="167"/>
      <c r="I4" s="167"/>
      <c r="J4" s="167"/>
    </row>
    <row r="5" spans="2:10" s="57" customFormat="1" ht="33" customHeight="1" x14ac:dyDescent="0.2">
      <c r="B5" s="73" t="s">
        <v>5</v>
      </c>
      <c r="C5" s="73" t="s">
        <v>6</v>
      </c>
      <c r="D5" s="73" t="s">
        <v>7</v>
      </c>
      <c r="E5" s="73" t="s">
        <v>8</v>
      </c>
      <c r="F5" s="73" t="s">
        <v>9</v>
      </c>
      <c r="G5" s="74" t="s">
        <v>10</v>
      </c>
      <c r="H5" s="73" t="s">
        <v>11</v>
      </c>
      <c r="I5" s="73" t="s">
        <v>12</v>
      </c>
      <c r="J5" s="73" t="s">
        <v>13</v>
      </c>
    </row>
    <row r="6" spans="2:10" s="57" customFormat="1" ht="24" customHeight="1" x14ac:dyDescent="0.2">
      <c r="B6" s="67" t="s">
        <v>234</v>
      </c>
      <c r="C6" s="68"/>
      <c r="D6" s="68"/>
      <c r="E6" s="81" t="s">
        <v>446</v>
      </c>
      <c r="F6" s="68"/>
      <c r="G6" s="69"/>
      <c r="H6" s="70"/>
      <c r="I6" s="70"/>
      <c r="J6" s="70">
        <f>J7+J15+J23+J33+J35+J38</f>
        <v>18676599.719999999</v>
      </c>
    </row>
    <row r="7" spans="2:10" s="57" customFormat="1" ht="24" customHeight="1" x14ac:dyDescent="0.2">
      <c r="B7" s="68" t="s">
        <v>235</v>
      </c>
      <c r="C7" s="68"/>
      <c r="D7" s="68"/>
      <c r="E7" s="81" t="s">
        <v>16</v>
      </c>
      <c r="F7" s="68"/>
      <c r="G7" s="69"/>
      <c r="H7" s="70"/>
      <c r="I7" s="70"/>
      <c r="J7" s="70">
        <f>SUM(J8:J14)</f>
        <v>538844.32000000007</v>
      </c>
    </row>
    <row r="8" spans="2:10" ht="39" customHeight="1" x14ac:dyDescent="0.2">
      <c r="B8" s="62" t="s">
        <v>236</v>
      </c>
      <c r="C8" s="62" t="s">
        <v>237</v>
      </c>
      <c r="D8" s="62" t="s">
        <v>14</v>
      </c>
      <c r="E8" s="82" t="s">
        <v>238</v>
      </c>
      <c r="F8" s="62" t="s">
        <v>21</v>
      </c>
      <c r="G8" s="64">
        <v>64190</v>
      </c>
      <c r="H8" s="63">
        <v>0.47795632468067567</v>
      </c>
      <c r="I8" s="63">
        <v>0.57999999999999996</v>
      </c>
      <c r="J8" s="63">
        <f>TRUNC(G8*I8,2)</f>
        <v>37230.199999999997</v>
      </c>
    </row>
    <row r="9" spans="2:10" ht="24" customHeight="1" x14ac:dyDescent="0.2">
      <c r="B9" s="62" t="s">
        <v>239</v>
      </c>
      <c r="C9" s="62" t="s">
        <v>240</v>
      </c>
      <c r="D9" s="62" t="s">
        <v>14</v>
      </c>
      <c r="E9" s="82" t="s">
        <v>241</v>
      </c>
      <c r="F9" s="62" t="s">
        <v>21</v>
      </c>
      <c r="G9" s="64">
        <v>19257</v>
      </c>
      <c r="H9" s="63">
        <v>0.58508446641944789</v>
      </c>
      <c r="I9" s="63">
        <v>0.71</v>
      </c>
      <c r="J9" s="63">
        <f t="shared" ref="J9:J14" si="0">TRUNC(G9*I9,2)</f>
        <v>13672.47</v>
      </c>
    </row>
    <row r="10" spans="2:10" ht="34.5" customHeight="1" x14ac:dyDescent="0.2">
      <c r="B10" s="62" t="s">
        <v>242</v>
      </c>
      <c r="C10" s="62" t="s">
        <v>243</v>
      </c>
      <c r="D10" s="62" t="s">
        <v>14</v>
      </c>
      <c r="E10" s="82" t="s">
        <v>244</v>
      </c>
      <c r="F10" s="62" t="s">
        <v>245</v>
      </c>
      <c r="G10" s="64">
        <v>5</v>
      </c>
      <c r="H10" s="63">
        <v>1950.3337453646477</v>
      </c>
      <c r="I10" s="63">
        <v>2366.73</v>
      </c>
      <c r="J10" s="63">
        <f t="shared" si="0"/>
        <v>11833.65</v>
      </c>
    </row>
    <row r="11" spans="2:10" ht="58.5" customHeight="1" x14ac:dyDescent="0.2">
      <c r="B11" s="62" t="s">
        <v>246</v>
      </c>
      <c r="C11" s="62" t="s">
        <v>247</v>
      </c>
      <c r="D11" s="62" t="s">
        <v>14</v>
      </c>
      <c r="E11" s="82" t="s">
        <v>248</v>
      </c>
      <c r="F11" s="62" t="s">
        <v>18</v>
      </c>
      <c r="G11" s="64">
        <v>140000</v>
      </c>
      <c r="H11" s="63">
        <v>0.38730943551709929</v>
      </c>
      <c r="I11" s="63">
        <v>0.47</v>
      </c>
      <c r="J11" s="63">
        <f t="shared" si="0"/>
        <v>65800</v>
      </c>
    </row>
    <row r="12" spans="2:10" ht="39.75" customHeight="1" x14ac:dyDescent="0.2">
      <c r="B12" s="62" t="s">
        <v>249</v>
      </c>
      <c r="C12" s="62" t="s">
        <v>250</v>
      </c>
      <c r="D12" s="62" t="s">
        <v>14</v>
      </c>
      <c r="E12" s="82" t="s">
        <v>251</v>
      </c>
      <c r="F12" s="62" t="s">
        <v>245</v>
      </c>
      <c r="G12" s="64">
        <v>100</v>
      </c>
      <c r="H12" s="63">
        <v>2242.7358879274825</v>
      </c>
      <c r="I12" s="63">
        <v>2721.56</v>
      </c>
      <c r="J12" s="63">
        <f t="shared" si="0"/>
        <v>272156</v>
      </c>
    </row>
    <row r="13" spans="2:10" ht="30" customHeight="1" x14ac:dyDescent="0.2">
      <c r="B13" s="62" t="s">
        <v>252</v>
      </c>
      <c r="C13" s="62" t="s">
        <v>253</v>
      </c>
      <c r="D13" s="62" t="s">
        <v>14</v>
      </c>
      <c r="E13" s="82" t="s">
        <v>254</v>
      </c>
      <c r="F13" s="62" t="s">
        <v>18</v>
      </c>
      <c r="G13" s="64">
        <v>140000</v>
      </c>
      <c r="H13" s="63">
        <v>0.50267820354346926</v>
      </c>
      <c r="I13" s="63">
        <v>0.61</v>
      </c>
      <c r="J13" s="63">
        <f t="shared" si="0"/>
        <v>85400</v>
      </c>
    </row>
    <row r="14" spans="2:10" ht="29.25" customHeight="1" x14ac:dyDescent="0.2">
      <c r="B14" s="62" t="s">
        <v>255</v>
      </c>
      <c r="C14" s="62" t="s">
        <v>256</v>
      </c>
      <c r="D14" s="62" t="s">
        <v>14</v>
      </c>
      <c r="E14" s="82" t="s">
        <v>257</v>
      </c>
      <c r="F14" s="62" t="s">
        <v>22</v>
      </c>
      <c r="G14" s="64">
        <v>33600</v>
      </c>
      <c r="H14" s="63">
        <v>1.2937783271528636</v>
      </c>
      <c r="I14" s="63">
        <v>1.57</v>
      </c>
      <c r="J14" s="63">
        <f t="shared" si="0"/>
        <v>52752</v>
      </c>
    </row>
    <row r="15" spans="2:10" ht="24" customHeight="1" x14ac:dyDescent="0.2">
      <c r="B15" s="68" t="s">
        <v>258</v>
      </c>
      <c r="C15" s="68"/>
      <c r="D15" s="68"/>
      <c r="E15" s="81" t="s">
        <v>259</v>
      </c>
      <c r="F15" s="68"/>
      <c r="G15" s="69"/>
      <c r="H15" s="70"/>
      <c r="I15" s="70"/>
      <c r="J15" s="70">
        <f>SUM(J16:J22)</f>
        <v>1112720</v>
      </c>
    </row>
    <row r="16" spans="2:10" ht="36.75" customHeight="1" x14ac:dyDescent="0.2">
      <c r="B16" s="62" t="s">
        <v>260</v>
      </c>
      <c r="C16" s="62" t="s">
        <v>261</v>
      </c>
      <c r="D16" s="62" t="s">
        <v>14</v>
      </c>
      <c r="E16" s="82" t="s">
        <v>262</v>
      </c>
      <c r="F16" s="62" t="s">
        <v>18</v>
      </c>
      <c r="G16" s="64">
        <v>140000</v>
      </c>
      <c r="H16" s="63">
        <v>0.31314379892871858</v>
      </c>
      <c r="I16" s="63">
        <v>0.38</v>
      </c>
      <c r="J16" s="63">
        <f t="shared" ref="J16:J22" si="1">TRUNC(G16*I16,2)</f>
        <v>53200</v>
      </c>
    </row>
    <row r="17" spans="2:13" ht="39" customHeight="1" x14ac:dyDescent="0.2">
      <c r="B17" s="62" t="s">
        <v>263</v>
      </c>
      <c r="C17" s="62" t="s">
        <v>264</v>
      </c>
      <c r="D17" s="62" t="s">
        <v>24</v>
      </c>
      <c r="E17" s="82" t="s">
        <v>265</v>
      </c>
      <c r="F17" s="62" t="s">
        <v>22</v>
      </c>
      <c r="G17" s="64">
        <v>28000</v>
      </c>
      <c r="H17" s="63">
        <v>7.292954264524103</v>
      </c>
      <c r="I17" s="63">
        <v>8.85</v>
      </c>
      <c r="J17" s="63">
        <f t="shared" si="1"/>
        <v>247800</v>
      </c>
    </row>
    <row r="18" spans="2:13" ht="19.5" customHeight="1" x14ac:dyDescent="0.2">
      <c r="B18" s="62" t="s">
        <v>266</v>
      </c>
      <c r="C18" s="62" t="s">
        <v>267</v>
      </c>
      <c r="D18" s="62" t="s">
        <v>24</v>
      </c>
      <c r="E18" s="82" t="s">
        <v>268</v>
      </c>
      <c r="F18" s="62" t="s">
        <v>18</v>
      </c>
      <c r="G18" s="64">
        <v>140000</v>
      </c>
      <c r="H18" s="63">
        <v>0.95591264936135134</v>
      </c>
      <c r="I18" s="63">
        <v>1.1599999999999999</v>
      </c>
      <c r="J18" s="63">
        <f t="shared" si="1"/>
        <v>162400</v>
      </c>
    </row>
    <row r="19" spans="2:13" ht="34.5" customHeight="1" x14ac:dyDescent="0.2">
      <c r="B19" s="62" t="s">
        <v>269</v>
      </c>
      <c r="C19" s="62" t="s">
        <v>270</v>
      </c>
      <c r="D19" s="62" t="s">
        <v>24</v>
      </c>
      <c r="E19" s="82" t="s">
        <v>271</v>
      </c>
      <c r="F19" s="62" t="s">
        <v>25</v>
      </c>
      <c r="G19" s="64">
        <v>63000</v>
      </c>
      <c r="H19" s="63">
        <v>2.1920065925010301</v>
      </c>
      <c r="I19" s="63">
        <v>2.66</v>
      </c>
      <c r="J19" s="63">
        <f t="shared" si="1"/>
        <v>167580</v>
      </c>
    </row>
    <row r="20" spans="2:13" ht="26.1" customHeight="1" x14ac:dyDescent="0.2">
      <c r="B20" s="62" t="s">
        <v>272</v>
      </c>
      <c r="C20" s="62" t="s">
        <v>273</v>
      </c>
      <c r="D20" s="62" t="s">
        <v>24</v>
      </c>
      <c r="E20" s="82" t="s">
        <v>274</v>
      </c>
      <c r="F20" s="62" t="s">
        <v>119</v>
      </c>
      <c r="G20" s="64">
        <v>315000</v>
      </c>
      <c r="H20" s="63">
        <v>0.58508446641944789</v>
      </c>
      <c r="I20" s="63">
        <v>0.71</v>
      </c>
      <c r="J20" s="63">
        <f t="shared" si="1"/>
        <v>223650</v>
      </c>
    </row>
    <row r="21" spans="2:13" ht="25.5" customHeight="1" x14ac:dyDescent="0.2">
      <c r="B21" s="62" t="s">
        <v>275</v>
      </c>
      <c r="C21" s="62" t="s">
        <v>276</v>
      </c>
      <c r="D21" s="62" t="s">
        <v>24</v>
      </c>
      <c r="E21" s="82" t="s">
        <v>277</v>
      </c>
      <c r="F21" s="62" t="s">
        <v>119</v>
      </c>
      <c r="G21" s="64">
        <v>315000</v>
      </c>
      <c r="H21" s="63">
        <v>0.46971569839307781</v>
      </c>
      <c r="I21" s="63">
        <v>0.56999999999999995</v>
      </c>
      <c r="J21" s="63">
        <f t="shared" si="1"/>
        <v>179550</v>
      </c>
    </row>
    <row r="22" spans="2:13" x14ac:dyDescent="0.2">
      <c r="B22" s="62" t="s">
        <v>278</v>
      </c>
      <c r="C22" s="62" t="s">
        <v>279</v>
      </c>
      <c r="D22" s="62" t="s">
        <v>24</v>
      </c>
      <c r="E22" s="82" t="s">
        <v>280</v>
      </c>
      <c r="F22" s="62" t="s">
        <v>22</v>
      </c>
      <c r="G22" s="64">
        <v>42000</v>
      </c>
      <c r="H22" s="63">
        <v>1.5409971157807993</v>
      </c>
      <c r="I22" s="63">
        <v>1.87</v>
      </c>
      <c r="J22" s="63">
        <f t="shared" si="1"/>
        <v>78540</v>
      </c>
    </row>
    <row r="23" spans="2:13" ht="24" customHeight="1" x14ac:dyDescent="0.2">
      <c r="B23" s="68" t="s">
        <v>281</v>
      </c>
      <c r="C23" s="68"/>
      <c r="D23" s="68"/>
      <c r="E23" s="81" t="s">
        <v>29</v>
      </c>
      <c r="F23" s="68"/>
      <c r="G23" s="69"/>
      <c r="H23" s="70"/>
      <c r="I23" s="70"/>
      <c r="J23" s="70">
        <f>SUM(J24:J32)</f>
        <v>14652680</v>
      </c>
    </row>
    <row r="24" spans="2:13" ht="36" customHeight="1" x14ac:dyDescent="0.2">
      <c r="B24" s="62" t="s">
        <v>282</v>
      </c>
      <c r="C24" s="62" t="s">
        <v>30</v>
      </c>
      <c r="D24" s="62" t="s">
        <v>24</v>
      </c>
      <c r="E24" s="82" t="s">
        <v>31</v>
      </c>
      <c r="F24" s="62" t="s">
        <v>22</v>
      </c>
      <c r="G24" s="64">
        <v>28000</v>
      </c>
      <c r="H24" s="63">
        <v>10.638648537288834</v>
      </c>
      <c r="I24" s="63">
        <v>12.91</v>
      </c>
      <c r="J24" s="63">
        <f t="shared" ref="J24:J32" si="2">TRUNC(G24*I24,2)</f>
        <v>361480</v>
      </c>
    </row>
    <row r="25" spans="2:13" ht="32.25" customHeight="1" x14ac:dyDescent="0.2">
      <c r="B25" s="62" t="s">
        <v>283</v>
      </c>
      <c r="C25" s="62" t="s">
        <v>273</v>
      </c>
      <c r="D25" s="62" t="s">
        <v>24</v>
      </c>
      <c r="E25" s="82" t="s">
        <v>284</v>
      </c>
      <c r="F25" s="62" t="s">
        <v>119</v>
      </c>
      <c r="G25" s="64">
        <v>420000</v>
      </c>
      <c r="H25" s="63">
        <v>0.58508446641944789</v>
      </c>
      <c r="I25" s="63">
        <v>0.71</v>
      </c>
      <c r="J25" s="63">
        <f t="shared" si="2"/>
        <v>298200</v>
      </c>
    </row>
    <row r="26" spans="2:13" ht="33" customHeight="1" x14ac:dyDescent="0.2">
      <c r="B26" s="62" t="s">
        <v>285</v>
      </c>
      <c r="C26" s="62" t="s">
        <v>276</v>
      </c>
      <c r="D26" s="62" t="s">
        <v>24</v>
      </c>
      <c r="E26" s="82" t="s">
        <v>286</v>
      </c>
      <c r="F26" s="62" t="s">
        <v>119</v>
      </c>
      <c r="G26" s="64">
        <v>630000</v>
      </c>
      <c r="H26" s="63">
        <v>0.46971569839307781</v>
      </c>
      <c r="I26" s="63">
        <v>0.56999999999999995</v>
      </c>
      <c r="J26" s="63">
        <f t="shared" si="2"/>
        <v>359100</v>
      </c>
    </row>
    <row r="27" spans="2:13" ht="57" customHeight="1" x14ac:dyDescent="0.2">
      <c r="B27" s="62" t="s">
        <v>287</v>
      </c>
      <c r="C27" s="62" t="s">
        <v>288</v>
      </c>
      <c r="D27" s="62" t="s">
        <v>14</v>
      </c>
      <c r="E27" s="82" t="s">
        <v>289</v>
      </c>
      <c r="F27" s="62" t="s">
        <v>18</v>
      </c>
      <c r="G27" s="64">
        <v>140000</v>
      </c>
      <c r="H27" s="63">
        <v>15.772558714462299</v>
      </c>
      <c r="I27" s="63">
        <v>19.14</v>
      </c>
      <c r="J27" s="63">
        <f t="shared" si="2"/>
        <v>2679600</v>
      </c>
    </row>
    <row r="28" spans="2:13" ht="35.25" customHeight="1" x14ac:dyDescent="0.2">
      <c r="B28" s="62" t="s">
        <v>290</v>
      </c>
      <c r="C28" s="62" t="s">
        <v>291</v>
      </c>
      <c r="D28" s="62" t="s">
        <v>24</v>
      </c>
      <c r="E28" s="82" t="s">
        <v>292</v>
      </c>
      <c r="F28" s="62" t="s">
        <v>119</v>
      </c>
      <c r="G28" s="64">
        <v>268800</v>
      </c>
      <c r="H28" s="63">
        <v>1.4668314791924186</v>
      </c>
      <c r="I28" s="63">
        <v>1.78</v>
      </c>
      <c r="J28" s="63">
        <f t="shared" si="2"/>
        <v>478464</v>
      </c>
    </row>
    <row r="29" spans="2:13" ht="31.5" customHeight="1" x14ac:dyDescent="0.2">
      <c r="B29" s="62" t="s">
        <v>293</v>
      </c>
      <c r="C29" s="62" t="s">
        <v>294</v>
      </c>
      <c r="D29" s="62" t="s">
        <v>24</v>
      </c>
      <c r="E29" s="82" t="s">
        <v>295</v>
      </c>
      <c r="F29" s="62" t="s">
        <v>119</v>
      </c>
      <c r="G29" s="64">
        <v>1881600</v>
      </c>
      <c r="H29" s="63">
        <v>1.211372064276885</v>
      </c>
      <c r="I29" s="63">
        <v>1.47</v>
      </c>
      <c r="J29" s="63">
        <f t="shared" si="2"/>
        <v>2765952</v>
      </c>
    </row>
    <row r="30" spans="2:13" ht="30.75" customHeight="1" x14ac:dyDescent="0.2">
      <c r="B30" s="62" t="s">
        <v>296</v>
      </c>
      <c r="C30" s="62" t="s">
        <v>273</v>
      </c>
      <c r="D30" s="62" t="s">
        <v>24</v>
      </c>
      <c r="E30" s="82" t="s">
        <v>274</v>
      </c>
      <c r="F30" s="62" t="s">
        <v>119</v>
      </c>
      <c r="G30" s="64">
        <v>13720</v>
      </c>
      <c r="H30" s="63">
        <v>0.58508446641944789</v>
      </c>
      <c r="I30" s="63">
        <v>0.71</v>
      </c>
      <c r="J30" s="63">
        <f t="shared" si="2"/>
        <v>9741.2000000000007</v>
      </c>
    </row>
    <row r="31" spans="2:13" ht="19.5" customHeight="1" x14ac:dyDescent="0.2">
      <c r="B31" s="62" t="s">
        <v>297</v>
      </c>
      <c r="C31" s="62" t="s">
        <v>276</v>
      </c>
      <c r="D31" s="62" t="s">
        <v>24</v>
      </c>
      <c r="E31" s="82" t="s">
        <v>277</v>
      </c>
      <c r="F31" s="62" t="s">
        <v>119</v>
      </c>
      <c r="G31" s="64">
        <v>96040</v>
      </c>
      <c r="H31" s="63">
        <v>0.46971569839307781</v>
      </c>
      <c r="I31" s="63">
        <v>0.56999999999999995</v>
      </c>
      <c r="J31" s="63">
        <f t="shared" si="2"/>
        <v>54742.8</v>
      </c>
    </row>
    <row r="32" spans="2:13" ht="39" customHeight="1" x14ac:dyDescent="0.2">
      <c r="B32" s="62" t="s">
        <v>298</v>
      </c>
      <c r="C32" s="62" t="s">
        <v>299</v>
      </c>
      <c r="D32" s="62" t="s">
        <v>14</v>
      </c>
      <c r="E32" s="82" t="s">
        <v>300</v>
      </c>
      <c r="F32" s="62" t="s">
        <v>18</v>
      </c>
      <c r="G32" s="64">
        <v>140000</v>
      </c>
      <c r="H32" s="63">
        <v>47.37</v>
      </c>
      <c r="I32" s="63">
        <v>54.61</v>
      </c>
      <c r="J32" s="63">
        <f t="shared" si="2"/>
        <v>7645400</v>
      </c>
      <c r="L32" s="288"/>
      <c r="M32" s="288"/>
    </row>
    <row r="33" spans="2:13" ht="25.5" customHeight="1" x14ac:dyDescent="0.2">
      <c r="B33" s="68" t="s">
        <v>301</v>
      </c>
      <c r="C33" s="68"/>
      <c r="D33" s="68"/>
      <c r="E33" s="81" t="s">
        <v>302</v>
      </c>
      <c r="F33" s="68"/>
      <c r="G33" s="69"/>
      <c r="H33" s="70"/>
      <c r="I33" s="70"/>
      <c r="J33" s="70">
        <f>J34</f>
        <v>2306000</v>
      </c>
    </row>
    <row r="34" spans="2:13" ht="27" customHeight="1" x14ac:dyDescent="0.2">
      <c r="B34" s="62" t="s">
        <v>303</v>
      </c>
      <c r="C34" s="62" t="s">
        <v>304</v>
      </c>
      <c r="D34" s="62" t="s">
        <v>24</v>
      </c>
      <c r="E34" s="82" t="s">
        <v>305</v>
      </c>
      <c r="F34" s="62" t="s">
        <v>23</v>
      </c>
      <c r="G34" s="64">
        <v>40000</v>
      </c>
      <c r="H34" s="63">
        <v>47.507210548001645</v>
      </c>
      <c r="I34" s="63">
        <v>57.65</v>
      </c>
      <c r="J34" s="63">
        <f>TRUNC(G34*I34,2)</f>
        <v>2306000</v>
      </c>
      <c r="M34" s="288"/>
    </row>
    <row r="35" spans="2:13" ht="26.1" customHeight="1" x14ac:dyDescent="0.2">
      <c r="B35" s="68" t="s">
        <v>306</v>
      </c>
      <c r="C35" s="68"/>
      <c r="D35" s="68"/>
      <c r="E35" s="81" t="s">
        <v>307</v>
      </c>
      <c r="F35" s="68"/>
      <c r="G35" s="69"/>
      <c r="H35" s="70"/>
      <c r="I35" s="70"/>
      <c r="J35" s="70">
        <f>SUM(J36:J37)</f>
        <v>27820.400000000001</v>
      </c>
    </row>
    <row r="36" spans="2:13" ht="35.25" customHeight="1" x14ac:dyDescent="0.2">
      <c r="B36" s="62" t="s">
        <v>308</v>
      </c>
      <c r="C36" s="62" t="s">
        <v>309</v>
      </c>
      <c r="D36" s="62" t="s">
        <v>24</v>
      </c>
      <c r="E36" s="82" t="s">
        <v>310</v>
      </c>
      <c r="F36" s="62" t="s">
        <v>26</v>
      </c>
      <c r="G36" s="64">
        <v>40</v>
      </c>
      <c r="H36" s="63">
        <v>213.14379892871855</v>
      </c>
      <c r="I36" s="63">
        <v>258.64999999999998</v>
      </c>
      <c r="J36" s="63">
        <f t="shared" ref="J36:J37" si="3">TRUNC(G36*I36,2)</f>
        <v>10346</v>
      </c>
    </row>
    <row r="37" spans="2:13" ht="35.25" customHeight="1" x14ac:dyDescent="0.2">
      <c r="B37" s="62" t="s">
        <v>450</v>
      </c>
      <c r="C37" s="62" t="s">
        <v>311</v>
      </c>
      <c r="D37" s="62" t="s">
        <v>24</v>
      </c>
      <c r="E37" s="82" t="s">
        <v>312</v>
      </c>
      <c r="F37" s="62" t="s">
        <v>26</v>
      </c>
      <c r="G37" s="64">
        <v>40</v>
      </c>
      <c r="H37" s="63">
        <v>360</v>
      </c>
      <c r="I37" s="63">
        <v>436.86</v>
      </c>
      <c r="J37" s="63">
        <f t="shared" si="3"/>
        <v>17474.400000000001</v>
      </c>
    </row>
    <row r="38" spans="2:13" ht="28.5" customHeight="1" x14ac:dyDescent="0.2">
      <c r="B38" s="68" t="s">
        <v>313</v>
      </c>
      <c r="C38" s="68"/>
      <c r="D38" s="68"/>
      <c r="E38" s="81" t="s">
        <v>314</v>
      </c>
      <c r="F38" s="68"/>
      <c r="G38" s="69"/>
      <c r="H38" s="70"/>
      <c r="I38" s="70"/>
      <c r="J38" s="70">
        <f>SUM(J39:J40)</f>
        <v>38535</v>
      </c>
    </row>
    <row r="39" spans="2:13" ht="40.5" customHeight="1" x14ac:dyDescent="0.2">
      <c r="B39" s="62" t="s">
        <v>315</v>
      </c>
      <c r="C39" s="62" t="s">
        <v>316</v>
      </c>
      <c r="D39" s="62" t="s">
        <v>14</v>
      </c>
      <c r="E39" s="82" t="s">
        <v>317</v>
      </c>
      <c r="F39" s="62" t="s">
        <v>245</v>
      </c>
      <c r="G39" s="64">
        <v>100</v>
      </c>
      <c r="H39" s="63">
        <v>166.08982282653483</v>
      </c>
      <c r="I39" s="63">
        <v>201.55</v>
      </c>
      <c r="J39" s="63">
        <f t="shared" ref="J39:J40" si="4">TRUNC(G39*I39,2)</f>
        <v>20155</v>
      </c>
    </row>
    <row r="40" spans="2:13" ht="25.5" customHeight="1" thickBot="1" x14ac:dyDescent="0.25">
      <c r="B40" s="62" t="s">
        <v>318</v>
      </c>
      <c r="C40" s="62" t="s">
        <v>319</v>
      </c>
      <c r="D40" s="62" t="s">
        <v>14</v>
      </c>
      <c r="E40" s="82" t="s">
        <v>320</v>
      </c>
      <c r="F40" s="62" t="s">
        <v>27</v>
      </c>
      <c r="G40" s="64">
        <v>1000</v>
      </c>
      <c r="H40" s="63">
        <v>15.146271116604861</v>
      </c>
      <c r="I40" s="63">
        <v>18.38</v>
      </c>
      <c r="J40" s="63">
        <f t="shared" si="4"/>
        <v>18380</v>
      </c>
    </row>
    <row r="41" spans="2:13" ht="39" customHeight="1" thickBot="1" x14ac:dyDescent="0.25">
      <c r="B41" s="177" t="s">
        <v>224</v>
      </c>
      <c r="C41" s="178"/>
      <c r="D41" s="179"/>
      <c r="E41" s="177" t="s">
        <v>448</v>
      </c>
      <c r="F41" s="178"/>
      <c r="G41" s="179"/>
      <c r="H41" s="164" t="s">
        <v>225</v>
      </c>
      <c r="I41" s="165"/>
      <c r="J41" s="54">
        <f>J6</f>
        <v>18676599.719999999</v>
      </c>
    </row>
    <row r="42" spans="2:13" ht="20.25" customHeight="1" thickBot="1" x14ac:dyDescent="0.25">
      <c r="B42" s="182" t="s">
        <v>229</v>
      </c>
      <c r="C42" s="182"/>
      <c r="D42" s="182"/>
      <c r="E42" s="168">
        <v>0.2135</v>
      </c>
      <c r="F42" s="171" t="s">
        <v>447</v>
      </c>
      <c r="G42" s="172"/>
      <c r="H42" s="158" t="s">
        <v>226</v>
      </c>
      <c r="I42" s="159"/>
      <c r="J42" s="160"/>
    </row>
    <row r="43" spans="2:13" ht="20.25" customHeight="1" thickBot="1" x14ac:dyDescent="0.25">
      <c r="B43" s="182"/>
      <c r="C43" s="182"/>
      <c r="D43" s="182"/>
      <c r="E43" s="169"/>
      <c r="F43" s="173"/>
      <c r="G43" s="174"/>
      <c r="H43" s="161" t="s">
        <v>227</v>
      </c>
      <c r="I43" s="162"/>
      <c r="J43" s="163"/>
    </row>
    <row r="44" spans="2:13" ht="20.25" customHeight="1" thickBot="1" x14ac:dyDescent="0.25">
      <c r="B44" s="182"/>
      <c r="C44" s="182"/>
      <c r="D44" s="182"/>
      <c r="E44" s="170"/>
      <c r="F44" s="175"/>
      <c r="G44" s="176"/>
      <c r="H44" s="185" t="s">
        <v>171</v>
      </c>
      <c r="I44" s="186"/>
      <c r="J44" s="187"/>
    </row>
    <row r="46" spans="2:13" s="57" customFormat="1" ht="15" customHeight="1" x14ac:dyDescent="0.2">
      <c r="E46" s="58"/>
      <c r="G46" s="65"/>
      <c r="H46" s="184"/>
      <c r="I46" s="184"/>
      <c r="J46" s="59"/>
    </row>
    <row r="59" spans="9:10" ht="15" x14ac:dyDescent="0.2">
      <c r="I59" s="183"/>
      <c r="J59" s="183"/>
    </row>
  </sheetData>
  <mergeCells count="18">
    <mergeCell ref="I59:J59"/>
    <mergeCell ref="H46:I46"/>
    <mergeCell ref="F2:G2"/>
    <mergeCell ref="H2:I2"/>
    <mergeCell ref="F3:G3"/>
    <mergeCell ref="H44:J44"/>
    <mergeCell ref="C1:J1"/>
    <mergeCell ref="H42:J42"/>
    <mergeCell ref="H43:J43"/>
    <mergeCell ref="H41:I41"/>
    <mergeCell ref="B4:J4"/>
    <mergeCell ref="E42:E44"/>
    <mergeCell ref="F42:G44"/>
    <mergeCell ref="B41:D41"/>
    <mergeCell ref="E41:G41"/>
    <mergeCell ref="B3:E3"/>
    <mergeCell ref="B2:E2"/>
    <mergeCell ref="B42:D44"/>
  </mergeCells>
  <phoneticPr fontId="28" type="noConversion"/>
  <printOptions horizontalCentered="1"/>
  <pageMargins left="0.31496062992125984" right="0.31496062992125984" top="0.78740157480314965" bottom="1.1811023622047245" header="0.11811023622047245" footer="3.937007874015748E-2"/>
  <pageSetup paperSize="9" scale="80" fitToHeight="0" orientation="landscape" r:id="rId1"/>
  <headerFooter>
    <oddFooter xml:space="preserve">&amp;R&amp;"Arial,Negrito"&amp;9&amp;K01+000POTIGUAR CONSTRUTORA LTDA&amp;"Arial,Normal"&amp;11&amp;K000000
&amp;9Anderson da Silva Marques
Engenheiro Civil/Responsável Técnico
CREA nº 210043491-8
CPF nº 080.819.847-55
</oddFooter>
  </headerFooter>
  <rowBreaks count="3" manualBreakCount="3">
    <brk id="14" max="16383" man="1"/>
    <brk id="26" max="16383" man="1"/>
    <brk id="3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68944-E6C2-49EC-B590-05B110C07A70}">
  <sheetPr>
    <pageSetUpPr fitToPage="1"/>
  </sheetPr>
  <dimension ref="A1:N432"/>
  <sheetViews>
    <sheetView view="pageBreakPreview" topLeftCell="C1" zoomScale="80" zoomScaleNormal="70" zoomScaleSheetLayoutView="80" workbookViewId="0">
      <pane ySplit="1" topLeftCell="A397" activePane="bottomLeft" state="frozen"/>
      <selection pane="bottomLeft" activeCell="D420" sqref="D420"/>
    </sheetView>
  </sheetViews>
  <sheetFormatPr defaultRowHeight="14.25" x14ac:dyDescent="0.2"/>
  <cols>
    <col min="1" max="1" width="16.75" style="83" bestFit="1" customWidth="1"/>
    <col min="2" max="2" width="12" style="83" bestFit="1" customWidth="1"/>
    <col min="3" max="3" width="10" style="83" bestFit="1" customWidth="1"/>
    <col min="4" max="4" width="60" style="83" bestFit="1" customWidth="1"/>
    <col min="5" max="5" width="15" style="83" bestFit="1" customWidth="1"/>
    <col min="6" max="7" width="12" style="83" bestFit="1" customWidth="1"/>
    <col min="8" max="8" width="13.75" style="83" customWidth="1"/>
    <col min="9" max="9" width="12" style="83" bestFit="1" customWidth="1"/>
    <col min="10" max="10" width="14" style="83" bestFit="1" customWidth="1"/>
    <col min="11" max="11" width="14" style="307" bestFit="1" customWidth="1"/>
    <col min="12" max="12" width="11.375" style="307" bestFit="1" customWidth="1"/>
    <col min="13" max="13" width="11.75" style="83" customWidth="1"/>
    <col min="14" max="14" width="11.5" style="83" bestFit="1" customWidth="1"/>
    <col min="15" max="16384" width="9" style="83"/>
  </cols>
  <sheetData>
    <row r="1" spans="1:12" s="104" customFormat="1" ht="24.75" customHeight="1" x14ac:dyDescent="0.2">
      <c r="A1" s="102"/>
      <c r="B1" s="102"/>
      <c r="C1" s="197" t="s">
        <v>33</v>
      </c>
      <c r="D1" s="197"/>
      <c r="E1" s="197" t="s">
        <v>1</v>
      </c>
      <c r="F1" s="197"/>
      <c r="G1" s="197" t="s">
        <v>2</v>
      </c>
      <c r="H1" s="197"/>
      <c r="I1" s="197" t="s">
        <v>3</v>
      </c>
      <c r="J1" s="197"/>
      <c r="K1" s="306"/>
      <c r="L1" s="306"/>
    </row>
    <row r="2" spans="1:12" ht="80.099999999999994" customHeight="1" x14ac:dyDescent="0.2">
      <c r="A2" s="84"/>
      <c r="B2" s="84"/>
      <c r="C2" s="198" t="s">
        <v>230</v>
      </c>
      <c r="D2" s="198"/>
      <c r="E2" s="198" t="s">
        <v>231</v>
      </c>
      <c r="F2" s="198"/>
      <c r="G2" s="85" t="s">
        <v>232</v>
      </c>
      <c r="H2" s="86" t="s">
        <v>449</v>
      </c>
      <c r="I2" s="198" t="s">
        <v>4</v>
      </c>
      <c r="J2" s="198"/>
    </row>
    <row r="3" spans="1:12" ht="15" x14ac:dyDescent="0.25">
      <c r="A3" s="195" t="s">
        <v>33</v>
      </c>
      <c r="B3" s="196"/>
      <c r="C3" s="196"/>
      <c r="D3" s="196"/>
      <c r="E3" s="196"/>
      <c r="F3" s="196"/>
      <c r="G3" s="196"/>
      <c r="H3" s="196"/>
      <c r="I3" s="196"/>
      <c r="J3" s="196"/>
    </row>
    <row r="4" spans="1:12" ht="30" customHeight="1" x14ac:dyDescent="0.25">
      <c r="A4" s="195" t="s">
        <v>34</v>
      </c>
      <c r="B4" s="196"/>
      <c r="C4" s="196"/>
      <c r="D4" s="196"/>
      <c r="E4" s="196"/>
      <c r="F4" s="196"/>
      <c r="G4" s="196"/>
      <c r="H4" s="196"/>
      <c r="I4" s="196"/>
      <c r="J4" s="196"/>
    </row>
    <row r="5" spans="1:12" ht="18" customHeight="1" x14ac:dyDescent="0.2">
      <c r="A5" s="87" t="str">
        <f>'[2]Orçamento Sintético'!B8</f>
        <v>08.01.01</v>
      </c>
      <c r="B5" s="88" t="s">
        <v>6</v>
      </c>
      <c r="C5" s="87" t="s">
        <v>7</v>
      </c>
      <c r="D5" s="87" t="s">
        <v>8</v>
      </c>
      <c r="E5" s="188" t="s">
        <v>35</v>
      </c>
      <c r="F5" s="188"/>
      <c r="G5" s="89" t="s">
        <v>9</v>
      </c>
      <c r="H5" s="88" t="s">
        <v>10</v>
      </c>
      <c r="I5" s="88" t="s">
        <v>11</v>
      </c>
      <c r="J5" s="88" t="s">
        <v>13</v>
      </c>
    </row>
    <row r="6" spans="1:12" s="105" customFormat="1" ht="25.5" x14ac:dyDescent="0.25">
      <c r="A6" s="90" t="s">
        <v>36</v>
      </c>
      <c r="B6" s="91" t="s">
        <v>237</v>
      </c>
      <c r="C6" s="90" t="s">
        <v>14</v>
      </c>
      <c r="D6" s="90" t="s">
        <v>238</v>
      </c>
      <c r="E6" s="194" t="s">
        <v>37</v>
      </c>
      <c r="F6" s="194"/>
      <c r="G6" s="92" t="s">
        <v>21</v>
      </c>
      <c r="H6" s="93">
        <v>1</v>
      </c>
      <c r="I6" s="94">
        <f>J7</f>
        <v>0.48</v>
      </c>
      <c r="J6" s="94">
        <f>H6*I6</f>
        <v>0.48</v>
      </c>
      <c r="K6" s="308"/>
      <c r="L6" s="308"/>
    </row>
    <row r="7" spans="1:12" ht="26.1" customHeight="1" x14ac:dyDescent="0.2">
      <c r="A7" s="95" t="s">
        <v>38</v>
      </c>
      <c r="B7" s="96" t="s">
        <v>321</v>
      </c>
      <c r="C7" s="95" t="s">
        <v>24</v>
      </c>
      <c r="D7" s="95" t="s">
        <v>322</v>
      </c>
      <c r="E7" s="192" t="s">
        <v>32</v>
      </c>
      <c r="F7" s="192"/>
      <c r="G7" s="97" t="s">
        <v>119</v>
      </c>
      <c r="H7" s="98">
        <v>1</v>
      </c>
      <c r="I7" s="99">
        <v>0.48</v>
      </c>
      <c r="J7" s="99">
        <f>H7*I7</f>
        <v>0.48</v>
      </c>
    </row>
    <row r="8" spans="1:12" ht="25.5" x14ac:dyDescent="0.2">
      <c r="A8" s="100"/>
      <c r="B8" s="100"/>
      <c r="C8" s="100"/>
      <c r="D8" s="100"/>
      <c r="E8" s="100" t="s">
        <v>42</v>
      </c>
      <c r="F8" s="101">
        <v>0</v>
      </c>
      <c r="G8" s="100" t="s">
        <v>43</v>
      </c>
      <c r="H8" s="101">
        <v>0</v>
      </c>
      <c r="I8" s="100" t="s">
        <v>44</v>
      </c>
      <c r="J8" s="101">
        <v>0</v>
      </c>
    </row>
    <row r="9" spans="1:12" ht="15" thickBot="1" x14ac:dyDescent="0.25">
      <c r="A9" s="100"/>
      <c r="B9" s="100"/>
      <c r="C9" s="100"/>
      <c r="D9" s="100"/>
      <c r="E9" s="100" t="s">
        <v>45</v>
      </c>
      <c r="F9" s="101">
        <f>J6*$G$2</f>
        <v>0.10247999999999999</v>
      </c>
      <c r="G9" s="100"/>
      <c r="H9" s="189" t="s">
        <v>46</v>
      </c>
      <c r="I9" s="189"/>
      <c r="J9" s="101">
        <f>J6+F9</f>
        <v>0.58248</v>
      </c>
      <c r="L9" s="309"/>
    </row>
    <row r="10" spans="1:12" ht="0.95" customHeight="1" thickTop="1" x14ac:dyDescent="0.2">
      <c r="A10" s="106"/>
      <c r="B10" s="106"/>
      <c r="C10" s="106"/>
      <c r="D10" s="106"/>
      <c r="E10" s="106"/>
      <c r="F10" s="106"/>
      <c r="G10" s="106"/>
      <c r="H10" s="106"/>
      <c r="I10" s="106"/>
      <c r="J10" s="106"/>
    </row>
    <row r="11" spans="1:12" ht="18" customHeight="1" x14ac:dyDescent="0.2">
      <c r="A11" s="87" t="s">
        <v>441</v>
      </c>
      <c r="B11" s="88" t="s">
        <v>6</v>
      </c>
      <c r="C11" s="87" t="s">
        <v>7</v>
      </c>
      <c r="D11" s="87" t="s">
        <v>8</v>
      </c>
      <c r="E11" s="188" t="s">
        <v>35</v>
      </c>
      <c r="F11" s="188"/>
      <c r="G11" s="89" t="s">
        <v>9</v>
      </c>
      <c r="H11" s="88" t="s">
        <v>10</v>
      </c>
      <c r="I11" s="88" t="s">
        <v>11</v>
      </c>
      <c r="J11" s="88" t="s">
        <v>13</v>
      </c>
    </row>
    <row r="12" spans="1:12" s="105" customFormat="1" ht="39" customHeight="1" x14ac:dyDescent="0.25">
      <c r="A12" s="90" t="s">
        <v>36</v>
      </c>
      <c r="B12" s="91" t="s">
        <v>240</v>
      </c>
      <c r="C12" s="90" t="s">
        <v>14</v>
      </c>
      <c r="D12" s="90" t="s">
        <v>241</v>
      </c>
      <c r="E12" s="194" t="s">
        <v>37</v>
      </c>
      <c r="F12" s="194"/>
      <c r="G12" s="92" t="s">
        <v>21</v>
      </c>
      <c r="H12" s="93">
        <v>1</v>
      </c>
      <c r="I12" s="94">
        <f>J13</f>
        <v>0.58899999999999997</v>
      </c>
      <c r="J12" s="94">
        <f>H12*I12</f>
        <v>0.58899999999999997</v>
      </c>
      <c r="K12" s="308"/>
      <c r="L12" s="308"/>
    </row>
    <row r="13" spans="1:12" ht="25.5" x14ac:dyDescent="0.2">
      <c r="A13" s="95" t="s">
        <v>38</v>
      </c>
      <c r="B13" s="96" t="s">
        <v>323</v>
      </c>
      <c r="C13" s="95" t="s">
        <v>24</v>
      </c>
      <c r="D13" s="95" t="s">
        <v>324</v>
      </c>
      <c r="E13" s="192" t="s">
        <v>32</v>
      </c>
      <c r="F13" s="192"/>
      <c r="G13" s="97" t="s">
        <v>119</v>
      </c>
      <c r="H13" s="98">
        <v>1</v>
      </c>
      <c r="I13" s="99">
        <v>0.58899999999999997</v>
      </c>
      <c r="J13" s="99">
        <f>H13*I13</f>
        <v>0.58899999999999997</v>
      </c>
    </row>
    <row r="14" spans="1:12" ht="25.5" x14ac:dyDescent="0.2">
      <c r="A14" s="100"/>
      <c r="B14" s="100"/>
      <c r="C14" s="100"/>
      <c r="D14" s="100"/>
      <c r="E14" s="100" t="s">
        <v>42</v>
      </c>
      <c r="F14" s="101">
        <v>0</v>
      </c>
      <c r="G14" s="100" t="s">
        <v>43</v>
      </c>
      <c r="H14" s="101">
        <v>0</v>
      </c>
      <c r="I14" s="100" t="s">
        <v>44</v>
      </c>
      <c r="J14" s="101">
        <v>0</v>
      </c>
    </row>
    <row r="15" spans="1:12" ht="15" thickBot="1" x14ac:dyDescent="0.25">
      <c r="A15" s="100"/>
      <c r="B15" s="100"/>
      <c r="C15" s="100"/>
      <c r="D15" s="100"/>
      <c r="E15" s="100" t="s">
        <v>45</v>
      </c>
      <c r="F15" s="101">
        <f>J12*$G$2</f>
        <v>0.12575149999999999</v>
      </c>
      <c r="G15" s="100"/>
      <c r="H15" s="189" t="s">
        <v>46</v>
      </c>
      <c r="I15" s="189"/>
      <c r="J15" s="101">
        <f>F15+J12</f>
        <v>0.71475149999999998</v>
      </c>
      <c r="L15" s="309"/>
    </row>
    <row r="16" spans="1:12" ht="0.95" customHeight="1" thickTop="1" x14ac:dyDescent="0.2">
      <c r="A16" s="106"/>
      <c r="B16" s="106"/>
      <c r="C16" s="106"/>
      <c r="D16" s="106"/>
      <c r="E16" s="106"/>
      <c r="F16" s="106"/>
      <c r="G16" s="106"/>
      <c r="H16" s="106"/>
      <c r="I16" s="106"/>
      <c r="J16" s="106"/>
    </row>
    <row r="17" spans="1:12" ht="18" customHeight="1" x14ac:dyDescent="0.2">
      <c r="A17" s="87" t="s">
        <v>442</v>
      </c>
      <c r="B17" s="88" t="s">
        <v>6</v>
      </c>
      <c r="C17" s="87" t="s">
        <v>7</v>
      </c>
      <c r="D17" s="87" t="s">
        <v>8</v>
      </c>
      <c r="E17" s="188" t="s">
        <v>35</v>
      </c>
      <c r="F17" s="188"/>
      <c r="G17" s="89" t="s">
        <v>9</v>
      </c>
      <c r="H17" s="88" t="s">
        <v>10</v>
      </c>
      <c r="I17" s="88" t="s">
        <v>11</v>
      </c>
      <c r="J17" s="88" t="s">
        <v>13</v>
      </c>
    </row>
    <row r="18" spans="1:12" s="105" customFormat="1" ht="26.1" customHeight="1" x14ac:dyDescent="0.25">
      <c r="A18" s="90" t="s">
        <v>36</v>
      </c>
      <c r="B18" s="91" t="s">
        <v>243</v>
      </c>
      <c r="C18" s="90" t="s">
        <v>14</v>
      </c>
      <c r="D18" s="90" t="s">
        <v>244</v>
      </c>
      <c r="E18" s="194" t="s">
        <v>37</v>
      </c>
      <c r="F18" s="194"/>
      <c r="G18" s="92" t="s">
        <v>245</v>
      </c>
      <c r="H18" s="93">
        <v>1</v>
      </c>
      <c r="I18" s="94">
        <v>2355.4899999999998</v>
      </c>
      <c r="J18" s="94">
        <f>SUM(J19:J25)</f>
        <v>1950.33</v>
      </c>
      <c r="K18" s="308"/>
      <c r="L18" s="308"/>
    </row>
    <row r="19" spans="1:12" x14ac:dyDescent="0.2">
      <c r="A19" s="95" t="s">
        <v>38</v>
      </c>
      <c r="B19" s="96" t="s">
        <v>48</v>
      </c>
      <c r="C19" s="95" t="s">
        <v>17</v>
      </c>
      <c r="D19" s="95" t="s">
        <v>49</v>
      </c>
      <c r="E19" s="192" t="s">
        <v>41</v>
      </c>
      <c r="F19" s="192"/>
      <c r="G19" s="97" t="s">
        <v>50</v>
      </c>
      <c r="H19" s="98">
        <v>6</v>
      </c>
      <c r="I19" s="289">
        <v>24.04</v>
      </c>
      <c r="J19" s="289">
        <f>TRUNC(H19*I19,2)</f>
        <v>144.24</v>
      </c>
      <c r="K19" s="309"/>
    </row>
    <row r="20" spans="1:12" x14ac:dyDescent="0.2">
      <c r="A20" s="95" t="s">
        <v>38</v>
      </c>
      <c r="B20" s="96" t="s">
        <v>51</v>
      </c>
      <c r="C20" s="95" t="s">
        <v>17</v>
      </c>
      <c r="D20" s="95" t="s">
        <v>52</v>
      </c>
      <c r="E20" s="192" t="s">
        <v>41</v>
      </c>
      <c r="F20" s="192"/>
      <c r="G20" s="97" t="s">
        <v>50</v>
      </c>
      <c r="H20" s="98">
        <v>12</v>
      </c>
      <c r="I20" s="289">
        <v>20.78</v>
      </c>
      <c r="J20" s="289">
        <f t="shared" ref="J20:J25" si="0">TRUNC(H20*I20,2)</f>
        <v>249.36</v>
      </c>
    </row>
    <row r="21" spans="1:12" ht="39" customHeight="1" x14ac:dyDescent="0.2">
      <c r="A21" s="95" t="s">
        <v>38</v>
      </c>
      <c r="B21" s="96" t="s">
        <v>325</v>
      </c>
      <c r="C21" s="95" t="s">
        <v>17</v>
      </c>
      <c r="D21" s="95" t="s">
        <v>326</v>
      </c>
      <c r="E21" s="192" t="s">
        <v>66</v>
      </c>
      <c r="F21" s="192"/>
      <c r="G21" s="97" t="s">
        <v>22</v>
      </c>
      <c r="H21" s="98">
        <v>0.06</v>
      </c>
      <c r="I21" s="289">
        <v>397.16</v>
      </c>
      <c r="J21" s="289">
        <f t="shared" si="0"/>
        <v>23.82</v>
      </c>
    </row>
    <row r="22" spans="1:12" ht="39" customHeight="1" x14ac:dyDescent="0.2">
      <c r="A22" s="95" t="s">
        <v>53</v>
      </c>
      <c r="B22" s="96" t="s">
        <v>327</v>
      </c>
      <c r="C22" s="95" t="s">
        <v>17</v>
      </c>
      <c r="D22" s="95" t="s">
        <v>328</v>
      </c>
      <c r="E22" s="192" t="s">
        <v>56</v>
      </c>
      <c r="F22" s="192"/>
      <c r="G22" s="97" t="s">
        <v>27</v>
      </c>
      <c r="H22" s="98">
        <v>6</v>
      </c>
      <c r="I22" s="289">
        <v>8.43</v>
      </c>
      <c r="J22" s="289">
        <f t="shared" si="0"/>
        <v>50.58</v>
      </c>
    </row>
    <row r="23" spans="1:12" ht="26.1" customHeight="1" x14ac:dyDescent="0.2">
      <c r="A23" s="95" t="s">
        <v>53</v>
      </c>
      <c r="B23" s="96" t="s">
        <v>67</v>
      </c>
      <c r="C23" s="95" t="s">
        <v>17</v>
      </c>
      <c r="D23" s="95" t="s">
        <v>68</v>
      </c>
      <c r="E23" s="192" t="s">
        <v>56</v>
      </c>
      <c r="F23" s="192"/>
      <c r="G23" s="97" t="s">
        <v>27</v>
      </c>
      <c r="H23" s="98">
        <v>24</v>
      </c>
      <c r="I23" s="289">
        <v>12.4016</v>
      </c>
      <c r="J23" s="289">
        <f t="shared" si="0"/>
        <v>297.63</v>
      </c>
    </row>
    <row r="24" spans="1:12" ht="25.5" x14ac:dyDescent="0.2">
      <c r="A24" s="95" t="s">
        <v>53</v>
      </c>
      <c r="B24" s="96" t="s">
        <v>57</v>
      </c>
      <c r="C24" s="95" t="s">
        <v>17</v>
      </c>
      <c r="D24" s="95" t="s">
        <v>58</v>
      </c>
      <c r="E24" s="192" t="s">
        <v>56</v>
      </c>
      <c r="F24" s="192"/>
      <c r="G24" s="97" t="s">
        <v>18</v>
      </c>
      <c r="H24" s="98">
        <v>6</v>
      </c>
      <c r="I24" s="289">
        <v>195.8</v>
      </c>
      <c r="J24" s="289">
        <f t="shared" si="0"/>
        <v>1174.8</v>
      </c>
    </row>
    <row r="25" spans="1:12" x14ac:dyDescent="0.2">
      <c r="A25" s="95" t="s">
        <v>53</v>
      </c>
      <c r="B25" s="96" t="s">
        <v>329</v>
      </c>
      <c r="C25" s="95" t="s">
        <v>17</v>
      </c>
      <c r="D25" s="95" t="s">
        <v>330</v>
      </c>
      <c r="E25" s="192" t="s">
        <v>56</v>
      </c>
      <c r="F25" s="192"/>
      <c r="G25" s="97" t="s">
        <v>28</v>
      </c>
      <c r="H25" s="98">
        <v>0.66</v>
      </c>
      <c r="I25" s="289">
        <v>15</v>
      </c>
      <c r="J25" s="289">
        <f t="shared" si="0"/>
        <v>9.9</v>
      </c>
    </row>
    <row r="26" spans="1:12" ht="25.5" x14ac:dyDescent="0.2">
      <c r="A26" s="100"/>
      <c r="B26" s="100"/>
      <c r="C26" s="100"/>
      <c r="D26" s="100"/>
      <c r="E26" s="100" t="s">
        <v>42</v>
      </c>
      <c r="F26" s="101">
        <v>284.08</v>
      </c>
      <c r="G26" s="100" t="s">
        <v>43</v>
      </c>
      <c r="H26" s="101">
        <v>0</v>
      </c>
      <c r="I26" s="100" t="s">
        <v>44</v>
      </c>
      <c r="J26" s="101">
        <v>284.08</v>
      </c>
    </row>
    <row r="27" spans="1:12" ht="15" thickBot="1" x14ac:dyDescent="0.25">
      <c r="A27" s="100"/>
      <c r="B27" s="100"/>
      <c r="C27" s="100"/>
      <c r="D27" s="100"/>
      <c r="E27" s="100" t="s">
        <v>45</v>
      </c>
      <c r="F27" s="101">
        <f>TRUNC(J18*$G$2,2)</f>
        <v>416.39</v>
      </c>
      <c r="G27" s="100"/>
      <c r="H27" s="189" t="s">
        <v>46</v>
      </c>
      <c r="I27" s="189"/>
      <c r="J27" s="101">
        <f>TRUNC(F27+J18,2)+0.01</f>
        <v>2366.73</v>
      </c>
    </row>
    <row r="28" spans="1:12" ht="0.95" customHeight="1" thickTop="1" x14ac:dyDescent="0.2">
      <c r="A28" s="106"/>
      <c r="B28" s="106"/>
      <c r="C28" s="106"/>
      <c r="D28" s="106"/>
      <c r="E28" s="106"/>
      <c r="F28" s="106"/>
      <c r="G28" s="106"/>
      <c r="H28" s="106"/>
      <c r="I28" s="106"/>
      <c r="J28" s="106"/>
    </row>
    <row r="29" spans="1:12" ht="18" customHeight="1" x14ac:dyDescent="0.2">
      <c r="A29" s="87" t="s">
        <v>443</v>
      </c>
      <c r="B29" s="88" t="s">
        <v>6</v>
      </c>
      <c r="C29" s="87" t="s">
        <v>7</v>
      </c>
      <c r="D29" s="87" t="s">
        <v>8</v>
      </c>
      <c r="E29" s="188" t="s">
        <v>35</v>
      </c>
      <c r="F29" s="188"/>
      <c r="G29" s="89" t="s">
        <v>9</v>
      </c>
      <c r="H29" s="88" t="s">
        <v>10</v>
      </c>
      <c r="I29" s="88" t="s">
        <v>11</v>
      </c>
      <c r="J29" s="88" t="s">
        <v>13</v>
      </c>
    </row>
    <row r="30" spans="1:12" s="105" customFormat="1" ht="51.95" customHeight="1" x14ac:dyDescent="0.25">
      <c r="A30" s="90" t="s">
        <v>36</v>
      </c>
      <c r="B30" s="91" t="s">
        <v>247</v>
      </c>
      <c r="C30" s="90" t="s">
        <v>14</v>
      </c>
      <c r="D30" s="90" t="s">
        <v>248</v>
      </c>
      <c r="E30" s="194" t="s">
        <v>37</v>
      </c>
      <c r="F30" s="194"/>
      <c r="G30" s="290" t="s">
        <v>18</v>
      </c>
      <c r="H30" s="291">
        <v>1</v>
      </c>
      <c r="I30" s="292">
        <f>J30</f>
        <v>2540.9237824474662</v>
      </c>
      <c r="J30" s="292">
        <f>SUM(J32:J42)</f>
        <v>2540.9237824474662</v>
      </c>
      <c r="K30" s="308"/>
      <c r="L30" s="308"/>
    </row>
    <row r="31" spans="1:12" s="105" customFormat="1" ht="15" x14ac:dyDescent="0.25">
      <c r="A31" s="90"/>
      <c r="B31" s="91"/>
      <c r="C31" s="90"/>
      <c r="D31" s="90"/>
      <c r="E31" s="90"/>
      <c r="F31" s="293" t="s">
        <v>471</v>
      </c>
      <c r="G31" s="294"/>
      <c r="H31" s="294"/>
      <c r="I31" s="295"/>
      <c r="J31" s="94">
        <f>TRUNC((J30*22)/140000,2)</f>
        <v>0.39</v>
      </c>
      <c r="K31" s="308"/>
      <c r="L31" s="340"/>
    </row>
    <row r="32" spans="1:12" x14ac:dyDescent="0.2">
      <c r="A32" s="95" t="s">
        <v>38</v>
      </c>
      <c r="B32" s="96" t="s">
        <v>331</v>
      </c>
      <c r="C32" s="95" t="s">
        <v>17</v>
      </c>
      <c r="D32" s="95" t="s">
        <v>332</v>
      </c>
      <c r="E32" s="192" t="s">
        <v>41</v>
      </c>
      <c r="F32" s="192"/>
      <c r="G32" s="97" t="s">
        <v>50</v>
      </c>
      <c r="H32" s="98">
        <v>8</v>
      </c>
      <c r="I32" s="289">
        <v>36.093943139678615</v>
      </c>
      <c r="J32" s="289">
        <f>H32*I32</f>
        <v>288.75154511742892</v>
      </c>
    </row>
    <row r="33" spans="1:12" x14ac:dyDescent="0.2">
      <c r="A33" s="95" t="s">
        <v>38</v>
      </c>
      <c r="B33" s="96" t="s">
        <v>333</v>
      </c>
      <c r="C33" s="95" t="s">
        <v>17</v>
      </c>
      <c r="D33" s="95" t="s">
        <v>334</v>
      </c>
      <c r="E33" s="192" t="s">
        <v>41</v>
      </c>
      <c r="F33" s="192"/>
      <c r="G33" s="97" t="s">
        <v>50</v>
      </c>
      <c r="H33" s="98">
        <v>8</v>
      </c>
      <c r="I33" s="289">
        <v>17.206427688504323</v>
      </c>
      <c r="J33" s="289">
        <f t="shared" ref="J33:J42" si="1">H33*I33</f>
        <v>137.65142150803459</v>
      </c>
    </row>
    <row r="34" spans="1:12" x14ac:dyDescent="0.2">
      <c r="A34" s="95" t="s">
        <v>38</v>
      </c>
      <c r="B34" s="96" t="s">
        <v>335</v>
      </c>
      <c r="C34" s="95" t="s">
        <v>17</v>
      </c>
      <c r="D34" s="95" t="s">
        <v>336</v>
      </c>
      <c r="E34" s="192" t="s">
        <v>41</v>
      </c>
      <c r="F34" s="192"/>
      <c r="G34" s="97" t="s">
        <v>50</v>
      </c>
      <c r="H34" s="98">
        <v>8</v>
      </c>
      <c r="I34" s="289">
        <v>25.405850844664194</v>
      </c>
      <c r="J34" s="289">
        <f t="shared" si="1"/>
        <v>203.24680675731355</v>
      </c>
    </row>
    <row r="35" spans="1:12" x14ac:dyDescent="0.2">
      <c r="A35" s="95" t="s">
        <v>38</v>
      </c>
      <c r="B35" s="96" t="s">
        <v>337</v>
      </c>
      <c r="C35" s="95" t="s">
        <v>17</v>
      </c>
      <c r="D35" s="95" t="s">
        <v>338</v>
      </c>
      <c r="E35" s="192" t="s">
        <v>41</v>
      </c>
      <c r="F35" s="192"/>
      <c r="G35" s="97" t="s">
        <v>50</v>
      </c>
      <c r="H35" s="98">
        <v>8</v>
      </c>
      <c r="I35" s="289">
        <v>26.938607334157393</v>
      </c>
      <c r="J35" s="289">
        <f t="shared" si="1"/>
        <v>215.50885867325914</v>
      </c>
    </row>
    <row r="36" spans="1:12" ht="26.1" customHeight="1" x14ac:dyDescent="0.2">
      <c r="A36" s="95" t="s">
        <v>53</v>
      </c>
      <c r="B36" s="96" t="s">
        <v>339</v>
      </c>
      <c r="C36" s="95" t="s">
        <v>14</v>
      </c>
      <c r="D36" s="95" t="s">
        <v>340</v>
      </c>
      <c r="E36" s="192" t="s">
        <v>59</v>
      </c>
      <c r="F36" s="192"/>
      <c r="G36" s="97" t="s">
        <v>50</v>
      </c>
      <c r="H36" s="98">
        <v>8</v>
      </c>
      <c r="I36" s="289">
        <v>100.53564070869386</v>
      </c>
      <c r="J36" s="289">
        <v>975.97</v>
      </c>
    </row>
    <row r="37" spans="1:12" x14ac:dyDescent="0.2">
      <c r="A37" s="95" t="s">
        <v>53</v>
      </c>
      <c r="B37" s="96" t="s">
        <v>341</v>
      </c>
      <c r="C37" s="95" t="s">
        <v>14</v>
      </c>
      <c r="D37" s="95" t="s">
        <v>342</v>
      </c>
      <c r="E37" s="192" t="s">
        <v>343</v>
      </c>
      <c r="F37" s="192"/>
      <c r="G37" s="97" t="s">
        <v>344</v>
      </c>
      <c r="H37" s="98">
        <v>1</v>
      </c>
      <c r="I37" s="289">
        <v>79.06880922950144</v>
      </c>
      <c r="J37" s="289">
        <f t="shared" si="1"/>
        <v>79.06880922950144</v>
      </c>
      <c r="K37" s="310"/>
      <c r="L37" s="310"/>
    </row>
    <row r="38" spans="1:12" x14ac:dyDescent="0.2">
      <c r="A38" s="95" t="s">
        <v>53</v>
      </c>
      <c r="B38" s="96" t="s">
        <v>345</v>
      </c>
      <c r="C38" s="95" t="s">
        <v>14</v>
      </c>
      <c r="D38" s="95" t="s">
        <v>346</v>
      </c>
      <c r="E38" s="192" t="s">
        <v>56</v>
      </c>
      <c r="F38" s="192"/>
      <c r="G38" s="97" t="s">
        <v>344</v>
      </c>
      <c r="H38" s="98">
        <v>2</v>
      </c>
      <c r="I38" s="289">
        <v>95.55</v>
      </c>
      <c r="J38" s="289">
        <f t="shared" si="1"/>
        <v>191.1</v>
      </c>
      <c r="K38" s="310"/>
      <c r="L38" s="310"/>
    </row>
    <row r="39" spans="1:12" x14ac:dyDescent="0.2">
      <c r="A39" s="95" t="s">
        <v>53</v>
      </c>
      <c r="B39" s="96" t="s">
        <v>347</v>
      </c>
      <c r="C39" s="95" t="s">
        <v>14</v>
      </c>
      <c r="D39" s="95" t="s">
        <v>348</v>
      </c>
      <c r="E39" s="192" t="s">
        <v>62</v>
      </c>
      <c r="F39" s="192"/>
      <c r="G39" s="97" t="s">
        <v>344</v>
      </c>
      <c r="H39" s="98">
        <v>1</v>
      </c>
      <c r="I39" s="289">
        <v>83.436341161928311</v>
      </c>
      <c r="J39" s="289">
        <f t="shared" si="1"/>
        <v>83.436341161928311</v>
      </c>
      <c r="K39" s="310"/>
      <c r="L39" s="310"/>
    </row>
    <row r="40" spans="1:12" ht="25.5" x14ac:dyDescent="0.2">
      <c r="A40" s="95" t="s">
        <v>53</v>
      </c>
      <c r="B40" s="96" t="s">
        <v>349</v>
      </c>
      <c r="C40" s="95" t="s">
        <v>14</v>
      </c>
      <c r="D40" s="95" t="s">
        <v>350</v>
      </c>
      <c r="E40" s="192" t="s">
        <v>59</v>
      </c>
      <c r="F40" s="192"/>
      <c r="G40" s="97" t="s">
        <v>50</v>
      </c>
      <c r="H40" s="98">
        <v>1</v>
      </c>
      <c r="I40" s="289">
        <v>95.55</v>
      </c>
      <c r="J40" s="289">
        <f t="shared" si="1"/>
        <v>95.55</v>
      </c>
      <c r="L40" s="310"/>
    </row>
    <row r="41" spans="1:12" ht="39" customHeight="1" x14ac:dyDescent="0.2">
      <c r="A41" s="95" t="s">
        <v>53</v>
      </c>
      <c r="B41" s="96" t="s">
        <v>351</v>
      </c>
      <c r="C41" s="95" t="s">
        <v>14</v>
      </c>
      <c r="D41" s="95" t="s">
        <v>352</v>
      </c>
      <c r="E41" s="192" t="s">
        <v>61</v>
      </c>
      <c r="F41" s="192"/>
      <c r="G41" s="97" t="s">
        <v>344</v>
      </c>
      <c r="H41" s="98">
        <v>2</v>
      </c>
      <c r="I41" s="289">
        <v>85.5</v>
      </c>
      <c r="J41" s="289">
        <f t="shared" si="1"/>
        <v>171</v>
      </c>
      <c r="K41" s="310"/>
      <c r="L41" s="310"/>
    </row>
    <row r="42" spans="1:12" ht="24" customHeight="1" x14ac:dyDescent="0.2">
      <c r="A42" s="95" t="s">
        <v>53</v>
      </c>
      <c r="B42" s="96" t="s">
        <v>353</v>
      </c>
      <c r="C42" s="95" t="s">
        <v>14</v>
      </c>
      <c r="D42" s="95" t="s">
        <v>354</v>
      </c>
      <c r="E42" s="192" t="s">
        <v>355</v>
      </c>
      <c r="F42" s="192"/>
      <c r="G42" s="97" t="s">
        <v>245</v>
      </c>
      <c r="H42" s="98">
        <v>1</v>
      </c>
      <c r="I42" s="289">
        <v>99.64</v>
      </c>
      <c r="J42" s="289">
        <f t="shared" si="1"/>
        <v>99.64</v>
      </c>
    </row>
    <row r="43" spans="1:12" ht="25.5" x14ac:dyDescent="0.2">
      <c r="A43" s="100"/>
      <c r="B43" s="100"/>
      <c r="C43" s="100"/>
      <c r="D43" s="100"/>
      <c r="E43" s="100" t="s">
        <v>42</v>
      </c>
      <c r="F43" s="101">
        <v>2053.94</v>
      </c>
      <c r="G43" s="100" t="s">
        <v>43</v>
      </c>
      <c r="H43" s="101">
        <v>0</v>
      </c>
      <c r="I43" s="100" t="s">
        <v>44</v>
      </c>
      <c r="J43" s="101">
        <v>2053.94</v>
      </c>
    </row>
    <row r="44" spans="1:12" ht="15" thickBot="1" x14ac:dyDescent="0.25">
      <c r="A44" s="100"/>
      <c r="B44" s="100"/>
      <c r="C44" s="100"/>
      <c r="D44" s="100"/>
      <c r="E44" s="100" t="s">
        <v>45</v>
      </c>
      <c r="F44" s="101">
        <f>TRUNC(J31*$G$2,2)</f>
        <v>0.08</v>
      </c>
      <c r="G44" s="100"/>
      <c r="H44" s="189" t="s">
        <v>46</v>
      </c>
      <c r="I44" s="189"/>
      <c r="J44" s="101">
        <f>J31+F44</f>
        <v>0.47000000000000003</v>
      </c>
      <c r="L44" s="309"/>
    </row>
    <row r="45" spans="1:12" ht="0.95" customHeight="1" thickTop="1" x14ac:dyDescent="0.2">
      <c r="A45" s="106"/>
      <c r="B45" s="106"/>
      <c r="C45" s="106"/>
      <c r="D45" s="106"/>
      <c r="E45" s="106"/>
      <c r="F45" s="106"/>
      <c r="G45" s="106"/>
      <c r="H45" s="106"/>
      <c r="I45" s="106"/>
      <c r="J45" s="106"/>
    </row>
    <row r="46" spans="1:12" ht="18" customHeight="1" x14ac:dyDescent="0.2">
      <c r="A46" s="87" t="str">
        <f>'[2]Orçamento Sintético'!B12</f>
        <v>08.01.05</v>
      </c>
      <c r="B46" s="88" t="s">
        <v>6</v>
      </c>
      <c r="C46" s="87" t="s">
        <v>7</v>
      </c>
      <c r="D46" s="87" t="s">
        <v>8</v>
      </c>
      <c r="E46" s="188" t="s">
        <v>35</v>
      </c>
      <c r="F46" s="188"/>
      <c r="G46" s="89" t="s">
        <v>9</v>
      </c>
      <c r="H46" s="88" t="s">
        <v>10</v>
      </c>
      <c r="I46" s="88" t="s">
        <v>11</v>
      </c>
      <c r="J46" s="88" t="s">
        <v>13</v>
      </c>
    </row>
    <row r="47" spans="1:12" s="105" customFormat="1" ht="39" customHeight="1" x14ac:dyDescent="0.25">
      <c r="A47" s="90" t="s">
        <v>36</v>
      </c>
      <c r="B47" s="91" t="s">
        <v>250</v>
      </c>
      <c r="C47" s="90" t="s">
        <v>14</v>
      </c>
      <c r="D47" s="90" t="s">
        <v>251</v>
      </c>
      <c r="E47" s="194" t="s">
        <v>37</v>
      </c>
      <c r="F47" s="194"/>
      <c r="G47" s="92" t="s">
        <v>245</v>
      </c>
      <c r="H47" s="93">
        <v>1</v>
      </c>
      <c r="I47" s="94">
        <f>J47</f>
        <v>224274.44999999998</v>
      </c>
      <c r="J47" s="94">
        <f>SUM(J49:J58)</f>
        <v>224274.44999999998</v>
      </c>
      <c r="K47" s="308"/>
      <c r="L47" s="308"/>
    </row>
    <row r="48" spans="1:12" s="105" customFormat="1" ht="15" x14ac:dyDescent="0.25">
      <c r="A48" s="90"/>
      <c r="B48" s="91"/>
      <c r="C48" s="90"/>
      <c r="D48" s="90"/>
      <c r="E48" s="90"/>
      <c r="F48" s="293" t="s">
        <v>472</v>
      </c>
      <c r="G48" s="294"/>
      <c r="H48" s="294"/>
      <c r="I48" s="295"/>
      <c r="J48" s="94">
        <f>TRUNC(J47/100,2)</f>
        <v>2242.7399999999998</v>
      </c>
      <c r="K48" s="308"/>
      <c r="L48" s="340"/>
    </row>
    <row r="49" spans="1:12" ht="25.5" x14ac:dyDescent="0.2">
      <c r="A49" s="95" t="s">
        <v>38</v>
      </c>
      <c r="B49" s="96" t="s">
        <v>39</v>
      </c>
      <c r="C49" s="95" t="s">
        <v>17</v>
      </c>
      <c r="D49" s="95" t="s">
        <v>40</v>
      </c>
      <c r="E49" s="192" t="s">
        <v>41</v>
      </c>
      <c r="F49" s="192"/>
      <c r="G49" s="97" t="s">
        <v>20</v>
      </c>
      <c r="H49" s="98">
        <v>6</v>
      </c>
      <c r="I49" s="99">
        <v>17675.381128965801</v>
      </c>
      <c r="J49" s="99">
        <f>TRUNC(H49*I49,2)</f>
        <v>106052.28</v>
      </c>
    </row>
    <row r="50" spans="1:12" x14ac:dyDescent="0.2">
      <c r="A50" s="95" t="s">
        <v>38</v>
      </c>
      <c r="B50" s="96" t="s">
        <v>356</v>
      </c>
      <c r="C50" s="95" t="s">
        <v>17</v>
      </c>
      <c r="D50" s="95" t="s">
        <v>444</v>
      </c>
      <c r="E50" s="192" t="s">
        <v>41</v>
      </c>
      <c r="F50" s="192"/>
      <c r="G50" s="97" t="s">
        <v>20</v>
      </c>
      <c r="H50" s="98">
        <v>6</v>
      </c>
      <c r="I50" s="99">
        <v>3379.3160280181296</v>
      </c>
      <c r="J50" s="99">
        <f t="shared" ref="J50:J58" si="2">TRUNC(H50*I50,2)</f>
        <v>20275.89</v>
      </c>
    </row>
    <row r="51" spans="1:12" ht="51" x14ac:dyDescent="0.2">
      <c r="A51" s="95" t="s">
        <v>38</v>
      </c>
      <c r="B51" s="96" t="s">
        <v>357</v>
      </c>
      <c r="C51" s="95" t="s">
        <v>17</v>
      </c>
      <c r="D51" s="95" t="s">
        <v>358</v>
      </c>
      <c r="E51" s="192" t="s">
        <v>60</v>
      </c>
      <c r="F51" s="192"/>
      <c r="G51" s="97" t="s">
        <v>20</v>
      </c>
      <c r="H51" s="98">
        <v>6</v>
      </c>
      <c r="I51" s="99">
        <v>1247.2847136382363</v>
      </c>
      <c r="J51" s="99">
        <f t="shared" si="2"/>
        <v>7483.7</v>
      </c>
    </row>
    <row r="52" spans="1:12" ht="25.5" x14ac:dyDescent="0.2">
      <c r="A52" s="95" t="s">
        <v>53</v>
      </c>
      <c r="B52" s="96" t="s">
        <v>359</v>
      </c>
      <c r="C52" s="95" t="s">
        <v>14</v>
      </c>
      <c r="D52" s="95" t="s">
        <v>360</v>
      </c>
      <c r="E52" s="192" t="s">
        <v>361</v>
      </c>
      <c r="F52" s="192"/>
      <c r="G52" s="97" t="s">
        <v>362</v>
      </c>
      <c r="H52" s="98">
        <v>6</v>
      </c>
      <c r="I52" s="99">
        <v>2438.7968685620108</v>
      </c>
      <c r="J52" s="99">
        <f t="shared" si="2"/>
        <v>14632.78</v>
      </c>
    </row>
    <row r="53" spans="1:12" x14ac:dyDescent="0.2">
      <c r="A53" s="95" t="s">
        <v>53</v>
      </c>
      <c r="B53" s="96" t="s">
        <v>363</v>
      </c>
      <c r="C53" s="95" t="s">
        <v>14</v>
      </c>
      <c r="D53" s="95" t="s">
        <v>364</v>
      </c>
      <c r="E53" s="192" t="s">
        <v>343</v>
      </c>
      <c r="F53" s="192"/>
      <c r="G53" s="97" t="s">
        <v>362</v>
      </c>
      <c r="H53" s="98">
        <v>6</v>
      </c>
      <c r="I53" s="99">
        <v>1286.3617634940256</v>
      </c>
      <c r="J53" s="99">
        <f t="shared" si="2"/>
        <v>7718.17</v>
      </c>
    </row>
    <row r="54" spans="1:12" x14ac:dyDescent="0.2">
      <c r="A54" s="95" t="s">
        <v>53</v>
      </c>
      <c r="B54" s="96" t="s">
        <v>365</v>
      </c>
      <c r="C54" s="95" t="s">
        <v>14</v>
      </c>
      <c r="D54" s="95" t="s">
        <v>366</v>
      </c>
      <c r="E54" s="192" t="s">
        <v>343</v>
      </c>
      <c r="F54" s="192"/>
      <c r="G54" s="97" t="s">
        <v>362</v>
      </c>
      <c r="H54" s="98">
        <v>6</v>
      </c>
      <c r="I54" s="99">
        <v>217.45364647713225</v>
      </c>
      <c r="J54" s="99">
        <f t="shared" si="2"/>
        <v>1304.72</v>
      </c>
    </row>
    <row r="55" spans="1:12" x14ac:dyDescent="0.2">
      <c r="A55" s="95" t="s">
        <v>53</v>
      </c>
      <c r="B55" s="96" t="s">
        <v>367</v>
      </c>
      <c r="C55" s="95" t="s">
        <v>14</v>
      </c>
      <c r="D55" s="95" t="s">
        <v>368</v>
      </c>
      <c r="E55" s="192" t="s">
        <v>343</v>
      </c>
      <c r="F55" s="192"/>
      <c r="G55" s="97" t="s">
        <v>362</v>
      </c>
      <c r="H55" s="98">
        <v>6</v>
      </c>
      <c r="I55" s="99">
        <v>1019.1841779975277</v>
      </c>
      <c r="J55" s="99">
        <f t="shared" si="2"/>
        <v>6115.1</v>
      </c>
    </row>
    <row r="56" spans="1:12" ht="39" customHeight="1" x14ac:dyDescent="0.2">
      <c r="A56" s="95" t="s">
        <v>53</v>
      </c>
      <c r="B56" s="96" t="s">
        <v>369</v>
      </c>
      <c r="C56" s="95" t="s">
        <v>14</v>
      </c>
      <c r="D56" s="95" t="s">
        <v>370</v>
      </c>
      <c r="E56" s="192" t="s">
        <v>361</v>
      </c>
      <c r="F56" s="192"/>
      <c r="G56" s="97" t="s">
        <v>362</v>
      </c>
      <c r="H56" s="98">
        <v>6</v>
      </c>
      <c r="I56" s="99">
        <v>6819.0770498557895</v>
      </c>
      <c r="J56" s="99">
        <f t="shared" si="2"/>
        <v>40914.46</v>
      </c>
    </row>
    <row r="57" spans="1:12" ht="26.25" customHeight="1" x14ac:dyDescent="0.2">
      <c r="A57" s="95" t="s">
        <v>53</v>
      </c>
      <c r="B57" s="96" t="s">
        <v>371</v>
      </c>
      <c r="C57" s="95" t="s">
        <v>14</v>
      </c>
      <c r="D57" s="95" t="s">
        <v>372</v>
      </c>
      <c r="E57" s="192" t="s">
        <v>59</v>
      </c>
      <c r="F57" s="192"/>
      <c r="G57" s="97" t="s">
        <v>362</v>
      </c>
      <c r="H57" s="98">
        <v>6</v>
      </c>
      <c r="I57" s="99">
        <v>3252.4680675731356</v>
      </c>
      <c r="J57" s="99">
        <f t="shared" si="2"/>
        <v>19514.8</v>
      </c>
    </row>
    <row r="58" spans="1:12" ht="26.25" customHeight="1" x14ac:dyDescent="0.2">
      <c r="A58" s="95" t="s">
        <v>53</v>
      </c>
      <c r="B58" s="96"/>
      <c r="C58" s="95"/>
      <c r="D58" s="95" t="s">
        <v>445</v>
      </c>
      <c r="E58" s="192"/>
      <c r="F58" s="192"/>
      <c r="G58" s="97" t="s">
        <v>245</v>
      </c>
      <c r="H58" s="98">
        <v>1</v>
      </c>
      <c r="I58" s="99">
        <v>262.55</v>
      </c>
      <c r="J58" s="99">
        <f t="shared" si="2"/>
        <v>262.55</v>
      </c>
    </row>
    <row r="59" spans="1:12" ht="25.5" x14ac:dyDescent="0.2">
      <c r="A59" s="100"/>
      <c r="B59" s="100"/>
      <c r="C59" s="100"/>
      <c r="D59" s="100"/>
      <c r="E59" s="100" t="s">
        <v>42</v>
      </c>
      <c r="F59" s="101">
        <v>209083.84</v>
      </c>
      <c r="G59" s="100" t="s">
        <v>43</v>
      </c>
      <c r="H59" s="101">
        <v>0</v>
      </c>
      <c r="I59" s="100" t="s">
        <v>44</v>
      </c>
      <c r="J59" s="101">
        <v>209083.84</v>
      </c>
    </row>
    <row r="60" spans="1:12" ht="15" thickBot="1" x14ac:dyDescent="0.25">
      <c r="A60" s="100"/>
      <c r="B60" s="100"/>
      <c r="C60" s="100"/>
      <c r="D60" s="100"/>
      <c r="E60" s="100" t="s">
        <v>45</v>
      </c>
      <c r="F60" s="101">
        <f>TRUNC(J48*$G$2,2)</f>
        <v>478.82</v>
      </c>
      <c r="G60" s="100"/>
      <c r="H60" s="189" t="s">
        <v>46</v>
      </c>
      <c r="I60" s="189"/>
      <c r="J60" s="101">
        <f>J48+F60</f>
        <v>2721.56</v>
      </c>
    </row>
    <row r="61" spans="1:12" ht="0.95" customHeight="1" thickTop="1" x14ac:dyDescent="0.2">
      <c r="A61" s="106"/>
      <c r="B61" s="106"/>
      <c r="C61" s="106"/>
      <c r="D61" s="106"/>
      <c r="E61" s="106"/>
      <c r="F61" s="106"/>
      <c r="G61" s="106"/>
      <c r="H61" s="106"/>
      <c r="I61" s="106"/>
      <c r="J61" s="106"/>
    </row>
    <row r="62" spans="1:12" ht="18" customHeight="1" x14ac:dyDescent="0.2">
      <c r="A62" s="87" t="str">
        <f>'[2]Orçamento Sintético'!B13</f>
        <v>08.01.06</v>
      </c>
      <c r="B62" s="88" t="s">
        <v>6</v>
      </c>
      <c r="C62" s="87" t="s">
        <v>7</v>
      </c>
      <c r="D62" s="87" t="s">
        <v>8</v>
      </c>
      <c r="E62" s="317" t="s">
        <v>35</v>
      </c>
      <c r="F62" s="318"/>
      <c r="G62" s="89" t="s">
        <v>9</v>
      </c>
      <c r="H62" s="88" t="s">
        <v>10</v>
      </c>
      <c r="I62" s="88" t="s">
        <v>11</v>
      </c>
      <c r="J62" s="88" t="s">
        <v>13</v>
      </c>
    </row>
    <row r="63" spans="1:12" s="105" customFormat="1" ht="26.1" customHeight="1" x14ac:dyDescent="0.25">
      <c r="A63" s="90" t="s">
        <v>36</v>
      </c>
      <c r="B63" s="91" t="s">
        <v>253</v>
      </c>
      <c r="C63" s="90" t="s">
        <v>14</v>
      </c>
      <c r="D63" s="90" t="s">
        <v>254</v>
      </c>
      <c r="E63" s="336" t="s">
        <v>37</v>
      </c>
      <c r="F63" s="337"/>
      <c r="G63" s="92" t="s">
        <v>18</v>
      </c>
      <c r="H63" s="93">
        <v>1</v>
      </c>
      <c r="I63" s="94">
        <f>SUM(J65:J69)</f>
        <v>3305.5099999999998</v>
      </c>
      <c r="J63" s="94">
        <f>H63*I63</f>
        <v>3305.5099999999998</v>
      </c>
      <c r="K63" s="308"/>
      <c r="L63" s="308"/>
    </row>
    <row r="64" spans="1:12" s="105" customFormat="1" ht="15" customHeight="1" x14ac:dyDescent="0.25">
      <c r="A64" s="90"/>
      <c r="B64" s="91"/>
      <c r="C64" s="90"/>
      <c r="D64" s="90"/>
      <c r="E64" s="90"/>
      <c r="F64" s="293" t="s">
        <v>473</v>
      </c>
      <c r="G64" s="294"/>
      <c r="H64" s="294"/>
      <c r="I64" s="295"/>
      <c r="J64" s="94">
        <f>TRUNC((J63*22)/140000,2)-0.01</f>
        <v>0.5</v>
      </c>
      <c r="K64" s="308"/>
      <c r="L64" s="308"/>
    </row>
    <row r="65" spans="1:12" ht="26.1" customHeight="1" x14ac:dyDescent="0.2">
      <c r="A65" s="95" t="s">
        <v>38</v>
      </c>
      <c r="B65" s="96" t="s">
        <v>373</v>
      </c>
      <c r="C65" s="95" t="s">
        <v>17</v>
      </c>
      <c r="D65" s="95" t="s">
        <v>374</v>
      </c>
      <c r="E65" s="315" t="s">
        <v>41</v>
      </c>
      <c r="F65" s="316"/>
      <c r="G65" s="97" t="s">
        <v>20</v>
      </c>
      <c r="H65" s="98">
        <v>0.15</v>
      </c>
      <c r="I65" s="99">
        <v>5105.0600000000004</v>
      </c>
      <c r="J65" s="99">
        <f>TRUNC(H65*I65,2)</f>
        <v>765.75</v>
      </c>
    </row>
    <row r="66" spans="1:12" ht="26.1" customHeight="1" x14ac:dyDescent="0.2">
      <c r="A66" s="95" t="s">
        <v>38</v>
      </c>
      <c r="B66" s="96" t="s">
        <v>375</v>
      </c>
      <c r="C66" s="95" t="s">
        <v>17</v>
      </c>
      <c r="D66" s="95" t="s">
        <v>376</v>
      </c>
      <c r="E66" s="315" t="s">
        <v>41</v>
      </c>
      <c r="F66" s="316"/>
      <c r="G66" s="97" t="s">
        <v>20</v>
      </c>
      <c r="H66" s="98">
        <v>0.15</v>
      </c>
      <c r="I66" s="99">
        <v>4950.55</v>
      </c>
      <c r="J66" s="99">
        <f t="shared" ref="J66:J69" si="3">TRUNC(H66*I66,2)</f>
        <v>742.58</v>
      </c>
    </row>
    <row r="67" spans="1:12" ht="26.1" customHeight="1" x14ac:dyDescent="0.2">
      <c r="A67" s="95" t="s">
        <v>53</v>
      </c>
      <c r="B67" s="96"/>
      <c r="C67" s="95"/>
      <c r="D67" s="95" t="s">
        <v>474</v>
      </c>
      <c r="E67" s="315" t="s">
        <v>343</v>
      </c>
      <c r="F67" s="316"/>
      <c r="G67" s="97" t="s">
        <v>20</v>
      </c>
      <c r="H67" s="98">
        <v>0.15</v>
      </c>
      <c r="I67" s="99">
        <v>3985.32</v>
      </c>
      <c r="J67" s="99">
        <f t="shared" si="3"/>
        <v>597.79</v>
      </c>
      <c r="K67" s="311"/>
    </row>
    <row r="68" spans="1:12" ht="24" customHeight="1" x14ac:dyDescent="0.2">
      <c r="A68" s="95" t="s">
        <v>53</v>
      </c>
      <c r="B68" s="96" t="s">
        <v>377</v>
      </c>
      <c r="C68" s="95" t="s">
        <v>14</v>
      </c>
      <c r="D68" s="95" t="s">
        <v>346</v>
      </c>
      <c r="E68" s="315" t="s">
        <v>343</v>
      </c>
      <c r="F68" s="316"/>
      <c r="G68" s="97" t="s">
        <v>362</v>
      </c>
      <c r="H68" s="98">
        <v>0.15</v>
      </c>
      <c r="I68" s="99">
        <v>3985.32</v>
      </c>
      <c r="J68" s="99">
        <f t="shared" si="3"/>
        <v>597.79</v>
      </c>
    </row>
    <row r="69" spans="1:12" ht="26.1" customHeight="1" x14ac:dyDescent="0.2">
      <c r="A69" s="95" t="s">
        <v>53</v>
      </c>
      <c r="B69" s="96" t="s">
        <v>378</v>
      </c>
      <c r="C69" s="95" t="s">
        <v>14</v>
      </c>
      <c r="D69" s="95" t="s">
        <v>379</v>
      </c>
      <c r="E69" s="315" t="s">
        <v>361</v>
      </c>
      <c r="F69" s="316"/>
      <c r="G69" s="97" t="s">
        <v>362</v>
      </c>
      <c r="H69" s="98">
        <v>0.15</v>
      </c>
      <c r="I69" s="99">
        <v>4010.68</v>
      </c>
      <c r="J69" s="99">
        <f t="shared" si="3"/>
        <v>601.6</v>
      </c>
    </row>
    <row r="70" spans="1:12" ht="14.25" customHeight="1" x14ac:dyDescent="0.2">
      <c r="A70" s="100"/>
      <c r="B70" s="100"/>
      <c r="C70" s="100"/>
      <c r="D70" s="100"/>
      <c r="E70" s="100" t="s">
        <v>42</v>
      </c>
      <c r="F70" s="101">
        <v>1512.13</v>
      </c>
      <c r="G70" s="100" t="s">
        <v>43</v>
      </c>
      <c r="H70" s="101">
        <v>0</v>
      </c>
      <c r="I70" s="100" t="s">
        <v>44</v>
      </c>
      <c r="J70" s="101">
        <v>1512.13</v>
      </c>
    </row>
    <row r="71" spans="1:12" ht="15" customHeight="1" thickBot="1" x14ac:dyDescent="0.25">
      <c r="A71" s="100"/>
      <c r="B71" s="100"/>
      <c r="C71" s="100"/>
      <c r="D71" s="100"/>
      <c r="E71" s="100" t="s">
        <v>45</v>
      </c>
      <c r="F71" s="101">
        <f>TRUNC(J64*$G$2,2)</f>
        <v>0.1</v>
      </c>
      <c r="G71" s="100"/>
      <c r="H71" s="319" t="s">
        <v>46</v>
      </c>
      <c r="I71" s="319"/>
      <c r="J71" s="101">
        <f>TRUNC(J64+F71,2)+0.01</f>
        <v>0.61</v>
      </c>
    </row>
    <row r="72" spans="1:12" ht="0.95" customHeight="1" thickTop="1" x14ac:dyDescent="0.2">
      <c r="A72" s="106"/>
      <c r="B72" s="106"/>
      <c r="C72" s="106"/>
      <c r="D72" s="106"/>
      <c r="E72" s="106"/>
      <c r="F72" s="106"/>
      <c r="G72" s="106"/>
      <c r="H72" s="106"/>
      <c r="I72" s="106"/>
      <c r="J72" s="106"/>
    </row>
    <row r="73" spans="1:12" ht="18" customHeight="1" x14ac:dyDescent="0.2">
      <c r="A73" s="87" t="str">
        <f>'[2]Orçamento Sintético'!B14</f>
        <v>08.01.07</v>
      </c>
      <c r="B73" s="88" t="s">
        <v>6</v>
      </c>
      <c r="C73" s="87" t="s">
        <v>7</v>
      </c>
      <c r="D73" s="87" t="s">
        <v>8</v>
      </c>
      <c r="E73" s="317" t="s">
        <v>35</v>
      </c>
      <c r="F73" s="318"/>
      <c r="G73" s="89" t="s">
        <v>9</v>
      </c>
      <c r="H73" s="88" t="s">
        <v>10</v>
      </c>
      <c r="I73" s="88" t="s">
        <v>11</v>
      </c>
      <c r="J73" s="88" t="s">
        <v>13</v>
      </c>
    </row>
    <row r="74" spans="1:12" s="105" customFormat="1" ht="24" customHeight="1" x14ac:dyDescent="0.25">
      <c r="A74" s="90" t="s">
        <v>36</v>
      </c>
      <c r="B74" s="91" t="s">
        <v>256</v>
      </c>
      <c r="C74" s="90" t="s">
        <v>14</v>
      </c>
      <c r="D74" s="90" t="s">
        <v>257</v>
      </c>
      <c r="E74" s="336" t="s">
        <v>37</v>
      </c>
      <c r="F74" s="337"/>
      <c r="G74" s="92" t="s">
        <v>22</v>
      </c>
      <c r="H74" s="93">
        <v>1</v>
      </c>
      <c r="I74" s="94">
        <f>J75</f>
        <v>1.29</v>
      </c>
      <c r="J74" s="94">
        <f>H74*I74</f>
        <v>1.29</v>
      </c>
      <c r="K74" s="308"/>
      <c r="L74" s="308"/>
    </row>
    <row r="75" spans="1:12" ht="24" customHeight="1" x14ac:dyDescent="0.2">
      <c r="A75" s="95" t="s">
        <v>38</v>
      </c>
      <c r="B75" s="96" t="s">
        <v>380</v>
      </c>
      <c r="C75" s="95" t="s">
        <v>19</v>
      </c>
      <c r="D75" s="95" t="s">
        <v>381</v>
      </c>
      <c r="E75" s="315" t="s">
        <v>382</v>
      </c>
      <c r="F75" s="316"/>
      <c r="G75" s="97" t="s">
        <v>22</v>
      </c>
      <c r="H75" s="98">
        <v>1</v>
      </c>
      <c r="I75" s="99">
        <v>1.29</v>
      </c>
      <c r="J75" s="99">
        <f>H75*I75</f>
        <v>1.29</v>
      </c>
    </row>
    <row r="76" spans="1:12" ht="25.5" x14ac:dyDescent="0.2">
      <c r="A76" s="100"/>
      <c r="B76" s="100"/>
      <c r="C76" s="100"/>
      <c r="D76" s="100"/>
      <c r="E76" s="100" t="s">
        <v>42</v>
      </c>
      <c r="F76" s="101">
        <v>0</v>
      </c>
      <c r="G76" s="100" t="s">
        <v>43</v>
      </c>
      <c r="H76" s="101">
        <v>0</v>
      </c>
      <c r="I76" s="100" t="s">
        <v>44</v>
      </c>
      <c r="J76" s="101">
        <v>0</v>
      </c>
    </row>
    <row r="77" spans="1:12" ht="15" customHeight="1" thickBot="1" x14ac:dyDescent="0.25">
      <c r="A77" s="100"/>
      <c r="B77" s="100"/>
      <c r="C77" s="100"/>
      <c r="D77" s="100"/>
      <c r="E77" s="100" t="s">
        <v>45</v>
      </c>
      <c r="F77" s="101">
        <f>J74*$G$2</f>
        <v>0.27541500000000002</v>
      </c>
      <c r="G77" s="100"/>
      <c r="H77" s="319" t="s">
        <v>46</v>
      </c>
      <c r="I77" s="319"/>
      <c r="J77" s="101">
        <f>F77+J74</f>
        <v>1.565415</v>
      </c>
    </row>
    <row r="78" spans="1:12" ht="0.95" customHeight="1" thickTop="1" x14ac:dyDescent="0.2">
      <c r="A78" s="106"/>
      <c r="B78" s="106"/>
      <c r="C78" s="106"/>
      <c r="D78" s="106"/>
      <c r="E78" s="106"/>
      <c r="F78" s="106"/>
      <c r="G78" s="106"/>
      <c r="H78" s="106"/>
      <c r="I78" s="106"/>
      <c r="J78" s="106"/>
    </row>
    <row r="79" spans="1:12" ht="18" customHeight="1" x14ac:dyDescent="0.2">
      <c r="A79" s="87" t="str">
        <f>'[2]Orçamento Sintético'!B16</f>
        <v>08.02.01</v>
      </c>
      <c r="B79" s="88" t="s">
        <v>6</v>
      </c>
      <c r="C79" s="87" t="s">
        <v>7</v>
      </c>
      <c r="D79" s="87" t="s">
        <v>8</v>
      </c>
      <c r="E79" s="317" t="s">
        <v>35</v>
      </c>
      <c r="F79" s="318"/>
      <c r="G79" s="89" t="s">
        <v>9</v>
      </c>
      <c r="H79" s="88" t="s">
        <v>10</v>
      </c>
      <c r="I79" s="88" t="s">
        <v>11</v>
      </c>
      <c r="J79" s="88" t="s">
        <v>13</v>
      </c>
    </row>
    <row r="80" spans="1:12" s="105" customFormat="1" ht="26.1" customHeight="1" x14ac:dyDescent="0.25">
      <c r="A80" s="90" t="s">
        <v>36</v>
      </c>
      <c r="B80" s="91" t="s">
        <v>261</v>
      </c>
      <c r="C80" s="90" t="s">
        <v>14</v>
      </c>
      <c r="D80" s="90" t="s">
        <v>262</v>
      </c>
      <c r="E80" s="336" t="s">
        <v>73</v>
      </c>
      <c r="F80" s="337"/>
      <c r="G80" s="92" t="s">
        <v>18</v>
      </c>
      <c r="H80" s="93">
        <v>1</v>
      </c>
      <c r="I80" s="94">
        <f>SUM(J81:J86)-0.01</f>
        <v>0.30617105802047789</v>
      </c>
      <c r="J80" s="94">
        <f>H80*I80</f>
        <v>0.30617105802047789</v>
      </c>
      <c r="K80" s="308"/>
      <c r="L80" s="308"/>
    </row>
    <row r="81" spans="1:12" ht="39" customHeight="1" x14ac:dyDescent="0.2">
      <c r="A81" s="95" t="s">
        <v>38</v>
      </c>
      <c r="B81" s="96" t="s">
        <v>383</v>
      </c>
      <c r="C81" s="95" t="s">
        <v>17</v>
      </c>
      <c r="D81" s="95" t="s">
        <v>384</v>
      </c>
      <c r="E81" s="315" t="s">
        <v>63</v>
      </c>
      <c r="F81" s="316"/>
      <c r="G81" s="97" t="s">
        <v>64</v>
      </c>
      <c r="H81" s="98">
        <v>1E-3</v>
      </c>
      <c r="I81" s="99">
        <v>61.35</v>
      </c>
      <c r="J81" s="99">
        <f>H81*I81</f>
        <v>6.1350000000000002E-2</v>
      </c>
    </row>
    <row r="82" spans="1:12" ht="24" customHeight="1" x14ac:dyDescent="0.2">
      <c r="A82" s="95" t="s">
        <v>38</v>
      </c>
      <c r="B82" s="96" t="s">
        <v>333</v>
      </c>
      <c r="C82" s="95" t="s">
        <v>17</v>
      </c>
      <c r="D82" s="95" t="s">
        <v>334</v>
      </c>
      <c r="E82" s="315" t="s">
        <v>41</v>
      </c>
      <c r="F82" s="316"/>
      <c r="G82" s="97" t="s">
        <v>50</v>
      </c>
      <c r="H82" s="98">
        <v>2.5000000000000001E-3</v>
      </c>
      <c r="I82" s="99">
        <v>15.85</v>
      </c>
      <c r="J82" s="99">
        <f t="shared" ref="J82:J86" si="4">H82*I82</f>
        <v>3.9625E-2</v>
      </c>
    </row>
    <row r="83" spans="1:12" ht="24" customHeight="1" x14ac:dyDescent="0.2">
      <c r="A83" s="95" t="s">
        <v>38</v>
      </c>
      <c r="B83" s="96" t="s">
        <v>385</v>
      </c>
      <c r="C83" s="95" t="s">
        <v>17</v>
      </c>
      <c r="D83" s="95" t="s">
        <v>386</v>
      </c>
      <c r="E83" s="315" t="s">
        <v>41</v>
      </c>
      <c r="F83" s="316"/>
      <c r="G83" s="97" t="s">
        <v>50</v>
      </c>
      <c r="H83" s="98">
        <v>2.5000000000000001E-3</v>
      </c>
      <c r="I83" s="99">
        <v>13.42</v>
      </c>
      <c r="J83" s="99">
        <f t="shared" si="4"/>
        <v>3.3550000000000003E-2</v>
      </c>
    </row>
    <row r="84" spans="1:12" ht="24" customHeight="1" x14ac:dyDescent="0.2">
      <c r="A84" s="95" t="s">
        <v>38</v>
      </c>
      <c r="B84" s="96" t="s">
        <v>51</v>
      </c>
      <c r="C84" s="95" t="s">
        <v>17</v>
      </c>
      <c r="D84" s="95" t="s">
        <v>52</v>
      </c>
      <c r="E84" s="315" t="s">
        <v>41</v>
      </c>
      <c r="F84" s="316"/>
      <c r="G84" s="97" t="s">
        <v>50</v>
      </c>
      <c r="H84" s="98">
        <v>7.4999999999999997E-3</v>
      </c>
      <c r="I84" s="99">
        <v>15.89</v>
      </c>
      <c r="J84" s="99">
        <f t="shared" si="4"/>
        <v>0.119175</v>
      </c>
    </row>
    <row r="85" spans="1:12" ht="24" customHeight="1" x14ac:dyDescent="0.2">
      <c r="A85" s="95" t="s">
        <v>38</v>
      </c>
      <c r="B85" s="96" t="s">
        <v>335</v>
      </c>
      <c r="C85" s="95" t="s">
        <v>17</v>
      </c>
      <c r="D85" s="95" t="s">
        <v>336</v>
      </c>
      <c r="E85" s="315" t="s">
        <v>41</v>
      </c>
      <c r="F85" s="316"/>
      <c r="G85" s="97" t="s">
        <v>50</v>
      </c>
      <c r="H85" s="98">
        <v>2E-3</v>
      </c>
      <c r="I85" s="99">
        <v>21.52</v>
      </c>
      <c r="J85" s="99">
        <f t="shared" si="4"/>
        <v>4.3040000000000002E-2</v>
      </c>
    </row>
    <row r="86" spans="1:12" ht="26.1" customHeight="1" x14ac:dyDescent="0.2">
      <c r="A86" s="95" t="s">
        <v>53</v>
      </c>
      <c r="B86" s="96" t="s">
        <v>54</v>
      </c>
      <c r="C86" s="95" t="s">
        <v>17</v>
      </c>
      <c r="D86" s="95" t="s">
        <v>55</v>
      </c>
      <c r="E86" s="315" t="s">
        <v>56</v>
      </c>
      <c r="F86" s="316"/>
      <c r="G86" s="97" t="s">
        <v>27</v>
      </c>
      <c r="H86" s="98">
        <v>2.8900000000000002E-3</v>
      </c>
      <c r="I86" s="99">
        <v>6.7235494880546076</v>
      </c>
      <c r="J86" s="99">
        <f t="shared" si="4"/>
        <v>1.9431058020477818E-2</v>
      </c>
    </row>
    <row r="87" spans="1:12" ht="25.5" x14ac:dyDescent="0.2">
      <c r="A87" s="100"/>
      <c r="B87" s="100"/>
      <c r="C87" s="100"/>
      <c r="D87" s="100"/>
      <c r="E87" s="100" t="s">
        <v>42</v>
      </c>
      <c r="F87" s="101">
        <v>0.23</v>
      </c>
      <c r="G87" s="100" t="s">
        <v>43</v>
      </c>
      <c r="H87" s="101">
        <v>0</v>
      </c>
      <c r="I87" s="100" t="s">
        <v>44</v>
      </c>
      <c r="J87" s="101">
        <v>0.23</v>
      </c>
    </row>
    <row r="88" spans="1:12" ht="15" customHeight="1" thickBot="1" x14ac:dyDescent="0.25">
      <c r="A88" s="100"/>
      <c r="B88" s="100"/>
      <c r="C88" s="100"/>
      <c r="D88" s="100"/>
      <c r="E88" s="100" t="s">
        <v>45</v>
      </c>
      <c r="F88" s="101">
        <f>J80*$G$2</f>
        <v>6.5367520887372035E-2</v>
      </c>
      <c r="G88" s="100"/>
      <c r="H88" s="319" t="s">
        <v>46</v>
      </c>
      <c r="I88" s="319"/>
      <c r="J88" s="101">
        <f>F88+J80+0.01</f>
        <v>0.38153857890784992</v>
      </c>
    </row>
    <row r="89" spans="1:12" ht="0.95" customHeight="1" thickTop="1" x14ac:dyDescent="0.2">
      <c r="A89" s="106"/>
      <c r="B89" s="106"/>
      <c r="C89" s="106"/>
      <c r="D89" s="106"/>
      <c r="E89" s="106"/>
      <c r="F89" s="106"/>
      <c r="G89" s="106"/>
      <c r="H89" s="106"/>
      <c r="I89" s="106"/>
      <c r="J89" s="106"/>
    </row>
    <row r="90" spans="1:12" ht="18" customHeight="1" x14ac:dyDescent="0.2">
      <c r="A90" s="87" t="str">
        <f>'[2]Orçamento Sintético'!B17</f>
        <v>08.02.02</v>
      </c>
      <c r="B90" s="88" t="s">
        <v>6</v>
      </c>
      <c r="C90" s="87" t="s">
        <v>7</v>
      </c>
      <c r="D90" s="87" t="s">
        <v>8</v>
      </c>
      <c r="E90" s="317" t="s">
        <v>35</v>
      </c>
      <c r="F90" s="318"/>
      <c r="G90" s="89" t="s">
        <v>9</v>
      </c>
      <c r="H90" s="88" t="s">
        <v>10</v>
      </c>
      <c r="I90" s="88" t="s">
        <v>11</v>
      </c>
      <c r="J90" s="88" t="s">
        <v>13</v>
      </c>
    </row>
    <row r="91" spans="1:12" s="105" customFormat="1" ht="51.95" customHeight="1" x14ac:dyDescent="0.25">
      <c r="A91" s="90" t="s">
        <v>36</v>
      </c>
      <c r="B91" s="91" t="s">
        <v>264</v>
      </c>
      <c r="C91" s="90" t="s">
        <v>24</v>
      </c>
      <c r="D91" s="90" t="s">
        <v>265</v>
      </c>
      <c r="E91" s="336" t="s">
        <v>32</v>
      </c>
      <c r="F91" s="337"/>
      <c r="G91" s="92" t="s">
        <v>22</v>
      </c>
      <c r="H91" s="93">
        <v>1</v>
      </c>
      <c r="I91" s="94">
        <f>J106</f>
        <v>7.2879632778335077</v>
      </c>
      <c r="J91" s="94">
        <f>H91*I91</f>
        <v>7.2879632778335077</v>
      </c>
      <c r="K91" s="308"/>
      <c r="L91" s="308"/>
    </row>
    <row r="92" spans="1:12" ht="15" customHeight="1" x14ac:dyDescent="0.2">
      <c r="A92" s="325" t="s">
        <v>76</v>
      </c>
      <c r="B92" s="321" t="s">
        <v>6</v>
      </c>
      <c r="C92" s="325" t="s">
        <v>7</v>
      </c>
      <c r="D92" s="325" t="s">
        <v>77</v>
      </c>
      <c r="E92" s="321" t="s">
        <v>78</v>
      </c>
      <c r="F92" s="323" t="s">
        <v>79</v>
      </c>
      <c r="G92" s="324"/>
      <c r="H92" s="323" t="s">
        <v>80</v>
      </c>
      <c r="I92" s="324"/>
      <c r="J92" s="321" t="s">
        <v>81</v>
      </c>
    </row>
    <row r="93" spans="1:12" ht="15" customHeight="1" x14ac:dyDescent="0.2">
      <c r="A93" s="326"/>
      <c r="B93" s="322"/>
      <c r="C93" s="326"/>
      <c r="D93" s="326"/>
      <c r="E93" s="322"/>
      <c r="F93" s="88" t="s">
        <v>82</v>
      </c>
      <c r="G93" s="88" t="s">
        <v>83</v>
      </c>
      <c r="H93" s="88" t="s">
        <v>82</v>
      </c>
      <c r="I93" s="88" t="s">
        <v>83</v>
      </c>
      <c r="J93" s="322"/>
    </row>
    <row r="94" spans="1:12" ht="26.1" customHeight="1" x14ac:dyDescent="0.2">
      <c r="A94" s="95" t="s">
        <v>53</v>
      </c>
      <c r="B94" s="96" t="s">
        <v>387</v>
      </c>
      <c r="C94" s="95" t="s">
        <v>24</v>
      </c>
      <c r="D94" s="95" t="s">
        <v>388</v>
      </c>
      <c r="E94" s="98">
        <v>3</v>
      </c>
      <c r="F94" s="99">
        <v>0.95</v>
      </c>
      <c r="G94" s="99">
        <v>0.05</v>
      </c>
      <c r="H94" s="103">
        <v>245.46245733788399</v>
      </c>
      <c r="I94" s="103">
        <v>82.072098976109217</v>
      </c>
      <c r="J94" s="103">
        <f>E94*((F94*H94)+(G94*I94))</f>
        <v>711.87881825938575</v>
      </c>
    </row>
    <row r="95" spans="1:12" ht="26.1" customHeight="1" x14ac:dyDescent="0.2">
      <c r="A95" s="95" t="s">
        <v>53</v>
      </c>
      <c r="B95" s="96" t="s">
        <v>150</v>
      </c>
      <c r="C95" s="95" t="s">
        <v>24</v>
      </c>
      <c r="D95" s="95" t="s">
        <v>151</v>
      </c>
      <c r="E95" s="98">
        <v>1</v>
      </c>
      <c r="F95" s="99">
        <v>1</v>
      </c>
      <c r="G95" s="99">
        <v>0</v>
      </c>
      <c r="H95" s="103">
        <v>380.05170648464201</v>
      </c>
      <c r="I95" s="103">
        <v>183.40153583617749</v>
      </c>
      <c r="J95" s="103">
        <f t="shared" ref="J95:J96" si="5">E95*((F95*H95)+(G95*I95))</f>
        <v>380.05170648464201</v>
      </c>
    </row>
    <row r="96" spans="1:12" ht="24" customHeight="1" x14ac:dyDescent="0.2">
      <c r="A96" s="95" t="s">
        <v>53</v>
      </c>
      <c r="B96" s="96" t="s">
        <v>389</v>
      </c>
      <c r="C96" s="95" t="s">
        <v>24</v>
      </c>
      <c r="D96" s="95" t="s">
        <v>390</v>
      </c>
      <c r="E96" s="98">
        <v>1</v>
      </c>
      <c r="F96" s="99">
        <v>1</v>
      </c>
      <c r="G96" s="99">
        <v>0</v>
      </c>
      <c r="H96" s="103">
        <v>660.12696245733798</v>
      </c>
      <c r="I96" s="103">
        <v>258.31587030716724</v>
      </c>
      <c r="J96" s="103">
        <f t="shared" si="5"/>
        <v>660.12696245733798</v>
      </c>
    </row>
    <row r="97" spans="1:12" ht="20.100000000000001" customHeight="1" x14ac:dyDescent="0.2">
      <c r="A97" s="328"/>
      <c r="B97" s="328"/>
      <c r="C97" s="328"/>
      <c r="D97" s="328"/>
      <c r="E97" s="328"/>
      <c r="F97" s="328" t="s">
        <v>84</v>
      </c>
      <c r="G97" s="328"/>
      <c r="H97" s="328"/>
      <c r="I97" s="328"/>
      <c r="J97" s="107">
        <f>SUM(J94:J96)</f>
        <v>1752.0574872013658</v>
      </c>
    </row>
    <row r="98" spans="1:12" ht="20.100000000000001" customHeight="1" x14ac:dyDescent="0.2">
      <c r="A98" s="87" t="s">
        <v>93</v>
      </c>
      <c r="B98" s="88" t="s">
        <v>6</v>
      </c>
      <c r="C98" s="87" t="s">
        <v>7</v>
      </c>
      <c r="D98" s="87" t="s">
        <v>59</v>
      </c>
      <c r="E98" s="88" t="s">
        <v>78</v>
      </c>
      <c r="F98" s="331" t="s">
        <v>94</v>
      </c>
      <c r="G98" s="334"/>
      <c r="H98" s="334"/>
      <c r="I98" s="332"/>
      <c r="J98" s="88" t="s">
        <v>81</v>
      </c>
    </row>
    <row r="99" spans="1:12" ht="24" customHeight="1" x14ac:dyDescent="0.2">
      <c r="A99" s="95" t="s">
        <v>53</v>
      </c>
      <c r="B99" s="96" t="s">
        <v>95</v>
      </c>
      <c r="C99" s="95" t="s">
        <v>24</v>
      </c>
      <c r="D99" s="95" t="s">
        <v>96</v>
      </c>
      <c r="E99" s="98">
        <v>1</v>
      </c>
      <c r="F99" s="95"/>
      <c r="G99" s="95"/>
      <c r="H99" s="95"/>
      <c r="I99" s="103">
        <v>24.801319199999998</v>
      </c>
      <c r="J99" s="103">
        <f>E99*I99</f>
        <v>24.801319199999998</v>
      </c>
    </row>
    <row r="100" spans="1:12" ht="20.100000000000001" customHeight="1" x14ac:dyDescent="0.2">
      <c r="A100" s="320"/>
      <c r="B100" s="320"/>
      <c r="C100" s="320"/>
      <c r="D100" s="320"/>
      <c r="E100" s="320"/>
      <c r="F100" s="320" t="s">
        <v>97</v>
      </c>
      <c r="G100" s="320"/>
      <c r="H100" s="320"/>
      <c r="I100" s="320"/>
      <c r="J100" s="107">
        <f>J99</f>
        <v>24.801319199999998</v>
      </c>
    </row>
    <row r="101" spans="1:12" ht="20.100000000000001" customHeight="1" x14ac:dyDescent="0.2">
      <c r="A101" s="193"/>
      <c r="B101" s="193"/>
      <c r="C101" s="193"/>
      <c r="D101" s="193"/>
      <c r="E101" s="193"/>
      <c r="F101" s="193" t="s">
        <v>98</v>
      </c>
      <c r="G101" s="193"/>
      <c r="H101" s="193"/>
      <c r="I101" s="193"/>
      <c r="J101" s="107">
        <v>0</v>
      </c>
    </row>
    <row r="102" spans="1:12" ht="20.100000000000001" customHeight="1" x14ac:dyDescent="0.2">
      <c r="A102" s="193"/>
      <c r="B102" s="193"/>
      <c r="C102" s="193"/>
      <c r="D102" s="193"/>
      <c r="E102" s="193"/>
      <c r="F102" s="193" t="s">
        <v>85</v>
      </c>
      <c r="G102" s="193"/>
      <c r="H102" s="193"/>
      <c r="I102" s="193"/>
      <c r="J102" s="107">
        <f>J100+J97+J104</f>
        <v>1776.9512064013659</v>
      </c>
    </row>
    <row r="103" spans="1:12" ht="20.100000000000001" customHeight="1" x14ac:dyDescent="0.2">
      <c r="A103" s="193"/>
      <c r="B103" s="193"/>
      <c r="C103" s="193"/>
      <c r="D103" s="193"/>
      <c r="E103" s="193"/>
      <c r="F103" s="193" t="s">
        <v>86</v>
      </c>
      <c r="G103" s="193"/>
      <c r="H103" s="193"/>
      <c r="I103" s="193"/>
      <c r="J103" s="107">
        <v>1.06E-2</v>
      </c>
    </row>
    <row r="104" spans="1:12" ht="20.100000000000001" customHeight="1" x14ac:dyDescent="0.2">
      <c r="A104" s="193"/>
      <c r="B104" s="193"/>
      <c r="C104" s="193"/>
      <c r="D104" s="193"/>
      <c r="E104" s="193"/>
      <c r="F104" s="193" t="s">
        <v>87</v>
      </c>
      <c r="G104" s="193"/>
      <c r="H104" s="193"/>
      <c r="I104" s="193"/>
      <c r="J104" s="107">
        <v>9.2399999999999996E-2</v>
      </c>
    </row>
    <row r="105" spans="1:12" ht="20.100000000000001" customHeight="1" x14ac:dyDescent="0.2">
      <c r="A105" s="193"/>
      <c r="B105" s="193"/>
      <c r="C105" s="193"/>
      <c r="D105" s="193"/>
      <c r="E105" s="193"/>
      <c r="F105" s="193" t="s">
        <v>88</v>
      </c>
      <c r="G105" s="193"/>
      <c r="H105" s="193"/>
      <c r="I105" s="193"/>
      <c r="J105" s="107">
        <v>243.82</v>
      </c>
    </row>
    <row r="106" spans="1:12" ht="20.100000000000001" customHeight="1" x14ac:dyDescent="0.2">
      <c r="A106" s="193"/>
      <c r="B106" s="193"/>
      <c r="C106" s="193"/>
      <c r="D106" s="193"/>
      <c r="E106" s="193"/>
      <c r="F106" s="193" t="s">
        <v>89</v>
      </c>
      <c r="G106" s="193"/>
      <c r="H106" s="193"/>
      <c r="I106" s="193"/>
      <c r="J106" s="107">
        <f>J102/J105</f>
        <v>7.2879632778335077</v>
      </c>
    </row>
    <row r="107" spans="1:12" ht="25.5" x14ac:dyDescent="0.2">
      <c r="A107" s="100"/>
      <c r="B107" s="100"/>
      <c r="C107" s="100"/>
      <c r="D107" s="100"/>
      <c r="E107" s="100" t="s">
        <v>42</v>
      </c>
      <c r="F107" s="101">
        <v>8.6861619227298834E-2</v>
      </c>
      <c r="G107" s="100" t="s">
        <v>43</v>
      </c>
      <c r="H107" s="101">
        <v>0</v>
      </c>
      <c r="I107" s="100" t="s">
        <v>44</v>
      </c>
      <c r="J107" s="101">
        <v>8.6861619227298834E-2</v>
      </c>
    </row>
    <row r="108" spans="1:12" ht="15" customHeight="1" thickBot="1" x14ac:dyDescent="0.25">
      <c r="A108" s="100"/>
      <c r="B108" s="100"/>
      <c r="C108" s="100"/>
      <c r="D108" s="100"/>
      <c r="E108" s="100" t="s">
        <v>45</v>
      </c>
      <c r="F108" s="101">
        <f>J91*$G$2</f>
        <v>1.5559801598174539</v>
      </c>
      <c r="G108" s="100"/>
      <c r="H108" s="319" t="s">
        <v>46</v>
      </c>
      <c r="I108" s="319"/>
      <c r="J108" s="101">
        <f>F108+J91+0.01</f>
        <v>8.8539434376509618</v>
      </c>
    </row>
    <row r="109" spans="1:12" ht="0.95" customHeight="1" thickTop="1" x14ac:dyDescent="0.2">
      <c r="A109" s="106"/>
      <c r="B109" s="106"/>
      <c r="C109" s="106"/>
      <c r="D109" s="106"/>
      <c r="E109" s="106"/>
      <c r="F109" s="106"/>
      <c r="G109" s="106"/>
      <c r="H109" s="106"/>
      <c r="I109" s="106"/>
      <c r="J109" s="106"/>
    </row>
    <row r="110" spans="1:12" ht="18" customHeight="1" x14ac:dyDescent="0.2">
      <c r="A110" s="87" t="str">
        <f>'[2]Orçamento Sintético'!B18</f>
        <v>08.02.03</v>
      </c>
      <c r="B110" s="88" t="s">
        <v>6</v>
      </c>
      <c r="C110" s="87" t="s">
        <v>7</v>
      </c>
      <c r="D110" s="87" t="s">
        <v>8</v>
      </c>
      <c r="E110" s="317" t="s">
        <v>35</v>
      </c>
      <c r="F110" s="318"/>
      <c r="G110" s="89" t="s">
        <v>9</v>
      </c>
      <c r="H110" s="88" t="s">
        <v>10</v>
      </c>
      <c r="I110" s="88" t="s">
        <v>11</v>
      </c>
      <c r="J110" s="88" t="s">
        <v>13</v>
      </c>
    </row>
    <row r="111" spans="1:12" s="105" customFormat="1" ht="24" customHeight="1" x14ac:dyDescent="0.25">
      <c r="A111" s="90" t="s">
        <v>36</v>
      </c>
      <c r="B111" s="91" t="s">
        <v>267</v>
      </c>
      <c r="C111" s="90" t="s">
        <v>24</v>
      </c>
      <c r="D111" s="90" t="s">
        <v>268</v>
      </c>
      <c r="E111" s="336" t="s">
        <v>32</v>
      </c>
      <c r="F111" s="337"/>
      <c r="G111" s="92" t="s">
        <v>18</v>
      </c>
      <c r="H111" s="93">
        <v>1</v>
      </c>
      <c r="I111" s="94">
        <f>J129</f>
        <v>0.96460629836540079</v>
      </c>
      <c r="J111" s="94">
        <f>H111*I111</f>
        <v>0.96460629836540079</v>
      </c>
      <c r="K111" s="308"/>
      <c r="L111" s="308"/>
    </row>
    <row r="112" spans="1:12" ht="15" customHeight="1" x14ac:dyDescent="0.2">
      <c r="A112" s="325" t="s">
        <v>76</v>
      </c>
      <c r="B112" s="321" t="s">
        <v>6</v>
      </c>
      <c r="C112" s="325" t="s">
        <v>7</v>
      </c>
      <c r="D112" s="325" t="s">
        <v>77</v>
      </c>
      <c r="E112" s="321" t="s">
        <v>78</v>
      </c>
      <c r="F112" s="323" t="s">
        <v>79</v>
      </c>
      <c r="G112" s="324"/>
      <c r="H112" s="323" t="s">
        <v>80</v>
      </c>
      <c r="I112" s="324"/>
      <c r="J112" s="321" t="s">
        <v>81</v>
      </c>
    </row>
    <row r="113" spans="1:13" ht="15" customHeight="1" x14ac:dyDescent="0.2">
      <c r="A113" s="326"/>
      <c r="B113" s="322"/>
      <c r="C113" s="326"/>
      <c r="D113" s="326"/>
      <c r="E113" s="322"/>
      <c r="F113" s="88" t="s">
        <v>82</v>
      </c>
      <c r="G113" s="88" t="s">
        <v>83</v>
      </c>
      <c r="H113" s="88" t="s">
        <v>82</v>
      </c>
      <c r="I113" s="88" t="s">
        <v>83</v>
      </c>
      <c r="J113" s="322"/>
    </row>
    <row r="114" spans="1:13" ht="26.1" customHeight="1" x14ac:dyDescent="0.2">
      <c r="A114" s="95" t="s">
        <v>53</v>
      </c>
      <c r="B114" s="96" t="s">
        <v>124</v>
      </c>
      <c r="C114" s="95" t="s">
        <v>24</v>
      </c>
      <c r="D114" s="95" t="s">
        <v>125</v>
      </c>
      <c r="E114" s="98">
        <v>2</v>
      </c>
      <c r="F114" s="99">
        <v>0.51</v>
      </c>
      <c r="G114" s="99">
        <v>0.49</v>
      </c>
      <c r="H114" s="103">
        <v>282.31962457337897</v>
      </c>
      <c r="I114" s="103">
        <v>73.967150170648495</v>
      </c>
      <c r="J114" s="103">
        <f>E114*((F114*H114)+(G114*I114))</f>
        <v>360.45382423208207</v>
      </c>
      <c r="L114" s="103"/>
      <c r="M114" s="103"/>
    </row>
    <row r="115" spans="1:13" ht="24" customHeight="1" x14ac:dyDescent="0.2">
      <c r="A115" s="95" t="s">
        <v>53</v>
      </c>
      <c r="B115" s="96" t="s">
        <v>126</v>
      </c>
      <c r="C115" s="95" t="s">
        <v>24</v>
      </c>
      <c r="D115" s="95" t="s">
        <v>127</v>
      </c>
      <c r="E115" s="98">
        <v>1</v>
      </c>
      <c r="F115" s="99">
        <v>0.69</v>
      </c>
      <c r="G115" s="99">
        <v>0.31</v>
      </c>
      <c r="H115" s="103">
        <v>3.9508020477815702</v>
      </c>
      <c r="I115" s="103">
        <v>2.7521843003413</v>
      </c>
      <c r="J115" s="103">
        <f t="shared" ref="J115:J119" si="6">E115*((F115*H115)+(G115*I115))</f>
        <v>3.579230546075086</v>
      </c>
      <c r="L115" s="103"/>
      <c r="M115" s="103"/>
    </row>
    <row r="116" spans="1:13" ht="24" customHeight="1" x14ac:dyDescent="0.2">
      <c r="A116" s="95" t="s">
        <v>53</v>
      </c>
      <c r="B116" s="96" t="s">
        <v>128</v>
      </c>
      <c r="C116" s="95" t="s">
        <v>24</v>
      </c>
      <c r="D116" s="95" t="s">
        <v>129</v>
      </c>
      <c r="E116" s="98">
        <v>1</v>
      </c>
      <c r="F116" s="99">
        <v>0.71</v>
      </c>
      <c r="G116" s="99">
        <v>0.28999999999999998</v>
      </c>
      <c r="H116" s="103">
        <v>239.55230375426601</v>
      </c>
      <c r="I116" s="103">
        <v>105.41817406143301</v>
      </c>
      <c r="J116" s="103">
        <f t="shared" si="6"/>
        <v>200.65340614334443</v>
      </c>
      <c r="L116" s="103"/>
      <c r="M116" s="103"/>
    </row>
    <row r="117" spans="1:13" ht="26.1" customHeight="1" x14ac:dyDescent="0.2">
      <c r="A117" s="95" t="s">
        <v>53</v>
      </c>
      <c r="B117" s="96" t="s">
        <v>130</v>
      </c>
      <c r="C117" s="95" t="s">
        <v>24</v>
      </c>
      <c r="D117" s="95" t="s">
        <v>131</v>
      </c>
      <c r="E117" s="98">
        <v>1</v>
      </c>
      <c r="F117" s="99">
        <v>0.96</v>
      </c>
      <c r="G117" s="99">
        <v>0.04</v>
      </c>
      <c r="H117" s="103">
        <v>220.33668941979499</v>
      </c>
      <c r="I117" s="103">
        <v>106.64726962457338</v>
      </c>
      <c r="J117" s="103">
        <f t="shared" si="6"/>
        <v>215.78911262798613</v>
      </c>
      <c r="L117" s="103"/>
      <c r="M117" s="103"/>
    </row>
    <row r="118" spans="1:13" ht="26.1" customHeight="1" x14ac:dyDescent="0.2">
      <c r="A118" s="95" t="s">
        <v>53</v>
      </c>
      <c r="B118" s="96" t="s">
        <v>132</v>
      </c>
      <c r="C118" s="95" t="s">
        <v>24</v>
      </c>
      <c r="D118" s="95" t="s">
        <v>133</v>
      </c>
      <c r="E118" s="98">
        <v>1</v>
      </c>
      <c r="F118" s="99">
        <v>1</v>
      </c>
      <c r="G118" s="99">
        <v>0</v>
      </c>
      <c r="H118" s="103">
        <v>185.48302047781601</v>
      </c>
      <c r="I118" s="103">
        <v>82.110324232081922</v>
      </c>
      <c r="J118" s="103">
        <f t="shared" si="6"/>
        <v>185.48302047781601</v>
      </c>
      <c r="L118" s="103"/>
      <c r="M118" s="103"/>
    </row>
    <row r="119" spans="1:13" ht="24" customHeight="1" x14ac:dyDescent="0.2">
      <c r="A119" s="95" t="s">
        <v>53</v>
      </c>
      <c r="B119" s="96" t="s">
        <v>134</v>
      </c>
      <c r="C119" s="95" t="s">
        <v>24</v>
      </c>
      <c r="D119" s="95" t="s">
        <v>135</v>
      </c>
      <c r="E119" s="98">
        <v>1</v>
      </c>
      <c r="F119" s="99">
        <v>0.69</v>
      </c>
      <c r="G119" s="99">
        <v>0.31</v>
      </c>
      <c r="H119" s="103">
        <v>123.03575085324201</v>
      </c>
      <c r="I119" s="103">
        <v>44.252389078498297</v>
      </c>
      <c r="J119" s="103">
        <f t="shared" si="6"/>
        <v>98.612908703071454</v>
      </c>
      <c r="L119" s="103"/>
      <c r="M119" s="103"/>
    </row>
    <row r="120" spans="1:13" ht="20.100000000000001" customHeight="1" x14ac:dyDescent="0.2">
      <c r="A120" s="328"/>
      <c r="B120" s="328"/>
      <c r="C120" s="328"/>
      <c r="D120" s="328"/>
      <c r="E120" s="328"/>
      <c r="F120" s="328" t="s">
        <v>84</v>
      </c>
      <c r="G120" s="328"/>
      <c r="H120" s="328"/>
      <c r="I120" s="328"/>
      <c r="J120" s="107">
        <f>SUM(J114:J119)</f>
        <v>1064.5715027303752</v>
      </c>
    </row>
    <row r="121" spans="1:13" ht="20.100000000000001" customHeight="1" x14ac:dyDescent="0.2">
      <c r="A121" s="87" t="s">
        <v>93</v>
      </c>
      <c r="B121" s="88" t="s">
        <v>6</v>
      </c>
      <c r="C121" s="87" t="s">
        <v>7</v>
      </c>
      <c r="D121" s="87" t="s">
        <v>59</v>
      </c>
      <c r="E121" s="88" t="s">
        <v>78</v>
      </c>
      <c r="F121" s="331" t="s">
        <v>94</v>
      </c>
      <c r="G121" s="334"/>
      <c r="H121" s="334"/>
      <c r="I121" s="332"/>
      <c r="J121" s="88" t="s">
        <v>81</v>
      </c>
    </row>
    <row r="122" spans="1:13" ht="24" customHeight="1" x14ac:dyDescent="0.2">
      <c r="A122" s="95" t="s">
        <v>53</v>
      </c>
      <c r="B122" s="96" t="s">
        <v>95</v>
      </c>
      <c r="C122" s="95" t="s">
        <v>24</v>
      </c>
      <c r="D122" s="95" t="s">
        <v>96</v>
      </c>
      <c r="E122" s="98">
        <v>1</v>
      </c>
      <c r="F122" s="95"/>
      <c r="G122" s="95"/>
      <c r="H122" s="95"/>
      <c r="I122" s="103">
        <v>17.0704778156997</v>
      </c>
      <c r="J122" s="103">
        <f>E122*I122</f>
        <v>17.0704778156997</v>
      </c>
    </row>
    <row r="123" spans="1:13" ht="20.100000000000001" customHeight="1" x14ac:dyDescent="0.2">
      <c r="A123" s="320"/>
      <c r="B123" s="320"/>
      <c r="C123" s="320"/>
      <c r="D123" s="320"/>
      <c r="E123" s="320"/>
      <c r="F123" s="320" t="s">
        <v>97</v>
      </c>
      <c r="G123" s="320"/>
      <c r="H123" s="320"/>
      <c r="I123" s="320"/>
      <c r="J123" s="107">
        <f>J122</f>
        <v>17.0704778156997</v>
      </c>
    </row>
    <row r="124" spans="1:13" ht="20.100000000000001" customHeight="1" x14ac:dyDescent="0.2">
      <c r="A124" s="193"/>
      <c r="B124" s="193"/>
      <c r="C124" s="193"/>
      <c r="D124" s="193"/>
      <c r="E124" s="193"/>
      <c r="F124" s="193" t="s">
        <v>98</v>
      </c>
      <c r="G124" s="193"/>
      <c r="H124" s="193"/>
      <c r="I124" s="193"/>
      <c r="J124" s="107">
        <v>0</v>
      </c>
    </row>
    <row r="125" spans="1:13" ht="20.100000000000001" customHeight="1" x14ac:dyDescent="0.2">
      <c r="A125" s="193"/>
      <c r="B125" s="193"/>
      <c r="C125" s="193"/>
      <c r="D125" s="193"/>
      <c r="E125" s="193"/>
      <c r="F125" s="193" t="s">
        <v>85</v>
      </c>
      <c r="G125" s="193"/>
      <c r="H125" s="193"/>
      <c r="I125" s="193"/>
      <c r="J125" s="107">
        <f>J120+J123</f>
        <v>1081.6419805460748</v>
      </c>
    </row>
    <row r="126" spans="1:13" ht="20.100000000000001" customHeight="1" x14ac:dyDescent="0.2">
      <c r="A126" s="193"/>
      <c r="B126" s="193"/>
      <c r="C126" s="193"/>
      <c r="D126" s="193"/>
      <c r="E126" s="193"/>
      <c r="F126" s="193" t="s">
        <v>86</v>
      </c>
      <c r="G126" s="193"/>
      <c r="H126" s="193"/>
      <c r="I126" s="193"/>
      <c r="J126" s="107">
        <v>1.06E-2</v>
      </c>
    </row>
    <row r="127" spans="1:13" ht="20.100000000000001" customHeight="1" x14ac:dyDescent="0.2">
      <c r="A127" s="193"/>
      <c r="B127" s="193"/>
      <c r="C127" s="193"/>
      <c r="D127" s="193"/>
      <c r="E127" s="193"/>
      <c r="F127" s="193" t="s">
        <v>87</v>
      </c>
      <c r="G127" s="193"/>
      <c r="H127" s="193"/>
      <c r="I127" s="193"/>
      <c r="J127" s="107">
        <v>1.2200000000000001E-2</v>
      </c>
    </row>
    <row r="128" spans="1:13" ht="20.100000000000001" customHeight="1" x14ac:dyDescent="0.2">
      <c r="A128" s="193"/>
      <c r="B128" s="193"/>
      <c r="C128" s="193"/>
      <c r="D128" s="193"/>
      <c r="E128" s="193"/>
      <c r="F128" s="193" t="s">
        <v>88</v>
      </c>
      <c r="G128" s="193"/>
      <c r="H128" s="193"/>
      <c r="I128" s="193"/>
      <c r="J128" s="107">
        <v>1121.33</v>
      </c>
    </row>
    <row r="129" spans="1:12" ht="20.100000000000001" customHeight="1" x14ac:dyDescent="0.2">
      <c r="A129" s="193"/>
      <c r="B129" s="193"/>
      <c r="C129" s="193"/>
      <c r="D129" s="193"/>
      <c r="E129" s="193"/>
      <c r="F129" s="193" t="s">
        <v>89</v>
      </c>
      <c r="G129" s="193"/>
      <c r="H129" s="193"/>
      <c r="I129" s="193"/>
      <c r="J129" s="107">
        <f>J125/J128</f>
        <v>0.96460629836540079</v>
      </c>
    </row>
    <row r="130" spans="1:12" ht="25.5" x14ac:dyDescent="0.2">
      <c r="A130" s="100"/>
      <c r="B130" s="100"/>
      <c r="C130" s="100"/>
      <c r="D130" s="100"/>
      <c r="E130" s="100" t="s">
        <v>42</v>
      </c>
      <c r="F130" s="101">
        <v>1.8887035930546761E-2</v>
      </c>
      <c r="G130" s="100" t="s">
        <v>43</v>
      </c>
      <c r="H130" s="101">
        <v>0</v>
      </c>
      <c r="I130" s="100" t="s">
        <v>44</v>
      </c>
      <c r="J130" s="101">
        <v>1.8887035930546761E-2</v>
      </c>
    </row>
    <row r="131" spans="1:12" ht="15" customHeight="1" thickBot="1" x14ac:dyDescent="0.25">
      <c r="A131" s="100"/>
      <c r="B131" s="100"/>
      <c r="C131" s="100"/>
      <c r="D131" s="100"/>
      <c r="E131" s="100" t="s">
        <v>45</v>
      </c>
      <c r="F131" s="101">
        <f>J111*$G$2</f>
        <v>0.20594344470101306</v>
      </c>
      <c r="G131" s="100"/>
      <c r="H131" s="319" t="s">
        <v>46</v>
      </c>
      <c r="I131" s="319"/>
      <c r="J131" s="101">
        <f>F131+J111-0.01</f>
        <v>1.1605497430664138</v>
      </c>
    </row>
    <row r="132" spans="1:12" ht="0.95" customHeight="1" thickTop="1" x14ac:dyDescent="0.2">
      <c r="A132" s="106"/>
      <c r="B132" s="106"/>
      <c r="C132" s="106"/>
      <c r="D132" s="106"/>
      <c r="E132" s="106"/>
      <c r="F132" s="106"/>
      <c r="G132" s="106"/>
      <c r="H132" s="106"/>
      <c r="I132" s="106"/>
      <c r="J132" s="106"/>
    </row>
    <row r="133" spans="1:12" ht="18" customHeight="1" x14ac:dyDescent="0.2">
      <c r="A133" s="87" t="str">
        <f>'[2]Orçamento Sintético'!B19</f>
        <v>08.02.04</v>
      </c>
      <c r="B133" s="88" t="s">
        <v>6</v>
      </c>
      <c r="C133" s="87" t="s">
        <v>7</v>
      </c>
      <c r="D133" s="87" t="s">
        <v>8</v>
      </c>
      <c r="E133" s="317" t="s">
        <v>35</v>
      </c>
      <c r="F133" s="318"/>
      <c r="G133" s="89" t="s">
        <v>9</v>
      </c>
      <c r="H133" s="88" t="s">
        <v>10</v>
      </c>
      <c r="I133" s="88" t="s">
        <v>11</v>
      </c>
      <c r="J133" s="88" t="s">
        <v>13</v>
      </c>
    </row>
    <row r="134" spans="1:12" s="105" customFormat="1" ht="39" customHeight="1" x14ac:dyDescent="0.25">
      <c r="A134" s="90" t="s">
        <v>36</v>
      </c>
      <c r="B134" s="91" t="s">
        <v>270</v>
      </c>
      <c r="C134" s="90" t="s">
        <v>24</v>
      </c>
      <c r="D134" s="90" t="s">
        <v>271</v>
      </c>
      <c r="E134" s="336" t="s">
        <v>32</v>
      </c>
      <c r="F134" s="337"/>
      <c r="G134" s="92" t="s">
        <v>25</v>
      </c>
      <c r="H134" s="93">
        <v>1</v>
      </c>
      <c r="I134" s="94">
        <f>J144</f>
        <v>2.192339074347426</v>
      </c>
      <c r="J134" s="94">
        <f>H134*I134</f>
        <v>2.192339074347426</v>
      </c>
      <c r="K134" s="308"/>
      <c r="L134" s="308"/>
    </row>
    <row r="135" spans="1:12" ht="15" customHeight="1" x14ac:dyDescent="0.2">
      <c r="A135" s="325" t="s">
        <v>76</v>
      </c>
      <c r="B135" s="321" t="s">
        <v>6</v>
      </c>
      <c r="C135" s="325" t="s">
        <v>7</v>
      </c>
      <c r="D135" s="325" t="s">
        <v>77</v>
      </c>
      <c r="E135" s="321" t="s">
        <v>78</v>
      </c>
      <c r="F135" s="323" t="s">
        <v>79</v>
      </c>
      <c r="G135" s="324"/>
      <c r="H135" s="323" t="s">
        <v>80</v>
      </c>
      <c r="I135" s="324"/>
      <c r="J135" s="321" t="s">
        <v>81</v>
      </c>
    </row>
    <row r="136" spans="1:12" ht="15" customHeight="1" x14ac:dyDescent="0.2">
      <c r="A136" s="326"/>
      <c r="B136" s="322"/>
      <c r="C136" s="326"/>
      <c r="D136" s="326"/>
      <c r="E136" s="322"/>
      <c r="F136" s="88" t="s">
        <v>82</v>
      </c>
      <c r="G136" s="88" t="s">
        <v>83</v>
      </c>
      <c r="H136" s="88" t="s">
        <v>82</v>
      </c>
      <c r="I136" s="88" t="s">
        <v>83</v>
      </c>
      <c r="J136" s="322"/>
    </row>
    <row r="137" spans="1:12" ht="26.1" customHeight="1" x14ac:dyDescent="0.2">
      <c r="A137" s="95" t="s">
        <v>53</v>
      </c>
      <c r="B137" s="96" t="s">
        <v>387</v>
      </c>
      <c r="C137" s="95" t="s">
        <v>24</v>
      </c>
      <c r="D137" s="95" t="s">
        <v>388</v>
      </c>
      <c r="E137" s="98">
        <v>3</v>
      </c>
      <c r="F137" s="99">
        <v>0.77</v>
      </c>
      <c r="G137" s="99">
        <v>0.23</v>
      </c>
      <c r="H137" s="103">
        <v>249.46245733788399</v>
      </c>
      <c r="I137" s="103">
        <v>81.072098976109203</v>
      </c>
      <c r="J137" s="103">
        <f t="shared" ref="J137:J138" si="7">E137*((F137*H137)+(G137*I137))</f>
        <v>632.19802474402741</v>
      </c>
    </row>
    <row r="138" spans="1:12" ht="26.1" customHeight="1" x14ac:dyDescent="0.2">
      <c r="A138" s="95" t="s">
        <v>53</v>
      </c>
      <c r="B138" s="96" t="s">
        <v>150</v>
      </c>
      <c r="C138" s="95" t="s">
        <v>24</v>
      </c>
      <c r="D138" s="95" t="s">
        <v>151</v>
      </c>
      <c r="E138" s="98">
        <v>1</v>
      </c>
      <c r="F138" s="99">
        <v>1</v>
      </c>
      <c r="G138" s="99">
        <v>0</v>
      </c>
      <c r="H138" s="103">
        <v>370.05170648464201</v>
      </c>
      <c r="I138" s="103">
        <v>181.401535836177</v>
      </c>
      <c r="J138" s="103">
        <f>E138*((F138*H138)+(G138*I138))</f>
        <v>370.05170648464201</v>
      </c>
    </row>
    <row r="139" spans="1:12" ht="20.100000000000001" customHeight="1" x14ac:dyDescent="0.2">
      <c r="A139" s="320"/>
      <c r="B139" s="320"/>
      <c r="C139" s="320"/>
      <c r="D139" s="320"/>
      <c r="E139" s="320"/>
      <c r="F139" s="320" t="s">
        <v>84</v>
      </c>
      <c r="G139" s="320"/>
      <c r="H139" s="320"/>
      <c r="I139" s="320"/>
      <c r="J139" s="107">
        <f>J137+J138</f>
        <v>1002.2497312286694</v>
      </c>
    </row>
    <row r="140" spans="1:12" ht="20.100000000000001" customHeight="1" x14ac:dyDescent="0.2">
      <c r="A140" s="193"/>
      <c r="B140" s="193"/>
      <c r="C140" s="193"/>
      <c r="D140" s="193"/>
      <c r="E140" s="193"/>
      <c r="F140" s="193" t="s">
        <v>85</v>
      </c>
      <c r="G140" s="193"/>
      <c r="H140" s="193"/>
      <c r="I140" s="193"/>
      <c r="J140" s="107">
        <f>J139</f>
        <v>1002.2497312286694</v>
      </c>
    </row>
    <row r="141" spans="1:12" ht="20.100000000000001" customHeight="1" x14ac:dyDescent="0.2">
      <c r="A141" s="193"/>
      <c r="B141" s="193"/>
      <c r="C141" s="193"/>
      <c r="D141" s="193"/>
      <c r="E141" s="193"/>
      <c r="F141" s="193" t="s">
        <v>86</v>
      </c>
      <c r="G141" s="193"/>
      <c r="H141" s="193"/>
      <c r="I141" s="193"/>
      <c r="J141" s="107">
        <v>0</v>
      </c>
    </row>
    <row r="142" spans="1:12" ht="20.100000000000001" customHeight="1" x14ac:dyDescent="0.2">
      <c r="A142" s="193"/>
      <c r="B142" s="193"/>
      <c r="C142" s="193"/>
      <c r="D142" s="193"/>
      <c r="E142" s="193"/>
      <c r="F142" s="193" t="s">
        <v>87</v>
      </c>
      <c r="G142" s="193"/>
      <c r="H142" s="193"/>
      <c r="I142" s="193"/>
      <c r="J142" s="107">
        <v>0</v>
      </c>
    </row>
    <row r="143" spans="1:12" ht="20.100000000000001" customHeight="1" x14ac:dyDescent="0.2">
      <c r="A143" s="193"/>
      <c r="B143" s="193"/>
      <c r="C143" s="193"/>
      <c r="D143" s="193"/>
      <c r="E143" s="193"/>
      <c r="F143" s="193" t="s">
        <v>88</v>
      </c>
      <c r="G143" s="193"/>
      <c r="H143" s="193"/>
      <c r="I143" s="193"/>
      <c r="J143" s="107">
        <v>457.16</v>
      </c>
    </row>
    <row r="144" spans="1:12" ht="20.100000000000001" customHeight="1" x14ac:dyDescent="0.2">
      <c r="A144" s="193"/>
      <c r="B144" s="193"/>
      <c r="C144" s="193"/>
      <c r="D144" s="193"/>
      <c r="E144" s="193"/>
      <c r="F144" s="193" t="s">
        <v>89</v>
      </c>
      <c r="G144" s="193"/>
      <c r="H144" s="193"/>
      <c r="I144" s="193"/>
      <c r="J144" s="107">
        <f>J140/J143</f>
        <v>2.192339074347426</v>
      </c>
    </row>
    <row r="145" spans="1:12" ht="25.5" x14ac:dyDescent="0.2">
      <c r="A145" s="100"/>
      <c r="B145" s="100"/>
      <c r="C145" s="100"/>
      <c r="D145" s="100"/>
      <c r="E145" s="100" t="s">
        <v>42</v>
      </c>
      <c r="F145" s="101">
        <v>0</v>
      </c>
      <c r="G145" s="100" t="s">
        <v>43</v>
      </c>
      <c r="H145" s="101">
        <v>0</v>
      </c>
      <c r="I145" s="100" t="s">
        <v>44</v>
      </c>
      <c r="J145" s="101">
        <v>0</v>
      </c>
    </row>
    <row r="146" spans="1:12" ht="15" customHeight="1" thickBot="1" x14ac:dyDescent="0.25">
      <c r="A146" s="100"/>
      <c r="B146" s="100"/>
      <c r="C146" s="100"/>
      <c r="D146" s="100"/>
      <c r="E146" s="100" t="s">
        <v>45</v>
      </c>
      <c r="F146" s="101">
        <f>J134*$G$2</f>
        <v>0.46806439237317543</v>
      </c>
      <c r="G146" s="100"/>
      <c r="H146" s="319" t="s">
        <v>46</v>
      </c>
      <c r="I146" s="319"/>
      <c r="J146" s="101">
        <f>F146+J134</f>
        <v>2.6604034667206014</v>
      </c>
    </row>
    <row r="147" spans="1:12" ht="0.95" customHeight="1" thickTop="1" x14ac:dyDescent="0.2">
      <c r="A147" s="106"/>
      <c r="B147" s="106"/>
      <c r="C147" s="106"/>
      <c r="D147" s="106"/>
      <c r="E147" s="106"/>
      <c r="F147" s="106"/>
      <c r="G147" s="106"/>
      <c r="H147" s="106"/>
      <c r="I147" s="106"/>
      <c r="J147" s="106"/>
    </row>
    <row r="148" spans="1:12" ht="18" customHeight="1" x14ac:dyDescent="0.2">
      <c r="A148" s="87" t="str">
        <f>'[2]Orçamento Sintético'!B20</f>
        <v>08.02.05</v>
      </c>
      <c r="B148" s="88" t="s">
        <v>6</v>
      </c>
      <c r="C148" s="87" t="s">
        <v>7</v>
      </c>
      <c r="D148" s="87" t="s">
        <v>8</v>
      </c>
      <c r="E148" s="317" t="s">
        <v>35</v>
      </c>
      <c r="F148" s="318"/>
      <c r="G148" s="89" t="s">
        <v>9</v>
      </c>
      <c r="H148" s="88" t="s">
        <v>10</v>
      </c>
      <c r="I148" s="88" t="s">
        <v>11</v>
      </c>
      <c r="J148" s="88" t="s">
        <v>13</v>
      </c>
    </row>
    <row r="149" spans="1:12" s="105" customFormat="1" ht="26.1" customHeight="1" x14ac:dyDescent="0.25">
      <c r="A149" s="90" t="s">
        <v>36</v>
      </c>
      <c r="B149" s="91" t="s">
        <v>273</v>
      </c>
      <c r="C149" s="90" t="s">
        <v>24</v>
      </c>
      <c r="D149" s="90" t="s">
        <v>274</v>
      </c>
      <c r="E149" s="336" t="s">
        <v>32</v>
      </c>
      <c r="F149" s="337"/>
      <c r="G149" s="92" t="s">
        <v>119</v>
      </c>
      <c r="H149" s="93">
        <v>1</v>
      </c>
      <c r="I149" s="94">
        <f>J158</f>
        <v>0.58625922510128281</v>
      </c>
      <c r="J149" s="94">
        <f>H149*I149</f>
        <v>0.58625922510128281</v>
      </c>
      <c r="K149" s="308"/>
      <c r="L149" s="308"/>
    </row>
    <row r="150" spans="1:12" ht="15" customHeight="1" x14ac:dyDescent="0.2">
      <c r="A150" s="325" t="s">
        <v>76</v>
      </c>
      <c r="B150" s="321" t="s">
        <v>6</v>
      </c>
      <c r="C150" s="325" t="s">
        <v>7</v>
      </c>
      <c r="D150" s="325" t="s">
        <v>77</v>
      </c>
      <c r="E150" s="321" t="s">
        <v>78</v>
      </c>
      <c r="F150" s="323" t="s">
        <v>79</v>
      </c>
      <c r="G150" s="324"/>
      <c r="H150" s="323" t="s">
        <v>80</v>
      </c>
      <c r="I150" s="324"/>
      <c r="J150" s="321" t="s">
        <v>81</v>
      </c>
    </row>
    <row r="151" spans="1:12" ht="15" customHeight="1" x14ac:dyDescent="0.2">
      <c r="A151" s="326"/>
      <c r="B151" s="322"/>
      <c r="C151" s="326"/>
      <c r="D151" s="326"/>
      <c r="E151" s="322"/>
      <c r="F151" s="88" t="s">
        <v>82</v>
      </c>
      <c r="G151" s="88" t="s">
        <v>83</v>
      </c>
      <c r="H151" s="88" t="s">
        <v>82</v>
      </c>
      <c r="I151" s="88" t="s">
        <v>83</v>
      </c>
      <c r="J151" s="322"/>
    </row>
    <row r="152" spans="1:12" ht="26.1" customHeight="1" x14ac:dyDescent="0.2">
      <c r="A152" s="95" t="s">
        <v>53</v>
      </c>
      <c r="B152" s="96" t="s">
        <v>387</v>
      </c>
      <c r="C152" s="95" t="s">
        <v>24</v>
      </c>
      <c r="D152" s="95" t="s">
        <v>388</v>
      </c>
      <c r="E152" s="98">
        <v>1</v>
      </c>
      <c r="F152" s="99">
        <v>1</v>
      </c>
      <c r="G152" s="99">
        <v>0</v>
      </c>
      <c r="H152" s="103">
        <v>255.46245733788399</v>
      </c>
      <c r="I152" s="103">
        <v>82.072098976109217</v>
      </c>
      <c r="J152" s="103">
        <f>E152*((F152*H152)+(G152*I152))</f>
        <v>255.46245733788399</v>
      </c>
    </row>
    <row r="153" spans="1:12" ht="20.100000000000001" customHeight="1" x14ac:dyDescent="0.2">
      <c r="A153" s="320"/>
      <c r="B153" s="320"/>
      <c r="C153" s="320"/>
      <c r="D153" s="320"/>
      <c r="E153" s="320"/>
      <c r="F153" s="320" t="s">
        <v>84</v>
      </c>
      <c r="G153" s="320"/>
      <c r="H153" s="320"/>
      <c r="I153" s="320"/>
      <c r="J153" s="107">
        <f>J152</f>
        <v>255.46245733788399</v>
      </c>
    </row>
    <row r="154" spans="1:12" ht="20.100000000000001" customHeight="1" x14ac:dyDescent="0.2">
      <c r="A154" s="193"/>
      <c r="B154" s="193"/>
      <c r="C154" s="193"/>
      <c r="D154" s="193"/>
      <c r="E154" s="193"/>
      <c r="F154" s="193" t="s">
        <v>85</v>
      </c>
      <c r="G154" s="193"/>
      <c r="H154" s="193"/>
      <c r="I154" s="193"/>
      <c r="J154" s="107">
        <f>J153</f>
        <v>255.46245733788399</v>
      </c>
    </row>
    <row r="155" spans="1:12" ht="20.100000000000001" customHeight="1" x14ac:dyDescent="0.2">
      <c r="A155" s="193"/>
      <c r="B155" s="193"/>
      <c r="C155" s="193"/>
      <c r="D155" s="193"/>
      <c r="E155" s="193"/>
      <c r="F155" s="193" t="s">
        <v>86</v>
      </c>
      <c r="G155" s="193"/>
      <c r="H155" s="193"/>
      <c r="I155" s="193"/>
      <c r="J155" s="107">
        <v>1.06E-2</v>
      </c>
    </row>
    <row r="156" spans="1:12" ht="20.100000000000001" customHeight="1" x14ac:dyDescent="0.2">
      <c r="A156" s="193"/>
      <c r="B156" s="193"/>
      <c r="C156" s="193"/>
      <c r="D156" s="193"/>
      <c r="E156" s="193"/>
      <c r="F156" s="193" t="s">
        <v>87</v>
      </c>
      <c r="G156" s="193"/>
      <c r="H156" s="193"/>
      <c r="I156" s="193"/>
      <c r="J156" s="107">
        <v>7.4000000000000003E-3</v>
      </c>
    </row>
    <row r="157" spans="1:12" ht="20.100000000000001" customHeight="1" x14ac:dyDescent="0.2">
      <c r="A157" s="193"/>
      <c r="B157" s="193"/>
      <c r="C157" s="193"/>
      <c r="D157" s="193"/>
      <c r="E157" s="193"/>
      <c r="F157" s="193" t="s">
        <v>88</v>
      </c>
      <c r="G157" s="193"/>
      <c r="H157" s="193"/>
      <c r="I157" s="193"/>
      <c r="J157" s="107">
        <v>435.75</v>
      </c>
    </row>
    <row r="158" spans="1:12" ht="20.100000000000001" customHeight="1" x14ac:dyDescent="0.2">
      <c r="A158" s="193"/>
      <c r="B158" s="193"/>
      <c r="C158" s="193"/>
      <c r="D158" s="193"/>
      <c r="E158" s="193"/>
      <c r="F158" s="193" t="s">
        <v>89</v>
      </c>
      <c r="G158" s="193"/>
      <c r="H158" s="193"/>
      <c r="I158" s="193"/>
      <c r="J158" s="107">
        <f>J154/J157</f>
        <v>0.58625922510128281</v>
      </c>
    </row>
    <row r="159" spans="1:12" ht="25.5" x14ac:dyDescent="0.2">
      <c r="A159" s="100"/>
      <c r="B159" s="100"/>
      <c r="C159" s="100"/>
      <c r="D159" s="100"/>
      <c r="E159" s="100" t="s">
        <v>42</v>
      </c>
      <c r="F159" s="101">
        <v>0</v>
      </c>
      <c r="G159" s="100" t="s">
        <v>43</v>
      </c>
      <c r="H159" s="101">
        <v>0</v>
      </c>
      <c r="I159" s="100" t="s">
        <v>44</v>
      </c>
      <c r="J159" s="101">
        <v>0</v>
      </c>
    </row>
    <row r="160" spans="1:12" ht="15" customHeight="1" thickBot="1" x14ac:dyDescent="0.25">
      <c r="A160" s="100"/>
      <c r="B160" s="100"/>
      <c r="C160" s="100"/>
      <c r="D160" s="100"/>
      <c r="E160" s="100" t="s">
        <v>45</v>
      </c>
      <c r="F160" s="101">
        <f>J149*$G$2</f>
        <v>0.12516634455912387</v>
      </c>
      <c r="G160" s="100"/>
      <c r="H160" s="319" t="s">
        <v>46</v>
      </c>
      <c r="I160" s="319"/>
      <c r="J160" s="101">
        <f>F160+J149</f>
        <v>0.71142556966040671</v>
      </c>
    </row>
    <row r="161" spans="1:12" ht="0.95" customHeight="1" thickTop="1" x14ac:dyDescent="0.2">
      <c r="A161" s="106"/>
      <c r="B161" s="106"/>
      <c r="C161" s="106"/>
      <c r="D161" s="106"/>
      <c r="E161" s="106"/>
      <c r="F161" s="106"/>
      <c r="G161" s="106"/>
      <c r="H161" s="106"/>
      <c r="I161" s="106"/>
      <c r="J161" s="106"/>
    </row>
    <row r="162" spans="1:12" ht="18" customHeight="1" x14ac:dyDescent="0.2">
      <c r="A162" s="87" t="str">
        <f>'[2]Orçamento Sintético'!B21</f>
        <v>08.02.06</v>
      </c>
      <c r="B162" s="88" t="s">
        <v>6</v>
      </c>
      <c r="C162" s="87" t="s">
        <v>7</v>
      </c>
      <c r="D162" s="87" t="s">
        <v>8</v>
      </c>
      <c r="E162" s="317" t="s">
        <v>35</v>
      </c>
      <c r="F162" s="318"/>
      <c r="G162" s="89" t="s">
        <v>9</v>
      </c>
      <c r="H162" s="88" t="s">
        <v>10</v>
      </c>
      <c r="I162" s="88" t="s">
        <v>11</v>
      </c>
      <c r="J162" s="88" t="s">
        <v>13</v>
      </c>
    </row>
    <row r="163" spans="1:12" s="105" customFormat="1" ht="26.1" customHeight="1" x14ac:dyDescent="0.25">
      <c r="A163" s="90" t="s">
        <v>36</v>
      </c>
      <c r="B163" s="91" t="s">
        <v>276</v>
      </c>
      <c r="C163" s="90" t="s">
        <v>24</v>
      </c>
      <c r="D163" s="90" t="s">
        <v>277</v>
      </c>
      <c r="E163" s="336" t="s">
        <v>32</v>
      </c>
      <c r="F163" s="337"/>
      <c r="G163" s="92" t="s">
        <v>119</v>
      </c>
      <c r="H163" s="93">
        <v>1</v>
      </c>
      <c r="I163" s="94">
        <f>J172-0.02</f>
        <v>0.46854935425106903</v>
      </c>
      <c r="J163" s="94">
        <f>H163*I163</f>
        <v>0.46854935425106903</v>
      </c>
      <c r="K163" s="308"/>
      <c r="L163" s="308"/>
    </row>
    <row r="164" spans="1:12" ht="15" customHeight="1" x14ac:dyDescent="0.2">
      <c r="A164" s="325" t="s">
        <v>76</v>
      </c>
      <c r="B164" s="321" t="s">
        <v>6</v>
      </c>
      <c r="C164" s="325" t="s">
        <v>7</v>
      </c>
      <c r="D164" s="325" t="s">
        <v>77</v>
      </c>
      <c r="E164" s="321" t="s">
        <v>78</v>
      </c>
      <c r="F164" s="323" t="s">
        <v>79</v>
      </c>
      <c r="G164" s="324"/>
      <c r="H164" s="323" t="s">
        <v>80</v>
      </c>
      <c r="I164" s="324"/>
      <c r="J164" s="321" t="s">
        <v>81</v>
      </c>
    </row>
    <row r="165" spans="1:12" ht="15" customHeight="1" x14ac:dyDescent="0.2">
      <c r="A165" s="326"/>
      <c r="B165" s="322"/>
      <c r="C165" s="326"/>
      <c r="D165" s="326"/>
      <c r="E165" s="322"/>
      <c r="F165" s="88" t="s">
        <v>82</v>
      </c>
      <c r="G165" s="88" t="s">
        <v>83</v>
      </c>
      <c r="H165" s="88" t="s">
        <v>82</v>
      </c>
      <c r="I165" s="88" t="s">
        <v>83</v>
      </c>
      <c r="J165" s="322"/>
    </row>
    <row r="166" spans="1:12" ht="26.1" customHeight="1" x14ac:dyDescent="0.2">
      <c r="A166" s="95" t="s">
        <v>53</v>
      </c>
      <c r="B166" s="96" t="s">
        <v>387</v>
      </c>
      <c r="C166" s="95" t="s">
        <v>24</v>
      </c>
      <c r="D166" s="95" t="s">
        <v>388</v>
      </c>
      <c r="E166" s="98">
        <v>1</v>
      </c>
      <c r="F166" s="99">
        <v>1</v>
      </c>
      <c r="G166" s="99">
        <v>0</v>
      </c>
      <c r="H166" s="103">
        <v>255.46245733788399</v>
      </c>
      <c r="I166" s="103">
        <f>96.1885/1.172</f>
        <v>82.072098976109217</v>
      </c>
      <c r="J166" s="103">
        <f>E166*((F166*H166)+(G166*I166))</f>
        <v>255.46245733788399</v>
      </c>
    </row>
    <row r="167" spans="1:12" ht="20.100000000000001" customHeight="1" x14ac:dyDescent="0.2">
      <c r="A167" s="320"/>
      <c r="B167" s="320"/>
      <c r="C167" s="320"/>
      <c r="D167" s="320"/>
      <c r="E167" s="320"/>
      <c r="F167" s="320" t="s">
        <v>84</v>
      </c>
      <c r="G167" s="320"/>
      <c r="H167" s="320"/>
      <c r="I167" s="320"/>
      <c r="J167" s="107">
        <f>J166</f>
        <v>255.46245733788399</v>
      </c>
    </row>
    <row r="168" spans="1:12" ht="20.100000000000001" customHeight="1" x14ac:dyDescent="0.2">
      <c r="A168" s="193"/>
      <c r="B168" s="193"/>
      <c r="C168" s="193"/>
      <c r="D168" s="193"/>
      <c r="E168" s="193"/>
      <c r="F168" s="193" t="s">
        <v>85</v>
      </c>
      <c r="G168" s="193"/>
      <c r="H168" s="193"/>
      <c r="I168" s="193"/>
      <c r="J168" s="107">
        <f>J167</f>
        <v>255.46245733788399</v>
      </c>
    </row>
    <row r="169" spans="1:12" ht="20.100000000000001" customHeight="1" x14ac:dyDescent="0.2">
      <c r="A169" s="193"/>
      <c r="B169" s="193"/>
      <c r="C169" s="193"/>
      <c r="D169" s="193"/>
      <c r="E169" s="193"/>
      <c r="F169" s="193" t="s">
        <v>86</v>
      </c>
      <c r="G169" s="193"/>
      <c r="H169" s="193"/>
      <c r="I169" s="193"/>
      <c r="J169" s="107">
        <v>0</v>
      </c>
    </row>
    <row r="170" spans="1:12" ht="20.100000000000001" customHeight="1" x14ac:dyDescent="0.2">
      <c r="A170" s="193"/>
      <c r="B170" s="193"/>
      <c r="C170" s="193"/>
      <c r="D170" s="193"/>
      <c r="E170" s="193"/>
      <c r="F170" s="193" t="s">
        <v>87</v>
      </c>
      <c r="G170" s="193"/>
      <c r="H170" s="193"/>
      <c r="I170" s="193"/>
      <c r="J170" s="107">
        <v>0</v>
      </c>
    </row>
    <row r="171" spans="1:12" ht="20.100000000000001" customHeight="1" x14ac:dyDescent="0.2">
      <c r="A171" s="193"/>
      <c r="B171" s="193"/>
      <c r="C171" s="193"/>
      <c r="D171" s="193"/>
      <c r="E171" s="193"/>
      <c r="F171" s="193" t="s">
        <v>88</v>
      </c>
      <c r="G171" s="193"/>
      <c r="H171" s="193"/>
      <c r="I171" s="193"/>
      <c r="J171" s="107">
        <v>522.9</v>
      </c>
    </row>
    <row r="172" spans="1:12" ht="20.100000000000001" customHeight="1" x14ac:dyDescent="0.2">
      <c r="A172" s="193"/>
      <c r="B172" s="193"/>
      <c r="C172" s="193"/>
      <c r="D172" s="193"/>
      <c r="E172" s="193"/>
      <c r="F172" s="193" t="s">
        <v>89</v>
      </c>
      <c r="G172" s="193"/>
      <c r="H172" s="193"/>
      <c r="I172" s="193"/>
      <c r="J172" s="107">
        <f>J168/J171</f>
        <v>0.48854935425106905</v>
      </c>
    </row>
    <row r="173" spans="1:12" ht="25.5" x14ac:dyDescent="0.2">
      <c r="A173" s="100"/>
      <c r="B173" s="100"/>
      <c r="C173" s="100"/>
      <c r="D173" s="100"/>
      <c r="E173" s="100" t="s">
        <v>42</v>
      </c>
      <c r="F173" s="101">
        <v>0</v>
      </c>
      <c r="G173" s="100" t="s">
        <v>43</v>
      </c>
      <c r="H173" s="101">
        <v>0</v>
      </c>
      <c r="I173" s="100" t="s">
        <v>44</v>
      </c>
      <c r="J173" s="101">
        <v>0</v>
      </c>
    </row>
    <row r="174" spans="1:12" ht="15" customHeight="1" thickBot="1" x14ac:dyDescent="0.25">
      <c r="A174" s="100"/>
      <c r="B174" s="100"/>
      <c r="C174" s="100"/>
      <c r="D174" s="100"/>
      <c r="E174" s="100" t="s">
        <v>45</v>
      </c>
      <c r="F174" s="101">
        <f>J163*$G$2</f>
        <v>0.10003528713260323</v>
      </c>
      <c r="G174" s="100"/>
      <c r="H174" s="319" t="s">
        <v>46</v>
      </c>
      <c r="I174" s="319"/>
      <c r="J174" s="101">
        <f>F174+J163</f>
        <v>0.56858464138367226</v>
      </c>
    </row>
    <row r="175" spans="1:12" ht="0.95" customHeight="1" thickTop="1" x14ac:dyDescent="0.2">
      <c r="A175" s="106"/>
      <c r="B175" s="106"/>
      <c r="C175" s="106"/>
      <c r="D175" s="106"/>
      <c r="E175" s="106"/>
      <c r="F175" s="106"/>
      <c r="G175" s="106"/>
      <c r="H175" s="106"/>
      <c r="I175" s="106"/>
      <c r="J175" s="106"/>
    </row>
    <row r="176" spans="1:12" ht="18" customHeight="1" x14ac:dyDescent="0.2">
      <c r="A176" s="87" t="str">
        <f>'[2]Orçamento Sintético'!B22</f>
        <v>08.02.07</v>
      </c>
      <c r="B176" s="88" t="s">
        <v>6</v>
      </c>
      <c r="C176" s="87" t="s">
        <v>7</v>
      </c>
      <c r="D176" s="87" t="s">
        <v>8</v>
      </c>
      <c r="E176" s="317" t="s">
        <v>35</v>
      </c>
      <c r="F176" s="318"/>
      <c r="G176" s="89" t="s">
        <v>9</v>
      </c>
      <c r="H176" s="88" t="s">
        <v>10</v>
      </c>
      <c r="I176" s="88" t="s">
        <v>11</v>
      </c>
      <c r="J176" s="88" t="s">
        <v>13</v>
      </c>
    </row>
    <row r="177" spans="1:12" s="105" customFormat="1" ht="24" customHeight="1" x14ac:dyDescent="0.25">
      <c r="A177" s="90" t="s">
        <v>36</v>
      </c>
      <c r="B177" s="91" t="s">
        <v>279</v>
      </c>
      <c r="C177" s="90" t="s">
        <v>24</v>
      </c>
      <c r="D177" s="90" t="s">
        <v>280</v>
      </c>
      <c r="E177" s="336" t="s">
        <v>32</v>
      </c>
      <c r="F177" s="337"/>
      <c r="G177" s="92" t="s">
        <v>22</v>
      </c>
      <c r="H177" s="93">
        <v>1</v>
      </c>
      <c r="I177" s="94">
        <f>J190</f>
        <v>1.5419788851842069</v>
      </c>
      <c r="J177" s="94">
        <f>H177*I177</f>
        <v>1.5419788851842069</v>
      </c>
      <c r="K177" s="308"/>
      <c r="L177" s="308"/>
    </row>
    <row r="178" spans="1:12" ht="15" customHeight="1" x14ac:dyDescent="0.2">
      <c r="A178" s="325" t="s">
        <v>76</v>
      </c>
      <c r="B178" s="321" t="s">
        <v>6</v>
      </c>
      <c r="C178" s="325" t="s">
        <v>7</v>
      </c>
      <c r="D178" s="325" t="s">
        <v>77</v>
      </c>
      <c r="E178" s="321" t="s">
        <v>78</v>
      </c>
      <c r="F178" s="323" t="s">
        <v>79</v>
      </c>
      <c r="G178" s="324"/>
      <c r="H178" s="323" t="s">
        <v>80</v>
      </c>
      <c r="I178" s="324"/>
      <c r="J178" s="321" t="s">
        <v>81</v>
      </c>
    </row>
    <row r="179" spans="1:12" ht="15" customHeight="1" x14ac:dyDescent="0.2">
      <c r="A179" s="326"/>
      <c r="B179" s="322"/>
      <c r="C179" s="326"/>
      <c r="D179" s="326"/>
      <c r="E179" s="322"/>
      <c r="F179" s="88" t="s">
        <v>82</v>
      </c>
      <c r="G179" s="88" t="s">
        <v>83</v>
      </c>
      <c r="H179" s="88" t="s">
        <v>82</v>
      </c>
      <c r="I179" s="88" t="s">
        <v>83</v>
      </c>
      <c r="J179" s="322"/>
    </row>
    <row r="180" spans="1:12" ht="24" customHeight="1" x14ac:dyDescent="0.2">
      <c r="A180" s="95" t="s">
        <v>53</v>
      </c>
      <c r="B180" s="96" t="s">
        <v>152</v>
      </c>
      <c r="C180" s="95" t="s">
        <v>24</v>
      </c>
      <c r="D180" s="95" t="s">
        <v>153</v>
      </c>
      <c r="E180" s="98">
        <v>1</v>
      </c>
      <c r="F180" s="99">
        <v>1</v>
      </c>
      <c r="G180" s="99">
        <v>0</v>
      </c>
      <c r="H180" s="103">
        <v>254.56680887371999</v>
      </c>
      <c r="I180" s="103">
        <f>119.5861/1.172</f>
        <v>102.0359215017065</v>
      </c>
      <c r="J180" s="103">
        <f>E180*((F180*H180)+(G180*I180))</f>
        <v>254.56680887371999</v>
      </c>
    </row>
    <row r="181" spans="1:12" ht="20.100000000000001" customHeight="1" x14ac:dyDescent="0.2">
      <c r="A181" s="328"/>
      <c r="B181" s="328"/>
      <c r="C181" s="328"/>
      <c r="D181" s="328"/>
      <c r="E181" s="328"/>
      <c r="F181" s="328" t="s">
        <v>84</v>
      </c>
      <c r="G181" s="328"/>
      <c r="H181" s="328"/>
      <c r="I181" s="328"/>
      <c r="J181" s="107">
        <f>J180</f>
        <v>254.56680887371999</v>
      </c>
    </row>
    <row r="182" spans="1:12" ht="20.100000000000001" customHeight="1" x14ac:dyDescent="0.2">
      <c r="A182" s="87" t="s">
        <v>93</v>
      </c>
      <c r="B182" s="88" t="s">
        <v>6</v>
      </c>
      <c r="C182" s="87" t="s">
        <v>7</v>
      </c>
      <c r="D182" s="87" t="s">
        <v>59</v>
      </c>
      <c r="E182" s="88" t="s">
        <v>78</v>
      </c>
      <c r="F182" s="331" t="s">
        <v>94</v>
      </c>
      <c r="G182" s="334"/>
      <c r="H182" s="334"/>
      <c r="I182" s="332"/>
      <c r="J182" s="88" t="s">
        <v>81</v>
      </c>
    </row>
    <row r="183" spans="1:12" ht="24" customHeight="1" x14ac:dyDescent="0.2">
      <c r="A183" s="95" t="s">
        <v>53</v>
      </c>
      <c r="B183" s="96" t="s">
        <v>95</v>
      </c>
      <c r="C183" s="95" t="s">
        <v>24</v>
      </c>
      <c r="D183" s="95" t="s">
        <v>96</v>
      </c>
      <c r="E183" s="98">
        <v>1</v>
      </c>
      <c r="F183" s="95"/>
      <c r="G183" s="95"/>
      <c r="H183" s="95"/>
      <c r="I183" s="103">
        <f>21.1786/1.172</f>
        <v>18.070477815699661</v>
      </c>
      <c r="J183" s="103">
        <f>E183*I183</f>
        <v>18.070477815699661</v>
      </c>
    </row>
    <row r="184" spans="1:12" ht="20.100000000000001" customHeight="1" x14ac:dyDescent="0.2">
      <c r="A184" s="320"/>
      <c r="B184" s="320"/>
      <c r="C184" s="320"/>
      <c r="D184" s="320"/>
      <c r="E184" s="320"/>
      <c r="F184" s="320" t="s">
        <v>97</v>
      </c>
      <c r="G184" s="320"/>
      <c r="H184" s="320"/>
      <c r="I184" s="320"/>
      <c r="J184" s="107">
        <f>J183</f>
        <v>18.070477815699661</v>
      </c>
    </row>
    <row r="185" spans="1:12" ht="20.100000000000001" customHeight="1" x14ac:dyDescent="0.2">
      <c r="A185" s="193"/>
      <c r="B185" s="193"/>
      <c r="C185" s="193"/>
      <c r="D185" s="193"/>
      <c r="E185" s="193"/>
      <c r="F185" s="193" t="s">
        <v>98</v>
      </c>
      <c r="G185" s="193"/>
      <c r="H185" s="193"/>
      <c r="I185" s="193"/>
      <c r="J185" s="107">
        <v>0</v>
      </c>
    </row>
    <row r="186" spans="1:12" ht="20.100000000000001" customHeight="1" x14ac:dyDescent="0.2">
      <c r="A186" s="193"/>
      <c r="B186" s="193"/>
      <c r="C186" s="193"/>
      <c r="D186" s="193"/>
      <c r="E186" s="193"/>
      <c r="F186" s="193" t="s">
        <v>85</v>
      </c>
      <c r="G186" s="193"/>
      <c r="H186" s="193"/>
      <c r="I186" s="193"/>
      <c r="J186" s="107">
        <f>J181+J184</f>
        <v>272.63728668941962</v>
      </c>
    </row>
    <row r="187" spans="1:12" ht="20.100000000000001" customHeight="1" x14ac:dyDescent="0.2">
      <c r="A187" s="193"/>
      <c r="B187" s="193"/>
      <c r="C187" s="193"/>
      <c r="D187" s="193"/>
      <c r="E187" s="193"/>
      <c r="F187" s="193" t="s">
        <v>86</v>
      </c>
      <c r="G187" s="193"/>
      <c r="H187" s="193"/>
      <c r="I187" s="193"/>
      <c r="J187" s="107">
        <v>1.06E-2</v>
      </c>
    </row>
    <row r="188" spans="1:12" ht="20.100000000000001" customHeight="1" x14ac:dyDescent="0.2">
      <c r="A188" s="193"/>
      <c r="B188" s="193"/>
      <c r="C188" s="193"/>
      <c r="D188" s="193"/>
      <c r="E188" s="193"/>
      <c r="F188" s="193" t="s">
        <v>87</v>
      </c>
      <c r="G188" s="193"/>
      <c r="H188" s="193"/>
      <c r="I188" s="193"/>
      <c r="J188" s="107">
        <v>1.9599999999999999E-2</v>
      </c>
    </row>
    <row r="189" spans="1:12" ht="20.100000000000001" customHeight="1" x14ac:dyDescent="0.2">
      <c r="A189" s="193"/>
      <c r="B189" s="193"/>
      <c r="C189" s="193"/>
      <c r="D189" s="193"/>
      <c r="E189" s="193"/>
      <c r="F189" s="193" t="s">
        <v>88</v>
      </c>
      <c r="G189" s="193"/>
      <c r="H189" s="193"/>
      <c r="I189" s="193"/>
      <c r="J189" s="107">
        <v>176.81</v>
      </c>
    </row>
    <row r="190" spans="1:12" ht="20.100000000000001" customHeight="1" x14ac:dyDescent="0.2">
      <c r="A190" s="193"/>
      <c r="B190" s="193"/>
      <c r="C190" s="193"/>
      <c r="D190" s="193"/>
      <c r="E190" s="193"/>
      <c r="F190" s="193" t="s">
        <v>89</v>
      </c>
      <c r="G190" s="193"/>
      <c r="H190" s="193"/>
      <c r="I190" s="193"/>
      <c r="J190" s="107">
        <f>J186/J189</f>
        <v>1.5419788851842069</v>
      </c>
    </row>
    <row r="191" spans="1:12" ht="25.5" x14ac:dyDescent="0.2">
      <c r="A191" s="100"/>
      <c r="B191" s="100"/>
      <c r="C191" s="100"/>
      <c r="D191" s="100"/>
      <c r="E191" s="100" t="s">
        <v>42</v>
      </c>
      <c r="F191" s="101">
        <v>0.11978168655619026</v>
      </c>
      <c r="G191" s="100" t="s">
        <v>43</v>
      </c>
      <c r="H191" s="101">
        <v>0</v>
      </c>
      <c r="I191" s="100" t="s">
        <v>44</v>
      </c>
      <c r="J191" s="101">
        <v>0.11978168655619026</v>
      </c>
    </row>
    <row r="192" spans="1:12" ht="15" customHeight="1" thickBot="1" x14ac:dyDescent="0.25">
      <c r="A192" s="100"/>
      <c r="B192" s="100"/>
      <c r="C192" s="100"/>
      <c r="D192" s="100"/>
      <c r="E192" s="100" t="s">
        <v>45</v>
      </c>
      <c r="F192" s="101">
        <f>J177*$G$2</f>
        <v>0.32921249198682817</v>
      </c>
      <c r="G192" s="100"/>
      <c r="H192" s="319" t="s">
        <v>46</v>
      </c>
      <c r="I192" s="319"/>
      <c r="J192" s="101">
        <f>F192+J177</f>
        <v>1.8711913771710351</v>
      </c>
    </row>
    <row r="193" spans="1:12" ht="0.95" customHeight="1" thickTop="1" x14ac:dyDescent="0.2">
      <c r="A193" s="106"/>
      <c r="B193" s="106"/>
      <c r="C193" s="106"/>
      <c r="D193" s="106"/>
      <c r="E193" s="106"/>
      <c r="F193" s="106"/>
      <c r="G193" s="106"/>
      <c r="H193" s="106"/>
      <c r="I193" s="106"/>
      <c r="J193" s="106"/>
    </row>
    <row r="194" spans="1:12" ht="18" customHeight="1" x14ac:dyDescent="0.2">
      <c r="A194" s="87" t="str">
        <f>'[2]Orçamento Sintético'!B24</f>
        <v>08.03.01</v>
      </c>
      <c r="B194" s="88" t="s">
        <v>6</v>
      </c>
      <c r="C194" s="87" t="s">
        <v>7</v>
      </c>
      <c r="D194" s="87" t="s">
        <v>8</v>
      </c>
      <c r="E194" s="317" t="s">
        <v>35</v>
      </c>
      <c r="F194" s="318"/>
      <c r="G194" s="89" t="s">
        <v>9</v>
      </c>
      <c r="H194" s="88" t="s">
        <v>10</v>
      </c>
      <c r="I194" s="88" t="s">
        <v>11</v>
      </c>
      <c r="J194" s="88" t="s">
        <v>13</v>
      </c>
    </row>
    <row r="195" spans="1:12" s="105" customFormat="1" ht="26.1" customHeight="1" x14ac:dyDescent="0.25">
      <c r="A195" s="90" t="s">
        <v>36</v>
      </c>
      <c r="B195" s="91" t="s">
        <v>30</v>
      </c>
      <c r="C195" s="90" t="s">
        <v>24</v>
      </c>
      <c r="D195" s="90" t="s">
        <v>31</v>
      </c>
      <c r="E195" s="336" t="s">
        <v>32</v>
      </c>
      <c r="F195" s="337"/>
      <c r="G195" s="92" t="s">
        <v>22</v>
      </c>
      <c r="H195" s="93">
        <v>1</v>
      </c>
      <c r="I195" s="94">
        <f>J213+J216+J219+J223</f>
        <v>10.637451997518991</v>
      </c>
      <c r="J195" s="94">
        <f>H195*I195</f>
        <v>10.637451997518991</v>
      </c>
      <c r="K195" s="308"/>
      <c r="L195" s="308"/>
    </row>
    <row r="196" spans="1:12" ht="15" customHeight="1" x14ac:dyDescent="0.2">
      <c r="A196" s="325" t="s">
        <v>76</v>
      </c>
      <c r="B196" s="321" t="s">
        <v>6</v>
      </c>
      <c r="C196" s="325" t="s">
        <v>7</v>
      </c>
      <c r="D196" s="325" t="s">
        <v>77</v>
      </c>
      <c r="E196" s="321" t="s">
        <v>78</v>
      </c>
      <c r="F196" s="323" t="s">
        <v>79</v>
      </c>
      <c r="G196" s="324"/>
      <c r="H196" s="323" t="s">
        <v>80</v>
      </c>
      <c r="I196" s="324"/>
      <c r="J196" s="321" t="s">
        <v>81</v>
      </c>
    </row>
    <row r="197" spans="1:12" ht="15" customHeight="1" x14ac:dyDescent="0.2">
      <c r="A197" s="326"/>
      <c r="B197" s="322"/>
      <c r="C197" s="326"/>
      <c r="D197" s="326"/>
      <c r="E197" s="322"/>
      <c r="F197" s="88" t="s">
        <v>82</v>
      </c>
      <c r="G197" s="88" t="s">
        <v>83</v>
      </c>
      <c r="H197" s="88" t="s">
        <v>82</v>
      </c>
      <c r="I197" s="88" t="s">
        <v>83</v>
      </c>
      <c r="J197" s="322"/>
    </row>
    <row r="198" spans="1:12" ht="26.1" customHeight="1" x14ac:dyDescent="0.2">
      <c r="A198" s="95" t="s">
        <v>53</v>
      </c>
      <c r="B198" s="96" t="s">
        <v>124</v>
      </c>
      <c r="C198" s="95" t="s">
        <v>24</v>
      </c>
      <c r="D198" s="95" t="s">
        <v>125</v>
      </c>
      <c r="E198" s="98">
        <v>1</v>
      </c>
      <c r="F198" s="99">
        <v>0.83</v>
      </c>
      <c r="G198" s="99">
        <v>0.17</v>
      </c>
      <c r="H198" s="103">
        <v>250.319624573379</v>
      </c>
      <c r="I198" s="103">
        <v>74.96715017064848</v>
      </c>
      <c r="J198" s="103">
        <f>E198*((F198*H198)+(G198*I198))</f>
        <v>220.50970392491479</v>
      </c>
    </row>
    <row r="199" spans="1:12" ht="24" customHeight="1" x14ac:dyDescent="0.2">
      <c r="A199" s="95" t="s">
        <v>53</v>
      </c>
      <c r="B199" s="96" t="s">
        <v>126</v>
      </c>
      <c r="C199" s="95" t="s">
        <v>24</v>
      </c>
      <c r="D199" s="95" t="s">
        <v>127</v>
      </c>
      <c r="E199" s="98">
        <v>1</v>
      </c>
      <c r="F199" s="99">
        <v>0.62</v>
      </c>
      <c r="G199" s="99">
        <v>0.38</v>
      </c>
      <c r="H199" s="103">
        <v>3.98080204778157</v>
      </c>
      <c r="I199" s="103">
        <v>2.7721843003412974</v>
      </c>
      <c r="J199" s="103">
        <f t="shared" ref="J199:J203" si="8">E199*((F199*H199)+(G199*I199))</f>
        <v>3.5215273037542665</v>
      </c>
    </row>
    <row r="200" spans="1:12" ht="24" customHeight="1" x14ac:dyDescent="0.2">
      <c r="A200" s="95" t="s">
        <v>53</v>
      </c>
      <c r="B200" s="96" t="s">
        <v>128</v>
      </c>
      <c r="C200" s="95" t="s">
        <v>24</v>
      </c>
      <c r="D200" s="95" t="s">
        <v>129</v>
      </c>
      <c r="E200" s="98">
        <v>1</v>
      </c>
      <c r="F200" s="99">
        <v>1</v>
      </c>
      <c r="G200" s="99">
        <v>0</v>
      </c>
      <c r="H200" s="103">
        <v>244.55230375426601</v>
      </c>
      <c r="I200" s="103">
        <v>107.41817406143345</v>
      </c>
      <c r="J200" s="103">
        <f t="shared" si="8"/>
        <v>244.55230375426601</v>
      </c>
    </row>
    <row r="201" spans="1:12" ht="26.1" customHeight="1" x14ac:dyDescent="0.2">
      <c r="A201" s="95" t="s">
        <v>53</v>
      </c>
      <c r="B201" s="96" t="s">
        <v>130</v>
      </c>
      <c r="C201" s="95" t="s">
        <v>24</v>
      </c>
      <c r="D201" s="95" t="s">
        <v>131</v>
      </c>
      <c r="E201" s="98">
        <v>1</v>
      </c>
      <c r="F201" s="99">
        <v>0.65</v>
      </c>
      <c r="G201" s="99">
        <v>0.35</v>
      </c>
      <c r="H201" s="103">
        <v>221.33668941979525</v>
      </c>
      <c r="I201" s="103">
        <v>106.64726962457338</v>
      </c>
      <c r="J201" s="103">
        <f t="shared" si="8"/>
        <v>181.1953924914676</v>
      </c>
    </row>
    <row r="202" spans="1:12" ht="26.1" customHeight="1" x14ac:dyDescent="0.2">
      <c r="A202" s="95" t="s">
        <v>53</v>
      </c>
      <c r="B202" s="96" t="s">
        <v>132</v>
      </c>
      <c r="C202" s="95" t="s">
        <v>24</v>
      </c>
      <c r="D202" s="95" t="s">
        <v>133</v>
      </c>
      <c r="E202" s="98">
        <v>1</v>
      </c>
      <c r="F202" s="99">
        <v>0.67</v>
      </c>
      <c r="G202" s="99">
        <v>0.33</v>
      </c>
      <c r="H202" s="103">
        <v>187.4830204778157</v>
      </c>
      <c r="I202" s="103">
        <v>82.110324232081922</v>
      </c>
      <c r="J202" s="103">
        <f t="shared" si="8"/>
        <v>152.71003071672357</v>
      </c>
    </row>
    <row r="203" spans="1:12" ht="24" customHeight="1" x14ac:dyDescent="0.2">
      <c r="A203" s="95" t="s">
        <v>53</v>
      </c>
      <c r="B203" s="96" t="s">
        <v>134</v>
      </c>
      <c r="C203" s="95" t="s">
        <v>24</v>
      </c>
      <c r="D203" s="95" t="s">
        <v>135</v>
      </c>
      <c r="E203" s="98">
        <v>1</v>
      </c>
      <c r="F203" s="99">
        <v>0.62</v>
      </c>
      <c r="G203" s="99">
        <v>0.38</v>
      </c>
      <c r="H203" s="103">
        <v>126.03575085324232</v>
      </c>
      <c r="I203" s="103">
        <v>44.252389078498297</v>
      </c>
      <c r="J203" s="103">
        <f t="shared" si="8"/>
        <v>94.9580733788396</v>
      </c>
    </row>
    <row r="204" spans="1:12" ht="20.100000000000001" customHeight="1" x14ac:dyDescent="0.2">
      <c r="A204" s="328"/>
      <c r="B204" s="328"/>
      <c r="C204" s="328"/>
      <c r="D204" s="328"/>
      <c r="E204" s="328"/>
      <c r="F204" s="328" t="s">
        <v>84</v>
      </c>
      <c r="G204" s="328"/>
      <c r="H204" s="328"/>
      <c r="I204" s="328"/>
      <c r="J204" s="107">
        <f>SUM(J198:J203)</f>
        <v>897.4470315699657</v>
      </c>
    </row>
    <row r="205" spans="1:12" ht="20.100000000000001" customHeight="1" x14ac:dyDescent="0.2">
      <c r="A205" s="87" t="s">
        <v>93</v>
      </c>
      <c r="B205" s="88" t="s">
        <v>6</v>
      </c>
      <c r="C205" s="87" t="s">
        <v>7</v>
      </c>
      <c r="D205" s="87" t="s">
        <v>59</v>
      </c>
      <c r="E205" s="88" t="s">
        <v>78</v>
      </c>
      <c r="F205" s="331" t="s">
        <v>94</v>
      </c>
      <c r="G205" s="334"/>
      <c r="H205" s="334"/>
      <c r="I205" s="332"/>
      <c r="J205" s="88" t="s">
        <v>81</v>
      </c>
    </row>
    <row r="206" spans="1:12" ht="24" customHeight="1" x14ac:dyDescent="0.2">
      <c r="A206" s="95" t="s">
        <v>53</v>
      </c>
      <c r="B206" s="96" t="s">
        <v>95</v>
      </c>
      <c r="C206" s="95" t="s">
        <v>24</v>
      </c>
      <c r="D206" s="95" t="s">
        <v>96</v>
      </c>
      <c r="E206" s="98">
        <v>1</v>
      </c>
      <c r="F206" s="95"/>
      <c r="G206" s="95"/>
      <c r="H206" s="95"/>
      <c r="I206" s="103">
        <f>21.1786/1.172</f>
        <v>18.070477815699661</v>
      </c>
      <c r="J206" s="103">
        <f>E206*I206</f>
        <v>18.070477815699661</v>
      </c>
    </row>
    <row r="207" spans="1:12" ht="20.100000000000001" customHeight="1" x14ac:dyDescent="0.2">
      <c r="A207" s="320"/>
      <c r="B207" s="320"/>
      <c r="C207" s="320"/>
      <c r="D207" s="320"/>
      <c r="E207" s="320"/>
      <c r="F207" s="320" t="s">
        <v>97</v>
      </c>
      <c r="G207" s="320"/>
      <c r="H207" s="320"/>
      <c r="I207" s="320"/>
      <c r="J207" s="107">
        <f>J206</f>
        <v>18.070477815699661</v>
      </c>
    </row>
    <row r="208" spans="1:12" ht="20.100000000000001" customHeight="1" x14ac:dyDescent="0.2">
      <c r="A208" s="193"/>
      <c r="B208" s="193"/>
      <c r="C208" s="193"/>
      <c r="D208" s="193"/>
      <c r="E208" s="193"/>
      <c r="F208" s="193" t="s">
        <v>98</v>
      </c>
      <c r="G208" s="193"/>
      <c r="H208" s="193"/>
      <c r="I208" s="193"/>
      <c r="J208" s="107">
        <v>0</v>
      </c>
    </row>
    <row r="209" spans="1:10" ht="20.100000000000001" customHeight="1" x14ac:dyDescent="0.2">
      <c r="A209" s="193"/>
      <c r="B209" s="193"/>
      <c r="C209" s="193"/>
      <c r="D209" s="193"/>
      <c r="E209" s="193"/>
      <c r="F209" s="193" t="s">
        <v>85</v>
      </c>
      <c r="G209" s="193"/>
      <c r="H209" s="193"/>
      <c r="I209" s="193"/>
      <c r="J209" s="107">
        <f>J204+J207</f>
        <v>915.51750938566533</v>
      </c>
    </row>
    <row r="210" spans="1:10" ht="20.100000000000001" customHeight="1" x14ac:dyDescent="0.2">
      <c r="A210" s="193"/>
      <c r="B210" s="193"/>
      <c r="C210" s="193"/>
      <c r="D210" s="193"/>
      <c r="E210" s="193"/>
      <c r="F210" s="193" t="s">
        <v>86</v>
      </c>
      <c r="G210" s="193"/>
      <c r="H210" s="193"/>
      <c r="I210" s="193"/>
      <c r="J210" s="107">
        <v>1.06E-2</v>
      </c>
    </row>
    <row r="211" spans="1:10" ht="20.100000000000001" customHeight="1" x14ac:dyDescent="0.2">
      <c r="A211" s="193"/>
      <c r="B211" s="193"/>
      <c r="C211" s="193"/>
      <c r="D211" s="193"/>
      <c r="E211" s="193"/>
      <c r="F211" s="193" t="s">
        <v>87</v>
      </c>
      <c r="G211" s="193"/>
      <c r="H211" s="193"/>
      <c r="I211" s="193"/>
      <c r="J211" s="107">
        <v>7.8600000000000003E-2</v>
      </c>
    </row>
    <row r="212" spans="1:10" ht="20.100000000000001" customHeight="1" x14ac:dyDescent="0.2">
      <c r="A212" s="193"/>
      <c r="B212" s="193"/>
      <c r="C212" s="193"/>
      <c r="D212" s="193"/>
      <c r="E212" s="193"/>
      <c r="F212" s="193" t="s">
        <v>88</v>
      </c>
      <c r="G212" s="193"/>
      <c r="H212" s="193"/>
      <c r="I212" s="193"/>
      <c r="J212" s="107">
        <v>150.88</v>
      </c>
    </row>
    <row r="213" spans="1:10" ht="20.100000000000001" customHeight="1" x14ac:dyDescent="0.2">
      <c r="A213" s="335"/>
      <c r="B213" s="335"/>
      <c r="C213" s="335"/>
      <c r="D213" s="335"/>
      <c r="E213" s="335"/>
      <c r="F213" s="335" t="s">
        <v>89</v>
      </c>
      <c r="G213" s="335"/>
      <c r="H213" s="335"/>
      <c r="I213" s="335"/>
      <c r="J213" s="107">
        <f>J209/J212</f>
        <v>6.0678519975189911</v>
      </c>
    </row>
    <row r="214" spans="1:10" ht="20.100000000000001" customHeight="1" x14ac:dyDescent="0.2">
      <c r="A214" s="87" t="s">
        <v>103</v>
      </c>
      <c r="B214" s="88" t="s">
        <v>7</v>
      </c>
      <c r="C214" s="87" t="s">
        <v>6</v>
      </c>
      <c r="D214" s="87" t="s">
        <v>104</v>
      </c>
      <c r="E214" s="88" t="s">
        <v>78</v>
      </c>
      <c r="F214" s="88" t="s">
        <v>100</v>
      </c>
      <c r="G214" s="331" t="s">
        <v>101</v>
      </c>
      <c r="H214" s="334"/>
      <c r="I214" s="332"/>
      <c r="J214" s="88" t="s">
        <v>81</v>
      </c>
    </row>
    <row r="215" spans="1:10" ht="26.1" customHeight="1" x14ac:dyDescent="0.2">
      <c r="A215" s="95" t="s">
        <v>105</v>
      </c>
      <c r="B215" s="96" t="s">
        <v>24</v>
      </c>
      <c r="C215" s="95">
        <v>4016096</v>
      </c>
      <c r="D215" s="95" t="s">
        <v>136</v>
      </c>
      <c r="E215" s="98">
        <v>1.1002700000000001</v>
      </c>
      <c r="F215" s="97" t="s">
        <v>22</v>
      </c>
      <c r="G215" s="329">
        <f>1.38/1.172</f>
        <v>1.1774744027303754</v>
      </c>
      <c r="H215" s="333"/>
      <c r="I215" s="330"/>
      <c r="J215" s="103">
        <f>E215*G215</f>
        <v>1.2955397610921502</v>
      </c>
    </row>
    <row r="216" spans="1:10" ht="20.100000000000001" customHeight="1" x14ac:dyDescent="0.2">
      <c r="A216" s="328"/>
      <c r="B216" s="328"/>
      <c r="C216" s="328"/>
      <c r="D216" s="328"/>
      <c r="E216" s="328"/>
      <c r="F216" s="328" t="s">
        <v>107</v>
      </c>
      <c r="G216" s="328"/>
      <c r="H216" s="328"/>
      <c r="I216" s="328"/>
      <c r="J216" s="107">
        <f>J215</f>
        <v>1.2955397610921502</v>
      </c>
    </row>
    <row r="217" spans="1:10" ht="20.100000000000001" customHeight="1" x14ac:dyDescent="0.2">
      <c r="A217" s="87" t="s">
        <v>108</v>
      </c>
      <c r="B217" s="88" t="s">
        <v>7</v>
      </c>
      <c r="C217" s="87" t="s">
        <v>53</v>
      </c>
      <c r="D217" s="87" t="s">
        <v>109</v>
      </c>
      <c r="E217" s="88" t="s">
        <v>6</v>
      </c>
      <c r="F217" s="88" t="s">
        <v>78</v>
      </c>
      <c r="G217" s="89" t="s">
        <v>100</v>
      </c>
      <c r="H217" s="331" t="s">
        <v>101</v>
      </c>
      <c r="I217" s="332"/>
      <c r="J217" s="88" t="s">
        <v>81</v>
      </c>
    </row>
    <row r="218" spans="1:10" ht="39" customHeight="1" x14ac:dyDescent="0.2">
      <c r="A218" s="95" t="s">
        <v>110</v>
      </c>
      <c r="B218" s="96" t="s">
        <v>24</v>
      </c>
      <c r="C218" s="95">
        <v>4016096</v>
      </c>
      <c r="D218" s="95" t="s">
        <v>137</v>
      </c>
      <c r="E218" s="96">
        <v>5914354</v>
      </c>
      <c r="F218" s="98">
        <v>2.0630099999999998</v>
      </c>
      <c r="G218" s="97" t="s">
        <v>25</v>
      </c>
      <c r="H218" s="329">
        <f>1.86/1.172</f>
        <v>1.5870307167235496</v>
      </c>
      <c r="I218" s="330"/>
      <c r="J218" s="103">
        <f>F218*H218</f>
        <v>3.2740602389078495</v>
      </c>
    </row>
    <row r="219" spans="1:10" ht="20.100000000000001" customHeight="1" x14ac:dyDescent="0.2">
      <c r="A219" s="328"/>
      <c r="B219" s="328"/>
      <c r="C219" s="328"/>
      <c r="D219" s="328"/>
      <c r="E219" s="328"/>
      <c r="F219" s="328" t="s">
        <v>112</v>
      </c>
      <c r="G219" s="328"/>
      <c r="H219" s="328"/>
      <c r="I219" s="328"/>
      <c r="J219" s="107">
        <f>J218</f>
        <v>3.2740602389078495</v>
      </c>
    </row>
    <row r="220" spans="1:10" ht="20.100000000000001" customHeight="1" x14ac:dyDescent="0.2">
      <c r="A220" s="87" t="s">
        <v>113</v>
      </c>
      <c r="B220" s="88" t="s">
        <v>7</v>
      </c>
      <c r="C220" s="87" t="s">
        <v>53</v>
      </c>
      <c r="D220" s="87" t="s">
        <v>114</v>
      </c>
      <c r="E220" s="88" t="s">
        <v>78</v>
      </c>
      <c r="F220" s="88" t="s">
        <v>100</v>
      </c>
      <c r="G220" s="323" t="s">
        <v>115</v>
      </c>
      <c r="H220" s="327"/>
      <c r="I220" s="324"/>
      <c r="J220" s="88" t="s">
        <v>81</v>
      </c>
    </row>
    <row r="221" spans="1:10" ht="20.100000000000001" customHeight="1" x14ac:dyDescent="0.2">
      <c r="A221" s="89"/>
      <c r="B221" s="89"/>
      <c r="C221" s="89"/>
      <c r="D221" s="89"/>
      <c r="E221" s="89"/>
      <c r="F221" s="89"/>
      <c r="G221" s="89" t="s">
        <v>116</v>
      </c>
      <c r="H221" s="89" t="s">
        <v>117</v>
      </c>
      <c r="I221" s="89" t="s">
        <v>118</v>
      </c>
      <c r="J221" s="89"/>
    </row>
    <row r="222" spans="1:10" ht="50.1" customHeight="1" x14ac:dyDescent="0.2">
      <c r="A222" s="95" t="s">
        <v>114</v>
      </c>
      <c r="B222" s="96" t="s">
        <v>24</v>
      </c>
      <c r="C222" s="95">
        <v>4016096</v>
      </c>
      <c r="D222" s="95" t="s">
        <v>138</v>
      </c>
      <c r="E222" s="98">
        <v>2.0630099999999998</v>
      </c>
      <c r="F222" s="97" t="s">
        <v>119</v>
      </c>
      <c r="G222" s="96" t="s">
        <v>139</v>
      </c>
      <c r="H222" s="96" t="s">
        <v>140</v>
      </c>
      <c r="I222" s="96" t="s">
        <v>141</v>
      </c>
      <c r="J222" s="103">
        <v>0</v>
      </c>
    </row>
    <row r="223" spans="1:10" ht="20.100000000000001" customHeight="1" x14ac:dyDescent="0.2">
      <c r="A223" s="320"/>
      <c r="B223" s="320"/>
      <c r="C223" s="320"/>
      <c r="D223" s="320"/>
      <c r="E223" s="320"/>
      <c r="F223" s="320" t="s">
        <v>123</v>
      </c>
      <c r="G223" s="320"/>
      <c r="H223" s="320"/>
      <c r="I223" s="320"/>
      <c r="J223" s="107">
        <v>0</v>
      </c>
    </row>
    <row r="224" spans="1:10" ht="25.5" x14ac:dyDescent="0.2">
      <c r="A224" s="100"/>
      <c r="B224" s="100"/>
      <c r="C224" s="100"/>
      <c r="D224" s="100"/>
      <c r="E224" s="100" t="s">
        <v>42</v>
      </c>
      <c r="F224" s="101">
        <v>0.24159737262940656</v>
      </c>
      <c r="G224" s="100" t="s">
        <v>43</v>
      </c>
      <c r="H224" s="101">
        <v>0</v>
      </c>
      <c r="I224" s="100" t="s">
        <v>44</v>
      </c>
      <c r="J224" s="101">
        <v>0.24159737262940656</v>
      </c>
    </row>
    <row r="225" spans="1:12" ht="15" customHeight="1" thickBot="1" x14ac:dyDescent="0.25">
      <c r="A225" s="100"/>
      <c r="B225" s="100"/>
      <c r="C225" s="100"/>
      <c r="D225" s="100"/>
      <c r="E225" s="100" t="s">
        <v>45</v>
      </c>
      <c r="F225" s="101">
        <f>J195*$G$2</f>
        <v>2.2710960014703043</v>
      </c>
      <c r="G225" s="100"/>
      <c r="H225" s="319" t="s">
        <v>46</v>
      </c>
      <c r="I225" s="319"/>
      <c r="J225" s="101">
        <f>F225+J195</f>
        <v>12.908547998989295</v>
      </c>
    </row>
    <row r="226" spans="1:12" ht="0.95" customHeight="1" thickTop="1" x14ac:dyDescent="0.2">
      <c r="A226" s="106"/>
      <c r="B226" s="106"/>
      <c r="C226" s="106"/>
      <c r="D226" s="106"/>
      <c r="E226" s="106"/>
      <c r="F226" s="106"/>
      <c r="G226" s="106"/>
      <c r="H226" s="106"/>
      <c r="I226" s="106"/>
      <c r="J226" s="106"/>
    </row>
    <row r="227" spans="1:12" ht="18" customHeight="1" x14ac:dyDescent="0.2">
      <c r="A227" s="87" t="s">
        <v>475</v>
      </c>
      <c r="B227" s="88" t="s">
        <v>6</v>
      </c>
      <c r="C227" s="87" t="s">
        <v>7</v>
      </c>
      <c r="D227" s="87" t="s">
        <v>8</v>
      </c>
      <c r="E227" s="317" t="s">
        <v>35</v>
      </c>
      <c r="F227" s="318"/>
      <c r="G227" s="89" t="s">
        <v>9</v>
      </c>
      <c r="H227" s="88" t="s">
        <v>10</v>
      </c>
      <c r="I227" s="88" t="s">
        <v>11</v>
      </c>
      <c r="J227" s="88" t="s">
        <v>13</v>
      </c>
    </row>
    <row r="228" spans="1:12" s="105" customFormat="1" ht="26.1" customHeight="1" x14ac:dyDescent="0.25">
      <c r="A228" s="90" t="s">
        <v>36</v>
      </c>
      <c r="B228" s="91" t="s">
        <v>273</v>
      </c>
      <c r="C228" s="90" t="s">
        <v>24</v>
      </c>
      <c r="D228" s="90" t="s">
        <v>274</v>
      </c>
      <c r="E228" s="336" t="s">
        <v>32</v>
      </c>
      <c r="F228" s="337"/>
      <c r="G228" s="92" t="s">
        <v>119</v>
      </c>
      <c r="H228" s="93">
        <v>1</v>
      </c>
      <c r="I228" s="94">
        <f>J237</f>
        <v>0.58625922510128281</v>
      </c>
      <c r="J228" s="94">
        <f>H228*I228</f>
        <v>0.58625922510128281</v>
      </c>
      <c r="K228" s="308"/>
      <c r="L228" s="308"/>
    </row>
    <row r="229" spans="1:12" ht="15" customHeight="1" x14ac:dyDescent="0.2">
      <c r="A229" s="325" t="s">
        <v>76</v>
      </c>
      <c r="B229" s="321" t="s">
        <v>6</v>
      </c>
      <c r="C229" s="325" t="s">
        <v>7</v>
      </c>
      <c r="D229" s="325" t="s">
        <v>77</v>
      </c>
      <c r="E229" s="321" t="s">
        <v>78</v>
      </c>
      <c r="F229" s="323" t="s">
        <v>79</v>
      </c>
      <c r="G229" s="324"/>
      <c r="H229" s="323" t="s">
        <v>80</v>
      </c>
      <c r="I229" s="324"/>
      <c r="J229" s="321" t="s">
        <v>81</v>
      </c>
    </row>
    <row r="230" spans="1:12" ht="15" customHeight="1" x14ac:dyDescent="0.2">
      <c r="A230" s="326"/>
      <c r="B230" s="322"/>
      <c r="C230" s="326"/>
      <c r="D230" s="326"/>
      <c r="E230" s="322"/>
      <c r="F230" s="88" t="s">
        <v>82</v>
      </c>
      <c r="G230" s="88" t="s">
        <v>83</v>
      </c>
      <c r="H230" s="88" t="s">
        <v>82</v>
      </c>
      <c r="I230" s="88" t="s">
        <v>83</v>
      </c>
      <c r="J230" s="322"/>
    </row>
    <row r="231" spans="1:12" ht="26.1" customHeight="1" x14ac:dyDescent="0.2">
      <c r="A231" s="95" t="s">
        <v>53</v>
      </c>
      <c r="B231" s="96" t="s">
        <v>387</v>
      </c>
      <c r="C231" s="95" t="s">
        <v>24</v>
      </c>
      <c r="D231" s="95" t="s">
        <v>388</v>
      </c>
      <c r="E231" s="98">
        <v>1</v>
      </c>
      <c r="F231" s="99">
        <v>1</v>
      </c>
      <c r="G231" s="99">
        <v>0</v>
      </c>
      <c r="H231" s="103">
        <v>255.46245733788399</v>
      </c>
      <c r="I231" s="103">
        <v>82.072098976109217</v>
      </c>
      <c r="J231" s="103">
        <f>E231*((F231*H231)+(G231*I231))</f>
        <v>255.46245733788399</v>
      </c>
    </row>
    <row r="232" spans="1:12" ht="20.100000000000001" customHeight="1" x14ac:dyDescent="0.2">
      <c r="A232" s="320"/>
      <c r="B232" s="320"/>
      <c r="C232" s="320"/>
      <c r="D232" s="320"/>
      <c r="E232" s="320"/>
      <c r="F232" s="320" t="s">
        <v>84</v>
      </c>
      <c r="G232" s="320"/>
      <c r="H232" s="320"/>
      <c r="I232" s="320"/>
      <c r="J232" s="107">
        <f>J231</f>
        <v>255.46245733788399</v>
      </c>
    </row>
    <row r="233" spans="1:12" ht="20.100000000000001" customHeight="1" x14ac:dyDescent="0.2">
      <c r="A233" s="193"/>
      <c r="B233" s="193"/>
      <c r="C233" s="193"/>
      <c r="D233" s="193"/>
      <c r="E233" s="193"/>
      <c r="F233" s="193" t="s">
        <v>85</v>
      </c>
      <c r="G233" s="193"/>
      <c r="H233" s="193"/>
      <c r="I233" s="193"/>
      <c r="J233" s="107">
        <f>J232</f>
        <v>255.46245733788399</v>
      </c>
    </row>
    <row r="234" spans="1:12" ht="20.100000000000001" customHeight="1" x14ac:dyDescent="0.2">
      <c r="A234" s="193"/>
      <c r="B234" s="193"/>
      <c r="C234" s="193"/>
      <c r="D234" s="193"/>
      <c r="E234" s="193"/>
      <c r="F234" s="193" t="s">
        <v>86</v>
      </c>
      <c r="G234" s="193"/>
      <c r="H234" s="193"/>
      <c r="I234" s="193"/>
      <c r="J234" s="107">
        <v>1.06E-2</v>
      </c>
    </row>
    <row r="235" spans="1:12" ht="20.100000000000001" customHeight="1" x14ac:dyDescent="0.2">
      <c r="A235" s="193"/>
      <c r="B235" s="193"/>
      <c r="C235" s="193"/>
      <c r="D235" s="193"/>
      <c r="E235" s="193"/>
      <c r="F235" s="193" t="s">
        <v>87</v>
      </c>
      <c r="G235" s="193"/>
      <c r="H235" s="193"/>
      <c r="I235" s="193"/>
      <c r="J235" s="107">
        <v>7.4000000000000003E-3</v>
      </c>
    </row>
    <row r="236" spans="1:12" ht="20.100000000000001" customHeight="1" x14ac:dyDescent="0.2">
      <c r="A236" s="193"/>
      <c r="B236" s="193"/>
      <c r="C236" s="193"/>
      <c r="D236" s="193"/>
      <c r="E236" s="193"/>
      <c r="F236" s="193" t="s">
        <v>88</v>
      </c>
      <c r="G236" s="193"/>
      <c r="H236" s="193"/>
      <c r="I236" s="193"/>
      <c r="J236" s="107">
        <v>435.75</v>
      </c>
    </row>
    <row r="237" spans="1:12" ht="20.100000000000001" customHeight="1" x14ac:dyDescent="0.2">
      <c r="A237" s="193"/>
      <c r="B237" s="193"/>
      <c r="C237" s="193"/>
      <c r="D237" s="193"/>
      <c r="E237" s="193"/>
      <c r="F237" s="193" t="s">
        <v>89</v>
      </c>
      <c r="G237" s="193"/>
      <c r="H237" s="193"/>
      <c r="I237" s="193"/>
      <c r="J237" s="107">
        <f>J233/J236</f>
        <v>0.58625922510128281</v>
      </c>
    </row>
    <row r="238" spans="1:12" ht="25.5" x14ac:dyDescent="0.2">
      <c r="A238" s="100"/>
      <c r="B238" s="100"/>
      <c r="C238" s="100"/>
      <c r="D238" s="100"/>
      <c r="E238" s="100" t="s">
        <v>42</v>
      </c>
      <c r="F238" s="101">
        <v>0</v>
      </c>
      <c r="G238" s="100" t="s">
        <v>43</v>
      </c>
      <c r="H238" s="101">
        <v>0</v>
      </c>
      <c r="I238" s="100" t="s">
        <v>44</v>
      </c>
      <c r="J238" s="101">
        <v>0</v>
      </c>
    </row>
    <row r="239" spans="1:12" ht="15" customHeight="1" thickBot="1" x14ac:dyDescent="0.25">
      <c r="A239" s="100"/>
      <c r="B239" s="100"/>
      <c r="C239" s="100"/>
      <c r="D239" s="100"/>
      <c r="E239" s="100" t="s">
        <v>45</v>
      </c>
      <c r="F239" s="101">
        <f>J228*$G$2</f>
        <v>0.12516634455912387</v>
      </c>
      <c r="G239" s="100"/>
      <c r="H239" s="319" t="s">
        <v>46</v>
      </c>
      <c r="I239" s="319"/>
      <c r="J239" s="101">
        <f>F239+J228</f>
        <v>0.71142556966040671</v>
      </c>
    </row>
    <row r="240" spans="1:12" ht="0.95" customHeight="1" thickTop="1" x14ac:dyDescent="0.2">
      <c r="A240" s="106"/>
      <c r="B240" s="106"/>
      <c r="C240" s="106"/>
      <c r="D240" s="106"/>
      <c r="E240" s="106"/>
      <c r="F240" s="106"/>
      <c r="G240" s="106"/>
      <c r="H240" s="106"/>
      <c r="I240" s="106"/>
      <c r="J240" s="106"/>
    </row>
    <row r="241" spans="1:12" ht="18" customHeight="1" x14ac:dyDescent="0.2">
      <c r="A241" s="87" t="s">
        <v>285</v>
      </c>
      <c r="B241" s="88" t="s">
        <v>6</v>
      </c>
      <c r="C241" s="87" t="s">
        <v>7</v>
      </c>
      <c r="D241" s="87" t="s">
        <v>8</v>
      </c>
      <c r="E241" s="317" t="s">
        <v>35</v>
      </c>
      <c r="F241" s="318"/>
      <c r="G241" s="89" t="s">
        <v>9</v>
      </c>
      <c r="H241" s="88" t="s">
        <v>10</v>
      </c>
      <c r="I241" s="88" t="s">
        <v>11</v>
      </c>
      <c r="J241" s="88" t="s">
        <v>13</v>
      </c>
    </row>
    <row r="242" spans="1:12" s="105" customFormat="1" ht="26.1" customHeight="1" x14ac:dyDescent="0.25">
      <c r="A242" s="90" t="s">
        <v>36</v>
      </c>
      <c r="B242" s="91" t="s">
        <v>276</v>
      </c>
      <c r="C242" s="90" t="s">
        <v>24</v>
      </c>
      <c r="D242" s="90" t="s">
        <v>277</v>
      </c>
      <c r="E242" s="336" t="s">
        <v>32</v>
      </c>
      <c r="F242" s="337"/>
      <c r="G242" s="92" t="s">
        <v>119</v>
      </c>
      <c r="H242" s="93">
        <v>1</v>
      </c>
      <c r="I242" s="94">
        <f>J251-0.02</f>
        <v>0.46854935425106903</v>
      </c>
      <c r="J242" s="94">
        <f>H242*I242</f>
        <v>0.46854935425106903</v>
      </c>
      <c r="K242" s="308"/>
      <c r="L242" s="308"/>
    </row>
    <row r="243" spans="1:12" ht="15" customHeight="1" x14ac:dyDescent="0.2">
      <c r="A243" s="325" t="s">
        <v>76</v>
      </c>
      <c r="B243" s="321" t="s">
        <v>6</v>
      </c>
      <c r="C243" s="325" t="s">
        <v>7</v>
      </c>
      <c r="D243" s="325" t="s">
        <v>77</v>
      </c>
      <c r="E243" s="321" t="s">
        <v>78</v>
      </c>
      <c r="F243" s="323" t="s">
        <v>79</v>
      </c>
      <c r="G243" s="324"/>
      <c r="H243" s="323" t="s">
        <v>80</v>
      </c>
      <c r="I243" s="324"/>
      <c r="J243" s="321" t="s">
        <v>81</v>
      </c>
    </row>
    <row r="244" spans="1:12" ht="15" customHeight="1" x14ac:dyDescent="0.2">
      <c r="A244" s="326"/>
      <c r="B244" s="322"/>
      <c r="C244" s="326"/>
      <c r="D244" s="326"/>
      <c r="E244" s="322"/>
      <c r="F244" s="88" t="s">
        <v>82</v>
      </c>
      <c r="G244" s="88" t="s">
        <v>83</v>
      </c>
      <c r="H244" s="88" t="s">
        <v>82</v>
      </c>
      <c r="I244" s="88" t="s">
        <v>83</v>
      </c>
      <c r="J244" s="322"/>
    </row>
    <row r="245" spans="1:12" ht="26.1" customHeight="1" x14ac:dyDescent="0.2">
      <c r="A245" s="95" t="s">
        <v>53</v>
      </c>
      <c r="B245" s="96" t="s">
        <v>387</v>
      </c>
      <c r="C245" s="95" t="s">
        <v>24</v>
      </c>
      <c r="D245" s="95" t="s">
        <v>388</v>
      </c>
      <c r="E245" s="98">
        <v>1</v>
      </c>
      <c r="F245" s="99">
        <v>1</v>
      </c>
      <c r="G245" s="99">
        <v>0</v>
      </c>
      <c r="H245" s="103">
        <v>255.46245733788399</v>
      </c>
      <c r="I245" s="103">
        <f>96.1885/1.172</f>
        <v>82.072098976109217</v>
      </c>
      <c r="J245" s="103">
        <f>E245*((F245*H245)+(G245*I245))</f>
        <v>255.46245733788399</v>
      </c>
    </row>
    <row r="246" spans="1:12" ht="20.100000000000001" customHeight="1" x14ac:dyDescent="0.2">
      <c r="A246" s="320"/>
      <c r="B246" s="320"/>
      <c r="C246" s="320"/>
      <c r="D246" s="320"/>
      <c r="E246" s="320"/>
      <c r="F246" s="320" t="s">
        <v>84</v>
      </c>
      <c r="G246" s="320"/>
      <c r="H246" s="320"/>
      <c r="I246" s="320"/>
      <c r="J246" s="107">
        <f>J245</f>
        <v>255.46245733788399</v>
      </c>
    </row>
    <row r="247" spans="1:12" ht="20.100000000000001" customHeight="1" x14ac:dyDescent="0.2">
      <c r="A247" s="193"/>
      <c r="B247" s="193"/>
      <c r="C247" s="193"/>
      <c r="D247" s="193"/>
      <c r="E247" s="193"/>
      <c r="F247" s="193" t="s">
        <v>85</v>
      </c>
      <c r="G247" s="193"/>
      <c r="H247" s="193"/>
      <c r="I247" s="193"/>
      <c r="J247" s="107">
        <f>J246</f>
        <v>255.46245733788399</v>
      </c>
    </row>
    <row r="248" spans="1:12" ht="20.100000000000001" customHeight="1" x14ac:dyDescent="0.2">
      <c r="A248" s="193"/>
      <c r="B248" s="193"/>
      <c r="C248" s="193"/>
      <c r="D248" s="193"/>
      <c r="E248" s="193"/>
      <c r="F248" s="193" t="s">
        <v>86</v>
      </c>
      <c r="G248" s="193"/>
      <c r="H248" s="193"/>
      <c r="I248" s="193"/>
      <c r="J248" s="107">
        <v>0</v>
      </c>
    </row>
    <row r="249" spans="1:12" ht="20.100000000000001" customHeight="1" x14ac:dyDescent="0.2">
      <c r="A249" s="193"/>
      <c r="B249" s="193"/>
      <c r="C249" s="193"/>
      <c r="D249" s="193"/>
      <c r="E249" s="193"/>
      <c r="F249" s="193" t="s">
        <v>87</v>
      </c>
      <c r="G249" s="193"/>
      <c r="H249" s="193"/>
      <c r="I249" s="193"/>
      <c r="J249" s="107">
        <v>0</v>
      </c>
    </row>
    <row r="250" spans="1:12" ht="20.100000000000001" customHeight="1" x14ac:dyDescent="0.2">
      <c r="A250" s="193"/>
      <c r="B250" s="193"/>
      <c r="C250" s="193"/>
      <c r="D250" s="193"/>
      <c r="E250" s="193"/>
      <c r="F250" s="193" t="s">
        <v>88</v>
      </c>
      <c r="G250" s="193"/>
      <c r="H250" s="193"/>
      <c r="I250" s="193"/>
      <c r="J250" s="107">
        <v>522.9</v>
      </c>
    </row>
    <row r="251" spans="1:12" ht="20.100000000000001" customHeight="1" x14ac:dyDescent="0.2">
      <c r="A251" s="193"/>
      <c r="B251" s="193"/>
      <c r="C251" s="193"/>
      <c r="D251" s="193"/>
      <c r="E251" s="193"/>
      <c r="F251" s="193" t="s">
        <v>89</v>
      </c>
      <c r="G251" s="193"/>
      <c r="H251" s="193"/>
      <c r="I251" s="193"/>
      <c r="J251" s="107">
        <f>J247/J250</f>
        <v>0.48854935425106905</v>
      </c>
    </row>
    <row r="252" spans="1:12" ht="25.5" x14ac:dyDescent="0.2">
      <c r="A252" s="100"/>
      <c r="B252" s="100"/>
      <c r="C252" s="100"/>
      <c r="D252" s="100"/>
      <c r="E252" s="100" t="s">
        <v>42</v>
      </c>
      <c r="F252" s="101">
        <v>0</v>
      </c>
      <c r="G252" s="100" t="s">
        <v>43</v>
      </c>
      <c r="H252" s="101">
        <v>0</v>
      </c>
      <c r="I252" s="100" t="s">
        <v>44</v>
      </c>
      <c r="J252" s="101">
        <v>0</v>
      </c>
    </row>
    <row r="253" spans="1:12" ht="15" customHeight="1" thickBot="1" x14ac:dyDescent="0.25">
      <c r="A253" s="100"/>
      <c r="B253" s="100"/>
      <c r="C253" s="100"/>
      <c r="D253" s="100"/>
      <c r="E253" s="100" t="s">
        <v>45</v>
      </c>
      <c r="F253" s="101">
        <f>J242*$G$2</f>
        <v>0.10003528713260323</v>
      </c>
      <c r="G253" s="100"/>
      <c r="H253" s="319" t="s">
        <v>46</v>
      </c>
      <c r="I253" s="319"/>
      <c r="J253" s="101">
        <f>F253+J242</f>
        <v>0.56858464138367226</v>
      </c>
    </row>
    <row r="254" spans="1:12" ht="0.95" customHeight="1" thickTop="1" x14ac:dyDescent="0.2">
      <c r="A254" s="106"/>
      <c r="B254" s="106"/>
      <c r="C254" s="106"/>
      <c r="D254" s="106"/>
      <c r="E254" s="106"/>
      <c r="F254" s="106"/>
      <c r="G254" s="106"/>
      <c r="H254" s="106"/>
      <c r="I254" s="106"/>
      <c r="J254" s="106"/>
    </row>
    <row r="255" spans="1:12" ht="18" customHeight="1" x14ac:dyDescent="0.2">
      <c r="A255" s="87" t="str">
        <f>'[2]Orçamento Sintético'!B27</f>
        <v>08.03.04</v>
      </c>
      <c r="B255" s="88" t="s">
        <v>6</v>
      </c>
      <c r="C255" s="87" t="s">
        <v>7</v>
      </c>
      <c r="D255" s="87" t="s">
        <v>8</v>
      </c>
      <c r="E255" s="317" t="s">
        <v>35</v>
      </c>
      <c r="F255" s="318"/>
      <c r="G255" s="89" t="s">
        <v>9</v>
      </c>
      <c r="H255" s="88" t="s">
        <v>10</v>
      </c>
      <c r="I255" s="88" t="s">
        <v>11</v>
      </c>
      <c r="J255" s="88" t="s">
        <v>13</v>
      </c>
    </row>
    <row r="256" spans="1:12" s="105" customFormat="1" ht="51.95" customHeight="1" x14ac:dyDescent="0.25">
      <c r="A256" s="90" t="s">
        <v>36</v>
      </c>
      <c r="B256" s="91" t="s">
        <v>288</v>
      </c>
      <c r="C256" s="90" t="s">
        <v>14</v>
      </c>
      <c r="D256" s="90" t="s">
        <v>289</v>
      </c>
      <c r="E256" s="336" t="s">
        <v>47</v>
      </c>
      <c r="F256" s="337"/>
      <c r="G256" s="92" t="s">
        <v>18</v>
      </c>
      <c r="H256" s="93">
        <v>1</v>
      </c>
      <c r="I256" s="94">
        <f>SUM(J257:J265)</f>
        <v>15.770544450511967</v>
      </c>
      <c r="J256" s="94">
        <f>H256*I256</f>
        <v>15.770544450511967</v>
      </c>
      <c r="K256" s="308"/>
      <c r="L256" s="308"/>
    </row>
    <row r="257" spans="1:12" ht="39" customHeight="1" x14ac:dyDescent="0.2">
      <c r="A257" s="95" t="s">
        <v>38</v>
      </c>
      <c r="B257" s="96" t="s">
        <v>391</v>
      </c>
      <c r="C257" s="95" t="s">
        <v>17</v>
      </c>
      <c r="D257" s="95" t="s">
        <v>392</v>
      </c>
      <c r="E257" s="315" t="s">
        <v>47</v>
      </c>
      <c r="F257" s="316"/>
      <c r="G257" s="97" t="s">
        <v>18</v>
      </c>
      <c r="H257" s="98">
        <v>1</v>
      </c>
      <c r="I257" s="99">
        <v>65.085324232081916</v>
      </c>
      <c r="J257" s="99">
        <v>0</v>
      </c>
    </row>
    <row r="258" spans="1:12" ht="24" customHeight="1" x14ac:dyDescent="0.2">
      <c r="A258" s="95" t="s">
        <v>38</v>
      </c>
      <c r="B258" s="96" t="s">
        <v>142</v>
      </c>
      <c r="C258" s="95" t="s">
        <v>17</v>
      </c>
      <c r="D258" s="95" t="s">
        <v>143</v>
      </c>
      <c r="E258" s="315" t="s">
        <v>41</v>
      </c>
      <c r="F258" s="316"/>
      <c r="G258" s="97" t="s">
        <v>50</v>
      </c>
      <c r="H258" s="98">
        <v>0.26319999999999999</v>
      </c>
      <c r="I258" s="99">
        <v>21.3083959044369</v>
      </c>
      <c r="J258" s="99">
        <f>H258*I258</f>
        <v>5.6083698020477915</v>
      </c>
    </row>
    <row r="259" spans="1:12" ht="24" customHeight="1" x14ac:dyDescent="0.2">
      <c r="A259" s="95" t="s">
        <v>38</v>
      </c>
      <c r="B259" s="96" t="s">
        <v>51</v>
      </c>
      <c r="C259" s="95" t="s">
        <v>17</v>
      </c>
      <c r="D259" s="95" t="s">
        <v>52</v>
      </c>
      <c r="E259" s="315" t="s">
        <v>41</v>
      </c>
      <c r="F259" s="316"/>
      <c r="G259" s="97" t="s">
        <v>50</v>
      </c>
      <c r="H259" s="98">
        <v>0.26319999999999999</v>
      </c>
      <c r="I259" s="99">
        <v>17.750375426621201</v>
      </c>
      <c r="J259" s="99">
        <f t="shared" ref="J259:J265" si="9">H259*I259</f>
        <v>4.6718988122866998</v>
      </c>
    </row>
    <row r="260" spans="1:12" ht="39" customHeight="1" x14ac:dyDescent="0.2">
      <c r="A260" s="95" t="s">
        <v>38</v>
      </c>
      <c r="B260" s="96" t="s">
        <v>74</v>
      </c>
      <c r="C260" s="95" t="s">
        <v>17</v>
      </c>
      <c r="D260" s="95" t="s">
        <v>75</v>
      </c>
      <c r="E260" s="315" t="s">
        <v>63</v>
      </c>
      <c r="F260" s="316"/>
      <c r="G260" s="97" t="s">
        <v>64</v>
      </c>
      <c r="H260" s="98">
        <v>5.4999999999999997E-3</v>
      </c>
      <c r="I260" s="99">
        <v>8.6804095563139896</v>
      </c>
      <c r="J260" s="99">
        <f t="shared" si="9"/>
        <v>4.7742252559726937E-2</v>
      </c>
    </row>
    <row r="261" spans="1:12" ht="39" customHeight="1" x14ac:dyDescent="0.2">
      <c r="A261" s="95" t="s">
        <v>38</v>
      </c>
      <c r="B261" s="96" t="s">
        <v>144</v>
      </c>
      <c r="C261" s="95" t="s">
        <v>17</v>
      </c>
      <c r="D261" s="95" t="s">
        <v>145</v>
      </c>
      <c r="E261" s="315" t="s">
        <v>63</v>
      </c>
      <c r="F261" s="316"/>
      <c r="G261" s="97" t="s">
        <v>65</v>
      </c>
      <c r="H261" s="98">
        <v>0.12609999999999999</v>
      </c>
      <c r="I261" s="99">
        <v>0.56607508532423201</v>
      </c>
      <c r="J261" s="99">
        <f t="shared" si="9"/>
        <v>7.1382068259385645E-2</v>
      </c>
    </row>
    <row r="262" spans="1:12" ht="51.95" customHeight="1" x14ac:dyDescent="0.2">
      <c r="A262" s="95" t="s">
        <v>38</v>
      </c>
      <c r="B262" s="96" t="s">
        <v>69</v>
      </c>
      <c r="C262" s="95" t="s">
        <v>17</v>
      </c>
      <c r="D262" s="95" t="s">
        <v>70</v>
      </c>
      <c r="E262" s="315" t="s">
        <v>63</v>
      </c>
      <c r="F262" s="316"/>
      <c r="G262" s="97" t="s">
        <v>64</v>
      </c>
      <c r="H262" s="98">
        <v>3.8E-3</v>
      </c>
      <c r="I262" s="99">
        <v>9.7840273037542698</v>
      </c>
      <c r="J262" s="99">
        <f t="shared" si="9"/>
        <v>3.7179303754266223E-2</v>
      </c>
    </row>
    <row r="263" spans="1:12" ht="51.95" customHeight="1" x14ac:dyDescent="0.2">
      <c r="A263" s="95" t="s">
        <v>38</v>
      </c>
      <c r="B263" s="96" t="s">
        <v>71</v>
      </c>
      <c r="C263" s="95" t="s">
        <v>17</v>
      </c>
      <c r="D263" s="95" t="s">
        <v>72</v>
      </c>
      <c r="E263" s="315" t="s">
        <v>63</v>
      </c>
      <c r="F263" s="316"/>
      <c r="G263" s="97" t="s">
        <v>65</v>
      </c>
      <c r="H263" s="98">
        <v>0.1278</v>
      </c>
      <c r="I263" s="99">
        <v>1.0494880546075085</v>
      </c>
      <c r="J263" s="99">
        <f t="shared" si="9"/>
        <v>0.1341245733788396</v>
      </c>
    </row>
    <row r="264" spans="1:12" ht="26.1" customHeight="1" x14ac:dyDescent="0.2">
      <c r="A264" s="95" t="s">
        <v>53</v>
      </c>
      <c r="B264" s="96" t="s">
        <v>90</v>
      </c>
      <c r="C264" s="95" t="s">
        <v>17</v>
      </c>
      <c r="D264" s="95" t="s">
        <v>91</v>
      </c>
      <c r="E264" s="315" t="s">
        <v>56</v>
      </c>
      <c r="F264" s="316"/>
      <c r="G264" s="97" t="s">
        <v>22</v>
      </c>
      <c r="H264" s="98">
        <v>5.6800000000000003E-2</v>
      </c>
      <c r="I264" s="99">
        <v>83.808020477815703</v>
      </c>
      <c r="J264" s="99">
        <f t="shared" si="9"/>
        <v>4.7602955631399322</v>
      </c>
    </row>
    <row r="265" spans="1:12" ht="26.1" customHeight="1" x14ac:dyDescent="0.2">
      <c r="A265" s="95" t="s">
        <v>53</v>
      </c>
      <c r="B265" s="96" t="s">
        <v>146</v>
      </c>
      <c r="C265" s="95" t="s">
        <v>17</v>
      </c>
      <c r="D265" s="95" t="s">
        <v>147</v>
      </c>
      <c r="E265" s="315" t="s">
        <v>56</v>
      </c>
      <c r="F265" s="316"/>
      <c r="G265" s="97" t="s">
        <v>22</v>
      </c>
      <c r="H265" s="98">
        <v>9.7999999999999997E-3</v>
      </c>
      <c r="I265" s="99">
        <v>44.852252559726999</v>
      </c>
      <c r="J265" s="99">
        <f t="shared" si="9"/>
        <v>0.43955207508532457</v>
      </c>
    </row>
    <row r="266" spans="1:12" ht="25.5" x14ac:dyDescent="0.2">
      <c r="A266" s="100"/>
      <c r="B266" s="100"/>
      <c r="C266" s="100"/>
      <c r="D266" s="100"/>
      <c r="E266" s="100" t="s">
        <v>42</v>
      </c>
      <c r="F266" s="101">
        <v>17.36</v>
      </c>
      <c r="G266" s="100" t="s">
        <v>43</v>
      </c>
      <c r="H266" s="101">
        <v>0</v>
      </c>
      <c r="I266" s="100" t="s">
        <v>44</v>
      </c>
      <c r="J266" s="101">
        <v>17.36</v>
      </c>
    </row>
    <row r="267" spans="1:12" ht="15" customHeight="1" thickBot="1" x14ac:dyDescent="0.25">
      <c r="A267" s="100"/>
      <c r="B267" s="100"/>
      <c r="C267" s="100"/>
      <c r="D267" s="100"/>
      <c r="E267" s="100" t="s">
        <v>45</v>
      </c>
      <c r="F267" s="101">
        <f>J256*$G$2</f>
        <v>3.3670112401843046</v>
      </c>
      <c r="G267" s="100"/>
      <c r="H267" s="319" t="s">
        <v>46</v>
      </c>
      <c r="I267" s="319"/>
      <c r="J267" s="101">
        <f>F267+J256</f>
        <v>19.137555690696271</v>
      </c>
    </row>
    <row r="268" spans="1:12" ht="0.95" customHeight="1" thickTop="1" x14ac:dyDescent="0.2">
      <c r="A268" s="106"/>
      <c r="B268" s="106"/>
      <c r="C268" s="106"/>
      <c r="D268" s="106"/>
      <c r="E268" s="106"/>
      <c r="F268" s="106"/>
      <c r="G268" s="106"/>
      <c r="H268" s="106"/>
      <c r="I268" s="106"/>
      <c r="J268" s="106"/>
    </row>
    <row r="269" spans="1:12" ht="18" customHeight="1" x14ac:dyDescent="0.2">
      <c r="A269" s="87" t="str">
        <f>'[2]Orçamento Sintético'!B28</f>
        <v>08.03.05</v>
      </c>
      <c r="B269" s="88" t="s">
        <v>6</v>
      </c>
      <c r="C269" s="87" t="s">
        <v>7</v>
      </c>
      <c r="D269" s="87" t="s">
        <v>8</v>
      </c>
      <c r="E269" s="317" t="s">
        <v>35</v>
      </c>
      <c r="F269" s="318"/>
      <c r="G269" s="89" t="s">
        <v>9</v>
      </c>
      <c r="H269" s="88" t="s">
        <v>10</v>
      </c>
      <c r="I269" s="88" t="s">
        <v>11</v>
      </c>
      <c r="J269" s="88" t="s">
        <v>13</v>
      </c>
    </row>
    <row r="270" spans="1:12" s="105" customFormat="1" ht="39" customHeight="1" x14ac:dyDescent="0.25">
      <c r="A270" s="90" t="s">
        <v>36</v>
      </c>
      <c r="B270" s="91" t="s">
        <v>291</v>
      </c>
      <c r="C270" s="90" t="s">
        <v>24</v>
      </c>
      <c r="D270" s="90" t="s">
        <v>292</v>
      </c>
      <c r="E270" s="338" t="s">
        <v>32</v>
      </c>
      <c r="F270" s="339"/>
      <c r="G270" s="290" t="s">
        <v>119</v>
      </c>
      <c r="H270" s="291">
        <v>1</v>
      </c>
      <c r="I270" s="292">
        <f>J279</f>
        <v>1.4718515398319481</v>
      </c>
      <c r="J270" s="292">
        <f>H270*I270</f>
        <v>1.4718515398319481</v>
      </c>
      <c r="K270" s="308"/>
      <c r="L270" s="308"/>
    </row>
    <row r="271" spans="1:12" ht="15" customHeight="1" x14ac:dyDescent="0.2">
      <c r="A271" s="325" t="s">
        <v>76</v>
      </c>
      <c r="B271" s="321" t="s">
        <v>6</v>
      </c>
      <c r="C271" s="325" t="s">
        <v>7</v>
      </c>
      <c r="D271" s="325" t="s">
        <v>77</v>
      </c>
      <c r="E271" s="321" t="s">
        <v>78</v>
      </c>
      <c r="F271" s="323" t="s">
        <v>79</v>
      </c>
      <c r="G271" s="324"/>
      <c r="H271" s="323" t="s">
        <v>80</v>
      </c>
      <c r="I271" s="324"/>
      <c r="J271" s="321" t="s">
        <v>81</v>
      </c>
    </row>
    <row r="272" spans="1:12" ht="15" customHeight="1" x14ac:dyDescent="0.2">
      <c r="A272" s="326"/>
      <c r="B272" s="322"/>
      <c r="C272" s="326"/>
      <c r="D272" s="326"/>
      <c r="E272" s="322"/>
      <c r="F272" s="88" t="s">
        <v>82</v>
      </c>
      <c r="G272" s="88" t="s">
        <v>83</v>
      </c>
      <c r="H272" s="88" t="s">
        <v>82</v>
      </c>
      <c r="I272" s="88" t="s">
        <v>83</v>
      </c>
      <c r="J272" s="322"/>
    </row>
    <row r="273" spans="1:12" x14ac:dyDescent="0.2">
      <c r="A273" s="95" t="s">
        <v>53</v>
      </c>
      <c r="B273" s="96" t="s">
        <v>393</v>
      </c>
      <c r="C273" s="95" t="s">
        <v>24</v>
      </c>
      <c r="D273" s="95" t="s">
        <v>394</v>
      </c>
      <c r="E273" s="98">
        <v>1</v>
      </c>
      <c r="F273" s="99">
        <v>1</v>
      </c>
      <c r="G273" s="99">
        <v>0</v>
      </c>
      <c r="H273" s="296">
        <f>405.1876/1.172</f>
        <v>345.72320819112628</v>
      </c>
      <c r="I273" s="296">
        <v>139.93979999999999</v>
      </c>
      <c r="J273" s="103">
        <f>E273*((F273*H273)+(G273*I273))</f>
        <v>345.72320819112628</v>
      </c>
    </row>
    <row r="274" spans="1:12" ht="20.100000000000001" customHeight="1" x14ac:dyDescent="0.2">
      <c r="A274" s="320"/>
      <c r="B274" s="320"/>
      <c r="C274" s="320"/>
      <c r="D274" s="320"/>
      <c r="E274" s="320"/>
      <c r="F274" s="193" t="s">
        <v>84</v>
      </c>
      <c r="G274" s="193"/>
      <c r="H274" s="193"/>
      <c r="I274" s="193"/>
      <c r="J274" s="107">
        <f>J273</f>
        <v>345.72320819112628</v>
      </c>
    </row>
    <row r="275" spans="1:12" ht="20.100000000000001" customHeight="1" x14ac:dyDescent="0.2">
      <c r="A275" s="193"/>
      <c r="B275" s="193"/>
      <c r="C275" s="193"/>
      <c r="D275" s="193"/>
      <c r="E275" s="193"/>
      <c r="F275" s="193" t="s">
        <v>85</v>
      </c>
      <c r="G275" s="193"/>
      <c r="H275" s="193"/>
      <c r="I275" s="193"/>
      <c r="J275" s="107">
        <f>J274</f>
        <v>345.72320819112628</v>
      </c>
    </row>
    <row r="276" spans="1:12" ht="20.100000000000001" customHeight="1" x14ac:dyDescent="0.2">
      <c r="A276" s="193"/>
      <c r="B276" s="193"/>
      <c r="C276" s="193"/>
      <c r="D276" s="193"/>
      <c r="E276" s="193"/>
      <c r="F276" s="193" t="s">
        <v>86</v>
      </c>
      <c r="G276" s="193"/>
      <c r="H276" s="193"/>
      <c r="I276" s="193"/>
      <c r="J276" s="107">
        <v>1.06E-2</v>
      </c>
    </row>
    <row r="277" spans="1:12" ht="20.100000000000001" customHeight="1" x14ac:dyDescent="0.2">
      <c r="A277" s="193"/>
      <c r="B277" s="193"/>
      <c r="C277" s="193"/>
      <c r="D277" s="193"/>
      <c r="E277" s="193"/>
      <c r="F277" s="193" t="s">
        <v>87</v>
      </c>
      <c r="G277" s="193"/>
      <c r="H277" s="193"/>
      <c r="I277" s="193"/>
      <c r="J277" s="107">
        <v>1.8700000000000001E-2</v>
      </c>
    </row>
    <row r="278" spans="1:12" ht="20.100000000000001" customHeight="1" x14ac:dyDescent="0.2">
      <c r="A278" s="193"/>
      <c r="B278" s="193"/>
      <c r="C278" s="193"/>
      <c r="D278" s="193"/>
      <c r="E278" s="193"/>
      <c r="F278" s="193" t="s">
        <v>88</v>
      </c>
      <c r="G278" s="193"/>
      <c r="H278" s="193"/>
      <c r="I278" s="193"/>
      <c r="J278" s="107">
        <v>234.89</v>
      </c>
    </row>
    <row r="279" spans="1:12" ht="20.100000000000001" customHeight="1" x14ac:dyDescent="0.2">
      <c r="A279" s="193"/>
      <c r="B279" s="193"/>
      <c r="C279" s="193"/>
      <c r="D279" s="193"/>
      <c r="E279" s="193"/>
      <c r="F279" s="193" t="s">
        <v>89</v>
      </c>
      <c r="G279" s="193"/>
      <c r="H279" s="193"/>
      <c r="I279" s="193"/>
      <c r="J279" s="107">
        <f>J275/J278</f>
        <v>1.4718515398319481</v>
      </c>
    </row>
    <row r="280" spans="1:12" ht="25.5" x14ac:dyDescent="0.2">
      <c r="A280" s="100"/>
      <c r="B280" s="100"/>
      <c r="C280" s="100"/>
      <c r="D280" s="100"/>
      <c r="E280" s="100" t="s">
        <v>42</v>
      </c>
      <c r="F280" s="101">
        <v>0</v>
      </c>
      <c r="G280" s="100" t="s">
        <v>43</v>
      </c>
      <c r="H280" s="101">
        <v>0</v>
      </c>
      <c r="I280" s="100" t="s">
        <v>44</v>
      </c>
      <c r="J280" s="101">
        <v>0</v>
      </c>
    </row>
    <row r="281" spans="1:12" ht="15" customHeight="1" thickBot="1" x14ac:dyDescent="0.25">
      <c r="A281" s="100"/>
      <c r="B281" s="100"/>
      <c r="C281" s="100"/>
      <c r="D281" s="100"/>
      <c r="E281" s="100" t="s">
        <v>45</v>
      </c>
      <c r="F281" s="101">
        <f>J270*$G$2</f>
        <v>0.31424030375412088</v>
      </c>
      <c r="G281" s="100"/>
      <c r="H281" s="319" t="s">
        <v>46</v>
      </c>
      <c r="I281" s="319"/>
      <c r="J281" s="101">
        <f>F281+J270-0.01</f>
        <v>1.7760918435860689</v>
      </c>
    </row>
    <row r="282" spans="1:12" ht="0.95" customHeight="1" thickTop="1" x14ac:dyDescent="0.2">
      <c r="A282" s="106"/>
      <c r="B282" s="106"/>
      <c r="C282" s="106"/>
      <c r="D282" s="106"/>
      <c r="E282" s="106"/>
      <c r="F282" s="106"/>
      <c r="G282" s="106"/>
      <c r="H282" s="106"/>
      <c r="I282" s="106"/>
      <c r="J282" s="106"/>
    </row>
    <row r="283" spans="1:12" ht="18" customHeight="1" x14ac:dyDescent="0.2">
      <c r="A283" s="87" t="str">
        <f>'[2]Orçamento Sintético'!B29</f>
        <v>08.03.06</v>
      </c>
      <c r="B283" s="88" t="s">
        <v>6</v>
      </c>
      <c r="C283" s="87" t="s">
        <v>7</v>
      </c>
      <c r="D283" s="87" t="s">
        <v>8</v>
      </c>
      <c r="E283" s="317" t="s">
        <v>35</v>
      </c>
      <c r="F283" s="318"/>
      <c r="G283" s="89" t="s">
        <v>9</v>
      </c>
      <c r="H283" s="88" t="s">
        <v>10</v>
      </c>
      <c r="I283" s="88" t="s">
        <v>11</v>
      </c>
      <c r="J283" s="88" t="s">
        <v>13</v>
      </c>
    </row>
    <row r="284" spans="1:12" s="105" customFormat="1" ht="39" customHeight="1" x14ac:dyDescent="0.25">
      <c r="A284" s="90" t="s">
        <v>36</v>
      </c>
      <c r="B284" s="91" t="s">
        <v>294</v>
      </c>
      <c r="C284" s="90" t="s">
        <v>24</v>
      </c>
      <c r="D284" s="90" t="s">
        <v>295</v>
      </c>
      <c r="E284" s="336" t="s">
        <v>32</v>
      </c>
      <c r="F284" s="337"/>
      <c r="G284" s="92" t="s">
        <v>119</v>
      </c>
      <c r="H284" s="93">
        <v>1</v>
      </c>
      <c r="I284" s="94">
        <f>J293</f>
        <v>1.2129123984370109</v>
      </c>
      <c r="J284" s="94">
        <f>H284*I284</f>
        <v>1.2129123984370109</v>
      </c>
      <c r="K284" s="308"/>
      <c r="L284" s="308"/>
    </row>
    <row r="285" spans="1:12" ht="15" customHeight="1" x14ac:dyDescent="0.2">
      <c r="A285" s="325" t="s">
        <v>76</v>
      </c>
      <c r="B285" s="321" t="s">
        <v>6</v>
      </c>
      <c r="C285" s="325" t="s">
        <v>7</v>
      </c>
      <c r="D285" s="325" t="s">
        <v>77</v>
      </c>
      <c r="E285" s="321" t="s">
        <v>78</v>
      </c>
      <c r="F285" s="323" t="s">
        <v>79</v>
      </c>
      <c r="G285" s="324"/>
      <c r="H285" s="323" t="s">
        <v>80</v>
      </c>
      <c r="I285" s="324"/>
      <c r="J285" s="321" t="s">
        <v>81</v>
      </c>
    </row>
    <row r="286" spans="1:12" ht="15" customHeight="1" x14ac:dyDescent="0.2">
      <c r="A286" s="326"/>
      <c r="B286" s="322"/>
      <c r="C286" s="326"/>
      <c r="D286" s="326"/>
      <c r="E286" s="322"/>
      <c r="F286" s="88" t="s">
        <v>82</v>
      </c>
      <c r="G286" s="88" t="s">
        <v>83</v>
      </c>
      <c r="H286" s="88" t="s">
        <v>82</v>
      </c>
      <c r="I286" s="88" t="s">
        <v>83</v>
      </c>
      <c r="J286" s="322"/>
    </row>
    <row r="287" spans="1:12" s="104" customFormat="1" ht="26.1" customHeight="1" x14ac:dyDescent="0.2">
      <c r="A287" s="297" t="s">
        <v>53</v>
      </c>
      <c r="B287" s="298" t="s">
        <v>393</v>
      </c>
      <c r="C287" s="297" t="s">
        <v>24</v>
      </c>
      <c r="D287" s="297" t="s">
        <v>394</v>
      </c>
      <c r="E287" s="299">
        <v>1</v>
      </c>
      <c r="F287" s="300">
        <v>1</v>
      </c>
      <c r="G287" s="300">
        <v>0</v>
      </c>
      <c r="H287" s="301">
        <f>400.6876/1.172</f>
        <v>341.88361774744027</v>
      </c>
      <c r="I287" s="301">
        <v>139.93979999999999</v>
      </c>
      <c r="J287" s="302">
        <f>E287*((F287*H287)+(G287*I287))</f>
        <v>341.88361774744027</v>
      </c>
      <c r="K287" s="306"/>
      <c r="L287" s="306"/>
    </row>
    <row r="288" spans="1:12" ht="20.100000000000001" customHeight="1" x14ac:dyDescent="0.2">
      <c r="A288" s="320"/>
      <c r="B288" s="320"/>
      <c r="C288" s="320"/>
      <c r="D288" s="320"/>
      <c r="E288" s="320"/>
      <c r="F288" s="193" t="s">
        <v>84</v>
      </c>
      <c r="G288" s="193"/>
      <c r="H288" s="193"/>
      <c r="I288" s="193"/>
      <c r="J288" s="107">
        <f>J287</f>
        <v>341.88361774744027</v>
      </c>
    </row>
    <row r="289" spans="1:12" ht="20.100000000000001" customHeight="1" x14ac:dyDescent="0.2">
      <c r="A289" s="193"/>
      <c r="B289" s="193"/>
      <c r="C289" s="193"/>
      <c r="D289" s="193"/>
      <c r="E289" s="193"/>
      <c r="F289" s="193" t="s">
        <v>85</v>
      </c>
      <c r="G289" s="193"/>
      <c r="H289" s="193"/>
      <c r="I289" s="193"/>
      <c r="J289" s="107">
        <f>J288</f>
        <v>341.88361774744027</v>
      </c>
    </row>
    <row r="290" spans="1:12" ht="20.100000000000001" customHeight="1" x14ac:dyDescent="0.2">
      <c r="A290" s="193"/>
      <c r="B290" s="193"/>
      <c r="C290" s="193"/>
      <c r="D290" s="193"/>
      <c r="E290" s="193"/>
      <c r="F290" s="193" t="s">
        <v>86</v>
      </c>
      <c r="G290" s="193"/>
      <c r="H290" s="193"/>
      <c r="I290" s="193"/>
      <c r="J290" s="107">
        <v>0</v>
      </c>
    </row>
    <row r="291" spans="1:12" ht="20.100000000000001" customHeight="1" x14ac:dyDescent="0.2">
      <c r="A291" s="193"/>
      <c r="B291" s="193"/>
      <c r="C291" s="193"/>
      <c r="D291" s="193"/>
      <c r="E291" s="193"/>
      <c r="F291" s="193" t="s">
        <v>87</v>
      </c>
      <c r="G291" s="193"/>
      <c r="H291" s="193"/>
      <c r="I291" s="193"/>
      <c r="J291" s="107">
        <v>0</v>
      </c>
    </row>
    <row r="292" spans="1:12" ht="20.100000000000001" customHeight="1" x14ac:dyDescent="0.2">
      <c r="A292" s="193"/>
      <c r="B292" s="193"/>
      <c r="C292" s="193"/>
      <c r="D292" s="193"/>
      <c r="E292" s="193"/>
      <c r="F292" s="193" t="s">
        <v>88</v>
      </c>
      <c r="G292" s="193"/>
      <c r="H292" s="193"/>
      <c r="I292" s="193"/>
      <c r="J292" s="107">
        <v>281.87</v>
      </c>
    </row>
    <row r="293" spans="1:12" ht="20.100000000000001" customHeight="1" x14ac:dyDescent="0.2">
      <c r="A293" s="193"/>
      <c r="B293" s="193"/>
      <c r="C293" s="193"/>
      <c r="D293" s="193"/>
      <c r="E293" s="193"/>
      <c r="F293" s="193" t="s">
        <v>89</v>
      </c>
      <c r="G293" s="193"/>
      <c r="H293" s="193"/>
      <c r="I293" s="193"/>
      <c r="J293" s="107">
        <f>J289/J292</f>
        <v>1.2129123984370109</v>
      </c>
    </row>
    <row r="294" spans="1:12" ht="25.5" x14ac:dyDescent="0.2">
      <c r="A294" s="100"/>
      <c r="B294" s="100"/>
      <c r="C294" s="100"/>
      <c r="D294" s="100"/>
      <c r="E294" s="100" t="s">
        <v>42</v>
      </c>
      <c r="F294" s="101">
        <v>0</v>
      </c>
      <c r="G294" s="100" t="s">
        <v>43</v>
      </c>
      <c r="H294" s="101">
        <v>0</v>
      </c>
      <c r="I294" s="100" t="s">
        <v>44</v>
      </c>
      <c r="J294" s="101">
        <v>0</v>
      </c>
    </row>
    <row r="295" spans="1:12" ht="15" customHeight="1" thickBot="1" x14ac:dyDescent="0.25">
      <c r="A295" s="100"/>
      <c r="B295" s="100"/>
      <c r="C295" s="100"/>
      <c r="D295" s="100"/>
      <c r="E295" s="100" t="s">
        <v>45</v>
      </c>
      <c r="F295" s="101">
        <f>J284*$G$2</f>
        <v>0.25895679706630181</v>
      </c>
      <c r="G295" s="100"/>
      <c r="H295" s="319" t="s">
        <v>46</v>
      </c>
      <c r="I295" s="319"/>
      <c r="J295" s="101">
        <f>F295+J284</f>
        <v>1.4718691955033127</v>
      </c>
    </row>
    <row r="296" spans="1:12" ht="0.95" customHeight="1" thickTop="1" x14ac:dyDescent="0.2">
      <c r="A296" s="106"/>
      <c r="B296" s="106"/>
      <c r="C296" s="106"/>
      <c r="D296" s="106"/>
      <c r="E296" s="106"/>
      <c r="F296" s="106"/>
      <c r="G296" s="106"/>
      <c r="H296" s="106"/>
      <c r="I296" s="106"/>
      <c r="J296" s="106"/>
    </row>
    <row r="297" spans="1:12" ht="18" customHeight="1" x14ac:dyDescent="0.2">
      <c r="A297" s="87" t="s">
        <v>476</v>
      </c>
      <c r="B297" s="88" t="s">
        <v>6</v>
      </c>
      <c r="C297" s="87" t="s">
        <v>7</v>
      </c>
      <c r="D297" s="87" t="s">
        <v>8</v>
      </c>
      <c r="E297" s="317" t="s">
        <v>35</v>
      </c>
      <c r="F297" s="318"/>
      <c r="G297" s="89" t="s">
        <v>9</v>
      </c>
      <c r="H297" s="88" t="s">
        <v>10</v>
      </c>
      <c r="I297" s="88" t="s">
        <v>11</v>
      </c>
      <c r="J297" s="88" t="s">
        <v>13</v>
      </c>
    </row>
    <row r="298" spans="1:12" s="105" customFormat="1" ht="26.1" customHeight="1" x14ac:dyDescent="0.25">
      <c r="A298" s="90" t="s">
        <v>36</v>
      </c>
      <c r="B298" s="91" t="s">
        <v>273</v>
      </c>
      <c r="C298" s="90" t="s">
        <v>24</v>
      </c>
      <c r="D298" s="90" t="s">
        <v>274</v>
      </c>
      <c r="E298" s="336" t="s">
        <v>32</v>
      </c>
      <c r="F298" s="337"/>
      <c r="G298" s="92" t="s">
        <v>119</v>
      </c>
      <c r="H298" s="93">
        <v>1</v>
      </c>
      <c r="I298" s="94">
        <f>J307</f>
        <v>0.58625922510128281</v>
      </c>
      <c r="J298" s="94">
        <f>H298*I298</f>
        <v>0.58625922510128281</v>
      </c>
      <c r="K298" s="308"/>
      <c r="L298" s="308"/>
    </row>
    <row r="299" spans="1:12" ht="15" customHeight="1" x14ac:dyDescent="0.2">
      <c r="A299" s="325" t="s">
        <v>76</v>
      </c>
      <c r="B299" s="321" t="s">
        <v>6</v>
      </c>
      <c r="C299" s="325" t="s">
        <v>7</v>
      </c>
      <c r="D299" s="325" t="s">
        <v>77</v>
      </c>
      <c r="E299" s="321" t="s">
        <v>78</v>
      </c>
      <c r="F299" s="323" t="s">
        <v>79</v>
      </c>
      <c r="G299" s="324"/>
      <c r="H299" s="323" t="s">
        <v>80</v>
      </c>
      <c r="I299" s="324"/>
      <c r="J299" s="321" t="s">
        <v>81</v>
      </c>
    </row>
    <row r="300" spans="1:12" ht="15" customHeight="1" x14ac:dyDescent="0.2">
      <c r="A300" s="326"/>
      <c r="B300" s="322"/>
      <c r="C300" s="326"/>
      <c r="D300" s="326"/>
      <c r="E300" s="322"/>
      <c r="F300" s="88" t="s">
        <v>82</v>
      </c>
      <c r="G300" s="88" t="s">
        <v>83</v>
      </c>
      <c r="H300" s="88" t="s">
        <v>82</v>
      </c>
      <c r="I300" s="88" t="s">
        <v>83</v>
      </c>
      <c r="J300" s="322"/>
    </row>
    <row r="301" spans="1:12" ht="26.1" customHeight="1" x14ac:dyDescent="0.2">
      <c r="A301" s="95" t="s">
        <v>53</v>
      </c>
      <c r="B301" s="96" t="s">
        <v>387</v>
      </c>
      <c r="C301" s="95" t="s">
        <v>24</v>
      </c>
      <c r="D301" s="95" t="s">
        <v>388</v>
      </c>
      <c r="E301" s="98">
        <v>1</v>
      </c>
      <c r="F301" s="99">
        <v>1</v>
      </c>
      <c r="G301" s="99">
        <v>0</v>
      </c>
      <c r="H301" s="103">
        <v>255.46245733788399</v>
      </c>
      <c r="I301" s="103">
        <v>82.072098976109217</v>
      </c>
      <c r="J301" s="103">
        <f>E301*((F301*H301)+(G301*I301))</f>
        <v>255.46245733788399</v>
      </c>
    </row>
    <row r="302" spans="1:12" ht="20.100000000000001" customHeight="1" x14ac:dyDescent="0.2">
      <c r="A302" s="320"/>
      <c r="B302" s="320"/>
      <c r="C302" s="320"/>
      <c r="D302" s="320"/>
      <c r="E302" s="320"/>
      <c r="F302" s="320" t="s">
        <v>84</v>
      </c>
      <c r="G302" s="320"/>
      <c r="H302" s="320"/>
      <c r="I302" s="320"/>
      <c r="J302" s="107">
        <f>J301</f>
        <v>255.46245733788399</v>
      </c>
    </row>
    <row r="303" spans="1:12" ht="20.100000000000001" customHeight="1" x14ac:dyDescent="0.2">
      <c r="A303" s="193"/>
      <c r="B303" s="193"/>
      <c r="C303" s="193"/>
      <c r="D303" s="193"/>
      <c r="E303" s="193"/>
      <c r="F303" s="193" t="s">
        <v>85</v>
      </c>
      <c r="G303" s="193"/>
      <c r="H303" s="193"/>
      <c r="I303" s="193"/>
      <c r="J303" s="107">
        <f>J302</f>
        <v>255.46245733788399</v>
      </c>
    </row>
    <row r="304" spans="1:12" ht="20.100000000000001" customHeight="1" x14ac:dyDescent="0.2">
      <c r="A304" s="193"/>
      <c r="B304" s="193"/>
      <c r="C304" s="193"/>
      <c r="D304" s="193"/>
      <c r="E304" s="193"/>
      <c r="F304" s="193" t="s">
        <v>86</v>
      </c>
      <c r="G304" s="193"/>
      <c r="H304" s="193"/>
      <c r="I304" s="193"/>
      <c r="J304" s="107">
        <v>1.06E-2</v>
      </c>
    </row>
    <row r="305" spans="1:12" ht="20.100000000000001" customHeight="1" x14ac:dyDescent="0.2">
      <c r="A305" s="193"/>
      <c r="B305" s="193"/>
      <c r="C305" s="193"/>
      <c r="D305" s="193"/>
      <c r="E305" s="193"/>
      <c r="F305" s="193" t="s">
        <v>87</v>
      </c>
      <c r="G305" s="193"/>
      <c r="H305" s="193"/>
      <c r="I305" s="193"/>
      <c r="J305" s="107">
        <v>7.4000000000000003E-3</v>
      </c>
    </row>
    <row r="306" spans="1:12" ht="20.100000000000001" customHeight="1" x14ac:dyDescent="0.2">
      <c r="A306" s="193"/>
      <c r="B306" s="193"/>
      <c r="C306" s="193"/>
      <c r="D306" s="193"/>
      <c r="E306" s="193"/>
      <c r="F306" s="193" t="s">
        <v>88</v>
      </c>
      <c r="G306" s="193"/>
      <c r="H306" s="193"/>
      <c r="I306" s="193"/>
      <c r="J306" s="107">
        <v>435.75</v>
      </c>
    </row>
    <row r="307" spans="1:12" ht="20.100000000000001" customHeight="1" x14ac:dyDescent="0.2">
      <c r="A307" s="193"/>
      <c r="B307" s="193"/>
      <c r="C307" s="193"/>
      <c r="D307" s="193"/>
      <c r="E307" s="193"/>
      <c r="F307" s="193" t="s">
        <v>89</v>
      </c>
      <c r="G307" s="193"/>
      <c r="H307" s="193"/>
      <c r="I307" s="193"/>
      <c r="J307" s="107">
        <f>J303/J306</f>
        <v>0.58625922510128281</v>
      </c>
    </row>
    <row r="308" spans="1:12" ht="25.5" x14ac:dyDescent="0.2">
      <c r="A308" s="100"/>
      <c r="B308" s="100"/>
      <c r="C308" s="100"/>
      <c r="D308" s="100"/>
      <c r="E308" s="100" t="s">
        <v>42</v>
      </c>
      <c r="F308" s="101">
        <v>0</v>
      </c>
      <c r="G308" s="100" t="s">
        <v>43</v>
      </c>
      <c r="H308" s="101">
        <v>0</v>
      </c>
      <c r="I308" s="100" t="s">
        <v>44</v>
      </c>
      <c r="J308" s="101">
        <v>0</v>
      </c>
    </row>
    <row r="309" spans="1:12" ht="15" customHeight="1" thickBot="1" x14ac:dyDescent="0.25">
      <c r="A309" s="100"/>
      <c r="B309" s="100"/>
      <c r="C309" s="100"/>
      <c r="D309" s="100"/>
      <c r="E309" s="100" t="s">
        <v>45</v>
      </c>
      <c r="F309" s="101">
        <f>J298*$G$2</f>
        <v>0.12516634455912387</v>
      </c>
      <c r="G309" s="100"/>
      <c r="H309" s="319" t="s">
        <v>46</v>
      </c>
      <c r="I309" s="319"/>
      <c r="J309" s="101">
        <f>F309+J298</f>
        <v>0.71142556966040671</v>
      </c>
    </row>
    <row r="310" spans="1:12" ht="0.95" customHeight="1" thickTop="1" x14ac:dyDescent="0.2">
      <c r="A310" s="106"/>
      <c r="B310" s="106"/>
      <c r="C310" s="106"/>
      <c r="D310" s="106"/>
      <c r="E310" s="106"/>
      <c r="F310" s="106"/>
      <c r="G310" s="106"/>
      <c r="H310" s="106"/>
      <c r="I310" s="106"/>
      <c r="J310" s="106"/>
    </row>
    <row r="311" spans="1:12" ht="18" customHeight="1" x14ac:dyDescent="0.2">
      <c r="A311" s="87" t="s">
        <v>297</v>
      </c>
      <c r="B311" s="88" t="s">
        <v>6</v>
      </c>
      <c r="C311" s="87" t="s">
        <v>7</v>
      </c>
      <c r="D311" s="87" t="s">
        <v>8</v>
      </c>
      <c r="E311" s="317" t="s">
        <v>35</v>
      </c>
      <c r="F311" s="318"/>
      <c r="G311" s="89" t="s">
        <v>9</v>
      </c>
      <c r="H311" s="88" t="s">
        <v>10</v>
      </c>
      <c r="I311" s="88" t="s">
        <v>11</v>
      </c>
      <c r="J311" s="88" t="s">
        <v>13</v>
      </c>
    </row>
    <row r="312" spans="1:12" s="105" customFormat="1" ht="26.1" customHeight="1" x14ac:dyDescent="0.25">
      <c r="A312" s="90" t="s">
        <v>36</v>
      </c>
      <c r="B312" s="91" t="s">
        <v>276</v>
      </c>
      <c r="C312" s="90" t="s">
        <v>24</v>
      </c>
      <c r="D312" s="90" t="s">
        <v>277</v>
      </c>
      <c r="E312" s="336" t="s">
        <v>32</v>
      </c>
      <c r="F312" s="337"/>
      <c r="G312" s="92" t="s">
        <v>119</v>
      </c>
      <c r="H312" s="93">
        <v>1</v>
      </c>
      <c r="I312" s="94">
        <f>J321-0.02</f>
        <v>0.46854935425106903</v>
      </c>
      <c r="J312" s="94">
        <f>H312*I312</f>
        <v>0.46854935425106903</v>
      </c>
      <c r="K312" s="308"/>
      <c r="L312" s="308"/>
    </row>
    <row r="313" spans="1:12" ht="15" customHeight="1" x14ac:dyDescent="0.2">
      <c r="A313" s="325" t="s">
        <v>76</v>
      </c>
      <c r="B313" s="321" t="s">
        <v>6</v>
      </c>
      <c r="C313" s="325" t="s">
        <v>7</v>
      </c>
      <c r="D313" s="325" t="s">
        <v>77</v>
      </c>
      <c r="E313" s="321" t="s">
        <v>78</v>
      </c>
      <c r="F313" s="323" t="s">
        <v>79</v>
      </c>
      <c r="G313" s="324"/>
      <c r="H313" s="323" t="s">
        <v>80</v>
      </c>
      <c r="I313" s="324"/>
      <c r="J313" s="321" t="s">
        <v>81</v>
      </c>
    </row>
    <row r="314" spans="1:12" ht="15" customHeight="1" x14ac:dyDescent="0.2">
      <c r="A314" s="326"/>
      <c r="B314" s="322"/>
      <c r="C314" s="326"/>
      <c r="D314" s="326"/>
      <c r="E314" s="322"/>
      <c r="F314" s="88" t="s">
        <v>82</v>
      </c>
      <c r="G314" s="88" t="s">
        <v>83</v>
      </c>
      <c r="H314" s="88" t="s">
        <v>82</v>
      </c>
      <c r="I314" s="88" t="s">
        <v>83</v>
      </c>
      <c r="J314" s="322"/>
    </row>
    <row r="315" spans="1:12" ht="26.1" customHeight="1" x14ac:dyDescent="0.2">
      <c r="A315" s="95" t="s">
        <v>53</v>
      </c>
      <c r="B315" s="96" t="s">
        <v>387</v>
      </c>
      <c r="C315" s="95" t="s">
        <v>24</v>
      </c>
      <c r="D315" s="95" t="s">
        <v>388</v>
      </c>
      <c r="E315" s="98">
        <v>1</v>
      </c>
      <c r="F315" s="99">
        <v>1</v>
      </c>
      <c r="G315" s="99">
        <v>0</v>
      </c>
      <c r="H315" s="103">
        <v>255.46245733788399</v>
      </c>
      <c r="I315" s="103">
        <f>96.1885/1.172</f>
        <v>82.072098976109217</v>
      </c>
      <c r="J315" s="103">
        <f>E315*((F315*H315)+(G315*I315))</f>
        <v>255.46245733788399</v>
      </c>
    </row>
    <row r="316" spans="1:12" ht="20.100000000000001" customHeight="1" x14ac:dyDescent="0.2">
      <c r="A316" s="320"/>
      <c r="B316" s="320"/>
      <c r="C316" s="320"/>
      <c r="D316" s="320"/>
      <c r="E316" s="320"/>
      <c r="F316" s="320" t="s">
        <v>84</v>
      </c>
      <c r="G316" s="320"/>
      <c r="H316" s="320"/>
      <c r="I316" s="320"/>
      <c r="J316" s="107">
        <f>J315</f>
        <v>255.46245733788399</v>
      </c>
    </row>
    <row r="317" spans="1:12" ht="20.100000000000001" customHeight="1" x14ac:dyDescent="0.2">
      <c r="A317" s="193"/>
      <c r="B317" s="193"/>
      <c r="C317" s="193"/>
      <c r="D317" s="193"/>
      <c r="E317" s="193"/>
      <c r="F317" s="193" t="s">
        <v>85</v>
      </c>
      <c r="G317" s="193"/>
      <c r="H317" s="193"/>
      <c r="I317" s="193"/>
      <c r="J317" s="107">
        <f>J316</f>
        <v>255.46245733788399</v>
      </c>
    </row>
    <row r="318" spans="1:12" ht="20.100000000000001" customHeight="1" x14ac:dyDescent="0.2">
      <c r="A318" s="193"/>
      <c r="B318" s="193"/>
      <c r="C318" s="193"/>
      <c r="D318" s="193"/>
      <c r="E318" s="193"/>
      <c r="F318" s="193" t="s">
        <v>86</v>
      </c>
      <c r="G318" s="193"/>
      <c r="H318" s="193"/>
      <c r="I318" s="193"/>
      <c r="J318" s="107">
        <v>0</v>
      </c>
    </row>
    <row r="319" spans="1:12" ht="20.100000000000001" customHeight="1" x14ac:dyDescent="0.2">
      <c r="A319" s="193"/>
      <c r="B319" s="193"/>
      <c r="C319" s="193"/>
      <c r="D319" s="193"/>
      <c r="E319" s="193"/>
      <c r="F319" s="193" t="s">
        <v>87</v>
      </c>
      <c r="G319" s="193"/>
      <c r="H319" s="193"/>
      <c r="I319" s="193"/>
      <c r="J319" s="107">
        <v>0</v>
      </c>
    </row>
    <row r="320" spans="1:12" ht="20.100000000000001" customHeight="1" x14ac:dyDescent="0.2">
      <c r="A320" s="193"/>
      <c r="B320" s="193"/>
      <c r="C320" s="193"/>
      <c r="D320" s="193"/>
      <c r="E320" s="193"/>
      <c r="F320" s="193" t="s">
        <v>88</v>
      </c>
      <c r="G320" s="193"/>
      <c r="H320" s="193"/>
      <c r="I320" s="193"/>
      <c r="J320" s="107">
        <v>522.9</v>
      </c>
    </row>
    <row r="321" spans="1:13" ht="20.100000000000001" customHeight="1" x14ac:dyDescent="0.2">
      <c r="A321" s="193"/>
      <c r="B321" s="193"/>
      <c r="C321" s="193"/>
      <c r="D321" s="193"/>
      <c r="E321" s="193"/>
      <c r="F321" s="193" t="s">
        <v>89</v>
      </c>
      <c r="G321" s="193"/>
      <c r="H321" s="193"/>
      <c r="I321" s="193"/>
      <c r="J321" s="107">
        <f>J317/J320</f>
        <v>0.48854935425106905</v>
      </c>
    </row>
    <row r="322" spans="1:13" ht="25.5" x14ac:dyDescent="0.2">
      <c r="A322" s="100"/>
      <c r="B322" s="100"/>
      <c r="C322" s="100"/>
      <c r="D322" s="100"/>
      <c r="E322" s="100" t="s">
        <v>42</v>
      </c>
      <c r="F322" s="101">
        <v>0</v>
      </c>
      <c r="G322" s="100" t="s">
        <v>43</v>
      </c>
      <c r="H322" s="101">
        <v>0</v>
      </c>
      <c r="I322" s="100" t="s">
        <v>44</v>
      </c>
      <c r="J322" s="101">
        <v>0</v>
      </c>
    </row>
    <row r="323" spans="1:13" ht="15" customHeight="1" thickBot="1" x14ac:dyDescent="0.25">
      <c r="A323" s="100"/>
      <c r="B323" s="100"/>
      <c r="C323" s="100"/>
      <c r="D323" s="100"/>
      <c r="E323" s="100" t="s">
        <v>45</v>
      </c>
      <c r="F323" s="101">
        <f>J312*$G$2</f>
        <v>0.10003528713260323</v>
      </c>
      <c r="G323" s="100"/>
      <c r="H323" s="319" t="s">
        <v>46</v>
      </c>
      <c r="I323" s="319"/>
      <c r="J323" s="101">
        <f>F323+J312</f>
        <v>0.56858464138367226</v>
      </c>
    </row>
    <row r="324" spans="1:13" ht="0.95" customHeight="1" thickTop="1" x14ac:dyDescent="0.2">
      <c r="A324" s="106"/>
      <c r="B324" s="106"/>
      <c r="C324" s="106"/>
      <c r="D324" s="106"/>
      <c r="E324" s="106"/>
      <c r="F324" s="106"/>
      <c r="G324" s="106"/>
      <c r="H324" s="106"/>
      <c r="I324" s="106"/>
      <c r="J324" s="106"/>
    </row>
    <row r="325" spans="1:13" ht="18" customHeight="1" x14ac:dyDescent="0.2">
      <c r="A325" s="87" t="str">
        <f>'[2]Orçamento Sintético'!B32</f>
        <v>08.03.09</v>
      </c>
      <c r="B325" s="88" t="s">
        <v>6</v>
      </c>
      <c r="C325" s="87" t="s">
        <v>7</v>
      </c>
      <c r="D325" s="87" t="s">
        <v>8</v>
      </c>
      <c r="E325" s="317" t="s">
        <v>35</v>
      </c>
      <c r="F325" s="318"/>
      <c r="G325" s="89" t="s">
        <v>9</v>
      </c>
      <c r="H325" s="88" t="s">
        <v>10</v>
      </c>
      <c r="I325" s="88" t="s">
        <v>11</v>
      </c>
      <c r="J325" s="88" t="s">
        <v>13</v>
      </c>
    </row>
    <row r="326" spans="1:13" s="105" customFormat="1" ht="39" customHeight="1" x14ac:dyDescent="0.25">
      <c r="A326" s="90" t="s">
        <v>36</v>
      </c>
      <c r="B326" s="91" t="s">
        <v>299</v>
      </c>
      <c r="C326" s="90" t="s">
        <v>14</v>
      </c>
      <c r="D326" s="90" t="s">
        <v>300</v>
      </c>
      <c r="E326" s="336" t="s">
        <v>47</v>
      </c>
      <c r="F326" s="337"/>
      <c r="G326" s="92" t="s">
        <v>18</v>
      </c>
      <c r="H326" s="93">
        <v>1</v>
      </c>
      <c r="I326" s="94">
        <f>J327</f>
        <v>47.373438</v>
      </c>
      <c r="J326" s="94">
        <f>J327</f>
        <v>47.373438</v>
      </c>
      <c r="K326" s="312"/>
      <c r="L326" s="308"/>
    </row>
    <row r="327" spans="1:13" ht="51.95" customHeight="1" x14ac:dyDescent="0.2">
      <c r="A327" s="95" t="s">
        <v>53</v>
      </c>
      <c r="B327" s="96" t="s">
        <v>395</v>
      </c>
      <c r="C327" s="95" t="s">
        <v>17</v>
      </c>
      <c r="D327" s="95" t="s">
        <v>396</v>
      </c>
      <c r="E327" s="315" t="s">
        <v>56</v>
      </c>
      <c r="F327" s="316"/>
      <c r="G327" s="97" t="s">
        <v>18</v>
      </c>
      <c r="H327" s="98">
        <v>1.0041</v>
      </c>
      <c r="I327" s="99">
        <v>47.18</v>
      </c>
      <c r="J327" s="99">
        <f>H327*I327</f>
        <v>47.373438</v>
      </c>
      <c r="K327" s="313"/>
      <c r="L327" s="309"/>
    </row>
    <row r="328" spans="1:13" ht="25.5" x14ac:dyDescent="0.2">
      <c r="A328" s="100"/>
      <c r="B328" s="100"/>
      <c r="C328" s="100"/>
      <c r="D328" s="100"/>
      <c r="E328" s="100" t="s">
        <v>42</v>
      </c>
      <c r="F328" s="101">
        <v>0</v>
      </c>
      <c r="G328" s="100" t="s">
        <v>43</v>
      </c>
      <c r="H328" s="101">
        <v>0</v>
      </c>
      <c r="I328" s="100" t="s">
        <v>44</v>
      </c>
      <c r="J328" s="101">
        <v>0</v>
      </c>
    </row>
    <row r="329" spans="1:13" ht="15" customHeight="1" thickBot="1" x14ac:dyDescent="0.25">
      <c r="A329" s="100"/>
      <c r="B329" s="100"/>
      <c r="C329" s="100"/>
      <c r="D329" s="100"/>
      <c r="E329" s="100" t="s">
        <v>45</v>
      </c>
      <c r="F329" s="303">
        <f>J326*0.1528</f>
        <v>7.2386613263999999</v>
      </c>
      <c r="G329" s="100"/>
      <c r="H329" s="319" t="s">
        <v>46</v>
      </c>
      <c r="I329" s="319"/>
      <c r="J329" s="101">
        <f>J326+F329</f>
        <v>54.612099326399999</v>
      </c>
    </row>
    <row r="330" spans="1:13" ht="0.95" customHeight="1" thickTop="1" x14ac:dyDescent="0.2">
      <c r="A330" s="106"/>
      <c r="B330" s="106"/>
      <c r="C330" s="106"/>
      <c r="D330" s="106"/>
      <c r="E330" s="106"/>
      <c r="F330" s="106"/>
      <c r="G330" s="106"/>
      <c r="H330" s="106"/>
      <c r="I330" s="106"/>
      <c r="J330" s="106"/>
    </row>
    <row r="331" spans="1:13" ht="18" customHeight="1" x14ac:dyDescent="0.2">
      <c r="A331" s="87" t="str">
        <f>'[2]Orçamento Sintético'!B34</f>
        <v>08.04.01</v>
      </c>
      <c r="B331" s="88" t="s">
        <v>6</v>
      </c>
      <c r="C331" s="87" t="s">
        <v>7</v>
      </c>
      <c r="D331" s="87" t="s">
        <v>8</v>
      </c>
      <c r="E331" s="317" t="s">
        <v>35</v>
      </c>
      <c r="F331" s="318"/>
      <c r="G331" s="89" t="s">
        <v>9</v>
      </c>
      <c r="H331" s="88" t="s">
        <v>10</v>
      </c>
      <c r="I331" s="88" t="s">
        <v>11</v>
      </c>
      <c r="J331" s="88" t="s">
        <v>13</v>
      </c>
    </row>
    <row r="332" spans="1:13" s="105" customFormat="1" ht="26.1" customHeight="1" x14ac:dyDescent="0.25">
      <c r="A332" s="90" t="s">
        <v>36</v>
      </c>
      <c r="B332" s="91" t="s">
        <v>304</v>
      </c>
      <c r="C332" s="90" t="s">
        <v>24</v>
      </c>
      <c r="D332" s="90" t="s">
        <v>305</v>
      </c>
      <c r="E332" s="336" t="s">
        <v>32</v>
      </c>
      <c r="F332" s="337"/>
      <c r="G332" s="92" t="s">
        <v>23</v>
      </c>
      <c r="H332" s="93">
        <v>1</v>
      </c>
      <c r="I332" s="94">
        <f>J343</f>
        <v>47.461794599829346</v>
      </c>
      <c r="J332" s="94">
        <f>H332*I332+0.05</f>
        <v>47.511794599829344</v>
      </c>
      <c r="K332" s="308"/>
      <c r="L332" s="308"/>
      <c r="M332" s="305"/>
    </row>
    <row r="333" spans="1:13" ht="20.100000000000001" customHeight="1" x14ac:dyDescent="0.2">
      <c r="A333" s="320"/>
      <c r="B333" s="320"/>
      <c r="C333" s="320"/>
      <c r="D333" s="320"/>
      <c r="E333" s="320"/>
      <c r="F333" s="320" t="s">
        <v>85</v>
      </c>
      <c r="G333" s="320"/>
      <c r="H333" s="320"/>
      <c r="I333" s="320"/>
      <c r="J333" s="107">
        <v>0</v>
      </c>
    </row>
    <row r="334" spans="1:13" ht="20.100000000000001" customHeight="1" x14ac:dyDescent="0.2">
      <c r="A334" s="193"/>
      <c r="B334" s="193"/>
      <c r="C334" s="193"/>
      <c r="D334" s="193"/>
      <c r="E334" s="193"/>
      <c r="F334" s="193" t="s">
        <v>86</v>
      </c>
      <c r="G334" s="193"/>
      <c r="H334" s="193"/>
      <c r="I334" s="193"/>
      <c r="J334" s="107">
        <v>0</v>
      </c>
    </row>
    <row r="335" spans="1:13" ht="20.100000000000001" customHeight="1" x14ac:dyDescent="0.2">
      <c r="A335" s="193"/>
      <c r="B335" s="193"/>
      <c r="C335" s="193"/>
      <c r="D335" s="193"/>
      <c r="E335" s="193"/>
      <c r="F335" s="193" t="s">
        <v>87</v>
      </c>
      <c r="G335" s="193"/>
      <c r="H335" s="193"/>
      <c r="I335" s="193"/>
      <c r="J335" s="107">
        <v>0</v>
      </c>
    </row>
    <row r="336" spans="1:13" ht="20.100000000000001" customHeight="1" x14ac:dyDescent="0.2">
      <c r="A336" s="193"/>
      <c r="B336" s="193"/>
      <c r="C336" s="193"/>
      <c r="D336" s="193"/>
      <c r="E336" s="193"/>
      <c r="F336" s="193" t="s">
        <v>88</v>
      </c>
      <c r="G336" s="193"/>
      <c r="H336" s="193"/>
      <c r="I336" s="193"/>
      <c r="J336" s="107">
        <v>1</v>
      </c>
    </row>
    <row r="337" spans="1:13" ht="20.100000000000001" customHeight="1" x14ac:dyDescent="0.2">
      <c r="A337" s="335"/>
      <c r="B337" s="335"/>
      <c r="C337" s="335"/>
      <c r="D337" s="335"/>
      <c r="E337" s="335"/>
      <c r="F337" s="335" t="s">
        <v>89</v>
      </c>
      <c r="G337" s="335"/>
      <c r="H337" s="335"/>
      <c r="I337" s="335"/>
      <c r="J337" s="107">
        <v>0</v>
      </c>
    </row>
    <row r="338" spans="1:13" ht="20.100000000000001" customHeight="1" x14ac:dyDescent="0.2">
      <c r="A338" s="87" t="s">
        <v>103</v>
      </c>
      <c r="B338" s="88" t="s">
        <v>7</v>
      </c>
      <c r="C338" s="87" t="s">
        <v>6</v>
      </c>
      <c r="D338" s="87" t="s">
        <v>104</v>
      </c>
      <c r="E338" s="88" t="s">
        <v>78</v>
      </c>
      <c r="F338" s="88" t="s">
        <v>100</v>
      </c>
      <c r="G338" s="331" t="s">
        <v>101</v>
      </c>
      <c r="H338" s="334"/>
      <c r="I338" s="332"/>
      <c r="J338" s="88" t="s">
        <v>81</v>
      </c>
    </row>
    <row r="339" spans="1:13" ht="26.1" customHeight="1" x14ac:dyDescent="0.2">
      <c r="A339" s="95" t="s">
        <v>105</v>
      </c>
      <c r="B339" s="96" t="s">
        <v>24</v>
      </c>
      <c r="C339" s="95">
        <v>1107892</v>
      </c>
      <c r="D339" s="95" t="s">
        <v>397</v>
      </c>
      <c r="E339" s="98">
        <v>3.3399999999999999E-2</v>
      </c>
      <c r="F339" s="97" t="s">
        <v>22</v>
      </c>
      <c r="G339" s="329">
        <f>430.886565/1.172</f>
        <v>367.65065273037544</v>
      </c>
      <c r="H339" s="333"/>
      <c r="I339" s="330"/>
      <c r="J339" s="103">
        <f>E339*G339</f>
        <v>12.279531801194539</v>
      </c>
      <c r="K339" s="314"/>
      <c r="L339" s="314"/>
      <c r="M339" s="304"/>
    </row>
    <row r="340" spans="1:13" ht="39" customHeight="1" x14ac:dyDescent="0.2">
      <c r="A340" s="95" t="s">
        <v>105</v>
      </c>
      <c r="B340" s="96" t="s">
        <v>24</v>
      </c>
      <c r="C340" s="95">
        <v>2003842</v>
      </c>
      <c r="D340" s="95" t="s">
        <v>398</v>
      </c>
      <c r="E340" s="98">
        <v>4.7300000000000002E-2</v>
      </c>
      <c r="F340" s="97" t="s">
        <v>92</v>
      </c>
      <c r="G340" s="329">
        <f>61.66/1.172</f>
        <v>52.610921501706486</v>
      </c>
      <c r="H340" s="333"/>
      <c r="I340" s="330"/>
      <c r="J340" s="103">
        <f t="shared" ref="J340:J342" si="10">E340*G340</f>
        <v>2.488496587030717</v>
      </c>
    </row>
    <row r="341" spans="1:13" ht="39" customHeight="1" x14ac:dyDescent="0.2">
      <c r="A341" s="95" t="s">
        <v>105</v>
      </c>
      <c r="B341" s="96" t="s">
        <v>24</v>
      </c>
      <c r="C341" s="95">
        <v>3103302</v>
      </c>
      <c r="D341" s="95" t="s">
        <v>106</v>
      </c>
      <c r="E341" s="98">
        <v>0.50290000000000001</v>
      </c>
      <c r="F341" s="97" t="s">
        <v>18</v>
      </c>
      <c r="G341" s="329">
        <f>74.66/1.172</f>
        <v>63.703071672354952</v>
      </c>
      <c r="H341" s="333"/>
      <c r="I341" s="330"/>
      <c r="J341" s="103">
        <f t="shared" si="10"/>
        <v>32.036274744027303</v>
      </c>
    </row>
    <row r="342" spans="1:13" ht="26.1" customHeight="1" x14ac:dyDescent="0.2">
      <c r="A342" s="95" t="s">
        <v>105</v>
      </c>
      <c r="B342" s="96" t="s">
        <v>24</v>
      </c>
      <c r="C342" s="95">
        <v>4805750</v>
      </c>
      <c r="D342" s="95" t="s">
        <v>399</v>
      </c>
      <c r="E342" s="98">
        <v>1.7999999999999999E-2</v>
      </c>
      <c r="F342" s="97" t="s">
        <v>22</v>
      </c>
      <c r="G342" s="329">
        <f>42.81/1.172</f>
        <v>36.527303754266214</v>
      </c>
      <c r="H342" s="333"/>
      <c r="I342" s="330"/>
      <c r="J342" s="103">
        <f t="shared" si="10"/>
        <v>0.65749146757679178</v>
      </c>
    </row>
    <row r="343" spans="1:13" ht="20.100000000000001" customHeight="1" x14ac:dyDescent="0.2">
      <c r="A343" s="320"/>
      <c r="B343" s="320"/>
      <c r="C343" s="320"/>
      <c r="D343" s="320"/>
      <c r="E343" s="320"/>
      <c r="F343" s="320" t="s">
        <v>107</v>
      </c>
      <c r="G343" s="320"/>
      <c r="H343" s="320"/>
      <c r="I343" s="320"/>
      <c r="J343" s="107">
        <f>SUM(J339:J342)</f>
        <v>47.461794599829346</v>
      </c>
    </row>
    <row r="344" spans="1:13" ht="25.5" x14ac:dyDescent="0.2">
      <c r="A344" s="100"/>
      <c r="B344" s="100"/>
      <c r="C344" s="100"/>
      <c r="D344" s="100"/>
      <c r="E344" s="100" t="s">
        <v>42</v>
      </c>
      <c r="F344" s="101">
        <v>25.847386583783802</v>
      </c>
      <c r="G344" s="100" t="s">
        <v>43</v>
      </c>
      <c r="H344" s="101">
        <v>0</v>
      </c>
      <c r="I344" s="100" t="s">
        <v>44</v>
      </c>
      <c r="J344" s="101">
        <v>25.847386583783802</v>
      </c>
    </row>
    <row r="345" spans="1:13" ht="15" customHeight="1" thickBot="1" x14ac:dyDescent="0.25">
      <c r="A345" s="100"/>
      <c r="B345" s="100"/>
      <c r="C345" s="100"/>
      <c r="D345" s="100"/>
      <c r="E345" s="100" t="s">
        <v>45</v>
      </c>
      <c r="F345" s="101">
        <f>J332*$G$2</f>
        <v>10.143768147063565</v>
      </c>
      <c r="G345" s="100"/>
      <c r="H345" s="319" t="s">
        <v>46</v>
      </c>
      <c r="I345" s="319"/>
      <c r="J345" s="101">
        <f>TRUNC(J332+F345,2)</f>
        <v>57.65</v>
      </c>
    </row>
    <row r="346" spans="1:13" ht="0.95" customHeight="1" thickTop="1" x14ac:dyDescent="0.2">
      <c r="A346" s="106"/>
      <c r="B346" s="106"/>
      <c r="C346" s="106"/>
      <c r="D346" s="106"/>
      <c r="E346" s="106"/>
      <c r="F346" s="106"/>
      <c r="G346" s="106"/>
      <c r="H346" s="106"/>
      <c r="I346" s="106"/>
      <c r="J346" s="106"/>
    </row>
    <row r="347" spans="1:13" ht="18" customHeight="1" x14ac:dyDescent="0.2">
      <c r="A347" s="87" t="str">
        <f>'[2]Orçamento Sintético'!B36</f>
        <v>08.05.01</v>
      </c>
      <c r="B347" s="88" t="s">
        <v>6</v>
      </c>
      <c r="C347" s="87" t="s">
        <v>7</v>
      </c>
      <c r="D347" s="87" t="s">
        <v>8</v>
      </c>
      <c r="E347" s="317" t="s">
        <v>35</v>
      </c>
      <c r="F347" s="318"/>
      <c r="G347" s="89" t="s">
        <v>9</v>
      </c>
      <c r="H347" s="88" t="s">
        <v>10</v>
      </c>
      <c r="I347" s="88" t="s">
        <v>11</v>
      </c>
      <c r="J347" s="88" t="s">
        <v>13</v>
      </c>
    </row>
    <row r="348" spans="1:13" s="105" customFormat="1" ht="39" customHeight="1" x14ac:dyDescent="0.25">
      <c r="A348" s="90" t="s">
        <v>36</v>
      </c>
      <c r="B348" s="91" t="s">
        <v>309</v>
      </c>
      <c r="C348" s="90" t="s">
        <v>24</v>
      </c>
      <c r="D348" s="90" t="s">
        <v>310</v>
      </c>
      <c r="E348" s="336" t="s">
        <v>32</v>
      </c>
      <c r="F348" s="337"/>
      <c r="G348" s="92" t="s">
        <v>26</v>
      </c>
      <c r="H348" s="93">
        <v>1</v>
      </c>
      <c r="I348" s="94">
        <f>J362+J365</f>
        <v>213.14462036405007</v>
      </c>
      <c r="J348" s="94">
        <f>H348*I348</f>
        <v>213.14462036405007</v>
      </c>
      <c r="K348" s="308"/>
      <c r="L348" s="308"/>
    </row>
    <row r="349" spans="1:13" ht="15" customHeight="1" x14ac:dyDescent="0.2">
      <c r="A349" s="325" t="s">
        <v>76</v>
      </c>
      <c r="B349" s="321" t="s">
        <v>6</v>
      </c>
      <c r="C349" s="325" t="s">
        <v>7</v>
      </c>
      <c r="D349" s="325" t="s">
        <v>77</v>
      </c>
      <c r="E349" s="321" t="s">
        <v>78</v>
      </c>
      <c r="F349" s="323" t="s">
        <v>79</v>
      </c>
      <c r="G349" s="324"/>
      <c r="H349" s="323" t="s">
        <v>80</v>
      </c>
      <c r="I349" s="324"/>
      <c r="J349" s="321" t="s">
        <v>81</v>
      </c>
    </row>
    <row r="350" spans="1:13" ht="15" customHeight="1" x14ac:dyDescent="0.2">
      <c r="A350" s="326"/>
      <c r="B350" s="322"/>
      <c r="C350" s="326"/>
      <c r="D350" s="326"/>
      <c r="E350" s="322"/>
      <c r="F350" s="88" t="s">
        <v>82</v>
      </c>
      <c r="G350" s="88" t="s">
        <v>83</v>
      </c>
      <c r="H350" s="88" t="s">
        <v>82</v>
      </c>
      <c r="I350" s="88" t="s">
        <v>83</v>
      </c>
      <c r="J350" s="322"/>
    </row>
    <row r="351" spans="1:13" ht="26.1" customHeight="1" x14ac:dyDescent="0.2">
      <c r="A351" s="95" t="s">
        <v>53</v>
      </c>
      <c r="B351" s="96" t="s">
        <v>400</v>
      </c>
      <c r="C351" s="95" t="s">
        <v>24</v>
      </c>
      <c r="D351" s="95" t="s">
        <v>401</v>
      </c>
      <c r="E351" s="98">
        <v>1</v>
      </c>
      <c r="F351" s="99">
        <v>0.3</v>
      </c>
      <c r="G351" s="99">
        <v>0.7</v>
      </c>
      <c r="H351" s="103">
        <f>157.7998/1.172</f>
        <v>134.64146757679183</v>
      </c>
      <c r="I351" s="103">
        <f>62.8827/1.172</f>
        <v>53.654180887372014</v>
      </c>
      <c r="J351" s="103">
        <f>E351*((F351*H351)+(G351*I351))</f>
        <v>77.950366894197941</v>
      </c>
      <c r="M351" s="135"/>
    </row>
    <row r="352" spans="1:13" ht="20.100000000000001" customHeight="1" x14ac:dyDescent="0.2">
      <c r="A352" s="328"/>
      <c r="B352" s="328"/>
      <c r="C352" s="328"/>
      <c r="D352" s="328"/>
      <c r="E352" s="328"/>
      <c r="F352" s="328" t="s">
        <v>84</v>
      </c>
      <c r="G352" s="328"/>
      <c r="H352" s="328"/>
      <c r="I352" s="328"/>
      <c r="J352" s="107">
        <f>J351</f>
        <v>77.950366894197941</v>
      </c>
    </row>
    <row r="353" spans="1:10" ht="20.100000000000001" customHeight="1" x14ac:dyDescent="0.2">
      <c r="A353" s="87" t="s">
        <v>93</v>
      </c>
      <c r="B353" s="88" t="s">
        <v>6</v>
      </c>
      <c r="C353" s="87" t="s">
        <v>7</v>
      </c>
      <c r="D353" s="87" t="s">
        <v>59</v>
      </c>
      <c r="E353" s="88" t="s">
        <v>78</v>
      </c>
      <c r="F353" s="331" t="s">
        <v>94</v>
      </c>
      <c r="G353" s="334"/>
      <c r="H353" s="334"/>
      <c r="I353" s="332"/>
      <c r="J353" s="88" t="s">
        <v>81</v>
      </c>
    </row>
    <row r="354" spans="1:10" ht="24" customHeight="1" x14ac:dyDescent="0.2">
      <c r="A354" s="95" t="s">
        <v>53</v>
      </c>
      <c r="B354" s="96" t="s">
        <v>148</v>
      </c>
      <c r="C354" s="95" t="s">
        <v>24</v>
      </c>
      <c r="D354" s="95" t="s">
        <v>149</v>
      </c>
      <c r="E354" s="98">
        <v>1</v>
      </c>
      <c r="F354" s="95"/>
      <c r="G354" s="95"/>
      <c r="H354" s="95"/>
      <c r="I354" s="103">
        <f>31.1301/1.172</f>
        <v>26.561518771331059</v>
      </c>
      <c r="J354" s="103">
        <f>E354*I354</f>
        <v>26.561518771331059</v>
      </c>
    </row>
    <row r="355" spans="1:10" ht="24" customHeight="1" x14ac:dyDescent="0.2">
      <c r="A355" s="95" t="s">
        <v>53</v>
      </c>
      <c r="B355" s="96" t="s">
        <v>95</v>
      </c>
      <c r="C355" s="95" t="s">
        <v>24</v>
      </c>
      <c r="D355" s="95" t="s">
        <v>96</v>
      </c>
      <c r="E355" s="98">
        <v>2</v>
      </c>
      <c r="F355" s="95"/>
      <c r="G355" s="95"/>
      <c r="H355" s="95"/>
      <c r="I355" s="103">
        <f>21.1786/1.172</f>
        <v>18.070477815699661</v>
      </c>
      <c r="J355" s="103">
        <f>E355*I355</f>
        <v>36.140955631399322</v>
      </c>
    </row>
    <row r="356" spans="1:10" ht="20.100000000000001" customHeight="1" x14ac:dyDescent="0.2">
      <c r="A356" s="320"/>
      <c r="B356" s="320"/>
      <c r="C356" s="320"/>
      <c r="D356" s="320"/>
      <c r="E356" s="320"/>
      <c r="F356" s="320" t="s">
        <v>97</v>
      </c>
      <c r="G356" s="320"/>
      <c r="H356" s="320"/>
      <c r="I356" s="320"/>
      <c r="J356" s="107">
        <f>J354+J355</f>
        <v>62.702474402730381</v>
      </c>
    </row>
    <row r="357" spans="1:10" ht="20.100000000000001" customHeight="1" x14ac:dyDescent="0.2">
      <c r="A357" s="193"/>
      <c r="B357" s="193"/>
      <c r="C357" s="193"/>
      <c r="D357" s="193"/>
      <c r="E357" s="193"/>
      <c r="F357" s="193" t="s">
        <v>98</v>
      </c>
      <c r="G357" s="193"/>
      <c r="H357" s="193"/>
      <c r="I357" s="193"/>
      <c r="J357" s="107">
        <v>0</v>
      </c>
    </row>
    <row r="358" spans="1:10" ht="20.100000000000001" customHeight="1" x14ac:dyDescent="0.2">
      <c r="A358" s="193"/>
      <c r="B358" s="193"/>
      <c r="C358" s="193"/>
      <c r="D358" s="193"/>
      <c r="E358" s="193"/>
      <c r="F358" s="193" t="s">
        <v>85</v>
      </c>
      <c r="G358" s="193"/>
      <c r="H358" s="193"/>
      <c r="I358" s="193"/>
      <c r="J358" s="107">
        <f>J356+J352</f>
        <v>140.65284129692833</v>
      </c>
    </row>
    <row r="359" spans="1:10" ht="20.100000000000001" customHeight="1" x14ac:dyDescent="0.2">
      <c r="A359" s="193"/>
      <c r="B359" s="193"/>
      <c r="C359" s="193"/>
      <c r="D359" s="193"/>
      <c r="E359" s="193"/>
      <c r="F359" s="193" t="s">
        <v>86</v>
      </c>
      <c r="G359" s="193"/>
      <c r="H359" s="193"/>
      <c r="I359" s="193"/>
      <c r="J359" s="107">
        <v>0</v>
      </c>
    </row>
    <row r="360" spans="1:10" ht="20.100000000000001" customHeight="1" x14ac:dyDescent="0.2">
      <c r="A360" s="193"/>
      <c r="B360" s="193"/>
      <c r="C360" s="193"/>
      <c r="D360" s="193"/>
      <c r="E360" s="193"/>
      <c r="F360" s="193" t="s">
        <v>87</v>
      </c>
      <c r="G360" s="193"/>
      <c r="H360" s="193"/>
      <c r="I360" s="193"/>
      <c r="J360" s="107">
        <v>0</v>
      </c>
    </row>
    <row r="361" spans="1:10" ht="20.100000000000001" customHeight="1" x14ac:dyDescent="0.2">
      <c r="A361" s="193"/>
      <c r="B361" s="193"/>
      <c r="C361" s="193"/>
      <c r="D361" s="193"/>
      <c r="E361" s="193"/>
      <c r="F361" s="193" t="s">
        <v>88</v>
      </c>
      <c r="G361" s="193"/>
      <c r="H361" s="193"/>
      <c r="I361" s="193"/>
      <c r="J361" s="107">
        <v>3</v>
      </c>
    </row>
    <row r="362" spans="1:10" ht="20.100000000000001" customHeight="1" x14ac:dyDescent="0.2">
      <c r="A362" s="335"/>
      <c r="B362" s="335"/>
      <c r="C362" s="335"/>
      <c r="D362" s="335"/>
      <c r="E362" s="335"/>
      <c r="F362" s="335" t="s">
        <v>89</v>
      </c>
      <c r="G362" s="335"/>
      <c r="H362" s="335"/>
      <c r="I362" s="335"/>
      <c r="J362" s="107">
        <f>J358/J361</f>
        <v>46.884280432309446</v>
      </c>
    </row>
    <row r="363" spans="1:10" ht="20.100000000000001" customHeight="1" x14ac:dyDescent="0.2">
      <c r="A363" s="87" t="s">
        <v>103</v>
      </c>
      <c r="B363" s="88" t="s">
        <v>7</v>
      </c>
      <c r="C363" s="87" t="s">
        <v>6</v>
      </c>
      <c r="D363" s="87" t="s">
        <v>104</v>
      </c>
      <c r="E363" s="88" t="s">
        <v>78</v>
      </c>
      <c r="F363" s="88" t="s">
        <v>100</v>
      </c>
      <c r="G363" s="331" t="s">
        <v>101</v>
      </c>
      <c r="H363" s="334"/>
      <c r="I363" s="332"/>
      <c r="J363" s="88" t="s">
        <v>81</v>
      </c>
    </row>
    <row r="364" spans="1:10" ht="26.1" customHeight="1" x14ac:dyDescent="0.2">
      <c r="A364" s="95" t="s">
        <v>105</v>
      </c>
      <c r="B364" s="96" t="s">
        <v>24</v>
      </c>
      <c r="C364" s="95">
        <v>5213414</v>
      </c>
      <c r="D364" s="95" t="s">
        <v>402</v>
      </c>
      <c r="E364" s="98">
        <v>0.35993999999999998</v>
      </c>
      <c r="F364" s="97" t="s">
        <v>18</v>
      </c>
      <c r="G364" s="329">
        <f>541.36/1.172</f>
        <v>461.91126279863482</v>
      </c>
      <c r="H364" s="333"/>
      <c r="I364" s="330"/>
      <c r="J364" s="103">
        <f>E364*G364</f>
        <v>166.26033993174062</v>
      </c>
    </row>
    <row r="365" spans="1:10" ht="20.100000000000001" customHeight="1" x14ac:dyDescent="0.2">
      <c r="A365" s="320"/>
      <c r="B365" s="320"/>
      <c r="C365" s="320"/>
      <c r="D365" s="320"/>
      <c r="E365" s="320"/>
      <c r="F365" s="320" t="s">
        <v>107</v>
      </c>
      <c r="G365" s="320"/>
      <c r="H365" s="320"/>
      <c r="I365" s="320"/>
      <c r="J365" s="107">
        <f>J364</f>
        <v>166.26033993174062</v>
      </c>
    </row>
    <row r="366" spans="1:10" ht="25.5" x14ac:dyDescent="0.2">
      <c r="A366" s="100"/>
      <c r="B366" s="100"/>
      <c r="C366" s="100"/>
      <c r="D366" s="100"/>
      <c r="E366" s="100" t="s">
        <v>42</v>
      </c>
      <c r="F366" s="101">
        <v>39.066394766666669</v>
      </c>
      <c r="G366" s="100" t="s">
        <v>43</v>
      </c>
      <c r="H366" s="101">
        <v>0</v>
      </c>
      <c r="I366" s="100" t="s">
        <v>44</v>
      </c>
      <c r="J366" s="101">
        <v>39.066394797240335</v>
      </c>
    </row>
    <row r="367" spans="1:10" ht="15" customHeight="1" thickBot="1" x14ac:dyDescent="0.25">
      <c r="A367" s="100"/>
      <c r="B367" s="100"/>
      <c r="C367" s="100"/>
      <c r="D367" s="100"/>
      <c r="E367" s="100" t="s">
        <v>45</v>
      </c>
      <c r="F367" s="101">
        <f>J348*$G$2</f>
        <v>45.506376447724691</v>
      </c>
      <c r="G367" s="100"/>
      <c r="H367" s="319" t="s">
        <v>46</v>
      </c>
      <c r="I367" s="319"/>
      <c r="J367" s="101">
        <f>F367+J348</f>
        <v>258.65099681177475</v>
      </c>
    </row>
    <row r="368" spans="1:10" ht="0.95" customHeight="1" thickTop="1" x14ac:dyDescent="0.2">
      <c r="A368" s="106"/>
      <c r="B368" s="106"/>
      <c r="C368" s="106"/>
      <c r="D368" s="106"/>
      <c r="E368" s="106"/>
      <c r="F368" s="106"/>
      <c r="G368" s="106"/>
      <c r="H368" s="106"/>
      <c r="I368" s="106"/>
      <c r="J368" s="106"/>
    </row>
    <row r="369" spans="1:14" ht="18" customHeight="1" x14ac:dyDescent="0.2">
      <c r="A369" s="87" t="str">
        <f>'[2]Orçamento Sintético'!B37</f>
        <v>08.05.02</v>
      </c>
      <c r="B369" s="88" t="s">
        <v>6</v>
      </c>
      <c r="C369" s="87" t="s">
        <v>7</v>
      </c>
      <c r="D369" s="87" t="s">
        <v>8</v>
      </c>
      <c r="E369" s="317" t="s">
        <v>35</v>
      </c>
      <c r="F369" s="318"/>
      <c r="G369" s="89" t="s">
        <v>9</v>
      </c>
      <c r="H369" s="88" t="s">
        <v>10</v>
      </c>
      <c r="I369" s="88" t="s">
        <v>11</v>
      </c>
      <c r="J369" s="88" t="s">
        <v>13</v>
      </c>
    </row>
    <row r="370" spans="1:14" s="105" customFormat="1" ht="39" customHeight="1" x14ac:dyDescent="0.25">
      <c r="A370" s="90" t="s">
        <v>36</v>
      </c>
      <c r="B370" s="91" t="s">
        <v>311</v>
      </c>
      <c r="C370" s="90" t="s">
        <v>24</v>
      </c>
      <c r="D370" s="90" t="s">
        <v>312</v>
      </c>
      <c r="E370" s="336" t="s">
        <v>32</v>
      </c>
      <c r="F370" s="337"/>
      <c r="G370" s="92" t="s">
        <v>26</v>
      </c>
      <c r="H370" s="93">
        <v>1</v>
      </c>
      <c r="I370" s="94">
        <f>J384+J388+J392+J396+J401</f>
        <v>360.00124664946316</v>
      </c>
      <c r="J370" s="94">
        <f>H370*I370</f>
        <v>360.00124664946316</v>
      </c>
      <c r="K370" s="308"/>
      <c r="L370" s="308"/>
      <c r="M370" s="341"/>
      <c r="N370" s="341"/>
    </row>
    <row r="371" spans="1:14" ht="15" customHeight="1" x14ac:dyDescent="0.2">
      <c r="A371" s="325" t="s">
        <v>76</v>
      </c>
      <c r="B371" s="321" t="s">
        <v>6</v>
      </c>
      <c r="C371" s="325" t="s">
        <v>7</v>
      </c>
      <c r="D371" s="325" t="s">
        <v>77</v>
      </c>
      <c r="E371" s="321" t="s">
        <v>78</v>
      </c>
      <c r="F371" s="323" t="s">
        <v>79</v>
      </c>
      <c r="G371" s="324"/>
      <c r="H371" s="323" t="s">
        <v>80</v>
      </c>
      <c r="I371" s="324"/>
      <c r="J371" s="321" t="s">
        <v>81</v>
      </c>
    </row>
    <row r="372" spans="1:14" ht="15" customHeight="1" x14ac:dyDescent="0.2">
      <c r="A372" s="326"/>
      <c r="B372" s="322"/>
      <c r="C372" s="326"/>
      <c r="D372" s="326"/>
      <c r="E372" s="322"/>
      <c r="F372" s="88" t="s">
        <v>82</v>
      </c>
      <c r="G372" s="88" t="s">
        <v>83</v>
      </c>
      <c r="H372" s="88" t="s">
        <v>82</v>
      </c>
      <c r="I372" s="88" t="s">
        <v>83</v>
      </c>
      <c r="J372" s="322"/>
    </row>
    <row r="373" spans="1:14" ht="26.1" customHeight="1" x14ac:dyDescent="0.2">
      <c r="A373" s="95" t="s">
        <v>53</v>
      </c>
      <c r="B373" s="96" t="s">
        <v>400</v>
      </c>
      <c r="C373" s="95" t="s">
        <v>24</v>
      </c>
      <c r="D373" s="95" t="s">
        <v>401</v>
      </c>
      <c r="E373" s="98">
        <v>1</v>
      </c>
      <c r="F373" s="99">
        <v>0.3</v>
      </c>
      <c r="G373" s="99">
        <v>0.7</v>
      </c>
      <c r="H373" s="103">
        <f>157.7998/1.172</f>
        <v>134.64146757679183</v>
      </c>
      <c r="I373" s="103">
        <f>62.8827/1.172</f>
        <v>53.654180887372014</v>
      </c>
      <c r="J373" s="103">
        <f>E373*((F373*H373)+(G373*I373))</f>
        <v>77.950366894197941</v>
      </c>
    </row>
    <row r="374" spans="1:14" ht="20.100000000000001" customHeight="1" x14ac:dyDescent="0.2">
      <c r="A374" s="328"/>
      <c r="B374" s="328"/>
      <c r="C374" s="328"/>
      <c r="D374" s="328"/>
      <c r="E374" s="328"/>
      <c r="F374" s="328" t="s">
        <v>84</v>
      </c>
      <c r="G374" s="328"/>
      <c r="H374" s="328"/>
      <c r="I374" s="328"/>
      <c r="J374" s="107">
        <f>J373</f>
        <v>77.950366894197941</v>
      </c>
    </row>
    <row r="375" spans="1:14" ht="20.100000000000001" customHeight="1" x14ac:dyDescent="0.2">
      <c r="A375" s="87" t="s">
        <v>93</v>
      </c>
      <c r="B375" s="88" t="s">
        <v>6</v>
      </c>
      <c r="C375" s="87" t="s">
        <v>7</v>
      </c>
      <c r="D375" s="87" t="s">
        <v>59</v>
      </c>
      <c r="E375" s="88" t="s">
        <v>78</v>
      </c>
      <c r="F375" s="331" t="s">
        <v>94</v>
      </c>
      <c r="G375" s="334"/>
      <c r="H375" s="334"/>
      <c r="I375" s="332"/>
      <c r="J375" s="88" t="s">
        <v>81</v>
      </c>
    </row>
    <row r="376" spans="1:14" ht="24" customHeight="1" x14ac:dyDescent="0.2">
      <c r="A376" s="95" t="s">
        <v>53</v>
      </c>
      <c r="B376" s="96" t="s">
        <v>148</v>
      </c>
      <c r="C376" s="95" t="s">
        <v>24</v>
      </c>
      <c r="D376" s="95" t="s">
        <v>149</v>
      </c>
      <c r="E376" s="98">
        <v>1</v>
      </c>
      <c r="F376" s="95"/>
      <c r="G376" s="95"/>
      <c r="H376" s="95"/>
      <c r="I376" s="103">
        <f>31.1301/1.172</f>
        <v>26.561518771331059</v>
      </c>
      <c r="J376" s="103">
        <f>E376*I376</f>
        <v>26.561518771331059</v>
      </c>
    </row>
    <row r="377" spans="1:14" ht="24" customHeight="1" x14ac:dyDescent="0.2">
      <c r="A377" s="95" t="s">
        <v>53</v>
      </c>
      <c r="B377" s="96" t="s">
        <v>95</v>
      </c>
      <c r="C377" s="95" t="s">
        <v>24</v>
      </c>
      <c r="D377" s="95" t="s">
        <v>96</v>
      </c>
      <c r="E377" s="98">
        <v>1</v>
      </c>
      <c r="F377" s="95"/>
      <c r="G377" s="95"/>
      <c r="H377" s="95"/>
      <c r="I377" s="103">
        <f>21.1786/1.172</f>
        <v>18.070477815699661</v>
      </c>
      <c r="J377" s="103">
        <f>E377*I377</f>
        <v>18.070477815699661</v>
      </c>
    </row>
    <row r="378" spans="1:14" ht="20.100000000000001" customHeight="1" x14ac:dyDescent="0.2">
      <c r="A378" s="320"/>
      <c r="B378" s="320"/>
      <c r="C378" s="320"/>
      <c r="D378" s="320"/>
      <c r="E378" s="320"/>
      <c r="F378" s="320" t="s">
        <v>97</v>
      </c>
      <c r="G378" s="320"/>
      <c r="H378" s="320"/>
      <c r="I378" s="320"/>
      <c r="J378" s="107">
        <f>J376+J377</f>
        <v>44.63199658703072</v>
      </c>
    </row>
    <row r="379" spans="1:14" ht="20.100000000000001" customHeight="1" x14ac:dyDescent="0.2">
      <c r="A379" s="193"/>
      <c r="B379" s="193"/>
      <c r="C379" s="193"/>
      <c r="D379" s="193"/>
      <c r="E379" s="193"/>
      <c r="F379" s="193" t="s">
        <v>98</v>
      </c>
      <c r="G379" s="193"/>
      <c r="H379" s="193"/>
      <c r="I379" s="193"/>
      <c r="J379" s="107">
        <v>0</v>
      </c>
    </row>
    <row r="380" spans="1:14" ht="20.100000000000001" customHeight="1" x14ac:dyDescent="0.2">
      <c r="A380" s="193"/>
      <c r="B380" s="193"/>
      <c r="C380" s="193"/>
      <c r="D380" s="193"/>
      <c r="E380" s="193"/>
      <c r="F380" s="193" t="s">
        <v>85</v>
      </c>
      <c r="G380" s="193"/>
      <c r="H380" s="193"/>
      <c r="I380" s="193"/>
      <c r="J380" s="107">
        <f>J374+J378</f>
        <v>122.58236348122867</v>
      </c>
    </row>
    <row r="381" spans="1:14" ht="20.100000000000001" customHeight="1" x14ac:dyDescent="0.2">
      <c r="A381" s="193"/>
      <c r="B381" s="193"/>
      <c r="C381" s="193"/>
      <c r="D381" s="193"/>
      <c r="E381" s="193"/>
      <c r="F381" s="193" t="s">
        <v>86</v>
      </c>
      <c r="G381" s="193"/>
      <c r="H381" s="193"/>
      <c r="I381" s="193"/>
      <c r="J381" s="107">
        <v>0</v>
      </c>
    </row>
    <row r="382" spans="1:14" ht="20.100000000000001" customHeight="1" x14ac:dyDescent="0.2">
      <c r="A382" s="193"/>
      <c r="B382" s="193"/>
      <c r="C382" s="193"/>
      <c r="D382" s="193"/>
      <c r="E382" s="193"/>
      <c r="F382" s="193" t="s">
        <v>87</v>
      </c>
      <c r="G382" s="193"/>
      <c r="H382" s="193"/>
      <c r="I382" s="193"/>
      <c r="J382" s="107">
        <v>0</v>
      </c>
    </row>
    <row r="383" spans="1:14" ht="20.100000000000001" customHeight="1" x14ac:dyDescent="0.2">
      <c r="A383" s="193"/>
      <c r="B383" s="193"/>
      <c r="C383" s="193"/>
      <c r="D383" s="193"/>
      <c r="E383" s="193"/>
      <c r="F383" s="193" t="s">
        <v>88</v>
      </c>
      <c r="G383" s="193"/>
      <c r="H383" s="193"/>
      <c r="I383" s="193"/>
      <c r="J383" s="107">
        <v>4.0999999999999996</v>
      </c>
    </row>
    <row r="384" spans="1:14" ht="20.100000000000001" customHeight="1" x14ac:dyDescent="0.2">
      <c r="A384" s="335"/>
      <c r="B384" s="335"/>
      <c r="C384" s="335"/>
      <c r="D384" s="335"/>
      <c r="E384" s="335"/>
      <c r="F384" s="335" t="s">
        <v>89</v>
      </c>
      <c r="G384" s="335"/>
      <c r="H384" s="335"/>
      <c r="I384" s="335"/>
      <c r="J384" s="107">
        <f>J380/J383</f>
        <v>29.898137434446021</v>
      </c>
    </row>
    <row r="385" spans="1:10" ht="20.100000000000001" customHeight="1" x14ac:dyDescent="0.2">
      <c r="A385" s="87" t="s">
        <v>99</v>
      </c>
      <c r="B385" s="88" t="s">
        <v>7</v>
      </c>
      <c r="C385" s="87" t="s">
        <v>6</v>
      </c>
      <c r="D385" s="87" t="s">
        <v>56</v>
      </c>
      <c r="E385" s="88" t="s">
        <v>78</v>
      </c>
      <c r="F385" s="88" t="s">
        <v>100</v>
      </c>
      <c r="G385" s="331" t="s">
        <v>101</v>
      </c>
      <c r="H385" s="334"/>
      <c r="I385" s="332"/>
      <c r="J385" s="88" t="s">
        <v>81</v>
      </c>
    </row>
    <row r="386" spans="1:10" ht="39" customHeight="1" x14ac:dyDescent="0.2">
      <c r="A386" s="95" t="s">
        <v>53</v>
      </c>
      <c r="B386" s="96" t="s">
        <v>24</v>
      </c>
      <c r="C386" s="95" t="s">
        <v>403</v>
      </c>
      <c r="D386" s="95" t="s">
        <v>404</v>
      </c>
      <c r="E386" s="98">
        <v>0.69699999999999995</v>
      </c>
      <c r="F386" s="97" t="s">
        <v>92</v>
      </c>
      <c r="G386" s="329">
        <f>31.7777/1.172</f>
        <v>27.114078498293516</v>
      </c>
      <c r="H386" s="333"/>
      <c r="I386" s="330"/>
      <c r="J386" s="103">
        <f>E386*G386</f>
        <v>18.898512713310581</v>
      </c>
    </row>
    <row r="387" spans="1:10" ht="26.1" customHeight="1" x14ac:dyDescent="0.2">
      <c r="A387" s="95" t="s">
        <v>53</v>
      </c>
      <c r="B387" s="96" t="s">
        <v>24</v>
      </c>
      <c r="C387" s="95" t="s">
        <v>405</v>
      </c>
      <c r="D387" s="95" t="s">
        <v>406</v>
      </c>
      <c r="E387" s="98">
        <v>12.717000000000001</v>
      </c>
      <c r="F387" s="97" t="s">
        <v>92</v>
      </c>
      <c r="G387" s="329">
        <f>26.7222/1.172</f>
        <v>22.800511945392493</v>
      </c>
      <c r="H387" s="333"/>
      <c r="I387" s="330"/>
      <c r="J387" s="103">
        <f>E387*G387</f>
        <v>289.95411040955634</v>
      </c>
    </row>
    <row r="388" spans="1:10" ht="20.100000000000001" customHeight="1" x14ac:dyDescent="0.2">
      <c r="A388" s="328"/>
      <c r="B388" s="328"/>
      <c r="C388" s="328"/>
      <c r="D388" s="328"/>
      <c r="E388" s="328"/>
      <c r="F388" s="328" t="s">
        <v>102</v>
      </c>
      <c r="G388" s="328"/>
      <c r="H388" s="328"/>
      <c r="I388" s="328"/>
      <c r="J388" s="107">
        <f>J386+J387</f>
        <v>308.85262312286693</v>
      </c>
    </row>
    <row r="389" spans="1:10" ht="20.100000000000001" customHeight="1" x14ac:dyDescent="0.2">
      <c r="A389" s="87" t="s">
        <v>103</v>
      </c>
      <c r="B389" s="88" t="s">
        <v>7</v>
      </c>
      <c r="C389" s="87" t="s">
        <v>6</v>
      </c>
      <c r="D389" s="87" t="s">
        <v>104</v>
      </c>
      <c r="E389" s="88" t="s">
        <v>78</v>
      </c>
      <c r="F389" s="88" t="s">
        <v>100</v>
      </c>
      <c r="G389" s="331" t="s">
        <v>101</v>
      </c>
      <c r="H389" s="334"/>
      <c r="I389" s="332"/>
      <c r="J389" s="88" t="s">
        <v>81</v>
      </c>
    </row>
    <row r="390" spans="1:10" ht="26.1" customHeight="1" x14ac:dyDescent="0.2">
      <c r="A390" s="95" t="s">
        <v>105</v>
      </c>
      <c r="B390" s="96" t="s">
        <v>24</v>
      </c>
      <c r="C390" s="95">
        <v>1107892</v>
      </c>
      <c r="D390" s="95" t="s">
        <v>397</v>
      </c>
      <c r="E390" s="98">
        <v>5.0270000000000002E-2</v>
      </c>
      <c r="F390" s="97" t="s">
        <v>22</v>
      </c>
      <c r="G390" s="329">
        <f>443.44/1.172</f>
        <v>378.36177474402734</v>
      </c>
      <c r="H390" s="333"/>
      <c r="I390" s="330"/>
      <c r="J390" s="103">
        <f>E390*G390</f>
        <v>19.020246416382257</v>
      </c>
    </row>
    <row r="391" spans="1:10" ht="26.1" customHeight="1" x14ac:dyDescent="0.2">
      <c r="A391" s="95" t="s">
        <v>105</v>
      </c>
      <c r="B391" s="96" t="s">
        <v>24</v>
      </c>
      <c r="C391" s="95">
        <v>4805750</v>
      </c>
      <c r="D391" s="95" t="s">
        <v>399</v>
      </c>
      <c r="E391" s="98">
        <v>5.0270000000000002E-2</v>
      </c>
      <c r="F391" s="97" t="s">
        <v>22</v>
      </c>
      <c r="G391" s="329">
        <f>42.81/1.172</f>
        <v>36.527303754266214</v>
      </c>
      <c r="H391" s="333"/>
      <c r="I391" s="330"/>
      <c r="J391" s="103">
        <f>E391*G391</f>
        <v>1.8362275597269626</v>
      </c>
    </row>
    <row r="392" spans="1:10" ht="20.100000000000001" customHeight="1" x14ac:dyDescent="0.2">
      <c r="A392" s="328"/>
      <c r="B392" s="328"/>
      <c r="C392" s="328"/>
      <c r="D392" s="328"/>
      <c r="E392" s="328"/>
      <c r="F392" s="328" t="s">
        <v>107</v>
      </c>
      <c r="G392" s="328"/>
      <c r="H392" s="328"/>
      <c r="I392" s="328"/>
      <c r="J392" s="107">
        <f>J390+J391</f>
        <v>20.856473976109221</v>
      </c>
    </row>
    <row r="393" spans="1:10" ht="20.100000000000001" customHeight="1" x14ac:dyDescent="0.2">
      <c r="A393" s="87" t="s">
        <v>108</v>
      </c>
      <c r="B393" s="88" t="s">
        <v>7</v>
      </c>
      <c r="C393" s="87" t="s">
        <v>53</v>
      </c>
      <c r="D393" s="87" t="s">
        <v>109</v>
      </c>
      <c r="E393" s="88" t="s">
        <v>6</v>
      </c>
      <c r="F393" s="88" t="s">
        <v>78</v>
      </c>
      <c r="G393" s="89" t="s">
        <v>100</v>
      </c>
      <c r="H393" s="331" t="s">
        <v>101</v>
      </c>
      <c r="I393" s="332"/>
      <c r="J393" s="88" t="s">
        <v>81</v>
      </c>
    </row>
    <row r="394" spans="1:10" ht="39" customHeight="1" x14ac:dyDescent="0.2">
      <c r="A394" s="95" t="s">
        <v>110</v>
      </c>
      <c r="B394" s="96" t="s">
        <v>24</v>
      </c>
      <c r="C394" s="95" t="s">
        <v>403</v>
      </c>
      <c r="D394" s="95" t="s">
        <v>111</v>
      </c>
      <c r="E394" s="96">
        <v>5914655</v>
      </c>
      <c r="F394" s="98">
        <v>6.9999999999999999E-4</v>
      </c>
      <c r="G394" s="97" t="s">
        <v>25</v>
      </c>
      <c r="H394" s="329">
        <f>34.41/1.172</f>
        <v>29.360068259385663</v>
      </c>
      <c r="I394" s="330"/>
      <c r="J394" s="103">
        <f>F394*H394</f>
        <v>2.0552047781569965E-2</v>
      </c>
    </row>
    <row r="395" spans="1:10" ht="39" customHeight="1" x14ac:dyDescent="0.2">
      <c r="A395" s="95" t="s">
        <v>110</v>
      </c>
      <c r="B395" s="96" t="s">
        <v>24</v>
      </c>
      <c r="C395" s="95" t="s">
        <v>405</v>
      </c>
      <c r="D395" s="95" t="s">
        <v>111</v>
      </c>
      <c r="E395" s="96">
        <v>5914655</v>
      </c>
      <c r="F395" s="98">
        <v>1.272E-2</v>
      </c>
      <c r="G395" s="97" t="s">
        <v>25</v>
      </c>
      <c r="H395" s="329">
        <f>34.41/1.172</f>
        <v>29.360068259385663</v>
      </c>
      <c r="I395" s="330"/>
      <c r="J395" s="103">
        <f>F395*H395</f>
        <v>0.37346006825938566</v>
      </c>
    </row>
    <row r="396" spans="1:10" ht="20.100000000000001" customHeight="1" x14ac:dyDescent="0.2">
      <c r="A396" s="328"/>
      <c r="B396" s="328"/>
      <c r="C396" s="328"/>
      <c r="D396" s="328"/>
      <c r="E396" s="328"/>
      <c r="F396" s="328" t="s">
        <v>112</v>
      </c>
      <c r="G396" s="328"/>
      <c r="H396" s="328"/>
      <c r="I396" s="328"/>
      <c r="J396" s="107">
        <f>J394+J395</f>
        <v>0.39401211604095565</v>
      </c>
    </row>
    <row r="397" spans="1:10" ht="20.100000000000001" customHeight="1" x14ac:dyDescent="0.2">
      <c r="A397" s="87" t="s">
        <v>113</v>
      </c>
      <c r="B397" s="88" t="s">
        <v>7</v>
      </c>
      <c r="C397" s="87" t="s">
        <v>53</v>
      </c>
      <c r="D397" s="87" t="s">
        <v>114</v>
      </c>
      <c r="E397" s="88" t="s">
        <v>78</v>
      </c>
      <c r="F397" s="88" t="s">
        <v>100</v>
      </c>
      <c r="G397" s="323" t="s">
        <v>115</v>
      </c>
      <c r="H397" s="327"/>
      <c r="I397" s="324"/>
      <c r="J397" s="88" t="s">
        <v>81</v>
      </c>
    </row>
    <row r="398" spans="1:10" ht="20.100000000000001" customHeight="1" x14ac:dyDescent="0.2">
      <c r="A398" s="89"/>
      <c r="B398" s="89"/>
      <c r="C398" s="89"/>
      <c r="D398" s="89"/>
      <c r="E398" s="89"/>
      <c r="F398" s="89"/>
      <c r="G398" s="89" t="s">
        <v>116</v>
      </c>
      <c r="H398" s="89" t="s">
        <v>117</v>
      </c>
      <c r="I398" s="89" t="s">
        <v>118</v>
      </c>
      <c r="J398" s="89"/>
    </row>
    <row r="399" spans="1:10" ht="50.1" customHeight="1" x14ac:dyDescent="0.2">
      <c r="A399" s="95" t="s">
        <v>114</v>
      </c>
      <c r="B399" s="96" t="s">
        <v>24</v>
      </c>
      <c r="C399" s="95" t="s">
        <v>403</v>
      </c>
      <c r="D399" s="95" t="s">
        <v>407</v>
      </c>
      <c r="E399" s="98">
        <v>6.9999999999999999E-4</v>
      </c>
      <c r="F399" s="97" t="s">
        <v>119</v>
      </c>
      <c r="G399" s="96" t="s">
        <v>120</v>
      </c>
      <c r="H399" s="96" t="s">
        <v>121</v>
      </c>
      <c r="I399" s="96" t="s">
        <v>122</v>
      </c>
      <c r="J399" s="103">
        <v>0</v>
      </c>
    </row>
    <row r="400" spans="1:10" ht="50.1" customHeight="1" x14ac:dyDescent="0.2">
      <c r="A400" s="95" t="s">
        <v>114</v>
      </c>
      <c r="B400" s="96" t="s">
        <v>24</v>
      </c>
      <c r="C400" s="95" t="s">
        <v>405</v>
      </c>
      <c r="D400" s="95" t="s">
        <v>408</v>
      </c>
      <c r="E400" s="98">
        <v>1.272E-2</v>
      </c>
      <c r="F400" s="97" t="s">
        <v>119</v>
      </c>
      <c r="G400" s="96" t="s">
        <v>120</v>
      </c>
      <c r="H400" s="96" t="s">
        <v>121</v>
      </c>
      <c r="I400" s="96" t="s">
        <v>122</v>
      </c>
      <c r="J400" s="103">
        <v>0</v>
      </c>
    </row>
    <row r="401" spans="1:14" ht="20.100000000000001" customHeight="1" x14ac:dyDescent="0.2">
      <c r="A401" s="320"/>
      <c r="B401" s="320"/>
      <c r="C401" s="320"/>
      <c r="D401" s="320"/>
      <c r="E401" s="320"/>
      <c r="F401" s="320" t="s">
        <v>123</v>
      </c>
      <c r="G401" s="320"/>
      <c r="H401" s="320"/>
      <c r="I401" s="320"/>
      <c r="J401" s="107">
        <v>0</v>
      </c>
    </row>
    <row r="402" spans="1:14" ht="25.5" x14ac:dyDescent="0.2">
      <c r="A402" s="100"/>
      <c r="B402" s="100"/>
      <c r="C402" s="100"/>
      <c r="D402" s="100"/>
      <c r="E402" s="100" t="s">
        <v>42</v>
      </c>
      <c r="F402" s="101">
        <v>17.942764712195121</v>
      </c>
      <c r="G402" s="100" t="s">
        <v>43</v>
      </c>
      <c r="H402" s="101">
        <v>0</v>
      </c>
      <c r="I402" s="100" t="s">
        <v>44</v>
      </c>
      <c r="J402" s="101">
        <v>17.942764735995276</v>
      </c>
    </row>
    <row r="403" spans="1:14" ht="15" customHeight="1" thickBot="1" x14ac:dyDescent="0.25">
      <c r="A403" s="100"/>
      <c r="B403" s="100"/>
      <c r="C403" s="100"/>
      <c r="D403" s="100"/>
      <c r="E403" s="100" t="s">
        <v>45</v>
      </c>
      <c r="F403" s="101">
        <f>J370*$G$2</f>
        <v>76.860266159660384</v>
      </c>
      <c r="G403" s="100"/>
      <c r="H403" s="319" t="s">
        <v>46</v>
      </c>
      <c r="I403" s="319"/>
      <c r="J403" s="101">
        <f>F403+J370</f>
        <v>436.86151280912355</v>
      </c>
    </row>
    <row r="404" spans="1:14" ht="0.95" customHeight="1" thickTop="1" x14ac:dyDescent="0.2">
      <c r="A404" s="106"/>
      <c r="B404" s="106"/>
      <c r="C404" s="106"/>
      <c r="D404" s="106"/>
      <c r="E404" s="106"/>
      <c r="F404" s="106"/>
      <c r="G404" s="106"/>
      <c r="H404" s="106"/>
      <c r="I404" s="106"/>
      <c r="J404" s="106"/>
    </row>
    <row r="405" spans="1:14" ht="18" customHeight="1" x14ac:dyDescent="0.2">
      <c r="A405" s="87" t="str">
        <f>'[2]Orçamento Sintético'!B39</f>
        <v>08.06.01</v>
      </c>
      <c r="B405" s="88" t="s">
        <v>6</v>
      </c>
      <c r="C405" s="87" t="s">
        <v>7</v>
      </c>
      <c r="D405" s="87" t="s">
        <v>8</v>
      </c>
      <c r="E405" s="317" t="s">
        <v>35</v>
      </c>
      <c r="F405" s="318"/>
      <c r="G405" s="89" t="s">
        <v>9</v>
      </c>
      <c r="H405" s="88" t="s">
        <v>10</v>
      </c>
      <c r="I405" s="88" t="s">
        <v>11</v>
      </c>
      <c r="J405" s="88" t="s">
        <v>13</v>
      </c>
    </row>
    <row r="406" spans="1:14" s="105" customFormat="1" ht="51.95" customHeight="1" x14ac:dyDescent="0.25">
      <c r="A406" s="90" t="s">
        <v>36</v>
      </c>
      <c r="B406" s="91" t="s">
        <v>316</v>
      </c>
      <c r="C406" s="90" t="s">
        <v>14</v>
      </c>
      <c r="D406" s="90" t="s">
        <v>317</v>
      </c>
      <c r="E406" s="336" t="s">
        <v>47</v>
      </c>
      <c r="F406" s="337"/>
      <c r="G406" s="92" t="s">
        <v>245</v>
      </c>
      <c r="H406" s="93">
        <v>1</v>
      </c>
      <c r="I406" s="94">
        <f>J407+J408</f>
        <v>166.09215017064849</v>
      </c>
      <c r="J406" s="94">
        <f>H406*I406</f>
        <v>166.09215017064849</v>
      </c>
      <c r="K406" s="308"/>
      <c r="L406" s="342"/>
      <c r="M406" s="341"/>
    </row>
    <row r="407" spans="1:14" ht="26.1" customHeight="1" x14ac:dyDescent="0.2">
      <c r="A407" s="95" t="s">
        <v>53</v>
      </c>
      <c r="B407" s="96" t="s">
        <v>409</v>
      </c>
      <c r="C407" s="95" t="s">
        <v>14</v>
      </c>
      <c r="D407" s="95" t="s">
        <v>410</v>
      </c>
      <c r="E407" s="315" t="s">
        <v>62</v>
      </c>
      <c r="F407" s="316"/>
      <c r="G407" s="97" t="s">
        <v>245</v>
      </c>
      <c r="H407" s="98">
        <v>1</v>
      </c>
      <c r="I407" s="99">
        <f>35.2/1.172</f>
        <v>30.034129692832767</v>
      </c>
      <c r="J407" s="99">
        <f>H407*I407</f>
        <v>30.034129692832767</v>
      </c>
    </row>
    <row r="408" spans="1:14" ht="26.1" customHeight="1" x14ac:dyDescent="0.2">
      <c r="A408" s="95" t="s">
        <v>53</v>
      </c>
      <c r="B408" s="96" t="s">
        <v>411</v>
      </c>
      <c r="C408" s="95" t="s">
        <v>14</v>
      </c>
      <c r="D408" s="95" t="s">
        <v>412</v>
      </c>
      <c r="E408" s="315" t="s">
        <v>62</v>
      </c>
      <c r="F408" s="316"/>
      <c r="G408" s="97" t="s">
        <v>245</v>
      </c>
      <c r="H408" s="98">
        <v>1</v>
      </c>
      <c r="I408" s="99">
        <f>159.46/1.172</f>
        <v>136.05802047781572</v>
      </c>
      <c r="J408" s="99">
        <f>H408*I408</f>
        <v>136.05802047781572</v>
      </c>
    </row>
    <row r="409" spans="1:14" ht="25.5" x14ac:dyDescent="0.2">
      <c r="A409" s="100"/>
      <c r="B409" s="100"/>
      <c r="C409" s="100"/>
      <c r="D409" s="100"/>
      <c r="E409" s="100" t="s">
        <v>42</v>
      </c>
      <c r="F409" s="101">
        <v>0</v>
      </c>
      <c r="G409" s="100" t="s">
        <v>43</v>
      </c>
      <c r="H409" s="101">
        <v>0</v>
      </c>
      <c r="I409" s="100" t="s">
        <v>44</v>
      </c>
      <c r="J409" s="101">
        <v>0</v>
      </c>
    </row>
    <row r="410" spans="1:14" ht="15" customHeight="1" thickBot="1" x14ac:dyDescent="0.25">
      <c r="A410" s="100"/>
      <c r="B410" s="100"/>
      <c r="C410" s="100"/>
      <c r="D410" s="100"/>
      <c r="E410" s="100" t="s">
        <v>45</v>
      </c>
      <c r="F410" s="101">
        <f>J406*$G$2</f>
        <v>35.460674061433451</v>
      </c>
      <c r="G410" s="100"/>
      <c r="H410" s="319" t="s">
        <v>46</v>
      </c>
      <c r="I410" s="319"/>
      <c r="J410" s="101">
        <f>J406+F410</f>
        <v>201.55282423208195</v>
      </c>
    </row>
    <row r="411" spans="1:14" ht="0.95" customHeight="1" thickTop="1" x14ac:dyDescent="0.2">
      <c r="A411" s="106"/>
      <c r="B411" s="106"/>
      <c r="C411" s="106"/>
      <c r="D411" s="106"/>
      <c r="E411" s="106"/>
      <c r="F411" s="106"/>
      <c r="G411" s="106"/>
      <c r="H411" s="106"/>
      <c r="I411" s="106"/>
      <c r="J411" s="106"/>
    </row>
    <row r="412" spans="1:14" ht="18" customHeight="1" x14ac:dyDescent="0.2">
      <c r="A412" s="87" t="str">
        <f>'[2]Orçamento Sintético'!B40</f>
        <v>08.06.02</v>
      </c>
      <c r="B412" s="88" t="s">
        <v>6</v>
      </c>
      <c r="C412" s="87" t="s">
        <v>7</v>
      </c>
      <c r="D412" s="87" t="s">
        <v>8</v>
      </c>
      <c r="E412" s="317" t="s">
        <v>35</v>
      </c>
      <c r="F412" s="318"/>
      <c r="G412" s="89" t="s">
        <v>9</v>
      </c>
      <c r="H412" s="88" t="s">
        <v>10</v>
      </c>
      <c r="I412" s="88" t="s">
        <v>11</v>
      </c>
      <c r="J412" s="88" t="s">
        <v>13</v>
      </c>
    </row>
    <row r="413" spans="1:14" s="105" customFormat="1" ht="24" customHeight="1" x14ac:dyDescent="0.25">
      <c r="A413" s="90" t="s">
        <v>36</v>
      </c>
      <c r="B413" s="91" t="s">
        <v>319</v>
      </c>
      <c r="C413" s="90" t="s">
        <v>14</v>
      </c>
      <c r="D413" s="90" t="s">
        <v>320</v>
      </c>
      <c r="E413" s="336" t="s">
        <v>41</v>
      </c>
      <c r="F413" s="337"/>
      <c r="G413" s="92" t="s">
        <v>27</v>
      </c>
      <c r="H413" s="93">
        <v>1</v>
      </c>
      <c r="I413" s="94">
        <f>SUM(J414:J418)</f>
        <v>15.143344709897612</v>
      </c>
      <c r="J413" s="94">
        <f>H413*I413</f>
        <v>15.143344709897612</v>
      </c>
      <c r="K413" s="308"/>
      <c r="L413" s="308"/>
      <c r="M413" s="341"/>
      <c r="N413" s="341"/>
    </row>
    <row r="414" spans="1:14" ht="26.1" customHeight="1" x14ac:dyDescent="0.2">
      <c r="A414" s="95" t="s">
        <v>38</v>
      </c>
      <c r="B414" s="96" t="s">
        <v>413</v>
      </c>
      <c r="C414" s="95" t="s">
        <v>17</v>
      </c>
      <c r="D414" s="95" t="s">
        <v>414</v>
      </c>
      <c r="E414" s="315" t="s">
        <v>41</v>
      </c>
      <c r="F414" s="316"/>
      <c r="G414" s="97" t="s">
        <v>50</v>
      </c>
      <c r="H414" s="98">
        <v>0.1</v>
      </c>
      <c r="I414" s="99">
        <f>24.21/1.172</f>
        <v>20.656996587030719</v>
      </c>
      <c r="J414" s="99">
        <f>H414*I414</f>
        <v>2.065699658703072</v>
      </c>
    </row>
    <row r="415" spans="1:14" ht="24" customHeight="1" x14ac:dyDescent="0.2">
      <c r="A415" s="95" t="s">
        <v>38</v>
      </c>
      <c r="B415" s="96" t="s">
        <v>51</v>
      </c>
      <c r="C415" s="95" t="s">
        <v>17</v>
      </c>
      <c r="D415" s="95" t="s">
        <v>52</v>
      </c>
      <c r="E415" s="315" t="s">
        <v>41</v>
      </c>
      <c r="F415" s="316"/>
      <c r="G415" s="97" t="s">
        <v>50</v>
      </c>
      <c r="H415" s="98">
        <v>0.2</v>
      </c>
      <c r="I415" s="99">
        <f>20.78/1.172</f>
        <v>17.730375426621162</v>
      </c>
      <c r="J415" s="99">
        <f t="shared" ref="J415:J418" si="11">H415*I415</f>
        <v>3.5460750853242327</v>
      </c>
    </row>
    <row r="416" spans="1:14" ht="26.1" customHeight="1" x14ac:dyDescent="0.2">
      <c r="A416" s="95" t="s">
        <v>53</v>
      </c>
      <c r="B416" s="96" t="s">
        <v>415</v>
      </c>
      <c r="C416" s="95" t="s">
        <v>17</v>
      </c>
      <c r="D416" s="95" t="s">
        <v>416</v>
      </c>
      <c r="E416" s="315" t="s">
        <v>56</v>
      </c>
      <c r="F416" s="316"/>
      <c r="G416" s="97" t="s">
        <v>27</v>
      </c>
      <c r="H416" s="98">
        <v>1</v>
      </c>
      <c r="I416" s="99">
        <f>3.41/1.172</f>
        <v>2.9095563139931744</v>
      </c>
      <c r="J416" s="99">
        <f t="shared" si="11"/>
        <v>2.9095563139931744</v>
      </c>
    </row>
    <row r="417" spans="1:10" ht="26.1" customHeight="1" x14ac:dyDescent="0.2">
      <c r="A417" s="95" t="s">
        <v>53</v>
      </c>
      <c r="B417" s="96" t="s">
        <v>417</v>
      </c>
      <c r="C417" s="95" t="s">
        <v>19</v>
      </c>
      <c r="D417" s="95" t="s">
        <v>418</v>
      </c>
      <c r="E417" s="315" t="s">
        <v>59</v>
      </c>
      <c r="F417" s="316"/>
      <c r="G417" s="97" t="s">
        <v>15</v>
      </c>
      <c r="H417" s="98">
        <v>0.1</v>
      </c>
      <c r="I417" s="99">
        <f>53.61/1.172</f>
        <v>45.742320819112628</v>
      </c>
      <c r="J417" s="99">
        <f t="shared" si="11"/>
        <v>4.574232081911263</v>
      </c>
    </row>
    <row r="418" spans="1:10" ht="26.1" customHeight="1" x14ac:dyDescent="0.2">
      <c r="A418" s="95" t="s">
        <v>53</v>
      </c>
      <c r="B418" s="96" t="s">
        <v>419</v>
      </c>
      <c r="C418" s="95" t="s">
        <v>17</v>
      </c>
      <c r="D418" s="95" t="s">
        <v>420</v>
      </c>
      <c r="E418" s="315" t="s">
        <v>56</v>
      </c>
      <c r="F418" s="316"/>
      <c r="G418" s="97" t="s">
        <v>15</v>
      </c>
      <c r="H418" s="98">
        <v>2</v>
      </c>
      <c r="I418" s="99">
        <f>1.2/1.172</f>
        <v>1.0238907849829353</v>
      </c>
      <c r="J418" s="99">
        <f t="shared" si="11"/>
        <v>2.0477815699658706</v>
      </c>
    </row>
    <row r="419" spans="1:10" ht="25.5" x14ac:dyDescent="0.2">
      <c r="A419" s="100"/>
      <c r="B419" s="100"/>
      <c r="C419" s="100"/>
      <c r="D419" s="100"/>
      <c r="E419" s="100" t="s">
        <v>42</v>
      </c>
      <c r="F419" s="101">
        <v>10.61</v>
      </c>
      <c r="G419" s="100" t="s">
        <v>43</v>
      </c>
      <c r="H419" s="101">
        <v>0</v>
      </c>
      <c r="I419" s="100" t="s">
        <v>44</v>
      </c>
      <c r="J419" s="101">
        <v>10.61</v>
      </c>
    </row>
    <row r="420" spans="1:10" ht="15" customHeight="1" thickBot="1" x14ac:dyDescent="0.25">
      <c r="A420" s="100"/>
      <c r="B420" s="100"/>
      <c r="C420" s="100"/>
      <c r="D420" s="100"/>
      <c r="E420" s="100" t="s">
        <v>45</v>
      </c>
      <c r="F420" s="101">
        <f>J413*$G$2</f>
        <v>3.23310409556314</v>
      </c>
      <c r="G420" s="100"/>
      <c r="H420" s="319" t="s">
        <v>46</v>
      </c>
      <c r="I420" s="319"/>
      <c r="J420" s="101">
        <f>F420+J413</f>
        <v>18.37644880546075</v>
      </c>
    </row>
    <row r="421" spans="1:10" ht="0.95" customHeight="1" thickTop="1" thickBot="1" x14ac:dyDescent="0.25">
      <c r="A421" s="106"/>
      <c r="B421" s="106"/>
      <c r="C421" s="106"/>
      <c r="D421" s="106"/>
      <c r="E421" s="106"/>
      <c r="F421" s="106"/>
      <c r="G421" s="106"/>
      <c r="H421" s="106"/>
      <c r="I421" s="106"/>
      <c r="J421" s="106"/>
    </row>
    <row r="422" spans="1:10" ht="0.95" customHeight="1" thickTop="1" x14ac:dyDescent="0.2">
      <c r="A422" s="106"/>
      <c r="B422" s="106"/>
      <c r="C422" s="106"/>
      <c r="D422" s="106"/>
      <c r="E422" s="106"/>
      <c r="F422" s="106"/>
      <c r="G422" s="106"/>
      <c r="H422" s="106"/>
      <c r="I422" s="106"/>
      <c r="J422" s="106"/>
    </row>
    <row r="423" spans="1:10" x14ac:dyDescent="0.2">
      <c r="A423" s="108"/>
      <c r="B423" s="108"/>
      <c r="C423" s="108"/>
      <c r="D423" s="108"/>
      <c r="E423" s="108"/>
      <c r="F423" s="108"/>
      <c r="G423" s="108"/>
      <c r="H423" s="108"/>
      <c r="I423" s="108"/>
      <c r="J423" s="108"/>
    </row>
    <row r="424" spans="1:10" x14ac:dyDescent="0.2">
      <c r="A424" s="108"/>
      <c r="B424" s="108"/>
      <c r="C424" s="108"/>
      <c r="D424" s="108"/>
      <c r="E424" s="108"/>
      <c r="F424" s="108"/>
      <c r="G424" s="108"/>
      <c r="H424" s="108"/>
      <c r="I424" s="108"/>
      <c r="J424" s="108"/>
    </row>
    <row r="425" spans="1:10" x14ac:dyDescent="0.2">
      <c r="A425" s="108"/>
      <c r="B425" s="108"/>
      <c r="C425" s="108"/>
      <c r="D425" s="108"/>
      <c r="E425" s="108"/>
      <c r="F425" s="108"/>
      <c r="G425" s="108"/>
      <c r="H425" s="108"/>
      <c r="I425" s="108"/>
      <c r="J425" s="108"/>
    </row>
    <row r="426" spans="1:10" x14ac:dyDescent="0.2">
      <c r="A426" s="108"/>
      <c r="B426" s="108"/>
      <c r="C426" s="108"/>
      <c r="D426" s="108"/>
      <c r="E426" s="108"/>
      <c r="F426" s="108"/>
      <c r="G426" s="108"/>
      <c r="H426" s="108"/>
      <c r="I426" s="108"/>
      <c r="J426" s="108"/>
    </row>
    <row r="428" spans="1:10" x14ac:dyDescent="0.2">
      <c r="H428" s="190" t="s">
        <v>228</v>
      </c>
      <c r="I428" s="190"/>
      <c r="J428" s="190"/>
    </row>
    <row r="429" spans="1:10" x14ac:dyDescent="0.2">
      <c r="H429" s="191" t="s">
        <v>451</v>
      </c>
      <c r="I429" s="191"/>
      <c r="J429" s="191"/>
    </row>
    <row r="430" spans="1:10" x14ac:dyDescent="0.2">
      <c r="H430" s="191" t="s">
        <v>452</v>
      </c>
      <c r="I430" s="191"/>
      <c r="J430" s="191"/>
    </row>
    <row r="431" spans="1:10" x14ac:dyDescent="0.2">
      <c r="H431" s="191" t="s">
        <v>173</v>
      </c>
      <c r="I431" s="191"/>
      <c r="J431" s="191"/>
    </row>
    <row r="432" spans="1:10" x14ac:dyDescent="0.2">
      <c r="H432" s="191" t="s">
        <v>453</v>
      </c>
      <c r="I432" s="191"/>
      <c r="J432" s="191"/>
    </row>
  </sheetData>
  <autoFilter ref="A1:M421" xr:uid="{48E68944-E6C2-49EC-B590-05B110C07A70}">
    <filterColumn colId="2" showButton="0"/>
    <filterColumn colId="4" showButton="0"/>
    <filterColumn colId="6" showButton="0"/>
    <filterColumn colId="8" showButton="0"/>
  </autoFilter>
  <mergeCells count="540">
    <mergeCell ref="H429:J429"/>
    <mergeCell ref="H430:J430"/>
    <mergeCell ref="H431:J431"/>
    <mergeCell ref="H432:J432"/>
    <mergeCell ref="F396:I396"/>
    <mergeCell ref="G397:I397"/>
    <mergeCell ref="A401:E401"/>
    <mergeCell ref="F401:I401"/>
    <mergeCell ref="H403:I403"/>
    <mergeCell ref="E405:F405"/>
    <mergeCell ref="E406:F406"/>
    <mergeCell ref="E407:F407"/>
    <mergeCell ref="H410:I410"/>
    <mergeCell ref="E415:F415"/>
    <mergeCell ref="E416:F416"/>
    <mergeCell ref="E417:F417"/>
    <mergeCell ref="E418:F418"/>
    <mergeCell ref="H420:I420"/>
    <mergeCell ref="G364:I364"/>
    <mergeCell ref="A365:E365"/>
    <mergeCell ref="F365:I365"/>
    <mergeCell ref="E369:F369"/>
    <mergeCell ref="E370:F370"/>
    <mergeCell ref="A371:A372"/>
    <mergeCell ref="B371:B372"/>
    <mergeCell ref="C371:C372"/>
    <mergeCell ref="D371:D372"/>
    <mergeCell ref="E371:E372"/>
    <mergeCell ref="F371:G371"/>
    <mergeCell ref="H371:I371"/>
    <mergeCell ref="J371:J372"/>
    <mergeCell ref="A381:E381"/>
    <mergeCell ref="F381:I381"/>
    <mergeCell ref="A382:E382"/>
    <mergeCell ref="F382:I382"/>
    <mergeCell ref="A334:E334"/>
    <mergeCell ref="F334:I334"/>
    <mergeCell ref="A335:E335"/>
    <mergeCell ref="F335:I335"/>
    <mergeCell ref="A336:E336"/>
    <mergeCell ref="F336:I336"/>
    <mergeCell ref="A337:E337"/>
    <mergeCell ref="F337:I337"/>
    <mergeCell ref="G339:I339"/>
    <mergeCell ref="G340:I340"/>
    <mergeCell ref="G341:I341"/>
    <mergeCell ref="G342:I342"/>
    <mergeCell ref="A343:E343"/>
    <mergeCell ref="F343:I343"/>
    <mergeCell ref="E347:F347"/>
    <mergeCell ref="E348:F348"/>
    <mergeCell ref="A349:A350"/>
    <mergeCell ref="B349:B350"/>
    <mergeCell ref="C349:C350"/>
    <mergeCell ref="D349:D350"/>
    <mergeCell ref="E349:E350"/>
    <mergeCell ref="F349:G349"/>
    <mergeCell ref="H349:I349"/>
    <mergeCell ref="A306:E306"/>
    <mergeCell ref="F306:I306"/>
    <mergeCell ref="A307:E307"/>
    <mergeCell ref="F307:I307"/>
    <mergeCell ref="E311:F311"/>
    <mergeCell ref="E312:F312"/>
    <mergeCell ref="A313:A314"/>
    <mergeCell ref="B313:B314"/>
    <mergeCell ref="C313:C314"/>
    <mergeCell ref="D313:D314"/>
    <mergeCell ref="E313:E314"/>
    <mergeCell ref="F313:G313"/>
    <mergeCell ref="H313:I313"/>
    <mergeCell ref="J313:J314"/>
    <mergeCell ref="A318:E318"/>
    <mergeCell ref="F318:I318"/>
    <mergeCell ref="A319:E319"/>
    <mergeCell ref="F319:I319"/>
    <mergeCell ref="A292:E292"/>
    <mergeCell ref="F292:I292"/>
    <mergeCell ref="A293:E293"/>
    <mergeCell ref="F293:I293"/>
    <mergeCell ref="E297:F297"/>
    <mergeCell ref="E298:F298"/>
    <mergeCell ref="A299:A300"/>
    <mergeCell ref="B299:B300"/>
    <mergeCell ref="C299:C300"/>
    <mergeCell ref="D299:D300"/>
    <mergeCell ref="E299:E300"/>
    <mergeCell ref="F299:G299"/>
    <mergeCell ref="H299:I299"/>
    <mergeCell ref="J299:J300"/>
    <mergeCell ref="A304:E304"/>
    <mergeCell ref="F304:I304"/>
    <mergeCell ref="A305:E305"/>
    <mergeCell ref="F305:I305"/>
    <mergeCell ref="A248:E248"/>
    <mergeCell ref="F248:I248"/>
    <mergeCell ref="A249:E249"/>
    <mergeCell ref="F249:I249"/>
    <mergeCell ref="A250:E250"/>
    <mergeCell ref="F250:I250"/>
    <mergeCell ref="A251:E251"/>
    <mergeCell ref="F251:I251"/>
    <mergeCell ref="H253:I253"/>
    <mergeCell ref="E262:F262"/>
    <mergeCell ref="E263:F263"/>
    <mergeCell ref="E264:F264"/>
    <mergeCell ref="E269:F269"/>
    <mergeCell ref="E270:F270"/>
    <mergeCell ref="A271:A272"/>
    <mergeCell ref="B271:B272"/>
    <mergeCell ref="C271:C272"/>
    <mergeCell ref="D271:D272"/>
    <mergeCell ref="E271:E272"/>
    <mergeCell ref="F271:G271"/>
    <mergeCell ref="H271:I271"/>
    <mergeCell ref="J229:J230"/>
    <mergeCell ref="A234:E234"/>
    <mergeCell ref="F234:I234"/>
    <mergeCell ref="A235:E235"/>
    <mergeCell ref="F235:I235"/>
    <mergeCell ref="A236:E236"/>
    <mergeCell ref="F236:I236"/>
    <mergeCell ref="A237:E237"/>
    <mergeCell ref="F237:I237"/>
    <mergeCell ref="E241:F241"/>
    <mergeCell ref="E242:F242"/>
    <mergeCell ref="A243:A244"/>
    <mergeCell ref="B243:B244"/>
    <mergeCell ref="C243:C244"/>
    <mergeCell ref="D243:D244"/>
    <mergeCell ref="E243:E244"/>
    <mergeCell ref="F243:G243"/>
    <mergeCell ref="H243:I243"/>
    <mergeCell ref="J243:J244"/>
    <mergeCell ref="E194:F194"/>
    <mergeCell ref="E195:F195"/>
    <mergeCell ref="A196:A197"/>
    <mergeCell ref="B196:B197"/>
    <mergeCell ref="C196:C197"/>
    <mergeCell ref="D196:D197"/>
    <mergeCell ref="E196:E197"/>
    <mergeCell ref="F196:G196"/>
    <mergeCell ref="H196:I196"/>
    <mergeCell ref="J196:J197"/>
    <mergeCell ref="A210:E210"/>
    <mergeCell ref="F210:I210"/>
    <mergeCell ref="A211:E211"/>
    <mergeCell ref="F211:I211"/>
    <mergeCell ref="A213:E213"/>
    <mergeCell ref="F213:I213"/>
    <mergeCell ref="G214:I214"/>
    <mergeCell ref="A172:E172"/>
    <mergeCell ref="F172:I172"/>
    <mergeCell ref="E176:F176"/>
    <mergeCell ref="E177:F177"/>
    <mergeCell ref="A178:A179"/>
    <mergeCell ref="B178:B179"/>
    <mergeCell ref="C178:C179"/>
    <mergeCell ref="D178:D179"/>
    <mergeCell ref="E178:E179"/>
    <mergeCell ref="F178:G178"/>
    <mergeCell ref="H178:I178"/>
    <mergeCell ref="J178:J179"/>
    <mergeCell ref="A187:E187"/>
    <mergeCell ref="F187:I187"/>
    <mergeCell ref="A188:E188"/>
    <mergeCell ref="F188:I188"/>
    <mergeCell ref="A189:E189"/>
    <mergeCell ref="F189:I189"/>
    <mergeCell ref="F158:I158"/>
    <mergeCell ref="E162:F162"/>
    <mergeCell ref="E163:F163"/>
    <mergeCell ref="A164:A165"/>
    <mergeCell ref="B164:B165"/>
    <mergeCell ref="C164:C165"/>
    <mergeCell ref="D164:D165"/>
    <mergeCell ref="E164:E165"/>
    <mergeCell ref="F164:G164"/>
    <mergeCell ref="H164:I164"/>
    <mergeCell ref="J164:J165"/>
    <mergeCell ref="A169:E169"/>
    <mergeCell ref="F169:I169"/>
    <mergeCell ref="A170:E170"/>
    <mergeCell ref="F170:I170"/>
    <mergeCell ref="A171:E171"/>
    <mergeCell ref="F171:I171"/>
    <mergeCell ref="B135:B136"/>
    <mergeCell ref="C135:C136"/>
    <mergeCell ref="D135:D136"/>
    <mergeCell ref="E135:E136"/>
    <mergeCell ref="F135:G135"/>
    <mergeCell ref="H135:I135"/>
    <mergeCell ref="J135:J136"/>
    <mergeCell ref="A141:E141"/>
    <mergeCell ref="F141:I141"/>
    <mergeCell ref="A142:E142"/>
    <mergeCell ref="F142:I142"/>
    <mergeCell ref="A143:E143"/>
    <mergeCell ref="F143:I143"/>
    <mergeCell ref="A144:E144"/>
    <mergeCell ref="F144:I144"/>
    <mergeCell ref="E148:F148"/>
    <mergeCell ref="E149:F149"/>
    <mergeCell ref="E111:F111"/>
    <mergeCell ref="A112:A113"/>
    <mergeCell ref="B112:B113"/>
    <mergeCell ref="C112:C113"/>
    <mergeCell ref="D112:D113"/>
    <mergeCell ref="E112:E113"/>
    <mergeCell ref="F112:G112"/>
    <mergeCell ref="H112:I112"/>
    <mergeCell ref="J112:J113"/>
    <mergeCell ref="A126:E126"/>
    <mergeCell ref="F126:I126"/>
    <mergeCell ref="A127:E127"/>
    <mergeCell ref="F127:I127"/>
    <mergeCell ref="A128:E128"/>
    <mergeCell ref="F128:I128"/>
    <mergeCell ref="A129:E129"/>
    <mergeCell ref="F129:I129"/>
    <mergeCell ref="E91:F91"/>
    <mergeCell ref="A92:A93"/>
    <mergeCell ref="B92:B93"/>
    <mergeCell ref="C92:C93"/>
    <mergeCell ref="D92:D93"/>
    <mergeCell ref="E92:E93"/>
    <mergeCell ref="F92:G92"/>
    <mergeCell ref="H92:I92"/>
    <mergeCell ref="J92:J93"/>
    <mergeCell ref="A103:E103"/>
    <mergeCell ref="F103:I103"/>
    <mergeCell ref="A104:E104"/>
    <mergeCell ref="F104:I104"/>
    <mergeCell ref="A105:E105"/>
    <mergeCell ref="F105:I105"/>
    <mergeCell ref="A106:E106"/>
    <mergeCell ref="F106:I106"/>
    <mergeCell ref="H44:I44"/>
    <mergeCell ref="F48:I48"/>
    <mergeCell ref="E57:F57"/>
    <mergeCell ref="E58:F58"/>
    <mergeCell ref="H60:I60"/>
    <mergeCell ref="F64:I64"/>
    <mergeCell ref="E66:F66"/>
    <mergeCell ref="E67:F67"/>
    <mergeCell ref="E68:F68"/>
    <mergeCell ref="H71:I71"/>
    <mergeCell ref="E73:F73"/>
    <mergeCell ref="E74:F74"/>
    <mergeCell ref="H77:I77"/>
    <mergeCell ref="E83:F83"/>
    <mergeCell ref="E84:F84"/>
    <mergeCell ref="E85:F85"/>
    <mergeCell ref="E90:F90"/>
    <mergeCell ref="E24:F24"/>
    <mergeCell ref="H27:I27"/>
    <mergeCell ref="E65:F65"/>
    <mergeCell ref="E55:F55"/>
    <mergeCell ref="E62:F62"/>
    <mergeCell ref="E63:F63"/>
    <mergeCell ref="E56:F56"/>
    <mergeCell ref="E29:F29"/>
    <mergeCell ref="E30:F30"/>
    <mergeCell ref="C1:D1"/>
    <mergeCell ref="E1:F1"/>
    <mergeCell ref="G1:H1"/>
    <mergeCell ref="I1:J1"/>
    <mergeCell ref="C2:D2"/>
    <mergeCell ref="E2:F2"/>
    <mergeCell ref="I2:J2"/>
    <mergeCell ref="E17:F17"/>
    <mergeCell ref="E18:F18"/>
    <mergeCell ref="E19:F19"/>
    <mergeCell ref="E20:F20"/>
    <mergeCell ref="E21:F21"/>
    <mergeCell ref="E13:F13"/>
    <mergeCell ref="A3:J3"/>
    <mergeCell ref="A4:J4"/>
    <mergeCell ref="E5:F5"/>
    <mergeCell ref="E6:F6"/>
    <mergeCell ref="E7:F7"/>
    <mergeCell ref="H9:I9"/>
    <mergeCell ref="E11:F11"/>
    <mergeCell ref="E12:F12"/>
    <mergeCell ref="H15:I15"/>
    <mergeCell ref="E22:F22"/>
    <mergeCell ref="E23:F23"/>
    <mergeCell ref="A123:E123"/>
    <mergeCell ref="F123:I123"/>
    <mergeCell ref="E86:F86"/>
    <mergeCell ref="E82:F82"/>
    <mergeCell ref="E69:F69"/>
    <mergeCell ref="E75:F75"/>
    <mergeCell ref="E47:F47"/>
    <mergeCell ref="E49:F49"/>
    <mergeCell ref="E50:F50"/>
    <mergeCell ref="E51:F51"/>
    <mergeCell ref="E39:F39"/>
    <mergeCell ref="E40:F40"/>
    <mergeCell ref="E41:F41"/>
    <mergeCell ref="E46:F46"/>
    <mergeCell ref="E80:F80"/>
    <mergeCell ref="E81:F81"/>
    <mergeCell ref="A153:E153"/>
    <mergeCell ref="F153:I153"/>
    <mergeCell ref="A154:E154"/>
    <mergeCell ref="F154:I154"/>
    <mergeCell ref="H146:I146"/>
    <mergeCell ref="A168:E168"/>
    <mergeCell ref="F168:I168"/>
    <mergeCell ref="E259:F259"/>
    <mergeCell ref="A204:E204"/>
    <mergeCell ref="F204:I204"/>
    <mergeCell ref="F205:I205"/>
    <mergeCell ref="A207:E207"/>
    <mergeCell ref="F207:I207"/>
    <mergeCell ref="A208:E208"/>
    <mergeCell ref="E255:F255"/>
    <mergeCell ref="E256:F256"/>
    <mergeCell ref="E257:F257"/>
    <mergeCell ref="E258:F258"/>
    <mergeCell ref="A246:E246"/>
    <mergeCell ref="F246:I246"/>
    <mergeCell ref="A247:E247"/>
    <mergeCell ref="F247:I247"/>
    <mergeCell ref="A275:E275"/>
    <mergeCell ref="F275:I275"/>
    <mergeCell ref="H281:I281"/>
    <mergeCell ref="E260:F260"/>
    <mergeCell ref="E261:F261"/>
    <mergeCell ref="E265:F265"/>
    <mergeCell ref="A333:E333"/>
    <mergeCell ref="F333:I333"/>
    <mergeCell ref="G338:I338"/>
    <mergeCell ref="A302:E302"/>
    <mergeCell ref="F302:I302"/>
    <mergeCell ref="A303:E303"/>
    <mergeCell ref="F303:I303"/>
    <mergeCell ref="A361:E361"/>
    <mergeCell ref="F361:I361"/>
    <mergeCell ref="H367:I367"/>
    <mergeCell ref="H345:I345"/>
    <mergeCell ref="A359:E359"/>
    <mergeCell ref="F359:I359"/>
    <mergeCell ref="A360:E360"/>
    <mergeCell ref="F360:I360"/>
    <mergeCell ref="A362:E362"/>
    <mergeCell ref="F362:I362"/>
    <mergeCell ref="G363:I363"/>
    <mergeCell ref="A384:E384"/>
    <mergeCell ref="F384:I384"/>
    <mergeCell ref="G385:I385"/>
    <mergeCell ref="G386:I386"/>
    <mergeCell ref="G387:I387"/>
    <mergeCell ref="A388:E388"/>
    <mergeCell ref="F388:I388"/>
    <mergeCell ref="A392:E392"/>
    <mergeCell ref="F392:I392"/>
    <mergeCell ref="A383:E383"/>
    <mergeCell ref="F383:I383"/>
    <mergeCell ref="G389:I389"/>
    <mergeCell ref="G390:I390"/>
    <mergeCell ref="G391:I391"/>
    <mergeCell ref="H393:I393"/>
    <mergeCell ref="H394:I394"/>
    <mergeCell ref="H395:I395"/>
    <mergeCell ref="A396:E396"/>
    <mergeCell ref="E32:F32"/>
    <mergeCell ref="E36:F36"/>
    <mergeCell ref="E37:F37"/>
    <mergeCell ref="E38:F38"/>
    <mergeCell ref="E25:F25"/>
    <mergeCell ref="H88:I88"/>
    <mergeCell ref="E33:F33"/>
    <mergeCell ref="E34:F34"/>
    <mergeCell ref="E35:F35"/>
    <mergeCell ref="E52:F52"/>
    <mergeCell ref="E53:F53"/>
    <mergeCell ref="E54:F54"/>
    <mergeCell ref="E79:F79"/>
    <mergeCell ref="F31:I31"/>
    <mergeCell ref="E42:F42"/>
    <mergeCell ref="A97:E97"/>
    <mergeCell ref="F97:I97"/>
    <mergeCell ref="F98:I98"/>
    <mergeCell ref="H108:I108"/>
    <mergeCell ref="A120:E120"/>
    <mergeCell ref="F120:I120"/>
    <mergeCell ref="F121:I121"/>
    <mergeCell ref="A100:E100"/>
    <mergeCell ref="F100:I100"/>
    <mergeCell ref="A101:E101"/>
    <mergeCell ref="F101:I101"/>
    <mergeCell ref="A102:E102"/>
    <mergeCell ref="F102:I102"/>
    <mergeCell ref="E110:F110"/>
    <mergeCell ref="A124:E124"/>
    <mergeCell ref="F124:I124"/>
    <mergeCell ref="A139:E139"/>
    <mergeCell ref="F139:I139"/>
    <mergeCell ref="A140:E140"/>
    <mergeCell ref="F140:I140"/>
    <mergeCell ref="A125:E125"/>
    <mergeCell ref="F125:I125"/>
    <mergeCell ref="H131:I131"/>
    <mergeCell ref="E133:F133"/>
    <mergeCell ref="E134:F134"/>
    <mergeCell ref="A135:A136"/>
    <mergeCell ref="H160:I160"/>
    <mergeCell ref="A167:E167"/>
    <mergeCell ref="F167:I167"/>
    <mergeCell ref="A150:A151"/>
    <mergeCell ref="B150:B151"/>
    <mergeCell ref="C150:C151"/>
    <mergeCell ref="D150:D151"/>
    <mergeCell ref="E150:E151"/>
    <mergeCell ref="F150:G150"/>
    <mergeCell ref="H150:I150"/>
    <mergeCell ref="J150:J151"/>
    <mergeCell ref="A155:E155"/>
    <mergeCell ref="F155:I155"/>
    <mergeCell ref="A156:E156"/>
    <mergeCell ref="F156:I156"/>
    <mergeCell ref="A157:E157"/>
    <mergeCell ref="F157:I157"/>
    <mergeCell ref="A158:E158"/>
    <mergeCell ref="H174:I174"/>
    <mergeCell ref="A181:E181"/>
    <mergeCell ref="F181:I181"/>
    <mergeCell ref="F182:I182"/>
    <mergeCell ref="A184:E184"/>
    <mergeCell ref="F184:I184"/>
    <mergeCell ref="A185:E185"/>
    <mergeCell ref="F185:I185"/>
    <mergeCell ref="A186:E186"/>
    <mergeCell ref="F186:I186"/>
    <mergeCell ref="H192:I192"/>
    <mergeCell ref="A190:E190"/>
    <mergeCell ref="F190:I190"/>
    <mergeCell ref="F208:I208"/>
    <mergeCell ref="A209:E209"/>
    <mergeCell ref="F209:I209"/>
    <mergeCell ref="A212:E212"/>
    <mergeCell ref="F212:I212"/>
    <mergeCell ref="A219:E219"/>
    <mergeCell ref="F219:I219"/>
    <mergeCell ref="H225:I225"/>
    <mergeCell ref="G215:I215"/>
    <mergeCell ref="A216:E216"/>
    <mergeCell ref="F216:I216"/>
    <mergeCell ref="H217:I217"/>
    <mergeCell ref="H218:I218"/>
    <mergeCell ref="G220:I220"/>
    <mergeCell ref="A223:E223"/>
    <mergeCell ref="F223:I223"/>
    <mergeCell ref="A232:E232"/>
    <mergeCell ref="F232:I232"/>
    <mergeCell ref="A233:E233"/>
    <mergeCell ref="F233:I233"/>
    <mergeCell ref="H239:I239"/>
    <mergeCell ref="E227:F227"/>
    <mergeCell ref="E228:F228"/>
    <mergeCell ref="A229:A230"/>
    <mergeCell ref="B229:B230"/>
    <mergeCell ref="C229:C230"/>
    <mergeCell ref="D229:D230"/>
    <mergeCell ref="E229:E230"/>
    <mergeCell ref="F229:G229"/>
    <mergeCell ref="H229:I229"/>
    <mergeCell ref="H267:I267"/>
    <mergeCell ref="A274:E274"/>
    <mergeCell ref="F274:I274"/>
    <mergeCell ref="A288:E288"/>
    <mergeCell ref="F288:I288"/>
    <mergeCell ref="J271:J272"/>
    <mergeCell ref="A276:E276"/>
    <mergeCell ref="F276:I276"/>
    <mergeCell ref="A277:E277"/>
    <mergeCell ref="F277:I277"/>
    <mergeCell ref="A278:E278"/>
    <mergeCell ref="F278:I278"/>
    <mergeCell ref="A279:E279"/>
    <mergeCell ref="F279:I279"/>
    <mergeCell ref="E283:F283"/>
    <mergeCell ref="E284:F284"/>
    <mergeCell ref="A285:A286"/>
    <mergeCell ref="B285:B286"/>
    <mergeCell ref="C285:C286"/>
    <mergeCell ref="A289:E289"/>
    <mergeCell ref="F289:I289"/>
    <mergeCell ref="H295:I295"/>
    <mergeCell ref="H309:I309"/>
    <mergeCell ref="D285:D286"/>
    <mergeCell ref="E285:E286"/>
    <mergeCell ref="F285:G285"/>
    <mergeCell ref="H285:I285"/>
    <mergeCell ref="J285:J286"/>
    <mergeCell ref="A290:E290"/>
    <mergeCell ref="F290:I290"/>
    <mergeCell ref="A291:E291"/>
    <mergeCell ref="F291:I291"/>
    <mergeCell ref="A316:E316"/>
    <mergeCell ref="F316:I316"/>
    <mergeCell ref="A317:E317"/>
    <mergeCell ref="F317:I317"/>
    <mergeCell ref="E327:F327"/>
    <mergeCell ref="A320:E320"/>
    <mergeCell ref="F320:I320"/>
    <mergeCell ref="A321:E321"/>
    <mergeCell ref="F321:I321"/>
    <mergeCell ref="H323:I323"/>
    <mergeCell ref="E325:F325"/>
    <mergeCell ref="E326:F326"/>
    <mergeCell ref="H329:I329"/>
    <mergeCell ref="E331:F331"/>
    <mergeCell ref="E332:F332"/>
    <mergeCell ref="A352:E352"/>
    <mergeCell ref="F352:I352"/>
    <mergeCell ref="F353:I353"/>
    <mergeCell ref="A356:E356"/>
    <mergeCell ref="F356:I356"/>
    <mergeCell ref="A357:E357"/>
    <mergeCell ref="F357:I357"/>
    <mergeCell ref="A358:E358"/>
    <mergeCell ref="F358:I358"/>
    <mergeCell ref="J349:J350"/>
    <mergeCell ref="A374:E374"/>
    <mergeCell ref="F374:I374"/>
    <mergeCell ref="F375:I375"/>
    <mergeCell ref="A378:E378"/>
    <mergeCell ref="F378:I378"/>
    <mergeCell ref="A379:E379"/>
    <mergeCell ref="F379:I379"/>
    <mergeCell ref="A380:E380"/>
    <mergeCell ref="F380:I380"/>
    <mergeCell ref="E408:F408"/>
    <mergeCell ref="E412:F412"/>
    <mergeCell ref="E413:F413"/>
    <mergeCell ref="E414:F414"/>
    <mergeCell ref="H428:J428"/>
  </mergeCells>
  <pageMargins left="0.51181102362204722" right="0.51181102362204722" top="0.78740157480314965" bottom="0.78740157480314965" header="0.31496062992125984" footer="0.31496062992125984"/>
  <pageSetup paperSize="9" scale="47" fitToHeight="0" orientation="portrait" horizontalDpi="300" verticalDpi="300" r:id="rId1"/>
  <rowBreaks count="5" manualBreakCount="5">
    <brk id="72" max="9" man="1"/>
    <brk id="142" max="9" man="1"/>
    <brk id="345" max="9" man="1"/>
    <brk id="403" max="9" man="1"/>
    <brk id="3235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09011-52B2-492A-AF75-7D4BA2E75E3E}">
  <sheetPr>
    <pageSetUpPr fitToPage="1"/>
  </sheetPr>
  <dimension ref="C1:S45"/>
  <sheetViews>
    <sheetView topLeftCell="L29" zoomScaleNormal="100" zoomScaleSheetLayoutView="80" workbookViewId="0">
      <selection activeCell="R43" sqref="R43"/>
    </sheetView>
  </sheetViews>
  <sheetFormatPr defaultRowHeight="12.75" x14ac:dyDescent="0.2"/>
  <cols>
    <col min="1" max="1" width="1.5" style="3" customWidth="1"/>
    <col min="2" max="2" width="1.625" style="3" customWidth="1"/>
    <col min="3" max="3" width="17.375" style="3" customWidth="1"/>
    <col min="4" max="4" width="33.125" style="3" customWidth="1"/>
    <col min="5" max="5" width="19.875" style="3" bestFit="1" customWidth="1"/>
    <col min="6" max="6" width="9" style="3"/>
    <col min="7" max="13" width="23.875" style="60" customWidth="1"/>
    <col min="14" max="14" width="27" style="60" customWidth="1"/>
    <col min="15" max="15" width="23.875" style="60" customWidth="1"/>
    <col min="16" max="16" width="13.5" style="3" customWidth="1"/>
    <col min="17" max="18" width="9" style="3"/>
    <col min="19" max="19" width="13.875" style="3" bestFit="1" customWidth="1"/>
    <col min="20" max="266" width="9" style="3"/>
    <col min="267" max="267" width="11.125" style="3" customWidth="1"/>
    <col min="268" max="268" width="33.125" style="3" customWidth="1"/>
    <col min="269" max="269" width="16.375" style="3" customWidth="1"/>
    <col min="270" max="270" width="9" style="3"/>
    <col min="271" max="271" width="23.875" style="3" customWidth="1"/>
    <col min="272" max="272" width="13.5" style="3" customWidth="1"/>
    <col min="273" max="522" width="9" style="3"/>
    <col min="523" max="523" width="11.125" style="3" customWidth="1"/>
    <col min="524" max="524" width="33.125" style="3" customWidth="1"/>
    <col min="525" max="525" width="16.375" style="3" customWidth="1"/>
    <col min="526" max="526" width="9" style="3"/>
    <col min="527" max="527" width="23.875" style="3" customWidth="1"/>
    <col min="528" max="528" width="13.5" style="3" customWidth="1"/>
    <col min="529" max="778" width="9" style="3"/>
    <col min="779" max="779" width="11.125" style="3" customWidth="1"/>
    <col min="780" max="780" width="33.125" style="3" customWidth="1"/>
    <col min="781" max="781" width="16.375" style="3" customWidth="1"/>
    <col min="782" max="782" width="9" style="3"/>
    <col min="783" max="783" width="23.875" style="3" customWidth="1"/>
    <col min="784" max="784" width="13.5" style="3" customWidth="1"/>
    <col min="785" max="1034" width="9" style="3"/>
    <col min="1035" max="1035" width="11.125" style="3" customWidth="1"/>
    <col min="1036" max="1036" width="33.125" style="3" customWidth="1"/>
    <col min="1037" max="1037" width="16.375" style="3" customWidth="1"/>
    <col min="1038" max="1038" width="9" style="3"/>
    <col min="1039" max="1039" width="23.875" style="3" customWidth="1"/>
    <col min="1040" max="1040" width="13.5" style="3" customWidth="1"/>
    <col min="1041" max="1290" width="9" style="3"/>
    <col min="1291" max="1291" width="11.125" style="3" customWidth="1"/>
    <col min="1292" max="1292" width="33.125" style="3" customWidth="1"/>
    <col min="1293" max="1293" width="16.375" style="3" customWidth="1"/>
    <col min="1294" max="1294" width="9" style="3"/>
    <col min="1295" max="1295" width="23.875" style="3" customWidth="1"/>
    <col min="1296" max="1296" width="13.5" style="3" customWidth="1"/>
    <col min="1297" max="1546" width="9" style="3"/>
    <col min="1547" max="1547" width="11.125" style="3" customWidth="1"/>
    <col min="1548" max="1548" width="33.125" style="3" customWidth="1"/>
    <col min="1549" max="1549" width="16.375" style="3" customWidth="1"/>
    <col min="1550" max="1550" width="9" style="3"/>
    <col min="1551" max="1551" width="23.875" style="3" customWidth="1"/>
    <col min="1552" max="1552" width="13.5" style="3" customWidth="1"/>
    <col min="1553" max="1802" width="9" style="3"/>
    <col min="1803" max="1803" width="11.125" style="3" customWidth="1"/>
    <col min="1804" max="1804" width="33.125" style="3" customWidth="1"/>
    <col min="1805" max="1805" width="16.375" style="3" customWidth="1"/>
    <col min="1806" max="1806" width="9" style="3"/>
    <col min="1807" max="1807" width="23.875" style="3" customWidth="1"/>
    <col min="1808" max="1808" width="13.5" style="3" customWidth="1"/>
    <col min="1809" max="2058" width="9" style="3"/>
    <col min="2059" max="2059" width="11.125" style="3" customWidth="1"/>
    <col min="2060" max="2060" width="33.125" style="3" customWidth="1"/>
    <col min="2061" max="2061" width="16.375" style="3" customWidth="1"/>
    <col min="2062" max="2062" width="9" style="3"/>
    <col min="2063" max="2063" width="23.875" style="3" customWidth="1"/>
    <col min="2064" max="2064" width="13.5" style="3" customWidth="1"/>
    <col min="2065" max="2314" width="9" style="3"/>
    <col min="2315" max="2315" width="11.125" style="3" customWidth="1"/>
    <col min="2316" max="2316" width="33.125" style="3" customWidth="1"/>
    <col min="2317" max="2317" width="16.375" style="3" customWidth="1"/>
    <col min="2318" max="2318" width="9" style="3"/>
    <col min="2319" max="2319" width="23.875" style="3" customWidth="1"/>
    <col min="2320" max="2320" width="13.5" style="3" customWidth="1"/>
    <col min="2321" max="2570" width="9" style="3"/>
    <col min="2571" max="2571" width="11.125" style="3" customWidth="1"/>
    <col min="2572" max="2572" width="33.125" style="3" customWidth="1"/>
    <col min="2573" max="2573" width="16.375" style="3" customWidth="1"/>
    <col min="2574" max="2574" width="9" style="3"/>
    <col min="2575" max="2575" width="23.875" style="3" customWidth="1"/>
    <col min="2576" max="2576" width="13.5" style="3" customWidth="1"/>
    <col min="2577" max="2826" width="9" style="3"/>
    <col min="2827" max="2827" width="11.125" style="3" customWidth="1"/>
    <col min="2828" max="2828" width="33.125" style="3" customWidth="1"/>
    <col min="2829" max="2829" width="16.375" style="3" customWidth="1"/>
    <col min="2830" max="2830" width="9" style="3"/>
    <col min="2831" max="2831" width="23.875" style="3" customWidth="1"/>
    <col min="2832" max="2832" width="13.5" style="3" customWidth="1"/>
    <col min="2833" max="3082" width="9" style="3"/>
    <col min="3083" max="3083" width="11.125" style="3" customWidth="1"/>
    <col min="3084" max="3084" width="33.125" style="3" customWidth="1"/>
    <col min="3085" max="3085" width="16.375" style="3" customWidth="1"/>
    <col min="3086" max="3086" width="9" style="3"/>
    <col min="3087" max="3087" width="23.875" style="3" customWidth="1"/>
    <col min="3088" max="3088" width="13.5" style="3" customWidth="1"/>
    <col min="3089" max="3338" width="9" style="3"/>
    <col min="3339" max="3339" width="11.125" style="3" customWidth="1"/>
    <col min="3340" max="3340" width="33.125" style="3" customWidth="1"/>
    <col min="3341" max="3341" width="16.375" style="3" customWidth="1"/>
    <col min="3342" max="3342" width="9" style="3"/>
    <col min="3343" max="3343" width="23.875" style="3" customWidth="1"/>
    <col min="3344" max="3344" width="13.5" style="3" customWidth="1"/>
    <col min="3345" max="3594" width="9" style="3"/>
    <col min="3595" max="3595" width="11.125" style="3" customWidth="1"/>
    <col min="3596" max="3596" width="33.125" style="3" customWidth="1"/>
    <col min="3597" max="3597" width="16.375" style="3" customWidth="1"/>
    <col min="3598" max="3598" width="9" style="3"/>
    <col min="3599" max="3599" width="23.875" style="3" customWidth="1"/>
    <col min="3600" max="3600" width="13.5" style="3" customWidth="1"/>
    <col min="3601" max="3850" width="9" style="3"/>
    <col min="3851" max="3851" width="11.125" style="3" customWidth="1"/>
    <col min="3852" max="3852" width="33.125" style="3" customWidth="1"/>
    <col min="3853" max="3853" width="16.375" style="3" customWidth="1"/>
    <col min="3854" max="3854" width="9" style="3"/>
    <col min="3855" max="3855" width="23.875" style="3" customWidth="1"/>
    <col min="3856" max="3856" width="13.5" style="3" customWidth="1"/>
    <col min="3857" max="4106" width="9" style="3"/>
    <col min="4107" max="4107" width="11.125" style="3" customWidth="1"/>
    <col min="4108" max="4108" width="33.125" style="3" customWidth="1"/>
    <col min="4109" max="4109" width="16.375" style="3" customWidth="1"/>
    <col min="4110" max="4110" width="9" style="3"/>
    <col min="4111" max="4111" width="23.875" style="3" customWidth="1"/>
    <col min="4112" max="4112" width="13.5" style="3" customWidth="1"/>
    <col min="4113" max="4362" width="9" style="3"/>
    <col min="4363" max="4363" width="11.125" style="3" customWidth="1"/>
    <col min="4364" max="4364" width="33.125" style="3" customWidth="1"/>
    <col min="4365" max="4365" width="16.375" style="3" customWidth="1"/>
    <col min="4366" max="4366" width="9" style="3"/>
    <col min="4367" max="4367" width="23.875" style="3" customWidth="1"/>
    <col min="4368" max="4368" width="13.5" style="3" customWidth="1"/>
    <col min="4369" max="4618" width="9" style="3"/>
    <col min="4619" max="4619" width="11.125" style="3" customWidth="1"/>
    <col min="4620" max="4620" width="33.125" style="3" customWidth="1"/>
    <col min="4621" max="4621" width="16.375" style="3" customWidth="1"/>
    <col min="4622" max="4622" width="9" style="3"/>
    <col min="4623" max="4623" width="23.875" style="3" customWidth="1"/>
    <col min="4624" max="4624" width="13.5" style="3" customWidth="1"/>
    <col min="4625" max="4874" width="9" style="3"/>
    <col min="4875" max="4875" width="11.125" style="3" customWidth="1"/>
    <col min="4876" max="4876" width="33.125" style="3" customWidth="1"/>
    <col min="4877" max="4877" width="16.375" style="3" customWidth="1"/>
    <col min="4878" max="4878" width="9" style="3"/>
    <col min="4879" max="4879" width="23.875" style="3" customWidth="1"/>
    <col min="4880" max="4880" width="13.5" style="3" customWidth="1"/>
    <col min="4881" max="5130" width="9" style="3"/>
    <col min="5131" max="5131" width="11.125" style="3" customWidth="1"/>
    <col min="5132" max="5132" width="33.125" style="3" customWidth="1"/>
    <col min="5133" max="5133" width="16.375" style="3" customWidth="1"/>
    <col min="5134" max="5134" width="9" style="3"/>
    <col min="5135" max="5135" width="23.875" style="3" customWidth="1"/>
    <col min="5136" max="5136" width="13.5" style="3" customWidth="1"/>
    <col min="5137" max="5386" width="9" style="3"/>
    <col min="5387" max="5387" width="11.125" style="3" customWidth="1"/>
    <col min="5388" max="5388" width="33.125" style="3" customWidth="1"/>
    <col min="5389" max="5389" width="16.375" style="3" customWidth="1"/>
    <col min="5390" max="5390" width="9" style="3"/>
    <col min="5391" max="5391" width="23.875" style="3" customWidth="1"/>
    <col min="5392" max="5392" width="13.5" style="3" customWidth="1"/>
    <col min="5393" max="5642" width="9" style="3"/>
    <col min="5643" max="5643" width="11.125" style="3" customWidth="1"/>
    <col min="5644" max="5644" width="33.125" style="3" customWidth="1"/>
    <col min="5645" max="5645" width="16.375" style="3" customWidth="1"/>
    <col min="5646" max="5646" width="9" style="3"/>
    <col min="5647" max="5647" width="23.875" style="3" customWidth="1"/>
    <col min="5648" max="5648" width="13.5" style="3" customWidth="1"/>
    <col min="5649" max="5898" width="9" style="3"/>
    <col min="5899" max="5899" width="11.125" style="3" customWidth="1"/>
    <col min="5900" max="5900" width="33.125" style="3" customWidth="1"/>
    <col min="5901" max="5901" width="16.375" style="3" customWidth="1"/>
    <col min="5902" max="5902" width="9" style="3"/>
    <col min="5903" max="5903" width="23.875" style="3" customWidth="1"/>
    <col min="5904" max="5904" width="13.5" style="3" customWidth="1"/>
    <col min="5905" max="6154" width="9" style="3"/>
    <col min="6155" max="6155" width="11.125" style="3" customWidth="1"/>
    <col min="6156" max="6156" width="33.125" style="3" customWidth="1"/>
    <col min="6157" max="6157" width="16.375" style="3" customWidth="1"/>
    <col min="6158" max="6158" width="9" style="3"/>
    <col min="6159" max="6159" width="23.875" style="3" customWidth="1"/>
    <col min="6160" max="6160" width="13.5" style="3" customWidth="1"/>
    <col min="6161" max="6410" width="9" style="3"/>
    <col min="6411" max="6411" width="11.125" style="3" customWidth="1"/>
    <col min="6412" max="6412" width="33.125" style="3" customWidth="1"/>
    <col min="6413" max="6413" width="16.375" style="3" customWidth="1"/>
    <col min="6414" max="6414" width="9" style="3"/>
    <col min="6415" max="6415" width="23.875" style="3" customWidth="1"/>
    <col min="6416" max="6416" width="13.5" style="3" customWidth="1"/>
    <col min="6417" max="6666" width="9" style="3"/>
    <col min="6667" max="6667" width="11.125" style="3" customWidth="1"/>
    <col min="6668" max="6668" width="33.125" style="3" customWidth="1"/>
    <col min="6669" max="6669" width="16.375" style="3" customWidth="1"/>
    <col min="6670" max="6670" width="9" style="3"/>
    <col min="6671" max="6671" width="23.875" style="3" customWidth="1"/>
    <col min="6672" max="6672" width="13.5" style="3" customWidth="1"/>
    <col min="6673" max="6922" width="9" style="3"/>
    <col min="6923" max="6923" width="11.125" style="3" customWidth="1"/>
    <col min="6924" max="6924" width="33.125" style="3" customWidth="1"/>
    <col min="6925" max="6925" width="16.375" style="3" customWidth="1"/>
    <col min="6926" max="6926" width="9" style="3"/>
    <col min="6927" max="6927" width="23.875" style="3" customWidth="1"/>
    <col min="6928" max="6928" width="13.5" style="3" customWidth="1"/>
    <col min="6929" max="7178" width="9" style="3"/>
    <col min="7179" max="7179" width="11.125" style="3" customWidth="1"/>
    <col min="7180" max="7180" width="33.125" style="3" customWidth="1"/>
    <col min="7181" max="7181" width="16.375" style="3" customWidth="1"/>
    <col min="7182" max="7182" width="9" style="3"/>
    <col min="7183" max="7183" width="23.875" style="3" customWidth="1"/>
    <col min="7184" max="7184" width="13.5" style="3" customWidth="1"/>
    <col min="7185" max="7434" width="9" style="3"/>
    <col min="7435" max="7435" width="11.125" style="3" customWidth="1"/>
    <col min="7436" max="7436" width="33.125" style="3" customWidth="1"/>
    <col min="7437" max="7437" width="16.375" style="3" customWidth="1"/>
    <col min="7438" max="7438" width="9" style="3"/>
    <col min="7439" max="7439" width="23.875" style="3" customWidth="1"/>
    <col min="7440" max="7440" width="13.5" style="3" customWidth="1"/>
    <col min="7441" max="7690" width="9" style="3"/>
    <col min="7691" max="7691" width="11.125" style="3" customWidth="1"/>
    <col min="7692" max="7692" width="33.125" style="3" customWidth="1"/>
    <col min="7693" max="7693" width="16.375" style="3" customWidth="1"/>
    <col min="7694" max="7694" width="9" style="3"/>
    <col min="7695" max="7695" width="23.875" style="3" customWidth="1"/>
    <col min="7696" max="7696" width="13.5" style="3" customWidth="1"/>
    <col min="7697" max="7946" width="9" style="3"/>
    <col min="7947" max="7947" width="11.125" style="3" customWidth="1"/>
    <col min="7948" max="7948" width="33.125" style="3" customWidth="1"/>
    <col min="7949" max="7949" width="16.375" style="3" customWidth="1"/>
    <col min="7950" max="7950" width="9" style="3"/>
    <col min="7951" max="7951" width="23.875" style="3" customWidth="1"/>
    <col min="7952" max="7952" width="13.5" style="3" customWidth="1"/>
    <col min="7953" max="8202" width="9" style="3"/>
    <col min="8203" max="8203" width="11.125" style="3" customWidth="1"/>
    <col min="8204" max="8204" width="33.125" style="3" customWidth="1"/>
    <col min="8205" max="8205" width="16.375" style="3" customWidth="1"/>
    <col min="8206" max="8206" width="9" style="3"/>
    <col min="8207" max="8207" width="23.875" style="3" customWidth="1"/>
    <col min="8208" max="8208" width="13.5" style="3" customWidth="1"/>
    <col min="8209" max="8458" width="9" style="3"/>
    <col min="8459" max="8459" width="11.125" style="3" customWidth="1"/>
    <col min="8460" max="8460" width="33.125" style="3" customWidth="1"/>
    <col min="8461" max="8461" width="16.375" style="3" customWidth="1"/>
    <col min="8462" max="8462" width="9" style="3"/>
    <col min="8463" max="8463" width="23.875" style="3" customWidth="1"/>
    <col min="8464" max="8464" width="13.5" style="3" customWidth="1"/>
    <col min="8465" max="8714" width="9" style="3"/>
    <col min="8715" max="8715" width="11.125" style="3" customWidth="1"/>
    <col min="8716" max="8716" width="33.125" style="3" customWidth="1"/>
    <col min="8717" max="8717" width="16.375" style="3" customWidth="1"/>
    <col min="8718" max="8718" width="9" style="3"/>
    <col min="8719" max="8719" width="23.875" style="3" customWidth="1"/>
    <col min="8720" max="8720" width="13.5" style="3" customWidth="1"/>
    <col min="8721" max="8970" width="9" style="3"/>
    <col min="8971" max="8971" width="11.125" style="3" customWidth="1"/>
    <col min="8972" max="8972" width="33.125" style="3" customWidth="1"/>
    <col min="8973" max="8973" width="16.375" style="3" customWidth="1"/>
    <col min="8974" max="8974" width="9" style="3"/>
    <col min="8975" max="8975" width="23.875" style="3" customWidth="1"/>
    <col min="8976" max="8976" width="13.5" style="3" customWidth="1"/>
    <col min="8977" max="9226" width="9" style="3"/>
    <col min="9227" max="9227" width="11.125" style="3" customWidth="1"/>
    <col min="9228" max="9228" width="33.125" style="3" customWidth="1"/>
    <col min="9229" max="9229" width="16.375" style="3" customWidth="1"/>
    <col min="9230" max="9230" width="9" style="3"/>
    <col min="9231" max="9231" width="23.875" style="3" customWidth="1"/>
    <col min="9232" max="9232" width="13.5" style="3" customWidth="1"/>
    <col min="9233" max="9482" width="9" style="3"/>
    <col min="9483" max="9483" width="11.125" style="3" customWidth="1"/>
    <col min="9484" max="9484" width="33.125" style="3" customWidth="1"/>
    <col min="9485" max="9485" width="16.375" style="3" customWidth="1"/>
    <col min="9486" max="9486" width="9" style="3"/>
    <col min="9487" max="9487" width="23.875" style="3" customWidth="1"/>
    <col min="9488" max="9488" width="13.5" style="3" customWidth="1"/>
    <col min="9489" max="9738" width="9" style="3"/>
    <col min="9739" max="9739" width="11.125" style="3" customWidth="1"/>
    <col min="9740" max="9740" width="33.125" style="3" customWidth="1"/>
    <col min="9741" max="9741" width="16.375" style="3" customWidth="1"/>
    <col min="9742" max="9742" width="9" style="3"/>
    <col min="9743" max="9743" width="23.875" style="3" customWidth="1"/>
    <col min="9744" max="9744" width="13.5" style="3" customWidth="1"/>
    <col min="9745" max="9994" width="9" style="3"/>
    <col min="9995" max="9995" width="11.125" style="3" customWidth="1"/>
    <col min="9996" max="9996" width="33.125" style="3" customWidth="1"/>
    <col min="9997" max="9997" width="16.375" style="3" customWidth="1"/>
    <col min="9998" max="9998" width="9" style="3"/>
    <col min="9999" max="9999" width="23.875" style="3" customWidth="1"/>
    <col min="10000" max="10000" width="13.5" style="3" customWidth="1"/>
    <col min="10001" max="10250" width="9" style="3"/>
    <col min="10251" max="10251" width="11.125" style="3" customWidth="1"/>
    <col min="10252" max="10252" width="33.125" style="3" customWidth="1"/>
    <col min="10253" max="10253" width="16.375" style="3" customWidth="1"/>
    <col min="10254" max="10254" width="9" style="3"/>
    <col min="10255" max="10255" width="23.875" style="3" customWidth="1"/>
    <col min="10256" max="10256" width="13.5" style="3" customWidth="1"/>
    <col min="10257" max="10506" width="9" style="3"/>
    <col min="10507" max="10507" width="11.125" style="3" customWidth="1"/>
    <col min="10508" max="10508" width="33.125" style="3" customWidth="1"/>
    <col min="10509" max="10509" width="16.375" style="3" customWidth="1"/>
    <col min="10510" max="10510" width="9" style="3"/>
    <col min="10511" max="10511" width="23.875" style="3" customWidth="1"/>
    <col min="10512" max="10512" width="13.5" style="3" customWidth="1"/>
    <col min="10513" max="10762" width="9" style="3"/>
    <col min="10763" max="10763" width="11.125" style="3" customWidth="1"/>
    <col min="10764" max="10764" width="33.125" style="3" customWidth="1"/>
    <col min="10765" max="10765" width="16.375" style="3" customWidth="1"/>
    <col min="10766" max="10766" width="9" style="3"/>
    <col min="10767" max="10767" width="23.875" style="3" customWidth="1"/>
    <col min="10768" max="10768" width="13.5" style="3" customWidth="1"/>
    <col min="10769" max="11018" width="9" style="3"/>
    <col min="11019" max="11019" width="11.125" style="3" customWidth="1"/>
    <col min="11020" max="11020" width="33.125" style="3" customWidth="1"/>
    <col min="11021" max="11021" width="16.375" style="3" customWidth="1"/>
    <col min="11022" max="11022" width="9" style="3"/>
    <col min="11023" max="11023" width="23.875" style="3" customWidth="1"/>
    <col min="11024" max="11024" width="13.5" style="3" customWidth="1"/>
    <col min="11025" max="11274" width="9" style="3"/>
    <col min="11275" max="11275" width="11.125" style="3" customWidth="1"/>
    <col min="11276" max="11276" width="33.125" style="3" customWidth="1"/>
    <col min="11277" max="11277" width="16.375" style="3" customWidth="1"/>
    <col min="11278" max="11278" width="9" style="3"/>
    <col min="11279" max="11279" width="23.875" style="3" customWidth="1"/>
    <col min="11280" max="11280" width="13.5" style="3" customWidth="1"/>
    <col min="11281" max="11530" width="9" style="3"/>
    <col min="11531" max="11531" width="11.125" style="3" customWidth="1"/>
    <col min="11532" max="11532" width="33.125" style="3" customWidth="1"/>
    <col min="11533" max="11533" width="16.375" style="3" customWidth="1"/>
    <col min="11534" max="11534" width="9" style="3"/>
    <col min="11535" max="11535" width="23.875" style="3" customWidth="1"/>
    <col min="11536" max="11536" width="13.5" style="3" customWidth="1"/>
    <col min="11537" max="11786" width="9" style="3"/>
    <col min="11787" max="11787" width="11.125" style="3" customWidth="1"/>
    <col min="11788" max="11788" width="33.125" style="3" customWidth="1"/>
    <col min="11789" max="11789" width="16.375" style="3" customWidth="1"/>
    <col min="11790" max="11790" width="9" style="3"/>
    <col min="11791" max="11791" width="23.875" style="3" customWidth="1"/>
    <col min="11792" max="11792" width="13.5" style="3" customWidth="1"/>
    <col min="11793" max="12042" width="9" style="3"/>
    <col min="12043" max="12043" width="11.125" style="3" customWidth="1"/>
    <col min="12044" max="12044" width="33.125" style="3" customWidth="1"/>
    <col min="12045" max="12045" width="16.375" style="3" customWidth="1"/>
    <col min="12046" max="12046" width="9" style="3"/>
    <col min="12047" max="12047" width="23.875" style="3" customWidth="1"/>
    <col min="12048" max="12048" width="13.5" style="3" customWidth="1"/>
    <col min="12049" max="12298" width="9" style="3"/>
    <col min="12299" max="12299" width="11.125" style="3" customWidth="1"/>
    <col min="12300" max="12300" width="33.125" style="3" customWidth="1"/>
    <col min="12301" max="12301" width="16.375" style="3" customWidth="1"/>
    <col min="12302" max="12302" width="9" style="3"/>
    <col min="12303" max="12303" width="23.875" style="3" customWidth="1"/>
    <col min="12304" max="12304" width="13.5" style="3" customWidth="1"/>
    <col min="12305" max="12554" width="9" style="3"/>
    <col min="12555" max="12555" width="11.125" style="3" customWidth="1"/>
    <col min="12556" max="12556" width="33.125" style="3" customWidth="1"/>
    <col min="12557" max="12557" width="16.375" style="3" customWidth="1"/>
    <col min="12558" max="12558" width="9" style="3"/>
    <col min="12559" max="12559" width="23.875" style="3" customWidth="1"/>
    <col min="12560" max="12560" width="13.5" style="3" customWidth="1"/>
    <col min="12561" max="12810" width="9" style="3"/>
    <col min="12811" max="12811" width="11.125" style="3" customWidth="1"/>
    <col min="12812" max="12812" width="33.125" style="3" customWidth="1"/>
    <col min="12813" max="12813" width="16.375" style="3" customWidth="1"/>
    <col min="12814" max="12814" width="9" style="3"/>
    <col min="12815" max="12815" width="23.875" style="3" customWidth="1"/>
    <col min="12816" max="12816" width="13.5" style="3" customWidth="1"/>
    <col min="12817" max="13066" width="9" style="3"/>
    <col min="13067" max="13067" width="11.125" style="3" customWidth="1"/>
    <col min="13068" max="13068" width="33.125" style="3" customWidth="1"/>
    <col min="13069" max="13069" width="16.375" style="3" customWidth="1"/>
    <col min="13070" max="13070" width="9" style="3"/>
    <col min="13071" max="13071" width="23.875" style="3" customWidth="1"/>
    <col min="13072" max="13072" width="13.5" style="3" customWidth="1"/>
    <col min="13073" max="13322" width="9" style="3"/>
    <col min="13323" max="13323" width="11.125" style="3" customWidth="1"/>
    <col min="13324" max="13324" width="33.125" style="3" customWidth="1"/>
    <col min="13325" max="13325" width="16.375" style="3" customWidth="1"/>
    <col min="13326" max="13326" width="9" style="3"/>
    <col min="13327" max="13327" width="23.875" style="3" customWidth="1"/>
    <col min="13328" max="13328" width="13.5" style="3" customWidth="1"/>
    <col min="13329" max="13578" width="9" style="3"/>
    <col min="13579" max="13579" width="11.125" style="3" customWidth="1"/>
    <col min="13580" max="13580" width="33.125" style="3" customWidth="1"/>
    <col min="13581" max="13581" width="16.375" style="3" customWidth="1"/>
    <col min="13582" max="13582" width="9" style="3"/>
    <col min="13583" max="13583" width="23.875" style="3" customWidth="1"/>
    <col min="13584" max="13584" width="13.5" style="3" customWidth="1"/>
    <col min="13585" max="13834" width="9" style="3"/>
    <col min="13835" max="13835" width="11.125" style="3" customWidth="1"/>
    <col min="13836" max="13836" width="33.125" style="3" customWidth="1"/>
    <col min="13837" max="13837" width="16.375" style="3" customWidth="1"/>
    <col min="13838" max="13838" width="9" style="3"/>
    <col min="13839" max="13839" width="23.875" style="3" customWidth="1"/>
    <col min="13840" max="13840" width="13.5" style="3" customWidth="1"/>
    <col min="13841" max="14090" width="9" style="3"/>
    <col min="14091" max="14091" width="11.125" style="3" customWidth="1"/>
    <col min="14092" max="14092" width="33.125" style="3" customWidth="1"/>
    <col min="14093" max="14093" width="16.375" style="3" customWidth="1"/>
    <col min="14094" max="14094" width="9" style="3"/>
    <col min="14095" max="14095" width="23.875" style="3" customWidth="1"/>
    <col min="14096" max="14096" width="13.5" style="3" customWidth="1"/>
    <col min="14097" max="14346" width="9" style="3"/>
    <col min="14347" max="14347" width="11.125" style="3" customWidth="1"/>
    <col min="14348" max="14348" width="33.125" style="3" customWidth="1"/>
    <col min="14349" max="14349" width="16.375" style="3" customWidth="1"/>
    <col min="14350" max="14350" width="9" style="3"/>
    <col min="14351" max="14351" width="23.875" style="3" customWidth="1"/>
    <col min="14352" max="14352" width="13.5" style="3" customWidth="1"/>
    <col min="14353" max="14602" width="9" style="3"/>
    <col min="14603" max="14603" width="11.125" style="3" customWidth="1"/>
    <col min="14604" max="14604" width="33.125" style="3" customWidth="1"/>
    <col min="14605" max="14605" width="16.375" style="3" customWidth="1"/>
    <col min="14606" max="14606" width="9" style="3"/>
    <col min="14607" max="14607" width="23.875" style="3" customWidth="1"/>
    <col min="14608" max="14608" width="13.5" style="3" customWidth="1"/>
    <col min="14609" max="14858" width="9" style="3"/>
    <col min="14859" max="14859" width="11.125" style="3" customWidth="1"/>
    <col min="14860" max="14860" width="33.125" style="3" customWidth="1"/>
    <col min="14861" max="14861" width="16.375" style="3" customWidth="1"/>
    <col min="14862" max="14862" width="9" style="3"/>
    <col min="14863" max="14863" width="23.875" style="3" customWidth="1"/>
    <col min="14864" max="14864" width="13.5" style="3" customWidth="1"/>
    <col min="14865" max="15114" width="9" style="3"/>
    <col min="15115" max="15115" width="11.125" style="3" customWidth="1"/>
    <col min="15116" max="15116" width="33.125" style="3" customWidth="1"/>
    <col min="15117" max="15117" width="16.375" style="3" customWidth="1"/>
    <col min="15118" max="15118" width="9" style="3"/>
    <col min="15119" max="15119" width="23.875" style="3" customWidth="1"/>
    <col min="15120" max="15120" width="13.5" style="3" customWidth="1"/>
    <col min="15121" max="15370" width="9" style="3"/>
    <col min="15371" max="15371" width="11.125" style="3" customWidth="1"/>
    <col min="15372" max="15372" width="33.125" style="3" customWidth="1"/>
    <col min="15373" max="15373" width="16.375" style="3" customWidth="1"/>
    <col min="15374" max="15374" width="9" style="3"/>
    <col min="15375" max="15375" width="23.875" style="3" customWidth="1"/>
    <col min="15376" max="15376" width="13.5" style="3" customWidth="1"/>
    <col min="15377" max="15626" width="9" style="3"/>
    <col min="15627" max="15627" width="11.125" style="3" customWidth="1"/>
    <col min="15628" max="15628" width="33.125" style="3" customWidth="1"/>
    <col min="15629" max="15629" width="16.375" style="3" customWidth="1"/>
    <col min="15630" max="15630" width="9" style="3"/>
    <col min="15631" max="15631" width="23.875" style="3" customWidth="1"/>
    <col min="15632" max="15632" width="13.5" style="3" customWidth="1"/>
    <col min="15633" max="15882" width="9" style="3"/>
    <col min="15883" max="15883" width="11.125" style="3" customWidth="1"/>
    <col min="15884" max="15884" width="33.125" style="3" customWidth="1"/>
    <col min="15885" max="15885" width="16.375" style="3" customWidth="1"/>
    <col min="15886" max="15886" width="9" style="3"/>
    <col min="15887" max="15887" width="23.875" style="3" customWidth="1"/>
    <col min="15888" max="15888" width="13.5" style="3" customWidth="1"/>
    <col min="15889" max="16138" width="9" style="3"/>
    <col min="16139" max="16139" width="11.125" style="3" customWidth="1"/>
    <col min="16140" max="16140" width="33.125" style="3" customWidth="1"/>
    <col min="16141" max="16141" width="16.375" style="3" customWidth="1"/>
    <col min="16142" max="16142" width="9" style="3"/>
    <col min="16143" max="16143" width="23.875" style="3" customWidth="1"/>
    <col min="16144" max="16144" width="13.5" style="3" customWidth="1"/>
    <col min="16145" max="16384" width="9" style="3"/>
  </cols>
  <sheetData>
    <row r="1" spans="3:17" ht="14.25" customHeight="1" x14ac:dyDescent="0.2">
      <c r="C1" s="2"/>
      <c r="D1" s="230" t="s">
        <v>172</v>
      </c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</row>
    <row r="2" spans="3:17" ht="14.25" customHeight="1" x14ac:dyDescent="0.2">
      <c r="C2" s="2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</row>
    <row r="3" spans="3:17" ht="14.25" customHeight="1" x14ac:dyDescent="0.2">
      <c r="C3" s="2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</row>
    <row r="4" spans="3:17" ht="14.25" customHeight="1" x14ac:dyDescent="0.2">
      <c r="C4" s="2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</row>
    <row r="5" spans="3:17" ht="14.25" customHeight="1" x14ac:dyDescent="0.2">
      <c r="C5" s="2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</row>
    <row r="6" spans="3:17" ht="14.25" customHeight="1" x14ac:dyDescent="0.2">
      <c r="C6" s="2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</row>
    <row r="7" spans="3:17" ht="14.25" customHeight="1" x14ac:dyDescent="0.2">
      <c r="C7" s="2"/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</row>
    <row r="8" spans="3:17" ht="14.25" customHeight="1" x14ac:dyDescent="0.2">
      <c r="C8" s="2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</row>
    <row r="9" spans="3:17" ht="15" customHeight="1" thickBot="1" x14ac:dyDescent="0.25">
      <c r="C9" s="2"/>
      <c r="D9" s="231"/>
      <c r="E9" s="231"/>
      <c r="F9" s="231"/>
      <c r="G9" s="231"/>
      <c r="H9" s="231"/>
      <c r="I9" s="231"/>
      <c r="J9" s="231"/>
      <c r="K9" s="231"/>
      <c r="L9" s="231"/>
      <c r="M9" s="231"/>
      <c r="N9" s="231"/>
      <c r="O9" s="231"/>
      <c r="P9" s="231"/>
      <c r="Q9" s="231"/>
    </row>
    <row r="10" spans="3:17" ht="20.25" thickBot="1" x14ac:dyDescent="0.25">
      <c r="C10" s="232" t="s">
        <v>154</v>
      </c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</row>
    <row r="11" spans="3:17" ht="18" x14ac:dyDescent="0.25">
      <c r="C11" s="4"/>
      <c r="D11" s="5"/>
      <c r="E11" s="6"/>
      <c r="F11" s="7"/>
      <c r="P11" s="7"/>
      <c r="Q11" s="7"/>
    </row>
    <row r="12" spans="3:17" ht="13.5" thickBot="1" x14ac:dyDescent="0.25">
      <c r="C12" s="8"/>
      <c r="D12" s="9"/>
      <c r="E12" s="10"/>
      <c r="F12" s="11"/>
      <c r="G12" s="61"/>
      <c r="H12" s="61"/>
      <c r="I12" s="61"/>
      <c r="J12" s="61"/>
      <c r="K12" s="61"/>
      <c r="L12" s="61"/>
      <c r="M12" s="61"/>
      <c r="N12" s="61"/>
      <c r="O12" s="61"/>
      <c r="P12" s="12"/>
      <c r="Q12" s="12"/>
    </row>
    <row r="13" spans="3:17" ht="16.5" thickBot="1" x14ac:dyDescent="0.25">
      <c r="C13" s="237" t="s">
        <v>157</v>
      </c>
      <c r="D13" s="240" t="s">
        <v>158</v>
      </c>
      <c r="E13" s="243" t="s">
        <v>159</v>
      </c>
      <c r="F13" s="244"/>
      <c r="G13" s="245" t="s">
        <v>160</v>
      </c>
      <c r="H13" s="246"/>
      <c r="I13" s="246"/>
      <c r="J13" s="246"/>
      <c r="K13" s="246"/>
      <c r="L13" s="246"/>
      <c r="M13" s="246"/>
      <c r="N13" s="246"/>
      <c r="O13" s="247"/>
      <c r="P13" s="233" t="s">
        <v>161</v>
      </c>
      <c r="Q13" s="234"/>
    </row>
    <row r="14" spans="3:17" ht="16.5" thickBot="1" x14ac:dyDescent="0.25">
      <c r="C14" s="238"/>
      <c r="D14" s="241"/>
      <c r="E14" s="14" t="s">
        <v>162</v>
      </c>
      <c r="F14" s="14" t="s">
        <v>163</v>
      </c>
      <c r="G14" s="78" t="s">
        <v>426</v>
      </c>
      <c r="H14" s="78" t="s">
        <v>427</v>
      </c>
      <c r="I14" s="78" t="s">
        <v>428</v>
      </c>
      <c r="J14" s="78" t="s">
        <v>429</v>
      </c>
      <c r="K14" s="78" t="s">
        <v>430</v>
      </c>
      <c r="L14" s="78" t="s">
        <v>431</v>
      </c>
      <c r="M14" s="78" t="s">
        <v>432</v>
      </c>
      <c r="N14" s="78" t="s">
        <v>433</v>
      </c>
      <c r="O14" s="78" t="s">
        <v>434</v>
      </c>
      <c r="P14" s="235" t="s">
        <v>164</v>
      </c>
      <c r="Q14" s="236"/>
    </row>
    <row r="15" spans="3:17" ht="16.5" thickBot="1" x14ac:dyDescent="0.25">
      <c r="C15" s="239"/>
      <c r="D15" s="242"/>
      <c r="E15" s="15" t="s">
        <v>165</v>
      </c>
      <c r="F15" s="14" t="s">
        <v>164</v>
      </c>
      <c r="G15" s="14" t="s">
        <v>166</v>
      </c>
      <c r="H15" s="13" t="s">
        <v>167</v>
      </c>
      <c r="I15" s="13" t="s">
        <v>156</v>
      </c>
      <c r="J15" s="13" t="s">
        <v>223</v>
      </c>
      <c r="K15" s="13" t="s">
        <v>435</v>
      </c>
      <c r="L15" s="13" t="s">
        <v>436</v>
      </c>
      <c r="M15" s="13" t="s">
        <v>437</v>
      </c>
      <c r="N15" s="13" t="s">
        <v>438</v>
      </c>
      <c r="O15" s="13" t="s">
        <v>439</v>
      </c>
      <c r="P15" s="233" t="s">
        <v>168</v>
      </c>
      <c r="Q15" s="234"/>
    </row>
    <row r="16" spans="3:17" ht="14.25" customHeight="1" x14ac:dyDescent="0.2">
      <c r="C16" s="217" t="str">
        <f>'Orçamento Sintético'!B6</f>
        <v>08</v>
      </c>
      <c r="D16" s="218"/>
      <c r="E16" s="219">
        <f>E33</f>
        <v>18676599.719999999</v>
      </c>
      <c r="F16" s="220"/>
      <c r="G16" s="221" t="s">
        <v>440</v>
      </c>
      <c r="H16" s="222"/>
      <c r="I16" s="223"/>
      <c r="J16" s="16">
        <v>0.2</v>
      </c>
      <c r="K16" s="16">
        <v>0.15</v>
      </c>
      <c r="L16" s="16">
        <v>0.15</v>
      </c>
      <c r="M16" s="16">
        <v>0.15</v>
      </c>
      <c r="N16" s="16">
        <v>0.15</v>
      </c>
      <c r="O16" s="16">
        <v>0.2</v>
      </c>
      <c r="P16" s="215">
        <f t="shared" ref="P16:P28" si="0">SUM(G16:O16)</f>
        <v>1</v>
      </c>
      <c r="Q16" s="216"/>
    </row>
    <row r="17" spans="3:19" ht="13.5" x14ac:dyDescent="0.2">
      <c r="C17" s="199"/>
      <c r="D17" s="200"/>
      <c r="E17" s="202"/>
      <c r="F17" s="204"/>
      <c r="G17" s="224"/>
      <c r="H17" s="225"/>
      <c r="I17" s="226"/>
      <c r="J17" s="17">
        <f>J16*$E$16</f>
        <v>3735319.9440000001</v>
      </c>
      <c r="K17" s="17">
        <f t="shared" ref="K17:O17" si="1">K16*$E$16</f>
        <v>2801489.9579999996</v>
      </c>
      <c r="L17" s="17">
        <f t="shared" si="1"/>
        <v>2801489.9579999996</v>
      </c>
      <c r="M17" s="17">
        <f t="shared" si="1"/>
        <v>2801489.9579999996</v>
      </c>
      <c r="N17" s="17">
        <f t="shared" si="1"/>
        <v>2801489.9579999996</v>
      </c>
      <c r="O17" s="17">
        <f t="shared" si="1"/>
        <v>3735319.9440000001</v>
      </c>
      <c r="P17" s="205">
        <f t="shared" si="0"/>
        <v>18676599.719999999</v>
      </c>
      <c r="Q17" s="206"/>
    </row>
    <row r="18" spans="3:19" ht="13.5" x14ac:dyDescent="0.2">
      <c r="C18" s="199" t="str">
        <f>'Orçamento Sintético'!B7</f>
        <v>08.01</v>
      </c>
      <c r="D18" s="200" t="str">
        <f>'Orçamento Sintético'!E7</f>
        <v>SERVIÇOS PRELIMINARES</v>
      </c>
      <c r="E18" s="201">
        <f>'Orçamento Sintético'!J7</f>
        <v>538844.32000000007</v>
      </c>
      <c r="F18" s="203">
        <f>(E18/$E$31)</f>
        <v>2.8851307415609168E-2</v>
      </c>
      <c r="G18" s="224"/>
      <c r="H18" s="225"/>
      <c r="I18" s="226"/>
      <c r="J18" s="16">
        <v>0.2</v>
      </c>
      <c r="K18" s="16">
        <v>0.15</v>
      </c>
      <c r="L18" s="16">
        <v>0.15</v>
      </c>
      <c r="M18" s="16">
        <v>0.15</v>
      </c>
      <c r="N18" s="16">
        <v>0.15</v>
      </c>
      <c r="O18" s="16">
        <v>0.2</v>
      </c>
      <c r="P18" s="215">
        <f t="shared" si="0"/>
        <v>1</v>
      </c>
      <c r="Q18" s="216"/>
    </row>
    <row r="19" spans="3:19" ht="13.5" x14ac:dyDescent="0.2">
      <c r="C19" s="199"/>
      <c r="D19" s="200"/>
      <c r="E19" s="202"/>
      <c r="F19" s="204"/>
      <c r="G19" s="224"/>
      <c r="H19" s="225"/>
      <c r="I19" s="226"/>
      <c r="J19" s="17">
        <f>J18*$E$18</f>
        <v>107768.86400000002</v>
      </c>
      <c r="K19" s="17">
        <f t="shared" ref="K19:O19" si="2">K18*$E$18</f>
        <v>80826.648000000001</v>
      </c>
      <c r="L19" s="17">
        <f t="shared" si="2"/>
        <v>80826.648000000001</v>
      </c>
      <c r="M19" s="17">
        <f t="shared" si="2"/>
        <v>80826.648000000001</v>
      </c>
      <c r="N19" s="17">
        <f t="shared" si="2"/>
        <v>80826.648000000001</v>
      </c>
      <c r="O19" s="17">
        <f t="shared" si="2"/>
        <v>107768.86400000002</v>
      </c>
      <c r="P19" s="205">
        <f t="shared" si="0"/>
        <v>538844.32000000007</v>
      </c>
      <c r="Q19" s="206"/>
    </row>
    <row r="20" spans="3:19" ht="13.5" x14ac:dyDescent="0.2">
      <c r="C20" s="199" t="str">
        <f>'Orçamento Sintético'!B15</f>
        <v>08.02</v>
      </c>
      <c r="D20" s="200" t="str">
        <f>'Orçamento Sintético'!E15</f>
        <v>TERRAPLENAGEM</v>
      </c>
      <c r="E20" s="201">
        <f>'Orçamento Sintético'!J15</f>
        <v>1112720</v>
      </c>
      <c r="F20" s="203">
        <f>(E20/$E$31)</f>
        <v>5.9578296728629576E-2</v>
      </c>
      <c r="G20" s="224"/>
      <c r="H20" s="225"/>
      <c r="I20" s="226"/>
      <c r="J20" s="16">
        <v>0.2</v>
      </c>
      <c r="K20" s="16">
        <v>0.15</v>
      </c>
      <c r="L20" s="16">
        <v>0.15</v>
      </c>
      <c r="M20" s="16">
        <v>0.15</v>
      </c>
      <c r="N20" s="16">
        <v>0.15</v>
      </c>
      <c r="O20" s="16">
        <v>0.2</v>
      </c>
      <c r="P20" s="215">
        <f t="shared" si="0"/>
        <v>1</v>
      </c>
      <c r="Q20" s="216"/>
    </row>
    <row r="21" spans="3:19" ht="13.5" x14ac:dyDescent="0.2">
      <c r="C21" s="199"/>
      <c r="D21" s="200"/>
      <c r="E21" s="202"/>
      <c r="F21" s="204"/>
      <c r="G21" s="224"/>
      <c r="H21" s="225"/>
      <c r="I21" s="226"/>
      <c r="J21" s="17">
        <f t="shared" ref="J21:O21" si="3">J20*$E$20</f>
        <v>222544</v>
      </c>
      <c r="K21" s="17">
        <f t="shared" si="3"/>
        <v>166908</v>
      </c>
      <c r="L21" s="17">
        <f t="shared" si="3"/>
        <v>166908</v>
      </c>
      <c r="M21" s="17">
        <f t="shared" si="3"/>
        <v>166908</v>
      </c>
      <c r="N21" s="17">
        <f t="shared" si="3"/>
        <v>166908</v>
      </c>
      <c r="O21" s="17">
        <f t="shared" si="3"/>
        <v>222544</v>
      </c>
      <c r="P21" s="205">
        <f t="shared" si="0"/>
        <v>1112720</v>
      </c>
      <c r="Q21" s="206"/>
    </row>
    <row r="22" spans="3:19" ht="13.5" x14ac:dyDescent="0.2">
      <c r="C22" s="199" t="str">
        <f>'Orçamento Sintético'!B23</f>
        <v>08.03</v>
      </c>
      <c r="D22" s="200" t="str">
        <f>'Orçamento Sintético'!E23</f>
        <v>PAVIMENTAÇÃO</v>
      </c>
      <c r="E22" s="201">
        <f>'Orçamento Sintético'!J23</f>
        <v>14652680</v>
      </c>
      <c r="F22" s="203">
        <f>(E22/$E$31)</f>
        <v>0.784547520409138</v>
      </c>
      <c r="G22" s="224"/>
      <c r="H22" s="225"/>
      <c r="I22" s="226"/>
      <c r="J22" s="16">
        <v>0.2</v>
      </c>
      <c r="K22" s="16">
        <v>0.15</v>
      </c>
      <c r="L22" s="16">
        <v>0.15</v>
      </c>
      <c r="M22" s="16">
        <v>0.15</v>
      </c>
      <c r="N22" s="16">
        <v>0.15</v>
      </c>
      <c r="O22" s="16">
        <v>0.2</v>
      </c>
      <c r="P22" s="215">
        <f t="shared" si="0"/>
        <v>1</v>
      </c>
      <c r="Q22" s="216"/>
    </row>
    <row r="23" spans="3:19" ht="13.5" x14ac:dyDescent="0.2">
      <c r="C23" s="199"/>
      <c r="D23" s="200"/>
      <c r="E23" s="202"/>
      <c r="F23" s="204"/>
      <c r="G23" s="224"/>
      <c r="H23" s="225"/>
      <c r="I23" s="226"/>
      <c r="J23" s="17">
        <f t="shared" ref="J23:O23" si="4">J22*$E$22</f>
        <v>2930536</v>
      </c>
      <c r="K23" s="17">
        <f t="shared" si="4"/>
        <v>2197902</v>
      </c>
      <c r="L23" s="17">
        <f t="shared" si="4"/>
        <v>2197902</v>
      </c>
      <c r="M23" s="17">
        <f t="shared" si="4"/>
        <v>2197902</v>
      </c>
      <c r="N23" s="17">
        <f t="shared" si="4"/>
        <v>2197902</v>
      </c>
      <c r="O23" s="17">
        <f t="shared" si="4"/>
        <v>2930536</v>
      </c>
      <c r="P23" s="205">
        <f t="shared" si="0"/>
        <v>14652680</v>
      </c>
      <c r="Q23" s="206"/>
    </row>
    <row r="24" spans="3:19" ht="15.75" customHeight="1" x14ac:dyDescent="0.2">
      <c r="C24" s="199" t="str">
        <f>'Orçamento Sintético'!B33</f>
        <v>08.04</v>
      </c>
      <c r="D24" s="200" t="str">
        <f>'Orçamento Sintético'!E33</f>
        <v>DRENAGEM</v>
      </c>
      <c r="E24" s="201">
        <f>'Orçamento Sintético'!J33</f>
        <v>2306000</v>
      </c>
      <c r="F24" s="203">
        <f>(E24/$E$31)</f>
        <v>0.1234700124525665</v>
      </c>
      <c r="G24" s="224"/>
      <c r="H24" s="225"/>
      <c r="I24" s="226"/>
      <c r="J24" s="16">
        <v>0.2</v>
      </c>
      <c r="K24" s="16">
        <v>0.15</v>
      </c>
      <c r="L24" s="16">
        <v>0.15</v>
      </c>
      <c r="M24" s="16">
        <v>0.15</v>
      </c>
      <c r="N24" s="16">
        <v>0.15</v>
      </c>
      <c r="O24" s="16">
        <v>0.2</v>
      </c>
      <c r="P24" s="215">
        <f t="shared" si="0"/>
        <v>1</v>
      </c>
      <c r="Q24" s="216"/>
    </row>
    <row r="25" spans="3:19" ht="15.75" customHeight="1" x14ac:dyDescent="0.2">
      <c r="C25" s="199"/>
      <c r="D25" s="200"/>
      <c r="E25" s="202"/>
      <c r="F25" s="204"/>
      <c r="G25" s="224"/>
      <c r="H25" s="225"/>
      <c r="I25" s="226"/>
      <c r="J25" s="17">
        <f>J24*$E$24</f>
        <v>461200</v>
      </c>
      <c r="K25" s="17">
        <f t="shared" ref="K25:O25" si="5">K24*$E$24</f>
        <v>345900</v>
      </c>
      <c r="L25" s="17">
        <f t="shared" si="5"/>
        <v>345900</v>
      </c>
      <c r="M25" s="17">
        <f t="shared" si="5"/>
        <v>345900</v>
      </c>
      <c r="N25" s="17">
        <f t="shared" si="5"/>
        <v>345900</v>
      </c>
      <c r="O25" s="17">
        <f t="shared" si="5"/>
        <v>461200</v>
      </c>
      <c r="P25" s="205">
        <f t="shared" si="0"/>
        <v>2306000</v>
      </c>
      <c r="Q25" s="206"/>
    </row>
    <row r="26" spans="3:19" ht="15.75" customHeight="1" x14ac:dyDescent="0.2">
      <c r="C26" s="199" t="str">
        <f>'Orçamento Sintético'!B35</f>
        <v>08.05</v>
      </c>
      <c r="D26" s="200" t="str">
        <f>'Orçamento Sintético'!E35</f>
        <v>SINALIZAÇÃO HORIZONTAL E VERTICAL</v>
      </c>
      <c r="E26" s="201">
        <f>'Orçamento Sintético'!J35</f>
        <v>27820.400000000001</v>
      </c>
      <c r="F26" s="203">
        <f>(E26/$E$31)</f>
        <v>1.4895859212642592E-3</v>
      </c>
      <c r="G26" s="224"/>
      <c r="H26" s="225"/>
      <c r="I26" s="226"/>
      <c r="J26" s="16">
        <v>0.2</v>
      </c>
      <c r="K26" s="16">
        <v>0.15</v>
      </c>
      <c r="L26" s="16">
        <v>0.15</v>
      </c>
      <c r="M26" s="16">
        <v>0.15</v>
      </c>
      <c r="N26" s="16">
        <v>0.15</v>
      </c>
      <c r="O26" s="16">
        <v>0.2</v>
      </c>
      <c r="P26" s="215">
        <f t="shared" si="0"/>
        <v>1</v>
      </c>
      <c r="Q26" s="216"/>
    </row>
    <row r="27" spans="3:19" ht="15.75" customHeight="1" x14ac:dyDescent="0.2">
      <c r="C27" s="199"/>
      <c r="D27" s="200"/>
      <c r="E27" s="202"/>
      <c r="F27" s="204"/>
      <c r="G27" s="224"/>
      <c r="H27" s="225"/>
      <c r="I27" s="226"/>
      <c r="J27" s="17">
        <f>J26*$E$26</f>
        <v>5564.0800000000008</v>
      </c>
      <c r="K27" s="17">
        <f t="shared" ref="K27:O27" si="6">K26*$E$26</f>
        <v>4173.0600000000004</v>
      </c>
      <c r="L27" s="17">
        <f t="shared" si="6"/>
        <v>4173.0600000000004</v>
      </c>
      <c r="M27" s="17">
        <f t="shared" si="6"/>
        <v>4173.0600000000004</v>
      </c>
      <c r="N27" s="17">
        <f t="shared" si="6"/>
        <v>4173.0600000000004</v>
      </c>
      <c r="O27" s="17">
        <f t="shared" si="6"/>
        <v>5564.0800000000008</v>
      </c>
      <c r="P27" s="205">
        <f t="shared" si="0"/>
        <v>27820.400000000005</v>
      </c>
      <c r="Q27" s="206"/>
    </row>
    <row r="28" spans="3:19" ht="13.5" x14ac:dyDescent="0.2">
      <c r="C28" s="199" t="str">
        <f>'Orçamento Sintético'!B38</f>
        <v>08.06</v>
      </c>
      <c r="D28" s="200" t="str">
        <f>'Orçamento Sintético'!E38</f>
        <v>SERVIÇOS COMPLEMENTARES</v>
      </c>
      <c r="E28" s="201">
        <f>'Orçamento Sintético'!J38</f>
        <v>38535</v>
      </c>
      <c r="F28" s="203">
        <f>(E28/$E$31)</f>
        <v>2.0632770727925629E-3</v>
      </c>
      <c r="G28" s="224"/>
      <c r="H28" s="225"/>
      <c r="I28" s="226"/>
      <c r="J28" s="16">
        <v>0.2</v>
      </c>
      <c r="K28" s="16">
        <v>0.15</v>
      </c>
      <c r="L28" s="16">
        <v>0.15</v>
      </c>
      <c r="M28" s="16">
        <v>0.15</v>
      </c>
      <c r="N28" s="16">
        <v>0.15</v>
      </c>
      <c r="O28" s="16">
        <v>0.2</v>
      </c>
      <c r="P28" s="215">
        <f t="shared" si="0"/>
        <v>1</v>
      </c>
      <c r="Q28" s="216"/>
    </row>
    <row r="29" spans="3:19" ht="13.5" x14ac:dyDescent="0.2">
      <c r="C29" s="199"/>
      <c r="D29" s="200"/>
      <c r="E29" s="202"/>
      <c r="F29" s="204"/>
      <c r="G29" s="227"/>
      <c r="H29" s="228"/>
      <c r="I29" s="229"/>
      <c r="J29" s="17">
        <f>J28*$E$28</f>
        <v>7707</v>
      </c>
      <c r="K29" s="17">
        <f t="shared" ref="K29:O29" si="7">K28*$E$28</f>
        <v>5780.25</v>
      </c>
      <c r="L29" s="17">
        <f t="shared" si="7"/>
        <v>5780.25</v>
      </c>
      <c r="M29" s="17">
        <f t="shared" si="7"/>
        <v>5780.25</v>
      </c>
      <c r="N29" s="17">
        <f t="shared" si="7"/>
        <v>5780.25</v>
      </c>
      <c r="O29" s="17">
        <f t="shared" si="7"/>
        <v>7707</v>
      </c>
      <c r="P29" s="205">
        <f t="shared" ref="P29" si="8">SUM(G29:O29)</f>
        <v>38535</v>
      </c>
      <c r="Q29" s="206"/>
    </row>
    <row r="30" spans="3:19" ht="13.5" thickBot="1" x14ac:dyDescent="0.25">
      <c r="C30" s="18"/>
      <c r="D30" s="19"/>
      <c r="E30" s="20"/>
      <c r="F30" s="21"/>
      <c r="G30" s="22"/>
      <c r="H30" s="22"/>
      <c r="I30" s="22"/>
      <c r="J30" s="22"/>
      <c r="K30" s="22"/>
      <c r="L30" s="22"/>
      <c r="M30" s="22"/>
      <c r="N30" s="22"/>
      <c r="O30" s="22"/>
      <c r="P30" s="20"/>
      <c r="Q30" s="23"/>
    </row>
    <row r="31" spans="3:19" ht="14.25" thickBot="1" x14ac:dyDescent="0.25">
      <c r="C31" s="24"/>
      <c r="D31" s="212" t="s">
        <v>169</v>
      </c>
      <c r="E31" s="213">
        <f>SUM(E18:E29)</f>
        <v>18676599.719999999</v>
      </c>
      <c r="F31" s="210">
        <f>SUM(F18:F29)</f>
        <v>1</v>
      </c>
      <c r="G31" s="79"/>
      <c r="H31" s="79"/>
      <c r="I31" s="79"/>
      <c r="J31" s="79">
        <f>J32/$E$31</f>
        <v>0.2</v>
      </c>
      <c r="K31" s="79">
        <f t="shared" ref="K31:O31" si="9">K32/$E$31</f>
        <v>0.15000000000000002</v>
      </c>
      <c r="L31" s="79">
        <f t="shared" si="9"/>
        <v>0.15000000000000002</v>
      </c>
      <c r="M31" s="79">
        <f t="shared" si="9"/>
        <v>0.15000000000000002</v>
      </c>
      <c r="N31" s="79">
        <f t="shared" si="9"/>
        <v>0.15000000000000002</v>
      </c>
      <c r="O31" s="79">
        <f t="shared" si="9"/>
        <v>0.2</v>
      </c>
      <c r="P31" s="25"/>
      <c r="Q31" s="26"/>
      <c r="S31" s="52"/>
    </row>
    <row r="32" spans="3:19" ht="14.25" thickBot="1" x14ac:dyDescent="0.25">
      <c r="C32" s="24"/>
      <c r="D32" s="212"/>
      <c r="E32" s="214"/>
      <c r="F32" s="210"/>
      <c r="G32" s="80"/>
      <c r="H32" s="80"/>
      <c r="I32" s="80"/>
      <c r="J32" s="80">
        <f t="shared" ref="J32:O32" si="10">J19+J21+J23+J25+J27+J29</f>
        <v>3735319.9440000001</v>
      </c>
      <c r="K32" s="80">
        <f t="shared" si="10"/>
        <v>2801489.9580000001</v>
      </c>
      <c r="L32" s="80">
        <f t="shared" si="10"/>
        <v>2801489.9580000001</v>
      </c>
      <c r="M32" s="80">
        <f t="shared" si="10"/>
        <v>2801489.9580000001</v>
      </c>
      <c r="N32" s="80">
        <f t="shared" si="10"/>
        <v>2801489.9580000001</v>
      </c>
      <c r="O32" s="80">
        <f t="shared" si="10"/>
        <v>3735319.9440000001</v>
      </c>
      <c r="P32" s="25"/>
      <c r="Q32" s="26"/>
    </row>
    <row r="33" spans="3:17" ht="14.25" thickBot="1" x14ac:dyDescent="0.25">
      <c r="C33" s="24"/>
      <c r="D33" s="207" t="s">
        <v>170</v>
      </c>
      <c r="E33" s="208">
        <f>E31</f>
        <v>18676599.719999999</v>
      </c>
      <c r="F33" s="210">
        <f>F31</f>
        <v>1</v>
      </c>
      <c r="G33" s="79"/>
      <c r="H33" s="79"/>
      <c r="I33" s="79"/>
      <c r="J33" s="79">
        <f>J31</f>
        <v>0.2</v>
      </c>
      <c r="K33" s="79">
        <f>K31+J33</f>
        <v>0.35000000000000003</v>
      </c>
      <c r="L33" s="79">
        <f>L31+K33</f>
        <v>0.5</v>
      </c>
      <c r="M33" s="79">
        <f t="shared" ref="M33:O33" si="11">M31+L33</f>
        <v>0.65</v>
      </c>
      <c r="N33" s="79">
        <f t="shared" si="11"/>
        <v>0.8</v>
      </c>
      <c r="O33" s="79">
        <f t="shared" si="11"/>
        <v>1</v>
      </c>
      <c r="P33" s="25"/>
      <c r="Q33" s="26"/>
    </row>
    <row r="34" spans="3:17" ht="14.25" thickBot="1" x14ac:dyDescent="0.25">
      <c r="C34" s="24"/>
      <c r="D34" s="207"/>
      <c r="E34" s="209"/>
      <c r="F34" s="211"/>
      <c r="G34" s="80"/>
      <c r="H34" s="80"/>
      <c r="I34" s="80"/>
      <c r="J34" s="80">
        <f>J32</f>
        <v>3735319.9440000001</v>
      </c>
      <c r="K34" s="80">
        <f>K32+J34</f>
        <v>6536809.9020000007</v>
      </c>
      <c r="L34" s="80">
        <f>L32+K34</f>
        <v>9338299.8600000013</v>
      </c>
      <c r="M34" s="80">
        <f>M32+L34</f>
        <v>12139789.818000002</v>
      </c>
      <c r="N34" s="80">
        <f>N32+M34</f>
        <v>14941279.776000002</v>
      </c>
      <c r="O34" s="80">
        <f>O32+N34</f>
        <v>18676599.720000003</v>
      </c>
      <c r="P34" s="25"/>
      <c r="Q34" s="26"/>
    </row>
    <row r="41" spans="3:17" x14ac:dyDescent="0.2">
      <c r="O41" s="190" t="s">
        <v>228</v>
      </c>
      <c r="P41" s="190"/>
      <c r="Q41" s="190"/>
    </row>
    <row r="42" spans="3:17" x14ac:dyDescent="0.2">
      <c r="O42" s="191" t="s">
        <v>451</v>
      </c>
      <c r="P42" s="191"/>
      <c r="Q42" s="191"/>
    </row>
    <row r="43" spans="3:17" x14ac:dyDescent="0.2">
      <c r="O43" s="191" t="s">
        <v>452</v>
      </c>
      <c r="P43" s="191"/>
      <c r="Q43" s="191"/>
    </row>
    <row r="44" spans="3:17" x14ac:dyDescent="0.2">
      <c r="O44" s="191" t="s">
        <v>173</v>
      </c>
      <c r="P44" s="191"/>
      <c r="Q44" s="191"/>
    </row>
    <row r="45" spans="3:17" x14ac:dyDescent="0.2">
      <c r="O45" s="191" t="s">
        <v>453</v>
      </c>
      <c r="P45" s="191"/>
      <c r="Q45" s="191"/>
    </row>
  </sheetData>
  <mergeCells count="63">
    <mergeCell ref="D1:Q9"/>
    <mergeCell ref="C10:Q10"/>
    <mergeCell ref="P13:Q13"/>
    <mergeCell ref="P14:Q14"/>
    <mergeCell ref="P15:Q15"/>
    <mergeCell ref="C13:C15"/>
    <mergeCell ref="D13:D15"/>
    <mergeCell ref="E13:F13"/>
    <mergeCell ref="G13:O13"/>
    <mergeCell ref="C16:C17"/>
    <mergeCell ref="D16:D17"/>
    <mergeCell ref="E16:E17"/>
    <mergeCell ref="F16:F17"/>
    <mergeCell ref="P16:Q16"/>
    <mergeCell ref="P17:Q17"/>
    <mergeCell ref="G16:I29"/>
    <mergeCell ref="F20:F21"/>
    <mergeCell ref="C22:C23"/>
    <mergeCell ref="D22:D23"/>
    <mergeCell ref="E22:E23"/>
    <mergeCell ref="C20:C21"/>
    <mergeCell ref="D20:D21"/>
    <mergeCell ref="E20:E21"/>
    <mergeCell ref="C18:C19"/>
    <mergeCell ref="D18:D19"/>
    <mergeCell ref="E18:E19"/>
    <mergeCell ref="F18:F19"/>
    <mergeCell ref="P18:Q18"/>
    <mergeCell ref="P19:Q19"/>
    <mergeCell ref="C28:C29"/>
    <mergeCell ref="D28:D29"/>
    <mergeCell ref="E28:E29"/>
    <mergeCell ref="F22:F23"/>
    <mergeCell ref="P24:Q24"/>
    <mergeCell ref="P25:Q25"/>
    <mergeCell ref="P26:Q26"/>
    <mergeCell ref="P27:Q27"/>
    <mergeCell ref="P20:Q20"/>
    <mergeCell ref="P28:Q28"/>
    <mergeCell ref="P21:Q21"/>
    <mergeCell ref="P22:Q22"/>
    <mergeCell ref="P23:Q23"/>
    <mergeCell ref="F28:F29"/>
    <mergeCell ref="D33:D34"/>
    <mergeCell ref="E33:E34"/>
    <mergeCell ref="F33:F34"/>
    <mergeCell ref="F31:F32"/>
    <mergeCell ref="D31:D32"/>
    <mergeCell ref="P29:Q29"/>
    <mergeCell ref="E31:E32"/>
    <mergeCell ref="C24:C25"/>
    <mergeCell ref="D24:D25"/>
    <mergeCell ref="E24:E25"/>
    <mergeCell ref="F24:F25"/>
    <mergeCell ref="C26:C27"/>
    <mergeCell ref="D26:D27"/>
    <mergeCell ref="E26:E27"/>
    <mergeCell ref="F26:F27"/>
    <mergeCell ref="O41:Q41"/>
    <mergeCell ref="O42:Q42"/>
    <mergeCell ref="O43:Q43"/>
    <mergeCell ref="O44:Q44"/>
    <mergeCell ref="O45:Q45"/>
  </mergeCells>
  <conditionalFormatting sqref="E31:F34">
    <cfRule type="cellIs" dxfId="4" priority="15" operator="equal">
      <formula>0</formula>
    </cfRule>
  </conditionalFormatting>
  <conditionalFormatting sqref="G16 J16:P16 J18:P18 J20:P20 J22:P22 J24:P24 J26:P26 J28:P28">
    <cfRule type="expression" dxfId="3" priority="9">
      <formula>IF(G16&gt;0,TRUE(),0)</formula>
    </cfRule>
  </conditionalFormatting>
  <conditionalFormatting sqref="G31:O31">
    <cfRule type="cellIs" dxfId="2" priority="13" operator="equal">
      <formula>0</formula>
    </cfRule>
  </conditionalFormatting>
  <conditionalFormatting sqref="G31:O34">
    <cfRule type="cellIs" dxfId="1" priority="14" operator="lessThan">
      <formula>0.01</formula>
    </cfRule>
  </conditionalFormatting>
  <conditionalFormatting sqref="G32:O32">
    <cfRule type="colorScale" priority="38">
      <colorScale>
        <cfvo type="min"/>
        <cfvo type="percentile" val="50"/>
        <cfvo type="max"/>
        <color rgb="FFDAE3F3"/>
        <color rgb="FFB4C7E7"/>
        <color rgb="FF8497B0"/>
      </colorScale>
    </cfRule>
  </conditionalFormatting>
  <conditionalFormatting sqref="G34:O34">
    <cfRule type="colorScale" priority="18">
      <colorScale>
        <cfvo type="min"/>
        <cfvo type="percentile" val="50"/>
        <cfvo type="max"/>
        <color rgb="FFDAE3F3"/>
        <color rgb="FFB4C7E7"/>
        <color rgb="FF8497B0"/>
      </colorScale>
    </cfRule>
    <cfRule type="colorScale" priority="40">
      <colorScale>
        <cfvo type="min"/>
        <cfvo type="percent" val="50"/>
        <cfvo type="max"/>
        <color rgb="FFFFFFFF"/>
        <color rgb="FF8FAADC"/>
        <color rgb="FF2F5597"/>
      </colorScale>
    </cfRule>
  </conditionalFormatting>
  <conditionalFormatting sqref="J17:O17 J19:O19 J21:O21 J23:O23 J25:O25 J27:O27 J29:O29 G30:O30">
    <cfRule type="cellIs" dxfId="0" priority="10" operator="equal">
      <formula>0</formula>
    </cfRule>
  </conditionalFormatting>
  <printOptions horizontalCentered="1"/>
  <pageMargins left="0.51181102362204722" right="0.51181102362204722" top="1.3779527559055118" bottom="0.78740157480314965" header="0.31496062992125984" footer="0.31496062992125984"/>
  <pageSetup paperSize="9" scale="38" fitToHeight="0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A6C94-C712-4DAB-9209-B50FDCE91870}">
  <sheetPr>
    <pageSetUpPr fitToPage="1"/>
  </sheetPr>
  <dimension ref="A1:H30"/>
  <sheetViews>
    <sheetView view="pageBreakPreview" topLeftCell="A13" zoomScale="90" zoomScaleNormal="100" zoomScaleSheetLayoutView="90" workbookViewId="0">
      <selection activeCell="M27" sqref="M27"/>
    </sheetView>
  </sheetViews>
  <sheetFormatPr defaultRowHeight="12.75" x14ac:dyDescent="0.2"/>
  <cols>
    <col min="1" max="1" width="15.125" style="28" customWidth="1"/>
    <col min="2" max="2" width="16.75" style="28" customWidth="1"/>
    <col min="3" max="3" width="13.125" style="28" customWidth="1"/>
    <col min="4" max="4" width="9.875" style="28" customWidth="1"/>
    <col min="5" max="5" width="15.125" style="28" customWidth="1"/>
    <col min="6" max="6" width="12.5" style="28" customWidth="1"/>
    <col min="7" max="7" width="11" style="28" customWidth="1"/>
    <col min="8" max="8" width="19.625" style="28" customWidth="1"/>
    <col min="9" max="16384" width="9" style="28"/>
  </cols>
  <sheetData>
    <row r="1" spans="1:8" ht="15.75" x14ac:dyDescent="0.25">
      <c r="A1" s="110"/>
      <c r="B1" s="248" t="s">
        <v>172</v>
      </c>
      <c r="C1" s="248"/>
      <c r="D1" s="248"/>
      <c r="E1" s="248"/>
      <c r="F1" s="248"/>
      <c r="G1" s="248"/>
      <c r="H1" s="249"/>
    </row>
    <row r="2" spans="1:8" ht="15.75" x14ac:dyDescent="0.25">
      <c r="A2" s="111"/>
      <c r="B2" s="250"/>
      <c r="C2" s="250"/>
      <c r="D2" s="250"/>
      <c r="E2" s="250"/>
      <c r="F2" s="250"/>
      <c r="G2" s="250"/>
      <c r="H2" s="251"/>
    </row>
    <row r="3" spans="1:8" ht="15.75" x14ac:dyDescent="0.25">
      <c r="A3" s="111"/>
      <c r="B3" s="250"/>
      <c r="C3" s="250"/>
      <c r="D3" s="250"/>
      <c r="E3" s="250"/>
      <c r="F3" s="250"/>
      <c r="G3" s="250"/>
      <c r="H3" s="251"/>
    </row>
    <row r="4" spans="1:8" ht="15.75" x14ac:dyDescent="0.25">
      <c r="A4" s="111"/>
      <c r="B4" s="250"/>
      <c r="C4" s="250"/>
      <c r="D4" s="250"/>
      <c r="E4" s="250"/>
      <c r="F4" s="250"/>
      <c r="G4" s="250"/>
      <c r="H4" s="251"/>
    </row>
    <row r="5" spans="1:8" ht="51.75" customHeight="1" x14ac:dyDescent="0.2">
      <c r="A5" s="112" t="s">
        <v>155</v>
      </c>
      <c r="B5" s="252" t="s">
        <v>468</v>
      </c>
      <c r="C5" s="252"/>
      <c r="D5" s="252"/>
      <c r="E5" s="252"/>
      <c r="F5" s="252"/>
      <c r="G5" s="252"/>
      <c r="H5" s="253"/>
    </row>
    <row r="6" spans="1:8" ht="30" customHeight="1" x14ac:dyDescent="0.2">
      <c r="A6" s="254" t="s">
        <v>465</v>
      </c>
      <c r="B6" s="255"/>
      <c r="C6" s="255"/>
      <c r="D6" s="255"/>
      <c r="E6" s="256"/>
      <c r="F6" s="39" t="s">
        <v>466</v>
      </c>
      <c r="G6" s="257"/>
      <c r="H6" s="258"/>
    </row>
    <row r="7" spans="1:8" ht="20.100000000000001" customHeight="1" x14ac:dyDescent="0.25">
      <c r="A7" s="115" t="s">
        <v>456</v>
      </c>
      <c r="B7" s="114"/>
      <c r="C7" s="114"/>
      <c r="D7" s="114"/>
      <c r="E7" s="114"/>
      <c r="F7" s="116">
        <v>4.0099999999999997E-2</v>
      </c>
      <c r="G7" s="259"/>
      <c r="H7" s="260"/>
    </row>
    <row r="8" spans="1:8" ht="20.100000000000001" customHeight="1" x14ac:dyDescent="0.25">
      <c r="A8" s="115" t="s">
        <v>457</v>
      </c>
      <c r="B8" s="114"/>
      <c r="C8" s="114"/>
      <c r="D8" s="114"/>
      <c r="E8" s="114"/>
      <c r="F8" s="116">
        <f>SUM(F9:F10)</f>
        <v>4.0000000000000001E-3</v>
      </c>
      <c r="G8" s="259"/>
      <c r="H8" s="260"/>
    </row>
    <row r="9" spans="1:8" ht="20.100000000000001" customHeight="1" x14ac:dyDescent="0.2">
      <c r="A9" s="113" t="s">
        <v>454</v>
      </c>
      <c r="B9" s="114"/>
      <c r="C9" s="114"/>
      <c r="D9" s="114"/>
      <c r="E9" s="114"/>
      <c r="F9" s="117">
        <v>2E-3</v>
      </c>
      <c r="G9" s="259"/>
      <c r="H9" s="260"/>
    </row>
    <row r="10" spans="1:8" ht="20.100000000000001" customHeight="1" x14ac:dyDescent="0.2">
      <c r="A10" s="113" t="s">
        <v>455</v>
      </c>
      <c r="B10" s="114"/>
      <c r="C10" s="114"/>
      <c r="D10" s="114"/>
      <c r="E10" s="114"/>
      <c r="F10" s="117">
        <v>2E-3</v>
      </c>
      <c r="G10" s="259"/>
      <c r="H10" s="260"/>
    </row>
    <row r="11" spans="1:8" ht="20.100000000000001" customHeight="1" x14ac:dyDescent="0.2">
      <c r="A11" s="113"/>
      <c r="B11" s="114"/>
      <c r="C11" s="114"/>
      <c r="D11" s="114"/>
      <c r="E11" s="114"/>
      <c r="F11" s="117"/>
      <c r="G11" s="259"/>
      <c r="H11" s="260"/>
    </row>
    <row r="12" spans="1:8" ht="20.100000000000001" customHeight="1" x14ac:dyDescent="0.25">
      <c r="A12" s="115" t="s">
        <v>458</v>
      </c>
      <c r="B12" s="114"/>
      <c r="C12" s="114"/>
      <c r="D12" s="114"/>
      <c r="E12" s="114"/>
      <c r="F12" s="116">
        <v>5.5999999999999999E-3</v>
      </c>
      <c r="G12" s="259"/>
      <c r="H12" s="260"/>
    </row>
    <row r="13" spans="1:8" s="109" customFormat="1" ht="20.100000000000001" customHeight="1" x14ac:dyDescent="0.25">
      <c r="A13" s="115" t="s">
        <v>459</v>
      </c>
      <c r="B13" s="118"/>
      <c r="C13" s="118"/>
      <c r="D13" s="118"/>
      <c r="E13" s="118"/>
      <c r="F13" s="116">
        <v>1.11E-2</v>
      </c>
      <c r="G13" s="259"/>
      <c r="H13" s="260"/>
    </row>
    <row r="14" spans="1:8" s="109" customFormat="1" ht="20.100000000000001" customHeight="1" x14ac:dyDescent="0.25">
      <c r="A14" s="115"/>
      <c r="B14" s="118"/>
      <c r="C14" s="118"/>
      <c r="D14" s="118"/>
      <c r="E14" s="118"/>
      <c r="F14" s="116"/>
      <c r="G14" s="259"/>
      <c r="H14" s="260"/>
    </row>
    <row r="15" spans="1:8" s="109" customFormat="1" ht="20.100000000000001" customHeight="1" x14ac:dyDescent="0.25">
      <c r="A15" s="115" t="s">
        <v>460</v>
      </c>
      <c r="B15" s="118"/>
      <c r="C15" s="118"/>
      <c r="D15" s="118"/>
      <c r="E15" s="118"/>
      <c r="F15" s="116">
        <v>7.2999999999999995E-2</v>
      </c>
      <c r="G15" s="259"/>
      <c r="H15" s="260"/>
    </row>
    <row r="16" spans="1:8" s="109" customFormat="1" ht="20.100000000000001" customHeight="1" x14ac:dyDescent="0.25">
      <c r="A16" s="115"/>
      <c r="B16" s="118"/>
      <c r="C16" s="118"/>
      <c r="D16" s="118"/>
      <c r="E16" s="118"/>
      <c r="F16" s="116"/>
      <c r="G16" s="259"/>
      <c r="H16" s="260"/>
    </row>
    <row r="17" spans="1:8" s="109" customFormat="1" ht="20.100000000000001" customHeight="1" x14ac:dyDescent="0.25">
      <c r="A17" s="115" t="s">
        <v>461</v>
      </c>
      <c r="B17" s="118"/>
      <c r="C17" s="118"/>
      <c r="D17" s="118"/>
      <c r="E17" s="118"/>
      <c r="F17" s="116">
        <v>6.1499999999999999E-2</v>
      </c>
      <c r="G17" s="259"/>
      <c r="H17" s="260"/>
    </row>
    <row r="18" spans="1:8" s="109" customFormat="1" ht="20.100000000000001" customHeight="1" x14ac:dyDescent="0.25">
      <c r="A18" s="113" t="s">
        <v>462</v>
      </c>
      <c r="B18" s="118"/>
      <c r="C18" s="118"/>
      <c r="D18" s="118"/>
      <c r="E18" s="118"/>
      <c r="F18" s="117">
        <v>2.5000000000000001E-2</v>
      </c>
      <c r="G18" s="259"/>
      <c r="H18" s="260"/>
    </row>
    <row r="19" spans="1:8" s="109" customFormat="1" ht="20.100000000000001" customHeight="1" x14ac:dyDescent="0.25">
      <c r="A19" s="113" t="s">
        <v>463</v>
      </c>
      <c r="B19" s="118"/>
      <c r="C19" s="118"/>
      <c r="D19" s="118"/>
      <c r="E19" s="118"/>
      <c r="F19" s="117">
        <v>6.4999999999999997E-3</v>
      </c>
      <c r="G19" s="259"/>
      <c r="H19" s="260"/>
    </row>
    <row r="20" spans="1:8" s="109" customFormat="1" ht="20.100000000000001" customHeight="1" x14ac:dyDescent="0.25">
      <c r="A20" s="113" t="s">
        <v>464</v>
      </c>
      <c r="B20" s="118"/>
      <c r="C20" s="118"/>
      <c r="D20" s="118"/>
      <c r="E20" s="118"/>
      <c r="F20" s="117">
        <v>0.03</v>
      </c>
      <c r="G20" s="261"/>
      <c r="H20" s="262"/>
    </row>
    <row r="21" spans="1:8" s="109" customFormat="1" ht="20.100000000000001" customHeight="1" x14ac:dyDescent="0.25">
      <c r="A21" s="263" t="s">
        <v>467</v>
      </c>
      <c r="B21" s="264"/>
      <c r="C21" s="264"/>
      <c r="D21" s="264"/>
      <c r="E21" s="265"/>
      <c r="F21" s="116">
        <v>0.2135</v>
      </c>
      <c r="G21" s="266"/>
      <c r="H21" s="267"/>
    </row>
    <row r="22" spans="1:8" ht="15" customHeight="1" thickBot="1" x14ac:dyDescent="0.25">
      <c r="A22" s="268"/>
      <c r="B22" s="269"/>
      <c r="C22" s="269"/>
      <c r="D22" s="269"/>
      <c r="E22" s="269"/>
      <c r="F22" s="269"/>
      <c r="G22" s="269"/>
      <c r="H22" s="270"/>
    </row>
    <row r="26" spans="1:8" x14ac:dyDescent="0.2">
      <c r="E26" s="190" t="s">
        <v>228</v>
      </c>
      <c r="F26" s="190"/>
      <c r="G26" s="190"/>
    </row>
    <row r="27" spans="1:8" x14ac:dyDescent="0.2">
      <c r="E27" s="191" t="s">
        <v>451</v>
      </c>
      <c r="F27" s="191"/>
      <c r="G27" s="191"/>
    </row>
    <row r="28" spans="1:8" x14ac:dyDescent="0.2">
      <c r="E28" s="191" t="s">
        <v>452</v>
      </c>
      <c r="F28" s="191"/>
      <c r="G28" s="191"/>
    </row>
    <row r="29" spans="1:8" x14ac:dyDescent="0.2">
      <c r="E29" s="191" t="s">
        <v>173</v>
      </c>
      <c r="F29" s="191"/>
      <c r="G29" s="191"/>
    </row>
    <row r="30" spans="1:8" x14ac:dyDescent="0.2">
      <c r="E30" s="191" t="s">
        <v>453</v>
      </c>
      <c r="F30" s="191"/>
      <c r="G30" s="191"/>
    </row>
  </sheetData>
  <mergeCells count="12">
    <mergeCell ref="E29:G29"/>
    <mergeCell ref="E30:G30"/>
    <mergeCell ref="B1:H4"/>
    <mergeCell ref="B5:H5"/>
    <mergeCell ref="A6:E6"/>
    <mergeCell ref="G6:H20"/>
    <mergeCell ref="A21:E21"/>
    <mergeCell ref="G21:H21"/>
    <mergeCell ref="A22:H22"/>
    <mergeCell ref="E26:G26"/>
    <mergeCell ref="E27:G27"/>
    <mergeCell ref="E28:G28"/>
  </mergeCells>
  <printOptions horizontalCentered="1"/>
  <pageMargins left="0.51181102362204722" right="0.51181102362204722" top="1.1811023622047245" bottom="0.78740157480314965" header="0.31496062992125984" footer="0.31496062992125984"/>
  <pageSetup paperSize="9" scale="7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3DAE7-5535-4BC5-87F2-CFB45AB1312E}">
  <sheetPr>
    <pageSetUpPr fitToPage="1"/>
  </sheetPr>
  <dimension ref="A1:E45"/>
  <sheetViews>
    <sheetView view="pageBreakPreview" topLeftCell="A31" zoomScale="82" zoomScaleNormal="100" zoomScaleSheetLayoutView="82" workbookViewId="0">
      <selection activeCell="I37" sqref="I37"/>
    </sheetView>
  </sheetViews>
  <sheetFormatPr defaultRowHeight="12.75" x14ac:dyDescent="0.2"/>
  <cols>
    <col min="1" max="1" width="16.25" style="28" customWidth="1"/>
    <col min="2" max="2" width="52.625" style="28" customWidth="1"/>
    <col min="3" max="3" width="13.25" style="28" customWidth="1"/>
    <col min="4" max="4" width="13.5" style="28" customWidth="1"/>
    <col min="5" max="16384" width="9" style="28"/>
  </cols>
  <sheetData>
    <row r="1" spans="1:4" ht="13.5" thickBot="1" x14ac:dyDescent="0.25"/>
    <row r="2" spans="1:4" ht="15.75" x14ac:dyDescent="0.25">
      <c r="A2" s="27"/>
      <c r="B2" s="275" t="s">
        <v>172</v>
      </c>
      <c r="C2" s="275"/>
      <c r="D2" s="276"/>
    </row>
    <row r="3" spans="1:4" ht="15.75" x14ac:dyDescent="0.25">
      <c r="A3" s="29"/>
      <c r="B3" s="277"/>
      <c r="C3" s="277"/>
      <c r="D3" s="278"/>
    </row>
    <row r="4" spans="1:4" ht="15.75" x14ac:dyDescent="0.25">
      <c r="A4" s="30"/>
      <c r="B4" s="277"/>
      <c r="C4" s="277"/>
      <c r="D4" s="278"/>
    </row>
    <row r="5" spans="1:4" ht="22.5" customHeight="1" x14ac:dyDescent="0.25">
      <c r="A5" s="31"/>
      <c r="B5" s="279"/>
      <c r="C5" s="279"/>
      <c r="D5" s="280"/>
    </row>
    <row r="6" spans="1:4" ht="54" customHeight="1" x14ac:dyDescent="0.25">
      <c r="A6" s="32" t="str">
        <f>[1]QUANTITATIVOS!A6</f>
        <v>OBRA</v>
      </c>
      <c r="B6" s="271" t="s">
        <v>468</v>
      </c>
      <c r="C6" s="271"/>
      <c r="D6" s="272"/>
    </row>
    <row r="7" spans="1:4" ht="30" customHeight="1" x14ac:dyDescent="0.2">
      <c r="A7" s="281" t="s">
        <v>174</v>
      </c>
      <c r="B7" s="282"/>
      <c r="C7" s="282"/>
      <c r="D7" s="283"/>
    </row>
    <row r="8" spans="1:4" x14ac:dyDescent="0.2">
      <c r="A8" s="284" t="s">
        <v>157</v>
      </c>
      <c r="B8" s="286" t="s">
        <v>175</v>
      </c>
      <c r="C8" s="33" t="s">
        <v>176</v>
      </c>
      <c r="D8" s="34" t="s">
        <v>177</v>
      </c>
    </row>
    <row r="9" spans="1:4" x14ac:dyDescent="0.2">
      <c r="A9" s="285"/>
      <c r="B9" s="287"/>
      <c r="C9" s="35" t="s">
        <v>164</v>
      </c>
      <c r="D9" s="36" t="s">
        <v>164</v>
      </c>
    </row>
    <row r="10" spans="1:4" ht="20.100000000000001" customHeight="1" x14ac:dyDescent="0.2">
      <c r="A10" s="37" t="s">
        <v>76</v>
      </c>
      <c r="B10" s="38" t="s">
        <v>178</v>
      </c>
      <c r="C10" s="39"/>
      <c r="D10" s="40"/>
    </row>
    <row r="11" spans="1:4" ht="20.100000000000001" customHeight="1" x14ac:dyDescent="0.2">
      <c r="A11" s="41" t="s">
        <v>179</v>
      </c>
      <c r="B11" s="42" t="s">
        <v>180</v>
      </c>
      <c r="C11" s="43"/>
      <c r="D11" s="44"/>
    </row>
    <row r="12" spans="1:4" ht="20.100000000000001" customHeight="1" x14ac:dyDescent="0.2">
      <c r="A12" s="41" t="s">
        <v>181</v>
      </c>
      <c r="B12" s="42" t="s">
        <v>182</v>
      </c>
      <c r="C12" s="43">
        <v>8</v>
      </c>
      <c r="D12" s="44">
        <v>8</v>
      </c>
    </row>
    <row r="13" spans="1:4" ht="20.100000000000001" customHeight="1" x14ac:dyDescent="0.2">
      <c r="A13" s="41" t="s">
        <v>183</v>
      </c>
      <c r="B13" s="42" t="s">
        <v>184</v>
      </c>
      <c r="C13" s="43">
        <v>2.5</v>
      </c>
      <c r="D13" s="44">
        <v>2.5</v>
      </c>
    </row>
    <row r="14" spans="1:4" ht="20.100000000000001" customHeight="1" x14ac:dyDescent="0.2">
      <c r="A14" s="41" t="s">
        <v>185</v>
      </c>
      <c r="B14" s="42" t="s">
        <v>186</v>
      </c>
      <c r="C14" s="43">
        <v>1.5</v>
      </c>
      <c r="D14" s="44">
        <v>1.5</v>
      </c>
    </row>
    <row r="15" spans="1:4" ht="20.100000000000001" customHeight="1" x14ac:dyDescent="0.2">
      <c r="A15" s="41" t="s">
        <v>187</v>
      </c>
      <c r="B15" s="42" t="s">
        <v>188</v>
      </c>
      <c r="C15" s="43">
        <v>1</v>
      </c>
      <c r="D15" s="44">
        <v>1</v>
      </c>
    </row>
    <row r="16" spans="1:4" ht="20.100000000000001" customHeight="1" x14ac:dyDescent="0.2">
      <c r="A16" s="41" t="s">
        <v>189</v>
      </c>
      <c r="B16" s="42" t="s">
        <v>190</v>
      </c>
      <c r="C16" s="43">
        <v>0.6</v>
      </c>
      <c r="D16" s="44">
        <v>0.6</v>
      </c>
    </row>
    <row r="17" spans="1:4" ht="20.100000000000001" customHeight="1" x14ac:dyDescent="0.2">
      <c r="A17" s="41" t="s">
        <v>191</v>
      </c>
      <c r="B17" s="42" t="s">
        <v>192</v>
      </c>
      <c r="C17" s="43">
        <v>0.2</v>
      </c>
      <c r="D17" s="44">
        <v>0.2</v>
      </c>
    </row>
    <row r="18" spans="1:4" ht="20.100000000000001" customHeight="1" x14ac:dyDescent="0.2">
      <c r="A18" s="41" t="s">
        <v>193</v>
      </c>
      <c r="B18" s="42" t="s">
        <v>194</v>
      </c>
      <c r="C18" s="43">
        <v>3</v>
      </c>
      <c r="D18" s="44">
        <v>3</v>
      </c>
    </row>
    <row r="19" spans="1:4" ht="20.100000000000001" customHeight="1" x14ac:dyDescent="0.2">
      <c r="A19" s="254" t="s">
        <v>195</v>
      </c>
      <c r="B19" s="256"/>
      <c r="C19" s="45">
        <f>C11+C12+C13+C14+C15+C16+C17+C18</f>
        <v>16.799999999999997</v>
      </c>
      <c r="D19" s="46">
        <f>D11+D12+D13+D14+D15+D16+D17+D18</f>
        <v>16.799999999999997</v>
      </c>
    </row>
    <row r="20" spans="1:4" ht="20.100000000000001" customHeight="1" x14ac:dyDescent="0.2">
      <c r="A20" s="37" t="s">
        <v>93</v>
      </c>
      <c r="B20" s="38" t="s">
        <v>196</v>
      </c>
      <c r="C20" s="43"/>
      <c r="D20" s="44"/>
    </row>
    <row r="21" spans="1:4" ht="20.100000000000001" customHeight="1" x14ac:dyDescent="0.2">
      <c r="A21" s="41" t="s">
        <v>197</v>
      </c>
      <c r="B21" s="42" t="s">
        <v>198</v>
      </c>
      <c r="C21" s="43">
        <v>22.9</v>
      </c>
      <c r="D21" s="44"/>
    </row>
    <row r="22" spans="1:4" ht="20.100000000000001" customHeight="1" x14ac:dyDescent="0.2">
      <c r="A22" s="41" t="s">
        <v>199</v>
      </c>
      <c r="B22" s="42" t="s">
        <v>200</v>
      </c>
      <c r="C22" s="43">
        <v>0.79</v>
      </c>
      <c r="D22" s="44"/>
    </row>
    <row r="23" spans="1:4" ht="20.100000000000001" customHeight="1" x14ac:dyDescent="0.2">
      <c r="A23" s="41" t="s">
        <v>201</v>
      </c>
      <c r="B23" s="42" t="s">
        <v>202</v>
      </c>
      <c r="C23" s="43">
        <v>0.34</v>
      </c>
      <c r="D23" s="44"/>
    </row>
    <row r="24" spans="1:4" ht="20.100000000000001" customHeight="1" x14ac:dyDescent="0.2">
      <c r="A24" s="41" t="s">
        <v>203</v>
      </c>
      <c r="B24" s="42" t="s">
        <v>204</v>
      </c>
      <c r="C24" s="43">
        <v>10.57</v>
      </c>
      <c r="D24" s="44">
        <v>8.2200000000000006</v>
      </c>
    </row>
    <row r="25" spans="1:4" ht="51.75" customHeight="1" x14ac:dyDescent="0.2">
      <c r="A25" s="41" t="s">
        <v>205</v>
      </c>
      <c r="B25" s="47" t="s">
        <v>206</v>
      </c>
      <c r="C25" s="43">
        <v>4.57</v>
      </c>
      <c r="D25" s="44"/>
    </row>
    <row r="26" spans="1:4" ht="20.100000000000001" customHeight="1" x14ac:dyDescent="0.2">
      <c r="A26" s="254" t="s">
        <v>207</v>
      </c>
      <c r="B26" s="256"/>
      <c r="C26" s="45">
        <f>C21+C22+C23+C24+C25</f>
        <v>39.169999999999995</v>
      </c>
      <c r="D26" s="46">
        <f>D21+D22+D23+D24+D25</f>
        <v>8.2200000000000006</v>
      </c>
    </row>
    <row r="27" spans="1:4" ht="30" customHeight="1" x14ac:dyDescent="0.2">
      <c r="A27" s="37" t="s">
        <v>99</v>
      </c>
      <c r="B27" s="48" t="s">
        <v>208</v>
      </c>
      <c r="C27" s="43"/>
      <c r="D27" s="44"/>
    </row>
    <row r="28" spans="1:4" ht="20.100000000000001" customHeight="1" x14ac:dyDescent="0.2">
      <c r="A28" s="41" t="s">
        <v>209</v>
      </c>
      <c r="B28" s="49" t="s">
        <v>210</v>
      </c>
      <c r="C28" s="43">
        <f>0.5*(0.08+(0.08*C26/100))*100</f>
        <v>5.5667999999999997</v>
      </c>
      <c r="D28" s="44">
        <f>0.5*(0.08+(0.08*D26/100))*100</f>
        <v>4.3288000000000002</v>
      </c>
    </row>
    <row r="29" spans="1:4" ht="20.100000000000001" customHeight="1" x14ac:dyDescent="0.2">
      <c r="A29" s="41" t="s">
        <v>211</v>
      </c>
      <c r="B29" s="42" t="s">
        <v>212</v>
      </c>
      <c r="C29" s="43">
        <v>14.06</v>
      </c>
      <c r="D29" s="44">
        <v>10.93</v>
      </c>
    </row>
    <row r="30" spans="1:4" ht="20.100000000000001" customHeight="1" x14ac:dyDescent="0.2">
      <c r="A30" s="41" t="s">
        <v>213</v>
      </c>
      <c r="B30" s="42" t="s">
        <v>214</v>
      </c>
      <c r="C30" s="43">
        <v>13.12</v>
      </c>
      <c r="D30" s="44">
        <v>10.199999999999999</v>
      </c>
    </row>
    <row r="31" spans="1:4" ht="20.100000000000001" customHeight="1" x14ac:dyDescent="0.2">
      <c r="A31" s="254" t="s">
        <v>215</v>
      </c>
      <c r="B31" s="256"/>
      <c r="C31" s="45">
        <f>C28+C29+C30</f>
        <v>32.7468</v>
      </c>
      <c r="D31" s="46">
        <f>D28+D29+D30</f>
        <v>25.4588</v>
      </c>
    </row>
    <row r="32" spans="1:4" ht="20.100000000000001" customHeight="1" x14ac:dyDescent="0.2">
      <c r="A32" s="37" t="s">
        <v>103</v>
      </c>
      <c r="B32" s="48" t="s">
        <v>216</v>
      </c>
      <c r="C32" s="45"/>
      <c r="D32" s="46"/>
    </row>
    <row r="33" spans="1:5" ht="20.100000000000001" customHeight="1" x14ac:dyDescent="0.2">
      <c r="A33" s="41" t="s">
        <v>217</v>
      </c>
      <c r="B33" s="42" t="s">
        <v>218</v>
      </c>
      <c r="C33" s="43">
        <f>C19*C26/100</f>
        <v>6.5805599999999984</v>
      </c>
      <c r="D33" s="44">
        <f>D19*D26/100</f>
        <v>1.3809599999999997</v>
      </c>
    </row>
    <row r="34" spans="1:5" ht="20.100000000000001" customHeight="1" x14ac:dyDescent="0.2">
      <c r="A34" s="41" t="s">
        <v>219</v>
      </c>
      <c r="B34" s="42" t="s">
        <v>220</v>
      </c>
      <c r="C34" s="43">
        <v>4.83</v>
      </c>
      <c r="D34" s="44">
        <v>3.75</v>
      </c>
    </row>
    <row r="35" spans="1:5" ht="20.100000000000001" customHeight="1" x14ac:dyDescent="0.2">
      <c r="A35" s="254" t="s">
        <v>221</v>
      </c>
      <c r="B35" s="256"/>
      <c r="C35" s="45">
        <f>C33+C34</f>
        <v>11.410559999999998</v>
      </c>
      <c r="D35" s="46">
        <f>D33+D34</f>
        <v>5.13096</v>
      </c>
    </row>
    <row r="36" spans="1:5" ht="30" customHeight="1" thickBot="1" x14ac:dyDescent="0.25">
      <c r="A36" s="273" t="s">
        <v>222</v>
      </c>
      <c r="B36" s="274"/>
      <c r="C36" s="50">
        <f>C19+C26+C31+C35</f>
        <v>100.12736</v>
      </c>
      <c r="D36" s="51">
        <f>D19+D26+D31+D35</f>
        <v>55.609759999999994</v>
      </c>
    </row>
    <row r="37" spans="1:5" ht="30" customHeight="1" x14ac:dyDescent="0.2">
      <c r="A37" s="119"/>
      <c r="B37" s="119"/>
      <c r="C37" s="120"/>
      <c r="D37" s="120"/>
    </row>
    <row r="38" spans="1:5" ht="30" customHeight="1" x14ac:dyDescent="0.2">
      <c r="A38" s="119"/>
      <c r="B38" s="119"/>
      <c r="C38" s="120"/>
      <c r="D38" s="120"/>
    </row>
    <row r="39" spans="1:5" ht="30" customHeight="1" x14ac:dyDescent="0.2">
      <c r="A39" s="119"/>
      <c r="B39" s="119"/>
      <c r="C39" s="120"/>
      <c r="D39" s="120"/>
    </row>
    <row r="42" spans="1:5" x14ac:dyDescent="0.2">
      <c r="C42" s="190" t="s">
        <v>228</v>
      </c>
      <c r="D42" s="190"/>
      <c r="E42" s="190"/>
    </row>
    <row r="43" spans="1:5" x14ac:dyDescent="0.2">
      <c r="C43" s="191" t="s">
        <v>451</v>
      </c>
      <c r="D43" s="191"/>
      <c r="E43" s="191"/>
    </row>
    <row r="44" spans="1:5" x14ac:dyDescent="0.2">
      <c r="C44" s="191" t="s">
        <v>452</v>
      </c>
      <c r="D44" s="191"/>
      <c r="E44" s="191"/>
    </row>
    <row r="45" spans="1:5" x14ac:dyDescent="0.2">
      <c r="C45" s="191" t="s">
        <v>173</v>
      </c>
      <c r="D45" s="191"/>
      <c r="E45" s="191"/>
    </row>
  </sheetData>
  <mergeCells count="14">
    <mergeCell ref="B2:D5"/>
    <mergeCell ref="A7:D7"/>
    <mergeCell ref="A8:A9"/>
    <mergeCell ref="B8:B9"/>
    <mergeCell ref="A19:B19"/>
    <mergeCell ref="C45:E45"/>
    <mergeCell ref="B6:D6"/>
    <mergeCell ref="A31:B31"/>
    <mergeCell ref="A35:B35"/>
    <mergeCell ref="A36:B36"/>
    <mergeCell ref="A26:B26"/>
    <mergeCell ref="C42:E42"/>
    <mergeCell ref="C43:E43"/>
    <mergeCell ref="C44:E44"/>
  </mergeCells>
  <printOptions horizontalCentered="1"/>
  <pageMargins left="0.51181102362204722" right="0.51181102362204722" top="1.1811023622047245" bottom="0.78740157480314965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Resumo</vt:lpstr>
      <vt:lpstr>Orçamento Sintético</vt:lpstr>
      <vt:lpstr>CPU's</vt:lpstr>
      <vt:lpstr>CRONOGRAMA</vt:lpstr>
      <vt:lpstr>BDI</vt:lpstr>
      <vt:lpstr>ENCARGOS</vt:lpstr>
      <vt:lpstr>'CPU''s'!Area_de_impressao</vt:lpstr>
      <vt:lpstr>CRONOGRAMA!Area_de_impressao</vt:lpstr>
      <vt:lpstr>'Orçamento Sintético'!Area_de_impressao</vt:lpstr>
      <vt:lpstr>Resumo!Area_de_impressao</vt:lpstr>
      <vt:lpstr>'CPU''s'!Titulos_de_impressao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Brita Potiguar2</cp:lastModifiedBy>
  <cp:revision>0</cp:revision>
  <cp:lastPrinted>2024-09-16T21:10:25Z</cp:lastPrinted>
  <dcterms:created xsi:type="dcterms:W3CDTF">2024-06-26T14:16:54Z</dcterms:created>
  <dcterms:modified xsi:type="dcterms:W3CDTF">2024-09-16T21:25:35Z</dcterms:modified>
</cp:coreProperties>
</file>