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raimundo.r.junior\Desktop\"/>
    </mc:Choice>
  </mc:AlternateContent>
  <xr:revisionPtr revIDLastSave="0" documentId="8_{D98E983C-DC3C-44E7-8A5B-92E51D61D4E1}" xr6:coauthVersionLast="47" xr6:coauthVersionMax="47" xr10:uidLastSave="{00000000-0000-0000-0000-000000000000}"/>
  <bookViews>
    <workbookView xWindow="-28920" yWindow="-120" windowWidth="29040" windowHeight="15720" tabRatio="871" xr2:uid="{0D0018AB-98EB-46AB-B079-AFC87997A9B1}"/>
  </bookViews>
  <sheets>
    <sheet name="RESUMO GERAL" sheetId="24" r:id="rId1"/>
    <sheet name="MO Man" sheetId="1" r:id="rId2"/>
    <sheet name="Mat Man" sheetId="2" r:id="rId3"/>
    <sheet name="Serv Esp" sheetId="3" r:id="rId4"/>
    <sheet name="Vidro" sheetId="4" r:id="rId5"/>
    <sheet name="Divi" sheetId="5" r:id="rId6"/>
    <sheet name="Elev" sheetId="6" r:id="rId7"/>
    <sheet name="Sinal" sheetId="8" r:id="rId8"/>
    <sheet name="Chave" sheetId="9" r:id="rId9"/>
    <sheet name="Dedet" sheetId="10" r:id="rId10"/>
    <sheet name="Res Sol" sheetId="11" r:id="rId11"/>
    <sheet name="RES_Briga" sheetId="12" r:id="rId12"/>
    <sheet name="12x36h Not" sheetId="13" r:id="rId13"/>
    <sheet name="12x36h Dia" sheetId="14" r:id="rId14"/>
    <sheet name="12x36h Lider" sheetId="15" r:id="rId15"/>
    <sheet name="Uniforme_briga" sheetId="16" r:id="rId16"/>
    <sheet name="MAT-EQUIP_briga" sheetId="17" r:id="rId17"/>
    <sheet name="RES_vigia" sheetId="18" r:id="rId18"/>
    <sheet name="Vigia 12x36h Noite" sheetId="19" r:id="rId19"/>
    <sheet name="Vigia 12x36h Dia" sheetId="20" r:id="rId20"/>
    <sheet name="Super_Vigia" sheetId="21" r:id="rId21"/>
    <sheet name="Vigia Desamado" sheetId="23" r:id="rId22"/>
    <sheet name="Uniform_vigia" sheetId="22" r:id="rId23"/>
    <sheet name="RESUMO" sheetId="26" r:id="rId24"/>
    <sheet name="Copeira" sheetId="25" r:id="rId25"/>
    <sheet name="Garçom" sheetId="27" r:id="rId26"/>
    <sheet name="Carregador" sheetId="28" r:id="rId27"/>
    <sheet name="ENCARREGADO - Geral " sheetId="29" r:id="rId28"/>
    <sheet name="EQUIPAMENTOS " sheetId="30" r:id="rId29"/>
    <sheet name="UNIFORME" sheetId="31" r:id="rId30"/>
    <sheet name="materiais " sheetId="32" r:id="rId31"/>
    <sheet name="Resumo Limp" sheetId="33" r:id="rId32"/>
    <sheet name="ENCARREGADO " sheetId="34" r:id="rId33"/>
    <sheet name="PRODUTIVIDADE consolidado " sheetId="35" r:id="rId34"/>
    <sheet name="SERVENTE 44 HORAS SEMANAIS" sheetId="36" r:id="rId35"/>
    <sheet name="JAUZEIRO" sheetId="37" r:id="rId36"/>
    <sheet name="QUANT. ESTIMADA POR SERVENTES" sheetId="38" r:id="rId37"/>
    <sheet name="EQUIP_limp " sheetId="39" r:id="rId38"/>
    <sheet name="Uniforme_limp" sheetId="40" r:id="rId39"/>
    <sheet name="MATERIAL " sheetId="41" r:id="rId40"/>
  </sheets>
  <externalReferences>
    <externalReference r:id="rId41"/>
    <externalReference r:id="rId42"/>
    <externalReference r:id="rId43"/>
    <externalReference r:id="rId44"/>
  </externalReferences>
  <definedNames>
    <definedName name="_xlnm.Print_Area" localSheetId="13">'12x36h Dia'!$A$1:$F$149</definedName>
    <definedName name="_xlnm.Print_Area" localSheetId="14">'12x36h Lider'!$A$1:$F$149</definedName>
    <definedName name="_xlnm.Print_Area" localSheetId="12">'12x36h Not'!$A$1:$F$149</definedName>
    <definedName name="_xlnm.Print_Area" localSheetId="26">Carregador!$A$1:$I$159</definedName>
    <definedName name="_xlnm.Print_Area" localSheetId="24">Copeira!$A$1:$I$159</definedName>
    <definedName name="_xlnm.Print_Area" localSheetId="32">'ENCARREGADO '!$A$1:$I$148</definedName>
    <definedName name="_xlnm.Print_Area" localSheetId="27">'ENCARREGADO - Geral '!$A$1:$I$164</definedName>
    <definedName name="_xlnm.Print_Area" localSheetId="37">'EQUIP_limp '!$A$1:$H$12</definedName>
    <definedName name="_xlnm.Print_Area" localSheetId="28">'EQUIPAMENTOS '!$A$1:$J$35</definedName>
    <definedName name="_xlnm.Print_Area" localSheetId="25">Garçom!$A$1:$I$159</definedName>
    <definedName name="_xlnm.Print_Area" localSheetId="35">JAUZEIRO!$A$1:$I$143</definedName>
    <definedName name="_xlnm.Print_Area" localSheetId="16">'MAT-EQUIP_briga'!$A$1:$F$47</definedName>
    <definedName name="_xlnm.Print_Area" localSheetId="39">'MATERIAL '!$A$1:$I$71</definedName>
    <definedName name="_xlnm.Print_Area" localSheetId="33">'PRODUTIVIDADE consolidado '!$A$1:$I$64</definedName>
    <definedName name="_xlnm.Print_Area" localSheetId="36">'QUANT. ESTIMADA POR SERVENTES'!$D$2:$I$13</definedName>
    <definedName name="_xlnm.Print_Area" localSheetId="11">RES_Briga!$A$1:$G$17</definedName>
    <definedName name="_xlnm.Print_Area" localSheetId="17">RES_vigia!$A$1:$G$18</definedName>
    <definedName name="_xlnm.Print_Area" localSheetId="23">RESUMO!$B$2:$G$11</definedName>
    <definedName name="_xlnm.Print_Area" localSheetId="34">'SERVENTE 44 HORAS SEMANAIS'!$A$1:$I$144</definedName>
    <definedName name="_xlnm.Print_Area" localSheetId="20">Super_Vigia!$A$1:$F$149</definedName>
    <definedName name="_xlnm.Print_Area" localSheetId="22">Uniform_vigia!$A$1:$E$34</definedName>
    <definedName name="_xlnm.Print_Area" localSheetId="15">Uniforme_briga!$A$1:$E$34</definedName>
    <definedName name="_xlnm.Print_Area" localSheetId="19">'Vigia 12x36h Dia'!$A$1:$F$149</definedName>
    <definedName name="_xlnm.Print_Area" localSheetId="18">'Vigia 12x36h Noite'!$A$1:$F$149</definedName>
    <definedName name="Excel_BuiltIn_Print_Area_1_1" localSheetId="17">#REF!</definedName>
    <definedName name="Excel_BuiltIn_Print_Area_1_1" localSheetId="20">#REF!</definedName>
    <definedName name="Excel_BuiltIn_Print_Area_1_1" localSheetId="22">#REF!</definedName>
    <definedName name="Excel_BuiltIn_Print_Area_1_1" localSheetId="19">#REF!</definedName>
    <definedName name="Excel_BuiltIn_Print_Area_1_1" localSheetId="18">#REF!</definedName>
    <definedName name="Excel_BuiltIn_Print_Area_1_1" localSheetId="21">#REF!</definedName>
    <definedName name="Excel_BuiltIn_Print_Area_1_1">#REF!</definedName>
    <definedName name="Excel_BuiltIn_Print_Area_1_1_1" localSheetId="17">#REF!</definedName>
    <definedName name="Excel_BuiltIn_Print_Area_1_1_1" localSheetId="20">#REF!</definedName>
    <definedName name="Excel_BuiltIn_Print_Area_1_1_1" localSheetId="22">#REF!</definedName>
    <definedName name="Excel_BuiltIn_Print_Area_1_1_1" localSheetId="19">#REF!</definedName>
    <definedName name="Excel_BuiltIn_Print_Area_1_1_1" localSheetId="18">#REF!</definedName>
    <definedName name="Excel_BuiltIn_Print_Area_1_1_1" localSheetId="21">#REF!</definedName>
    <definedName name="Excel_BuiltIn_Print_Area_1_1_1">#REF!</definedName>
    <definedName name="Excel_BuiltIn_Print_Area_5" localSheetId="17">#REF!</definedName>
    <definedName name="Excel_BuiltIn_Print_Area_5" localSheetId="20">#REF!</definedName>
    <definedName name="Excel_BuiltIn_Print_Area_5" localSheetId="22">#REF!</definedName>
    <definedName name="Excel_BuiltIn_Print_Area_5" localSheetId="19">#REF!</definedName>
    <definedName name="Excel_BuiltIn_Print_Area_5" localSheetId="18">#REF!</definedName>
    <definedName name="Excel_BuiltIn_Print_Area_5" localSheetId="21">#REF!</definedName>
    <definedName name="Excel_BuiltIn_Print_Area_5">#REF!</definedName>
    <definedName name="Excel_BuiltIn_Print_Area_5_1" localSheetId="17">#REF!</definedName>
    <definedName name="Excel_BuiltIn_Print_Area_5_1" localSheetId="20">#REF!</definedName>
    <definedName name="Excel_BuiltIn_Print_Area_5_1" localSheetId="22">#REF!</definedName>
    <definedName name="Excel_BuiltIn_Print_Area_5_1" localSheetId="19">#REF!</definedName>
    <definedName name="Excel_BuiltIn_Print_Area_5_1" localSheetId="18">#REF!</definedName>
    <definedName name="Excel_BuiltIn_Print_Area_5_1" localSheetId="21">#REF!</definedName>
    <definedName name="Excel_BuiltIn_Print_Area_5_1">#REF!</definedName>
    <definedName name="Excel_BuiltIn_Print_Area_6" localSheetId="17">#REF!</definedName>
    <definedName name="Excel_BuiltIn_Print_Area_6" localSheetId="20">#REF!</definedName>
    <definedName name="Excel_BuiltIn_Print_Area_6" localSheetId="22">#REF!</definedName>
    <definedName name="Excel_BuiltIn_Print_Area_6" localSheetId="19">#REF!</definedName>
    <definedName name="Excel_BuiltIn_Print_Area_6" localSheetId="18">#REF!</definedName>
    <definedName name="Excel_BuiltIn_Print_Area_6" localSheetId="21">#REF!</definedName>
    <definedName name="Excel_BuiltIn_Print_Area_6">#REF!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24" l="1"/>
  <c r="G43" i="24" s="1"/>
  <c r="E45" i="24" l="1"/>
  <c r="G45" i="24" s="1"/>
  <c r="C39" i="24"/>
  <c r="E39" i="24" s="1"/>
  <c r="G39" i="24" s="1"/>
  <c r="F59" i="41"/>
  <c r="G66" i="41" s="1"/>
  <c r="D53" i="41"/>
  <c r="D52" i="41"/>
  <c r="D51" i="41"/>
  <c r="D50" i="41"/>
  <c r="D49" i="41"/>
  <c r="D48" i="41"/>
  <c r="D47" i="41"/>
  <c r="D46" i="41"/>
  <c r="D45" i="41"/>
  <c r="D43" i="41"/>
  <c r="D42" i="41"/>
  <c r="D41" i="41"/>
  <c r="D40" i="41"/>
  <c r="D39" i="41"/>
  <c r="D38" i="41"/>
  <c r="D37" i="41"/>
  <c r="D36" i="41"/>
  <c r="D35" i="41"/>
  <c r="D34" i="41"/>
  <c r="D33" i="41"/>
  <c r="D32" i="41"/>
  <c r="D31" i="41"/>
  <c r="D30" i="41"/>
  <c r="D29" i="41"/>
  <c r="D28" i="41"/>
  <c r="D27" i="41"/>
  <c r="C27" i="41"/>
  <c r="D26" i="41"/>
  <c r="D25" i="41"/>
  <c r="D24" i="41"/>
  <c r="D23" i="41"/>
  <c r="D22" i="41"/>
  <c r="D21" i="41"/>
  <c r="D20" i="41"/>
  <c r="D19" i="41"/>
  <c r="D18" i="41"/>
  <c r="D17" i="41"/>
  <c r="D16" i="41"/>
  <c r="D15" i="41"/>
  <c r="D13" i="41"/>
  <c r="D12" i="41"/>
  <c r="D11" i="41"/>
  <c r="D10" i="41"/>
  <c r="D9" i="41"/>
  <c r="D8" i="41"/>
  <c r="D7" i="41"/>
  <c r="D6" i="41"/>
  <c r="D5" i="41"/>
  <c r="C4" i="41"/>
  <c r="D4" i="41" s="1"/>
  <c r="D3" i="41"/>
  <c r="D2" i="41"/>
  <c r="E20" i="40"/>
  <c r="F20" i="40" s="1"/>
  <c r="C19" i="40"/>
  <c r="E19" i="40" s="1"/>
  <c r="F19" i="40" s="1"/>
  <c r="C18" i="40"/>
  <c r="E18" i="40" s="1"/>
  <c r="F18" i="40" s="1"/>
  <c r="E17" i="40"/>
  <c r="F17" i="40" s="1"/>
  <c r="C17" i="40"/>
  <c r="C16" i="40"/>
  <c r="E16" i="40" s="1"/>
  <c r="F16" i="40" s="1"/>
  <c r="C15" i="40"/>
  <c r="E15" i="40" s="1"/>
  <c r="E8" i="40"/>
  <c r="F8" i="40" s="1"/>
  <c r="E7" i="40"/>
  <c r="F7" i="40" s="1"/>
  <c r="E6" i="40"/>
  <c r="F6" i="40" s="1"/>
  <c r="E5" i="40"/>
  <c r="F5" i="40" s="1"/>
  <c r="E4" i="40"/>
  <c r="F4" i="40" s="1"/>
  <c r="D11" i="39"/>
  <c r="E10" i="39"/>
  <c r="H10" i="39" s="1"/>
  <c r="E9" i="39"/>
  <c r="H9" i="39" s="1"/>
  <c r="E8" i="39"/>
  <c r="H8" i="39" s="1"/>
  <c r="E7" i="39"/>
  <c r="H7" i="39" s="1"/>
  <c r="E6" i="39"/>
  <c r="H6" i="39" s="1"/>
  <c r="E5" i="39"/>
  <c r="H5" i="39" s="1"/>
  <c r="E4" i="39"/>
  <c r="H4" i="39" s="1"/>
  <c r="H3" i="39"/>
  <c r="E3" i="39"/>
  <c r="E11" i="38"/>
  <c r="H9" i="38"/>
  <c r="H8" i="38"/>
  <c r="H7" i="38"/>
  <c r="H6" i="38"/>
  <c r="H5" i="38"/>
  <c r="H4" i="38"/>
  <c r="H11" i="38" s="1"/>
  <c r="H12" i="38" s="1"/>
  <c r="F128" i="37"/>
  <c r="F127" i="37"/>
  <c r="F126" i="37"/>
  <c r="F133" i="37" s="1"/>
  <c r="E121" i="37"/>
  <c r="I139" i="37" s="1"/>
  <c r="I112" i="37"/>
  <c r="F100" i="37"/>
  <c r="F99" i="37"/>
  <c r="F98" i="37"/>
  <c r="F97" i="37"/>
  <c r="F96" i="37"/>
  <c r="F95" i="37"/>
  <c r="I95" i="37" s="1"/>
  <c r="H82" i="37"/>
  <c r="H83" i="37" s="1"/>
  <c r="B77" i="37"/>
  <c r="B76" i="37"/>
  <c r="B75" i="37"/>
  <c r="F68" i="37"/>
  <c r="F73" i="37" s="1"/>
  <c r="I77" i="37" s="1"/>
  <c r="F61" i="37"/>
  <c r="F47" i="37"/>
  <c r="F32" i="37"/>
  <c r="F37" i="37" s="1"/>
  <c r="F128" i="36"/>
  <c r="F133" i="36" s="1"/>
  <c r="E121" i="36"/>
  <c r="I139" i="36" s="1"/>
  <c r="I112" i="36"/>
  <c r="F100" i="36"/>
  <c r="F99" i="36"/>
  <c r="F98" i="36"/>
  <c r="F97" i="36"/>
  <c r="F96" i="36"/>
  <c r="F95" i="36"/>
  <c r="B77" i="36"/>
  <c r="B76" i="36"/>
  <c r="B75" i="36"/>
  <c r="F68" i="36"/>
  <c r="F73" i="36" s="1"/>
  <c r="I77" i="36" s="1"/>
  <c r="F61" i="36"/>
  <c r="F47" i="36"/>
  <c r="F37" i="36"/>
  <c r="I55" i="35"/>
  <c r="E51" i="35"/>
  <c r="E50" i="35"/>
  <c r="E49" i="35"/>
  <c r="E48" i="35"/>
  <c r="E47" i="35"/>
  <c r="E46" i="35"/>
  <c r="E40" i="35"/>
  <c r="C40" i="35"/>
  <c r="F40" i="35" s="1"/>
  <c r="H40" i="35" s="1"/>
  <c r="E39" i="35"/>
  <c r="C39" i="35"/>
  <c r="F39" i="35" s="1"/>
  <c r="G33" i="35"/>
  <c r="F33" i="35"/>
  <c r="E33" i="35"/>
  <c r="C33" i="35"/>
  <c r="G32" i="35"/>
  <c r="E32" i="35"/>
  <c r="C32" i="35"/>
  <c r="F32" i="35" s="1"/>
  <c r="C26" i="35"/>
  <c r="C25" i="35"/>
  <c r="C19" i="35"/>
  <c r="D18" i="35"/>
  <c r="C18" i="35"/>
  <c r="D12" i="35"/>
  <c r="E12" i="35" s="1"/>
  <c r="C12" i="35"/>
  <c r="D11" i="35"/>
  <c r="C11" i="35"/>
  <c r="E11" i="35" s="1"/>
  <c r="D19" i="35"/>
  <c r="E19" i="35" s="1"/>
  <c r="C5" i="35"/>
  <c r="E5" i="35" s="1"/>
  <c r="G39" i="35"/>
  <c r="C4" i="35"/>
  <c r="E4" i="35" s="1"/>
  <c r="F131" i="34"/>
  <c r="F130" i="34"/>
  <c r="F129" i="34"/>
  <c r="F136" i="34" s="1"/>
  <c r="E122" i="34"/>
  <c r="E120" i="34"/>
  <c r="E124" i="34" s="1"/>
  <c r="I115" i="34"/>
  <c r="F103" i="34"/>
  <c r="F102" i="34"/>
  <c r="F101" i="34"/>
  <c r="F100" i="34"/>
  <c r="F99" i="34"/>
  <c r="F98" i="34"/>
  <c r="H88" i="34"/>
  <c r="H90" i="34" s="1"/>
  <c r="B79" i="34"/>
  <c r="B78" i="34"/>
  <c r="B77" i="34"/>
  <c r="F68" i="34"/>
  <c r="F73" i="34" s="1"/>
  <c r="I79" i="34" s="1"/>
  <c r="F61" i="34"/>
  <c r="F47" i="34"/>
  <c r="F48" i="34" s="1"/>
  <c r="F49" i="34" s="1"/>
  <c r="F31" i="34"/>
  <c r="F37" i="34" s="1"/>
  <c r="G8" i="33"/>
  <c r="F33" i="32"/>
  <c r="E40" i="32" s="1"/>
  <c r="I27" i="32"/>
  <c r="E27" i="32"/>
  <c r="J27" i="32" s="1"/>
  <c r="I26" i="32"/>
  <c r="E26" i="32"/>
  <c r="J26" i="32" s="1"/>
  <c r="D25" i="32"/>
  <c r="I25" i="32" s="1"/>
  <c r="E24" i="32"/>
  <c r="J24" i="32" s="1"/>
  <c r="D24" i="32"/>
  <c r="I24" i="32" s="1"/>
  <c r="J23" i="32"/>
  <c r="I23" i="32"/>
  <c r="E23" i="32"/>
  <c r="J22" i="32"/>
  <c r="I22" i="32"/>
  <c r="E22" i="32"/>
  <c r="J21" i="32"/>
  <c r="I21" i="32"/>
  <c r="E21" i="32"/>
  <c r="I20" i="32"/>
  <c r="E20" i="32"/>
  <c r="J20" i="32" s="1"/>
  <c r="J19" i="32"/>
  <c r="I19" i="32"/>
  <c r="E19" i="32"/>
  <c r="J18" i="32"/>
  <c r="I18" i="32"/>
  <c r="E18" i="32"/>
  <c r="J17" i="32"/>
  <c r="I17" i="32"/>
  <c r="E17" i="32"/>
  <c r="I16" i="32"/>
  <c r="E16" i="32"/>
  <c r="J16" i="32" s="1"/>
  <c r="J15" i="32"/>
  <c r="I15" i="32"/>
  <c r="E15" i="32"/>
  <c r="J14" i="32"/>
  <c r="I14" i="32"/>
  <c r="E14" i="32"/>
  <c r="J13" i="32"/>
  <c r="I13" i="32"/>
  <c r="E13" i="32"/>
  <c r="I12" i="32"/>
  <c r="E12" i="32"/>
  <c r="J12" i="32" s="1"/>
  <c r="J11" i="32"/>
  <c r="I11" i="32"/>
  <c r="I10" i="32"/>
  <c r="E10" i="32"/>
  <c r="J10" i="32" s="1"/>
  <c r="J9" i="32"/>
  <c r="D9" i="32"/>
  <c r="I9" i="32" s="1"/>
  <c r="I8" i="32"/>
  <c r="E8" i="32"/>
  <c r="J8" i="32" s="1"/>
  <c r="I7" i="32"/>
  <c r="E7" i="32"/>
  <c r="J7" i="32" s="1"/>
  <c r="D7" i="32"/>
  <c r="I6" i="32"/>
  <c r="D6" i="32"/>
  <c r="E6" i="32" s="1"/>
  <c r="J6" i="32" s="1"/>
  <c r="D5" i="32"/>
  <c r="I5" i="32" s="1"/>
  <c r="I4" i="32"/>
  <c r="E4" i="32"/>
  <c r="J4" i="32" s="1"/>
  <c r="I3" i="32"/>
  <c r="E3" i="32"/>
  <c r="J3" i="32" s="1"/>
  <c r="I2" i="32"/>
  <c r="E2" i="32"/>
  <c r="J2" i="32" s="1"/>
  <c r="I46" i="31"/>
  <c r="J46" i="31" s="1"/>
  <c r="I45" i="31"/>
  <c r="J45" i="31" s="1"/>
  <c r="J44" i="31"/>
  <c r="I44" i="31"/>
  <c r="I43" i="31"/>
  <c r="J43" i="31" s="1"/>
  <c r="I42" i="31"/>
  <c r="J42" i="31" s="1"/>
  <c r="I41" i="31"/>
  <c r="J41" i="31" s="1"/>
  <c r="J36" i="31"/>
  <c r="I35" i="31"/>
  <c r="I34" i="31"/>
  <c r="I33" i="31"/>
  <c r="I32" i="31"/>
  <c r="I31" i="31"/>
  <c r="C30" i="31"/>
  <c r="I30" i="31" s="1"/>
  <c r="I36" i="31" s="1"/>
  <c r="I24" i="31"/>
  <c r="J24" i="31" s="1"/>
  <c r="J23" i="31"/>
  <c r="J22" i="31"/>
  <c r="J21" i="31"/>
  <c r="J20" i="31"/>
  <c r="J19" i="31"/>
  <c r="J18" i="31"/>
  <c r="J17" i="31"/>
  <c r="C17" i="31"/>
  <c r="I11" i="31"/>
  <c r="J10" i="31"/>
  <c r="I10" i="31"/>
  <c r="I9" i="31"/>
  <c r="J9" i="31" s="1"/>
  <c r="I8" i="31"/>
  <c r="J8" i="31" s="1"/>
  <c r="J7" i="31"/>
  <c r="I7" i="31"/>
  <c r="I6" i="31"/>
  <c r="J6" i="31" s="1"/>
  <c r="I5" i="31"/>
  <c r="J5" i="31" s="1"/>
  <c r="I4" i="31"/>
  <c r="J4" i="31" s="1"/>
  <c r="J11" i="31" s="1"/>
  <c r="E9" i="30"/>
  <c r="F9" i="30" s="1"/>
  <c r="I9" i="30" s="1"/>
  <c r="E8" i="30"/>
  <c r="F8" i="30" s="1"/>
  <c r="I8" i="30" s="1"/>
  <c r="E7" i="30"/>
  <c r="F7" i="30" s="1"/>
  <c r="I7" i="30" s="1"/>
  <c r="E6" i="30"/>
  <c r="F6" i="30" s="1"/>
  <c r="H154" i="29"/>
  <c r="F131" i="29"/>
  <c r="E157" i="29" s="1"/>
  <c r="E124" i="29"/>
  <c r="I145" i="29" s="1"/>
  <c r="I115" i="29"/>
  <c r="F103" i="29"/>
  <c r="F102" i="29"/>
  <c r="F101" i="29"/>
  <c r="F100" i="29"/>
  <c r="F99" i="29"/>
  <c r="F98" i="29"/>
  <c r="H88" i="29"/>
  <c r="H87" i="29"/>
  <c r="H84" i="29"/>
  <c r="H85" i="29" s="1"/>
  <c r="B79" i="29"/>
  <c r="B78" i="29"/>
  <c r="B77" i="29"/>
  <c r="F68" i="29"/>
  <c r="F61" i="29"/>
  <c r="F48" i="29" s="1"/>
  <c r="F47" i="29"/>
  <c r="F37" i="29"/>
  <c r="H149" i="28"/>
  <c r="F128" i="28"/>
  <c r="E152" i="28" s="1"/>
  <c r="E121" i="28"/>
  <c r="I140" i="28" s="1"/>
  <c r="I112" i="28"/>
  <c r="F100" i="28"/>
  <c r="F99" i="28"/>
  <c r="F98" i="28"/>
  <c r="F97" i="28"/>
  <c r="F96" i="28"/>
  <c r="F95" i="28"/>
  <c r="F102" i="28" s="1"/>
  <c r="H85" i="28"/>
  <c r="H83" i="28"/>
  <c r="H82" i="28"/>
  <c r="B77" i="28"/>
  <c r="B76" i="28"/>
  <c r="B75" i="28"/>
  <c r="F68" i="28"/>
  <c r="K64" i="28"/>
  <c r="F61" i="28"/>
  <c r="H86" i="28" s="1"/>
  <c r="H88" i="28" s="1"/>
  <c r="F47" i="28"/>
  <c r="F37" i="28"/>
  <c r="H149" i="27"/>
  <c r="F128" i="27"/>
  <c r="E152" i="27" s="1"/>
  <c r="E121" i="27"/>
  <c r="I139" i="27" s="1"/>
  <c r="I112" i="27"/>
  <c r="F100" i="27"/>
  <c r="F99" i="27"/>
  <c r="F98" i="27"/>
  <c r="F97" i="27"/>
  <c r="F96" i="27"/>
  <c r="F95" i="27"/>
  <c r="H85" i="27"/>
  <c r="H82" i="27"/>
  <c r="H83" i="27" s="1"/>
  <c r="B77" i="27"/>
  <c r="B76" i="27"/>
  <c r="B75" i="27"/>
  <c r="F68" i="27"/>
  <c r="K64" i="27"/>
  <c r="F61" i="27"/>
  <c r="H86" i="27" s="1"/>
  <c r="F47" i="27"/>
  <c r="F37" i="27"/>
  <c r="I98" i="27" s="1"/>
  <c r="E13" i="26"/>
  <c r="E10" i="26"/>
  <c r="D8" i="26"/>
  <c r="F8" i="26" s="1"/>
  <c r="G8" i="26" s="1"/>
  <c r="D7" i="26"/>
  <c r="F7" i="26" s="1"/>
  <c r="G7" i="26" s="1"/>
  <c r="D6" i="26"/>
  <c r="F6" i="26" s="1"/>
  <c r="G6" i="26" s="1"/>
  <c r="D5" i="26"/>
  <c r="F5" i="26" s="1"/>
  <c r="G5" i="26" s="1"/>
  <c r="H149" i="25"/>
  <c r="F128" i="25"/>
  <c r="E152" i="25" s="1"/>
  <c r="E121" i="25"/>
  <c r="I140" i="25" s="1"/>
  <c r="I112" i="25"/>
  <c r="F100" i="25"/>
  <c r="F99" i="25"/>
  <c r="F98" i="25"/>
  <c r="F97" i="25"/>
  <c r="F96" i="25"/>
  <c r="F95" i="25"/>
  <c r="F102" i="25" s="1"/>
  <c r="H86" i="25"/>
  <c r="I86" i="25" s="1"/>
  <c r="H85" i="25"/>
  <c r="H82" i="25"/>
  <c r="H83" i="25" s="1"/>
  <c r="B77" i="25"/>
  <c r="B76" i="25"/>
  <c r="B75" i="25"/>
  <c r="F68" i="25"/>
  <c r="M63" i="25"/>
  <c r="F61" i="25"/>
  <c r="F48" i="25" s="1"/>
  <c r="F47" i="25"/>
  <c r="F37" i="25"/>
  <c r="I136" i="25" s="1"/>
  <c r="C18" i="24"/>
  <c r="C17" i="24"/>
  <c r="C16" i="24"/>
  <c r="C15" i="24"/>
  <c r="C14" i="24"/>
  <c r="C13" i="24"/>
  <c r="C12" i="24"/>
  <c r="C11" i="24"/>
  <c r="C10" i="24"/>
  <c r="C9" i="24"/>
  <c r="C8" i="24"/>
  <c r="C7" i="24"/>
  <c r="C6" i="24"/>
  <c r="C5" i="24"/>
  <c r="C4" i="24"/>
  <c r="C3" i="24"/>
  <c r="F33" i="24"/>
  <c r="F46" i="24"/>
  <c r="F37" i="24"/>
  <c r="F36" i="24"/>
  <c r="D38" i="24"/>
  <c r="D37" i="24"/>
  <c r="D36" i="24"/>
  <c r="E35" i="24"/>
  <c r="G35" i="24" s="1"/>
  <c r="E34" i="24"/>
  <c r="G34" i="24" s="1"/>
  <c r="E33" i="24"/>
  <c r="G33" i="24" s="1"/>
  <c r="E9" i="26" l="1"/>
  <c r="H59" i="25"/>
  <c r="H58" i="25"/>
  <c r="H60" i="25"/>
  <c r="I98" i="25"/>
  <c r="I99" i="25"/>
  <c r="I100" i="25"/>
  <c r="I87" i="25"/>
  <c r="I46" i="25"/>
  <c r="I86" i="27"/>
  <c r="I83" i="27"/>
  <c r="I85" i="27"/>
  <c r="I95" i="27"/>
  <c r="H59" i="27"/>
  <c r="I98" i="29"/>
  <c r="I28" i="32"/>
  <c r="I98" i="34"/>
  <c r="H33" i="35"/>
  <c r="E13" i="35"/>
  <c r="D47" i="35" s="1"/>
  <c r="H39" i="35"/>
  <c r="E18" i="35"/>
  <c r="E20" i="35" s="1"/>
  <c r="D48" i="35" s="1"/>
  <c r="H32" i="35"/>
  <c r="E6" i="35"/>
  <c r="D46" i="35" s="1"/>
  <c r="G46" i="35" s="1"/>
  <c r="I95" i="36"/>
  <c r="E11" i="39"/>
  <c r="E9" i="40"/>
  <c r="F9" i="40" s="1"/>
  <c r="E44" i="24"/>
  <c r="G44" i="24" s="1"/>
  <c r="F45" i="41"/>
  <c r="G45" i="41" s="1"/>
  <c r="H45" i="41" s="1"/>
  <c r="I45" i="41" s="1"/>
  <c r="F40" i="41"/>
  <c r="G40" i="41" s="1"/>
  <c r="H40" i="41" s="1"/>
  <c r="I40" i="41" s="1"/>
  <c r="F28" i="41"/>
  <c r="G28" i="41" s="1"/>
  <c r="H28" i="41" s="1"/>
  <c r="I28" i="41" s="1"/>
  <c r="F21" i="41"/>
  <c r="G21" i="41" s="1"/>
  <c r="H21" i="41" s="1"/>
  <c r="I21" i="41" s="1"/>
  <c r="F4" i="41"/>
  <c r="G4" i="41" s="1"/>
  <c r="H4" i="41" s="1"/>
  <c r="I4" i="41" s="1"/>
  <c r="F26" i="41"/>
  <c r="G26" i="41" s="1"/>
  <c r="H26" i="41" s="1"/>
  <c r="I26" i="41" s="1"/>
  <c r="F9" i="41"/>
  <c r="G9" i="41" s="1"/>
  <c r="H9" i="41" s="1"/>
  <c r="I9" i="41" s="1"/>
  <c r="F52" i="41"/>
  <c r="G52" i="41" s="1"/>
  <c r="H52" i="41" s="1"/>
  <c r="I52" i="41" s="1"/>
  <c r="F35" i="41"/>
  <c r="G35" i="41" s="1"/>
  <c r="H35" i="41" s="1"/>
  <c r="I35" i="41" s="1"/>
  <c r="F16" i="41"/>
  <c r="G16" i="41" s="1"/>
  <c r="H16" i="41" s="1"/>
  <c r="I16" i="41" s="1"/>
  <c r="F11" i="41"/>
  <c r="G11" i="41" s="1"/>
  <c r="H11" i="41" s="1"/>
  <c r="I11" i="41" s="1"/>
  <c r="F47" i="41"/>
  <c r="G47" i="41" s="1"/>
  <c r="H47" i="41" s="1"/>
  <c r="I47" i="41" s="1"/>
  <c r="F42" i="41"/>
  <c r="G42" i="41" s="1"/>
  <c r="H42" i="41" s="1"/>
  <c r="I42" i="41" s="1"/>
  <c r="F30" i="41"/>
  <c r="G30" i="41" s="1"/>
  <c r="H30" i="41" s="1"/>
  <c r="I30" i="41" s="1"/>
  <c r="F23" i="41"/>
  <c r="G23" i="41" s="1"/>
  <c r="H23" i="41" s="1"/>
  <c r="I23" i="41" s="1"/>
  <c r="F6" i="41"/>
  <c r="G6" i="41" s="1"/>
  <c r="H6" i="41" s="1"/>
  <c r="I6" i="41" s="1"/>
  <c r="F37" i="41"/>
  <c r="G37" i="41" s="1"/>
  <c r="H37" i="41" s="1"/>
  <c r="I37" i="41" s="1"/>
  <c r="F18" i="41"/>
  <c r="G18" i="41" s="1"/>
  <c r="H18" i="41" s="1"/>
  <c r="I18" i="41" s="1"/>
  <c r="F13" i="41"/>
  <c r="G13" i="41" s="1"/>
  <c r="H13" i="41" s="1"/>
  <c r="I13" i="41" s="1"/>
  <c r="F49" i="41"/>
  <c r="G49" i="41" s="1"/>
  <c r="H49" i="41" s="1"/>
  <c r="I49" i="41" s="1"/>
  <c r="F32" i="41"/>
  <c r="G32" i="41" s="1"/>
  <c r="H32" i="41" s="1"/>
  <c r="I32" i="41" s="1"/>
  <c r="F25" i="41"/>
  <c r="G25" i="41" s="1"/>
  <c r="H25" i="41" s="1"/>
  <c r="I25" i="41" s="1"/>
  <c r="F8" i="41"/>
  <c r="G8" i="41" s="1"/>
  <c r="H8" i="41" s="1"/>
  <c r="I8" i="41" s="1"/>
  <c r="F44" i="41"/>
  <c r="G44" i="41" s="1"/>
  <c r="H44" i="41" s="1"/>
  <c r="I44" i="41" s="1"/>
  <c r="F39" i="41"/>
  <c r="G39" i="41" s="1"/>
  <c r="H39" i="41" s="1"/>
  <c r="I39" i="41" s="1"/>
  <c r="F27" i="41"/>
  <c r="G27" i="41" s="1"/>
  <c r="H27" i="41" s="1"/>
  <c r="I27" i="41" s="1"/>
  <c r="F20" i="41"/>
  <c r="G20" i="41" s="1"/>
  <c r="H20" i="41" s="1"/>
  <c r="I20" i="41" s="1"/>
  <c r="F38" i="41"/>
  <c r="G38" i="41" s="1"/>
  <c r="H38" i="41" s="1"/>
  <c r="I38" i="41" s="1"/>
  <c r="F51" i="41"/>
  <c r="G51" i="41" s="1"/>
  <c r="H51" i="41" s="1"/>
  <c r="I51" i="41" s="1"/>
  <c r="F34" i="41"/>
  <c r="G34" i="41" s="1"/>
  <c r="H34" i="41" s="1"/>
  <c r="I34" i="41" s="1"/>
  <c r="F15" i="41"/>
  <c r="G15" i="41" s="1"/>
  <c r="H15" i="41" s="1"/>
  <c r="I15" i="41" s="1"/>
  <c r="F10" i="41"/>
  <c r="G10" i="41" s="1"/>
  <c r="H10" i="41" s="1"/>
  <c r="I10" i="41" s="1"/>
  <c r="F3" i="41"/>
  <c r="G3" i="41" s="1"/>
  <c r="H3" i="41" s="1"/>
  <c r="I3" i="41" s="1"/>
  <c r="F19" i="41"/>
  <c r="G19" i="41" s="1"/>
  <c r="H19" i="41" s="1"/>
  <c r="I19" i="41" s="1"/>
  <c r="F50" i="41"/>
  <c r="G50" i="41" s="1"/>
  <c r="H50" i="41" s="1"/>
  <c r="I50" i="41" s="1"/>
  <c r="F46" i="41"/>
  <c r="G46" i="41" s="1"/>
  <c r="H46" i="41" s="1"/>
  <c r="I46" i="41" s="1"/>
  <c r="F41" i="41"/>
  <c r="G41" i="41" s="1"/>
  <c r="H41" i="41" s="1"/>
  <c r="I41" i="41" s="1"/>
  <c r="F29" i="41"/>
  <c r="G29" i="41" s="1"/>
  <c r="H29" i="41" s="1"/>
  <c r="I29" i="41" s="1"/>
  <c r="F22" i="41"/>
  <c r="G22" i="41" s="1"/>
  <c r="H22" i="41" s="1"/>
  <c r="I22" i="41" s="1"/>
  <c r="F5" i="41"/>
  <c r="G5" i="41" s="1"/>
  <c r="H5" i="41" s="1"/>
  <c r="I5" i="41" s="1"/>
  <c r="F53" i="41"/>
  <c r="G53" i="41" s="1"/>
  <c r="H53" i="41" s="1"/>
  <c r="I53" i="41" s="1"/>
  <c r="F36" i="41"/>
  <c r="G36" i="41" s="1"/>
  <c r="H36" i="41" s="1"/>
  <c r="I36" i="41" s="1"/>
  <c r="F17" i="41"/>
  <c r="G17" i="41" s="1"/>
  <c r="H17" i="41" s="1"/>
  <c r="I17" i="41" s="1"/>
  <c r="F12" i="41"/>
  <c r="G12" i="41" s="1"/>
  <c r="H12" i="41" s="1"/>
  <c r="I12" i="41" s="1"/>
  <c r="F14" i="41"/>
  <c r="G14" i="41" s="1"/>
  <c r="H14" i="41" s="1"/>
  <c r="I14" i="41" s="1"/>
  <c r="F48" i="41"/>
  <c r="G48" i="41" s="1"/>
  <c r="H48" i="41" s="1"/>
  <c r="I48" i="41" s="1"/>
  <c r="F43" i="41"/>
  <c r="G43" i="41" s="1"/>
  <c r="H43" i="41" s="1"/>
  <c r="I43" i="41" s="1"/>
  <c r="F31" i="41"/>
  <c r="G31" i="41" s="1"/>
  <c r="H31" i="41" s="1"/>
  <c r="I31" i="41" s="1"/>
  <c r="F24" i="41"/>
  <c r="G24" i="41" s="1"/>
  <c r="H24" i="41" s="1"/>
  <c r="I24" i="41" s="1"/>
  <c r="F7" i="41"/>
  <c r="G7" i="41" s="1"/>
  <c r="H7" i="41" s="1"/>
  <c r="I7" i="41" s="1"/>
  <c r="F33" i="41"/>
  <c r="G33" i="41" s="1"/>
  <c r="H33" i="41" s="1"/>
  <c r="I33" i="41" s="1"/>
  <c r="F2" i="41"/>
  <c r="G2" i="41" s="1"/>
  <c r="H2" i="41" s="1"/>
  <c r="F64" i="41"/>
  <c r="E21" i="40"/>
  <c r="F15" i="40"/>
  <c r="F21" i="40" s="1"/>
  <c r="H11" i="39"/>
  <c r="H12" i="39" s="1"/>
  <c r="I96" i="37"/>
  <c r="I100" i="37"/>
  <c r="H60" i="37"/>
  <c r="H54" i="37"/>
  <c r="H59" i="37"/>
  <c r="I99" i="37"/>
  <c r="I87" i="37"/>
  <c r="H58" i="37"/>
  <c r="I46" i="37"/>
  <c r="I135" i="37"/>
  <c r="I86" i="37"/>
  <c r="H57" i="37"/>
  <c r="I45" i="37"/>
  <c r="I84" i="37"/>
  <c r="H53" i="37"/>
  <c r="I98" i="37"/>
  <c r="H56" i="37"/>
  <c r="I97" i="37"/>
  <c r="I85" i="37"/>
  <c r="H55" i="37"/>
  <c r="F49" i="37"/>
  <c r="H88" i="37"/>
  <c r="I83" i="37"/>
  <c r="H86" i="37"/>
  <c r="F48" i="37"/>
  <c r="F102" i="37"/>
  <c r="I82" i="37"/>
  <c r="H60" i="36"/>
  <c r="H59" i="36"/>
  <c r="I100" i="36"/>
  <c r="H58" i="36"/>
  <c r="I46" i="36"/>
  <c r="I97" i="36"/>
  <c r="H57" i="36"/>
  <c r="I45" i="36"/>
  <c r="I47" i="36" s="1"/>
  <c r="I84" i="36"/>
  <c r="I99" i="36"/>
  <c r="I87" i="36"/>
  <c r="H56" i="36"/>
  <c r="H55" i="36"/>
  <c r="I98" i="36"/>
  <c r="H54" i="36"/>
  <c r="I135" i="36"/>
  <c r="I85" i="36"/>
  <c r="H53" i="36"/>
  <c r="I83" i="36"/>
  <c r="I96" i="36"/>
  <c r="I102" i="36" s="1"/>
  <c r="I111" i="36" s="1"/>
  <c r="I113" i="36" s="1"/>
  <c r="I138" i="36" s="1"/>
  <c r="I82" i="36"/>
  <c r="F49" i="36"/>
  <c r="H86" i="36"/>
  <c r="H88" i="36" s="1"/>
  <c r="F102" i="36"/>
  <c r="F48" i="36"/>
  <c r="H41" i="35"/>
  <c r="D51" i="35" s="1"/>
  <c r="I46" i="35"/>
  <c r="H34" i="35"/>
  <c r="D50" i="35" s="1"/>
  <c r="G47" i="35"/>
  <c r="I47" i="35"/>
  <c r="D25" i="35"/>
  <c r="E25" i="35" s="1"/>
  <c r="D26" i="35"/>
  <c r="E26" i="35" s="1"/>
  <c r="I99" i="34"/>
  <c r="I105" i="34" s="1"/>
  <c r="I114" i="34" s="1"/>
  <c r="I116" i="34" s="1"/>
  <c r="I143" i="34" s="1"/>
  <c r="I84" i="34"/>
  <c r="H60" i="34"/>
  <c r="H59" i="34"/>
  <c r="I103" i="34"/>
  <c r="H58" i="34"/>
  <c r="I46" i="34"/>
  <c r="H57" i="34"/>
  <c r="I45" i="34"/>
  <c r="I47" i="34" s="1"/>
  <c r="I85" i="34"/>
  <c r="I102" i="34"/>
  <c r="I89" i="34"/>
  <c r="H56" i="34"/>
  <c r="I100" i="34"/>
  <c r="I140" i="34"/>
  <c r="I88" i="34"/>
  <c r="H55" i="34"/>
  <c r="I101" i="34"/>
  <c r="H54" i="34"/>
  <c r="I87" i="34"/>
  <c r="H53" i="34"/>
  <c r="I86" i="34"/>
  <c r="I48" i="34"/>
  <c r="F105" i="34"/>
  <c r="E5" i="32"/>
  <c r="J5" i="32" s="1"/>
  <c r="E25" i="32"/>
  <c r="J25" i="32" s="1"/>
  <c r="F38" i="32"/>
  <c r="I47" i="31"/>
  <c r="J47" i="31" s="1"/>
  <c r="I6" i="30"/>
  <c r="I10" i="30" s="1"/>
  <c r="I12" i="30" s="1"/>
  <c r="F10" i="30"/>
  <c r="E10" i="30"/>
  <c r="I141" i="29"/>
  <c r="I87" i="29"/>
  <c r="H56" i="29"/>
  <c r="I100" i="29"/>
  <c r="H55" i="29"/>
  <c r="I88" i="29"/>
  <c r="I86" i="29"/>
  <c r="H54" i="29"/>
  <c r="I45" i="29"/>
  <c r="I47" i="29" s="1"/>
  <c r="I99" i="29"/>
  <c r="H53" i="29"/>
  <c r="I103" i="29"/>
  <c r="I101" i="29"/>
  <c r="I46" i="29"/>
  <c r="H60" i="29"/>
  <c r="H57" i="29"/>
  <c r="I102" i="29"/>
  <c r="I89" i="29"/>
  <c r="H59" i="29"/>
  <c r="H58" i="29"/>
  <c r="F49" i="29"/>
  <c r="F73" i="29"/>
  <c r="I79" i="29" s="1"/>
  <c r="I85" i="29"/>
  <c r="H90" i="29"/>
  <c r="F105" i="29"/>
  <c r="I84" i="29"/>
  <c r="F136" i="29"/>
  <c r="I98" i="28"/>
  <c r="H58" i="28"/>
  <c r="I46" i="28"/>
  <c r="I82" i="28"/>
  <c r="I136" i="28"/>
  <c r="I85" i="28"/>
  <c r="H57" i="28"/>
  <c r="I45" i="28"/>
  <c r="I97" i="28"/>
  <c r="H56" i="28"/>
  <c r="F73" i="28"/>
  <c r="I77" i="28" s="1"/>
  <c r="I84" i="28"/>
  <c r="H55" i="28"/>
  <c r="I96" i="28"/>
  <c r="H54" i="28"/>
  <c r="I95" i="28"/>
  <c r="H53" i="28"/>
  <c r="I100" i="28"/>
  <c r="I86" i="28"/>
  <c r="I99" i="28"/>
  <c r="I87" i="28"/>
  <c r="H60" i="28"/>
  <c r="H59" i="28"/>
  <c r="F49" i="28"/>
  <c r="I83" i="28"/>
  <c r="F48" i="28"/>
  <c r="F133" i="28"/>
  <c r="H60" i="27"/>
  <c r="I87" i="27"/>
  <c r="I99" i="27"/>
  <c r="F48" i="27"/>
  <c r="F49" i="27" s="1"/>
  <c r="H88" i="27"/>
  <c r="I100" i="27"/>
  <c r="F102" i="27"/>
  <c r="F73" i="27"/>
  <c r="I77" i="27" s="1"/>
  <c r="I82" i="27"/>
  <c r="H53" i="27"/>
  <c r="H54" i="27"/>
  <c r="I96" i="27"/>
  <c r="H55" i="27"/>
  <c r="I84" i="27"/>
  <c r="F133" i="27"/>
  <c r="H56" i="27"/>
  <c r="I97" i="27"/>
  <c r="I45" i="27"/>
  <c r="H57" i="27"/>
  <c r="I135" i="27"/>
  <c r="I46" i="27"/>
  <c r="H58" i="27"/>
  <c r="E12" i="26"/>
  <c r="F14" i="26" s="1"/>
  <c r="F11" i="26"/>
  <c r="H88" i="25"/>
  <c r="I83" i="25"/>
  <c r="F49" i="25"/>
  <c r="F73" i="25"/>
  <c r="I77" i="25" s="1"/>
  <c r="I82" i="25"/>
  <c r="I95" i="25"/>
  <c r="H53" i="25"/>
  <c r="H54" i="25"/>
  <c r="I96" i="25"/>
  <c r="H55" i="25"/>
  <c r="I84" i="25"/>
  <c r="F133" i="25"/>
  <c r="H56" i="25"/>
  <c r="I97" i="25"/>
  <c r="I45" i="25"/>
  <c r="H57" i="25"/>
  <c r="I85" i="25"/>
  <c r="F47" i="24"/>
  <c r="H61" i="25" l="1"/>
  <c r="I76" i="25" s="1"/>
  <c r="I102" i="25"/>
  <c r="I111" i="25" s="1"/>
  <c r="I113" i="25" s="1"/>
  <c r="I139" i="25" s="1"/>
  <c r="I47" i="25"/>
  <c r="I47" i="27"/>
  <c r="I102" i="27"/>
  <c r="I111" i="27" s="1"/>
  <c r="I113" i="27" s="1"/>
  <c r="I138" i="27" s="1"/>
  <c r="I47" i="28"/>
  <c r="I105" i="29"/>
  <c r="I114" i="29" s="1"/>
  <c r="I116" i="29" s="1"/>
  <c r="I144" i="29" s="1"/>
  <c r="H61" i="29"/>
  <c r="I78" i="29" s="1"/>
  <c r="J28" i="32"/>
  <c r="H61" i="34"/>
  <c r="I78" i="34" s="1"/>
  <c r="E27" i="35"/>
  <c r="D49" i="35" s="1"/>
  <c r="H61" i="36"/>
  <c r="I76" i="36" s="1"/>
  <c r="I102" i="37"/>
  <c r="I111" i="37" s="1"/>
  <c r="I113" i="37" s="1"/>
  <c r="I138" i="37" s="1"/>
  <c r="H54" i="41"/>
  <c r="E10" i="33" s="1"/>
  <c r="I2" i="41"/>
  <c r="I54" i="41" s="1"/>
  <c r="I88" i="37"/>
  <c r="I137" i="37" s="1"/>
  <c r="H61" i="37"/>
  <c r="I76" i="37" s="1"/>
  <c r="I47" i="37"/>
  <c r="I86" i="36"/>
  <c r="I88" i="36" s="1"/>
  <c r="I137" i="36" s="1"/>
  <c r="I48" i="36"/>
  <c r="I49" i="36" s="1"/>
  <c r="I75" i="36" s="1"/>
  <c r="I78" i="36" s="1"/>
  <c r="I136" i="36" s="1"/>
  <c r="I140" i="36" s="1"/>
  <c r="I49" i="35"/>
  <c r="G49" i="35"/>
  <c r="I50" i="35"/>
  <c r="G50" i="35"/>
  <c r="G48" i="35"/>
  <c r="I48" i="35"/>
  <c r="G51" i="35"/>
  <c r="I51" i="35"/>
  <c r="I49" i="34"/>
  <c r="I77" i="34" s="1"/>
  <c r="I90" i="34"/>
  <c r="I142" i="34" s="1"/>
  <c r="I90" i="29"/>
  <c r="I143" i="29" s="1"/>
  <c r="I48" i="29"/>
  <c r="I49" i="29" s="1"/>
  <c r="I77" i="29" s="1"/>
  <c r="I80" i="29" s="1"/>
  <c r="I142" i="29" s="1"/>
  <c r="I48" i="28"/>
  <c r="I49" i="28" s="1"/>
  <c r="I75" i="28" s="1"/>
  <c r="I78" i="28" s="1"/>
  <c r="I137" i="28" s="1"/>
  <c r="I141" i="28" s="1"/>
  <c r="H61" i="28"/>
  <c r="I76" i="28" s="1"/>
  <c r="I102" i="28"/>
  <c r="I111" i="28" s="1"/>
  <c r="I113" i="28" s="1"/>
  <c r="I139" i="28" s="1"/>
  <c r="I88" i="28"/>
  <c r="I138" i="28" s="1"/>
  <c r="I48" i="27"/>
  <c r="I49" i="27" s="1"/>
  <c r="I75" i="27" s="1"/>
  <c r="H61" i="27"/>
  <c r="I76" i="27" s="1"/>
  <c r="I88" i="27"/>
  <c r="I137" i="27" s="1"/>
  <c r="I88" i="25"/>
  <c r="I138" i="25" s="1"/>
  <c r="I48" i="25"/>
  <c r="I49" i="25" s="1"/>
  <c r="I75" i="25" s="1"/>
  <c r="I78" i="25" s="1"/>
  <c r="I137" i="25" s="1"/>
  <c r="I141" i="25" s="1"/>
  <c r="E148" i="23"/>
  <c r="E146" i="23"/>
  <c r="A129" i="23"/>
  <c r="E114" i="23"/>
  <c r="E111" i="23"/>
  <c r="E110" i="23"/>
  <c r="E109" i="23"/>
  <c r="E147" i="23" s="1"/>
  <c r="F104" i="23"/>
  <c r="F90" i="23"/>
  <c r="F95" i="23" s="1"/>
  <c r="E85" i="23"/>
  <c r="E74" i="23"/>
  <c r="E69" i="23"/>
  <c r="F55" i="23"/>
  <c r="F58" i="23" s="1"/>
  <c r="F63" i="23" s="1"/>
  <c r="E48" i="23"/>
  <c r="E35" i="23"/>
  <c r="E34" i="23"/>
  <c r="E36" i="23" s="1"/>
  <c r="F144" i="23" s="1"/>
  <c r="F24" i="23"/>
  <c r="F22" i="23"/>
  <c r="E9" i="23"/>
  <c r="A18" i="22"/>
  <c r="D14" i="22"/>
  <c r="E14" i="22" s="1"/>
  <c r="D13" i="22"/>
  <c r="E13" i="22" s="1"/>
  <c r="D12" i="22"/>
  <c r="E12" i="22" s="1"/>
  <c r="D11" i="22"/>
  <c r="E11" i="22" s="1"/>
  <c r="D10" i="22"/>
  <c r="E10" i="22" s="1"/>
  <c r="D9" i="22"/>
  <c r="E9" i="22" s="1"/>
  <c r="D8" i="22"/>
  <c r="E8" i="22" s="1"/>
  <c r="A2" i="22"/>
  <c r="E147" i="21"/>
  <c r="E146" i="21"/>
  <c r="A129" i="21"/>
  <c r="E114" i="21"/>
  <c r="E111" i="21"/>
  <c r="E110" i="21"/>
  <c r="E148" i="21" s="1"/>
  <c r="F104" i="21"/>
  <c r="F90" i="21"/>
  <c r="F95" i="21" s="1"/>
  <c r="E85" i="21"/>
  <c r="E72" i="21"/>
  <c r="E74" i="21" s="1"/>
  <c r="E69" i="21"/>
  <c r="G52" i="21"/>
  <c r="E48" i="21"/>
  <c r="E34" i="21"/>
  <c r="E9" i="21"/>
  <c r="E146" i="20"/>
  <c r="A129" i="20"/>
  <c r="E114" i="20"/>
  <c r="E111" i="20"/>
  <c r="E110" i="20"/>
  <c r="E148" i="20" s="1"/>
  <c r="E109" i="20"/>
  <c r="E147" i="20" s="1"/>
  <c r="F104" i="20"/>
  <c r="F90" i="20"/>
  <c r="F95" i="20" s="1"/>
  <c r="E85" i="20"/>
  <c r="E74" i="20"/>
  <c r="E69" i="20"/>
  <c r="F55" i="20"/>
  <c r="E48" i="20"/>
  <c r="E34" i="20"/>
  <c r="E9" i="20"/>
  <c r="E146" i="19"/>
  <c r="A129" i="19"/>
  <c r="H114" i="19"/>
  <c r="E111" i="19"/>
  <c r="E110" i="19" s="1"/>
  <c r="E109" i="19"/>
  <c r="E147" i="19" s="1"/>
  <c r="F104" i="19"/>
  <c r="F95" i="19"/>
  <c r="F90" i="19"/>
  <c r="E85" i="19"/>
  <c r="E74" i="19"/>
  <c r="E69" i="19"/>
  <c r="F55" i="19"/>
  <c r="F58" i="19" s="1"/>
  <c r="F63" i="19" s="1"/>
  <c r="E48" i="19"/>
  <c r="E34" i="19"/>
  <c r="F12" i="18"/>
  <c r="A2" i="18"/>
  <c r="F27" i="23" l="1"/>
  <c r="F83" i="23" s="1"/>
  <c r="I78" i="27"/>
  <c r="I136" i="27" s="1"/>
  <c r="I140" i="27" s="1"/>
  <c r="H126" i="27" s="1"/>
  <c r="I146" i="29"/>
  <c r="H129" i="29" s="1"/>
  <c r="I80" i="34"/>
  <c r="I141" i="34" s="1"/>
  <c r="I145" i="34" s="1"/>
  <c r="I52" i="35"/>
  <c r="I54" i="35" s="1"/>
  <c r="I48" i="37"/>
  <c r="I49" i="37" s="1"/>
  <c r="I75" i="37" s="1"/>
  <c r="I78" i="37" s="1"/>
  <c r="I136" i="37" s="1"/>
  <c r="I140" i="37" s="1"/>
  <c r="H126" i="36"/>
  <c r="H126" i="28"/>
  <c r="H127" i="28" s="1"/>
  <c r="G152" i="28"/>
  <c r="H126" i="25"/>
  <c r="H127" i="25" s="1"/>
  <c r="I143" i="25" s="1"/>
  <c r="F58" i="20"/>
  <c r="F63" i="20" s="1"/>
  <c r="E10" i="18"/>
  <c r="G10" i="18" s="1"/>
  <c r="C38" i="24"/>
  <c r="E38" i="24" s="1"/>
  <c r="G38" i="24" s="1"/>
  <c r="E11" i="18"/>
  <c r="G11" i="18" s="1"/>
  <c r="E46" i="24"/>
  <c r="G46" i="24" s="1"/>
  <c r="E8" i="18"/>
  <c r="G8" i="18" s="1"/>
  <c r="C36" i="24"/>
  <c r="E36" i="24" s="1"/>
  <c r="G36" i="24" s="1"/>
  <c r="E9" i="18"/>
  <c r="G9" i="18" s="1"/>
  <c r="C37" i="24"/>
  <c r="E37" i="24" s="1"/>
  <c r="G37" i="24" s="1"/>
  <c r="F122" i="23"/>
  <c r="F70" i="23"/>
  <c r="F42" i="23"/>
  <c r="F71" i="23"/>
  <c r="F72" i="23" s="1"/>
  <c r="F84" i="23"/>
  <c r="F69" i="23"/>
  <c r="F41" i="23"/>
  <c r="F118" i="23"/>
  <c r="F79" i="23"/>
  <c r="F46" i="23"/>
  <c r="F45" i="23"/>
  <c r="F43" i="23"/>
  <c r="E140" i="23"/>
  <c r="E15" i="22"/>
  <c r="F122" i="21"/>
  <c r="E140" i="21"/>
  <c r="E35" i="21"/>
  <c r="E36" i="21" s="1"/>
  <c r="F144" i="21" s="1"/>
  <c r="F22" i="21"/>
  <c r="F24" i="21" s="1"/>
  <c r="F54" i="21"/>
  <c r="F55" i="21" s="1"/>
  <c r="F58" i="21" s="1"/>
  <c r="F63" i="21" s="1"/>
  <c r="F122" i="20"/>
  <c r="E140" i="20"/>
  <c r="E35" i="20"/>
  <c r="E36" i="20" s="1"/>
  <c r="F144" i="20" s="1"/>
  <c r="G52" i="20"/>
  <c r="F22" i="20"/>
  <c r="F122" i="19"/>
  <c r="F24" i="19"/>
  <c r="E148" i="19"/>
  <c r="E114" i="19"/>
  <c r="E140" i="19"/>
  <c r="E35" i="19"/>
  <c r="E36" i="19" s="1"/>
  <c r="F144" i="19" s="1"/>
  <c r="G52" i="19"/>
  <c r="F22" i="19"/>
  <c r="F40" i="23" l="1"/>
  <c r="F47" i="23"/>
  <c r="F80" i="23"/>
  <c r="F85" i="23" s="1"/>
  <c r="F94" i="23" s="1"/>
  <c r="F96" i="23" s="1"/>
  <c r="F121" i="23" s="1"/>
  <c r="F81" i="23"/>
  <c r="F68" i="23"/>
  <c r="F74" i="23" s="1"/>
  <c r="F120" i="23" s="1"/>
  <c r="F73" i="23"/>
  <c r="F82" i="23"/>
  <c r="F32" i="23"/>
  <c r="F34" i="23" s="1"/>
  <c r="F35" i="23" s="1"/>
  <c r="F36" i="23" s="1"/>
  <c r="F61" i="23" s="1"/>
  <c r="F64" i="23" s="1"/>
  <c r="F44" i="23"/>
  <c r="F48" i="23" s="1"/>
  <c r="F62" i="23" s="1"/>
  <c r="F33" i="23"/>
  <c r="G152" i="27"/>
  <c r="H130" i="29"/>
  <c r="I148" i="29" s="1"/>
  <c r="G157" i="29"/>
  <c r="I56" i="35"/>
  <c r="I57" i="35" s="1"/>
  <c r="H126" i="37"/>
  <c r="H127" i="36"/>
  <c r="I142" i="36" s="1"/>
  <c r="D6" i="33" s="1"/>
  <c r="I147" i="34"/>
  <c r="D8" i="33" s="1"/>
  <c r="C42" i="24" s="1"/>
  <c r="E42" i="24" s="1"/>
  <c r="G42" i="24" s="1"/>
  <c r="I143" i="28"/>
  <c r="H127" i="27"/>
  <c r="H132" i="25"/>
  <c r="C149" i="25"/>
  <c r="F149" i="25" s="1"/>
  <c r="I149" i="25" s="1"/>
  <c r="H131" i="25"/>
  <c r="H129" i="25"/>
  <c r="H130" i="25"/>
  <c r="G13" i="18"/>
  <c r="G15" i="18" s="1"/>
  <c r="F27" i="21"/>
  <c r="F24" i="20"/>
  <c r="F27" i="20" s="1"/>
  <c r="F25" i="19"/>
  <c r="F27" i="19" s="1"/>
  <c r="H135" i="29" l="1"/>
  <c r="C154" i="29"/>
  <c r="F154" i="29" s="1"/>
  <c r="I154" i="29" s="1"/>
  <c r="H134" i="29"/>
  <c r="H132" i="29"/>
  <c r="H133" i="29"/>
  <c r="C40" i="24"/>
  <c r="E40" i="24" s="1"/>
  <c r="G40" i="24" s="1"/>
  <c r="F6" i="33"/>
  <c r="G6" i="33" s="1"/>
  <c r="H127" i="37"/>
  <c r="I142" i="37" s="1"/>
  <c r="D7" i="33" s="1"/>
  <c r="H130" i="36"/>
  <c r="H129" i="36"/>
  <c r="H132" i="36"/>
  <c r="H131" i="36"/>
  <c r="H135" i="34"/>
  <c r="H130" i="28"/>
  <c r="H132" i="28"/>
  <c r="C149" i="28"/>
  <c r="F149" i="28" s="1"/>
  <c r="I149" i="28" s="1"/>
  <c r="H131" i="28"/>
  <c r="H129" i="28"/>
  <c r="I142" i="27"/>
  <c r="H128" i="25"/>
  <c r="H133" i="25" s="1"/>
  <c r="I142" i="25" s="1"/>
  <c r="F119" i="23"/>
  <c r="F123" i="23" s="1"/>
  <c r="F108" i="23"/>
  <c r="F71" i="21"/>
  <c r="F72" i="21" s="1"/>
  <c r="F42" i="21"/>
  <c r="F83" i="21"/>
  <c r="F69" i="21"/>
  <c r="F84" i="21"/>
  <c r="F70" i="21"/>
  <c r="F41" i="21"/>
  <c r="F40" i="21"/>
  <c r="F82" i="21"/>
  <c r="F73" i="21"/>
  <c r="F44" i="21"/>
  <c r="F81" i="21"/>
  <c r="F68" i="21"/>
  <c r="F80" i="21"/>
  <c r="F79" i="21"/>
  <c r="F47" i="21"/>
  <c r="F45" i="21"/>
  <c r="F33" i="21"/>
  <c r="F46" i="21"/>
  <c r="F32" i="21"/>
  <c r="F118" i="21"/>
  <c r="F43" i="21"/>
  <c r="F71" i="20"/>
  <c r="F72" i="20" s="1"/>
  <c r="F42" i="20"/>
  <c r="F70" i="20"/>
  <c r="F41" i="20"/>
  <c r="F84" i="20"/>
  <c r="F69" i="20"/>
  <c r="F68" i="20"/>
  <c r="F40" i="20"/>
  <c r="F83" i="20"/>
  <c r="F82" i="20"/>
  <c r="F81" i="20"/>
  <c r="F80" i="20"/>
  <c r="F46" i="20"/>
  <c r="F33" i="20"/>
  <c r="F43" i="20"/>
  <c r="F118" i="20"/>
  <c r="F79" i="20"/>
  <c r="F47" i="20"/>
  <c r="F45" i="20"/>
  <c r="F73" i="20"/>
  <c r="F44" i="20"/>
  <c r="F32" i="20"/>
  <c r="F41" i="19"/>
  <c r="F71" i="19"/>
  <c r="F72" i="19" s="1"/>
  <c r="F40" i="19"/>
  <c r="F70" i="19"/>
  <c r="F43" i="19"/>
  <c r="F84" i="19"/>
  <c r="F69" i="19"/>
  <c r="F83" i="19"/>
  <c r="F79" i="19"/>
  <c r="F45" i="19"/>
  <c r="F33" i="19"/>
  <c r="F82" i="19"/>
  <c r="F68" i="19"/>
  <c r="F44" i="19"/>
  <c r="F81" i="19"/>
  <c r="F47" i="19"/>
  <c r="F32" i="19"/>
  <c r="F118" i="19"/>
  <c r="F80" i="19"/>
  <c r="F46" i="19"/>
  <c r="F73" i="19"/>
  <c r="F42" i="19"/>
  <c r="F85" i="19" l="1"/>
  <c r="F94" i="19" s="1"/>
  <c r="F96" i="19" s="1"/>
  <c r="F34" i="20"/>
  <c r="F34" i="21"/>
  <c r="H131" i="29"/>
  <c r="H136" i="29" s="1"/>
  <c r="I147" i="29" s="1"/>
  <c r="F7" i="33"/>
  <c r="G7" i="33" s="1"/>
  <c r="E9" i="33" s="1"/>
  <c r="F11" i="33" s="1"/>
  <c r="C41" i="24"/>
  <c r="E41" i="24" s="1"/>
  <c r="G41" i="24" s="1"/>
  <c r="G48" i="24" s="1"/>
  <c r="G50" i="24" s="1"/>
  <c r="H130" i="37"/>
  <c r="H129" i="37"/>
  <c r="H132" i="37"/>
  <c r="H131" i="37"/>
  <c r="H128" i="36"/>
  <c r="H133" i="36" s="1"/>
  <c r="I141" i="36" s="1"/>
  <c r="H136" i="34"/>
  <c r="I146" i="34" s="1"/>
  <c r="H128" i="28"/>
  <c r="H133" i="28" s="1"/>
  <c r="I142" i="28" s="1"/>
  <c r="H132" i="27"/>
  <c r="C149" i="27"/>
  <c r="F149" i="27" s="1"/>
  <c r="I149" i="27" s="1"/>
  <c r="H131" i="27"/>
  <c r="H130" i="27"/>
  <c r="H129" i="27"/>
  <c r="F109" i="23"/>
  <c r="F113" i="23" s="1"/>
  <c r="F48" i="21"/>
  <c r="F62" i="21" s="1"/>
  <c r="F85" i="21"/>
  <c r="F94" i="21" s="1"/>
  <c r="F96" i="21" s="1"/>
  <c r="F35" i="21"/>
  <c r="F36" i="21" s="1"/>
  <c r="F61" i="21" s="1"/>
  <c r="F64" i="21" s="1"/>
  <c r="F119" i="21" s="1"/>
  <c r="F74" i="21"/>
  <c r="F120" i="21" s="1"/>
  <c r="F48" i="20"/>
  <c r="F62" i="20" s="1"/>
  <c r="F74" i="20"/>
  <c r="F120" i="20" s="1"/>
  <c r="F85" i="20"/>
  <c r="F94" i="20" s="1"/>
  <c r="F96" i="20" s="1"/>
  <c r="F35" i="20"/>
  <c r="F36" i="20" s="1"/>
  <c r="F61" i="20" s="1"/>
  <c r="F121" i="19"/>
  <c r="F48" i="19"/>
  <c r="F62" i="19" s="1"/>
  <c r="F34" i="19"/>
  <c r="F74" i="19"/>
  <c r="F120" i="19" s="1"/>
  <c r="F64" i="20" l="1"/>
  <c r="F119" i="20" s="1"/>
  <c r="H128" i="27"/>
  <c r="H133" i="27" s="1"/>
  <c r="I141" i="27" s="1"/>
  <c r="H128" i="37"/>
  <c r="H133" i="37" s="1"/>
  <c r="I141" i="37" s="1"/>
  <c r="F111" i="23"/>
  <c r="F112" i="23"/>
  <c r="F121" i="21"/>
  <c r="F123" i="21" s="1"/>
  <c r="F108" i="21"/>
  <c r="F121" i="20"/>
  <c r="F35" i="19"/>
  <c r="F36" i="19" s="1"/>
  <c r="F61" i="19" s="1"/>
  <c r="F64" i="19" s="1"/>
  <c r="F108" i="20" l="1"/>
  <c r="F109" i="20" s="1"/>
  <c r="F123" i="20"/>
  <c r="F114" i="23"/>
  <c r="F124" i="23" s="1"/>
  <c r="F125" i="23" s="1"/>
  <c r="D129" i="23" s="1"/>
  <c r="F109" i="21"/>
  <c r="F111" i="21" s="1"/>
  <c r="F119" i="19"/>
  <c r="F123" i="19" s="1"/>
  <c r="F108" i="19"/>
  <c r="F109" i="19" s="1"/>
  <c r="F113" i="19" s="1"/>
  <c r="F135" i="23" l="1"/>
  <c r="F129" i="23"/>
  <c r="F130" i="23" s="1"/>
  <c r="F136" i="23" s="1"/>
  <c r="F137" i="23" s="1"/>
  <c r="F112" i="21"/>
  <c r="F113" i="21"/>
  <c r="F112" i="20"/>
  <c r="F113" i="20"/>
  <c r="F111" i="20"/>
  <c r="F112" i="19"/>
  <c r="F111" i="19"/>
  <c r="F114" i="19" l="1"/>
  <c r="F124" i="19" s="1"/>
  <c r="F125" i="19" s="1"/>
  <c r="D129" i="19" s="1"/>
  <c r="F129" i="19" s="1"/>
  <c r="F130" i="19" s="1"/>
  <c r="F136" i="19" s="1"/>
  <c r="F137" i="19" s="1"/>
  <c r="F114" i="20"/>
  <c r="F124" i="20" s="1"/>
  <c r="F125" i="20" s="1"/>
  <c r="D129" i="20" s="1"/>
  <c r="F135" i="20" s="1"/>
  <c r="F114" i="21"/>
  <c r="F124" i="21" s="1"/>
  <c r="F125" i="21" s="1"/>
  <c r="D129" i="21" s="1"/>
  <c r="F129" i="21" s="1"/>
  <c r="F130" i="21" s="1"/>
  <c r="F136" i="21" s="1"/>
  <c r="F137" i="21" s="1"/>
  <c r="F135" i="19" l="1"/>
  <c r="F129" i="20"/>
  <c r="F130" i="20" s="1"/>
  <c r="F136" i="20" s="1"/>
  <c r="F137" i="20" s="1"/>
  <c r="F135" i="21"/>
  <c r="F44" i="17"/>
  <c r="F43" i="17"/>
  <c r="F42" i="17"/>
  <c r="F41" i="17"/>
  <c r="F40" i="17"/>
  <c r="F39" i="17"/>
  <c r="F38" i="17"/>
  <c r="F37" i="17"/>
  <c r="F36" i="17"/>
  <c r="F35" i="17"/>
  <c r="F34" i="17"/>
  <c r="F33" i="17"/>
  <c r="F32" i="17"/>
  <c r="F31" i="17"/>
  <c r="F30" i="17"/>
  <c r="F29" i="17"/>
  <c r="F28" i="17"/>
  <c r="A28" i="17"/>
  <c r="A29" i="17" s="1"/>
  <c r="A30" i="17" s="1"/>
  <c r="A31" i="17" s="1"/>
  <c r="A32" i="17" s="1"/>
  <c r="A33" i="17" s="1"/>
  <c r="A34" i="17" s="1"/>
  <c r="A35" i="17" s="1"/>
  <c r="A36" i="17" s="1"/>
  <c r="A37" i="17" s="1"/>
  <c r="A38" i="17" s="1"/>
  <c r="A39" i="17" s="1"/>
  <c r="A40" i="17" s="1"/>
  <c r="A41" i="17" s="1"/>
  <c r="A42" i="17" s="1"/>
  <c r="A43" i="17" s="1"/>
  <c r="A44" i="17" s="1"/>
  <c r="F27" i="17"/>
  <c r="A27" i="17"/>
  <c r="F21" i="17"/>
  <c r="F20" i="17"/>
  <c r="F19" i="17"/>
  <c r="F18" i="17"/>
  <c r="F17" i="17"/>
  <c r="F16" i="17"/>
  <c r="F15" i="17"/>
  <c r="F14" i="17"/>
  <c r="F13" i="17"/>
  <c r="F12" i="17"/>
  <c r="F11" i="17"/>
  <c r="F10" i="17"/>
  <c r="F9" i="17"/>
  <c r="F8" i="17"/>
  <c r="F7" i="17"/>
  <c r="A7" i="17"/>
  <c r="A8" i="17" s="1"/>
  <c r="A9" i="17" s="1"/>
  <c r="A10" i="17" s="1"/>
  <c r="A11" i="17" s="1"/>
  <c r="A12" i="17" s="1"/>
  <c r="A13" i="17" s="1"/>
  <c r="A14" i="17" s="1"/>
  <c r="A15" i="17" s="1"/>
  <c r="A16" i="17" s="1"/>
  <c r="A17" i="17" s="1"/>
  <c r="A18" i="17" s="1"/>
  <c r="A19" i="17" s="1"/>
  <c r="A20" i="17" s="1"/>
  <c r="A21" i="17" s="1"/>
  <c r="A2" i="17"/>
  <c r="A18" i="16"/>
  <c r="E14" i="16"/>
  <c r="D14" i="16"/>
  <c r="D13" i="16"/>
  <c r="E13" i="16" s="1"/>
  <c r="D12" i="16"/>
  <c r="E12" i="16" s="1"/>
  <c r="E11" i="16"/>
  <c r="D11" i="16"/>
  <c r="D10" i="16"/>
  <c r="E10" i="16" s="1"/>
  <c r="D9" i="16"/>
  <c r="E9" i="16" s="1"/>
  <c r="E8" i="16"/>
  <c r="D8" i="16"/>
  <c r="A2" i="16"/>
  <c r="E146" i="15"/>
  <c r="A129" i="15"/>
  <c r="E111" i="15"/>
  <c r="E110" i="15" s="1"/>
  <c r="E114" i="15" s="1"/>
  <c r="E148" i="15" s="1"/>
  <c r="E109" i="15"/>
  <c r="E147" i="15" s="1"/>
  <c r="E140" i="15" s="1"/>
  <c r="F104" i="15"/>
  <c r="F95" i="15"/>
  <c r="F90" i="15"/>
  <c r="E85" i="15"/>
  <c r="E70" i="15"/>
  <c r="E69" i="15"/>
  <c r="G52" i="15"/>
  <c r="E48" i="15"/>
  <c r="E34" i="15"/>
  <c r="F24" i="15"/>
  <c r="F22" i="15"/>
  <c r="E9" i="15"/>
  <c r="E146" i="14"/>
  <c r="A129" i="14"/>
  <c r="E111" i="14"/>
  <c r="E110" i="14" s="1"/>
  <c r="E114" i="14" s="1"/>
  <c r="E148" i="14" s="1"/>
  <c r="E109" i="14"/>
  <c r="E147" i="14" s="1"/>
  <c r="E140" i="14" s="1"/>
  <c r="F104" i="14"/>
  <c r="F95" i="14"/>
  <c r="F90" i="14"/>
  <c r="E85" i="14"/>
  <c r="E70" i="14"/>
  <c r="E69" i="14"/>
  <c r="F55" i="14"/>
  <c r="E48" i="14"/>
  <c r="E34" i="14"/>
  <c r="E35" i="14" s="1"/>
  <c r="E15" i="14"/>
  <c r="E9" i="14"/>
  <c r="E146" i="13"/>
  <c r="A129" i="13"/>
  <c r="E114" i="13"/>
  <c r="E148" i="13" s="1"/>
  <c r="E111" i="13"/>
  <c r="E110" i="13"/>
  <c r="E109" i="13"/>
  <c r="E147" i="13" s="1"/>
  <c r="F104" i="13"/>
  <c r="F95" i="13"/>
  <c r="F90" i="13"/>
  <c r="E85" i="13"/>
  <c r="E70" i="13"/>
  <c r="E69" i="13"/>
  <c r="F58" i="13"/>
  <c r="F63" i="13" s="1"/>
  <c r="E48" i="13"/>
  <c r="E34" i="13"/>
  <c r="E35" i="13" s="1"/>
  <c r="F24" i="13"/>
  <c r="F22" i="13"/>
  <c r="F27" i="13" s="1"/>
  <c r="F11" i="12"/>
  <c r="E10" i="12"/>
  <c r="G10" i="12" s="1"/>
  <c r="E9" i="12"/>
  <c r="G9" i="12" s="1"/>
  <c r="E8" i="12"/>
  <c r="A2" i="12"/>
  <c r="F27" i="15" l="1"/>
  <c r="E15" i="16"/>
  <c r="F45" i="17"/>
  <c r="F46" i="17" s="1"/>
  <c r="F22" i="17"/>
  <c r="F23" i="17" s="1"/>
  <c r="F58" i="14"/>
  <c r="F63" i="14" s="1"/>
  <c r="F58" i="15"/>
  <c r="F63" i="15" s="1"/>
  <c r="G8" i="12"/>
  <c r="G12" i="12" s="1"/>
  <c r="G14" i="12" s="1"/>
  <c r="F122" i="15"/>
  <c r="F73" i="15"/>
  <c r="F45" i="15"/>
  <c r="F33" i="15"/>
  <c r="F44" i="15"/>
  <c r="F32" i="15"/>
  <c r="F118" i="15"/>
  <c r="F81" i="15"/>
  <c r="F47" i="15"/>
  <c r="F43" i="15"/>
  <c r="F84" i="15"/>
  <c r="F70" i="15"/>
  <c r="F41" i="15"/>
  <c r="F80" i="15"/>
  <c r="F79" i="15"/>
  <c r="F85" i="15" s="1"/>
  <c r="F94" i="15" s="1"/>
  <c r="F96" i="15" s="1"/>
  <c r="F121" i="15" s="1"/>
  <c r="F46" i="15"/>
  <c r="F71" i="15"/>
  <c r="F72" i="15" s="1"/>
  <c r="F42" i="15"/>
  <c r="F68" i="15"/>
  <c r="F83" i="15"/>
  <c r="F40" i="15"/>
  <c r="F82" i="15"/>
  <c r="F69" i="15"/>
  <c r="E35" i="15"/>
  <c r="E36" i="15" s="1"/>
  <c r="F144" i="15" s="1"/>
  <c r="E72" i="15"/>
  <c r="E74" i="15" s="1"/>
  <c r="F24" i="14"/>
  <c r="F22" i="14"/>
  <c r="G52" i="14"/>
  <c r="F122" i="14"/>
  <c r="E36" i="14"/>
  <c r="F144" i="14" s="1"/>
  <c r="E72" i="14"/>
  <c r="E74" i="14" s="1"/>
  <c r="F73" i="13"/>
  <c r="F43" i="13"/>
  <c r="F42" i="13"/>
  <c r="F41" i="13"/>
  <c r="F46" i="13"/>
  <c r="F45" i="13"/>
  <c r="F68" i="13"/>
  <c r="F71" i="13"/>
  <c r="F72" i="13" s="1"/>
  <c r="F40" i="13"/>
  <c r="F48" i="13" s="1"/>
  <c r="F62" i="13" s="1"/>
  <c r="F81" i="13"/>
  <c r="F32" i="13"/>
  <c r="F84" i="13"/>
  <c r="F70" i="13"/>
  <c r="F82" i="13"/>
  <c r="F80" i="13"/>
  <c r="F47" i="13"/>
  <c r="F79" i="13"/>
  <c r="F83" i="13"/>
  <c r="F69" i="13"/>
  <c r="F44" i="13"/>
  <c r="F118" i="13"/>
  <c r="F33" i="13"/>
  <c r="F122" i="13"/>
  <c r="E140" i="13"/>
  <c r="E36" i="13"/>
  <c r="G52" i="13"/>
  <c r="E72" i="13"/>
  <c r="E74" i="13" s="1"/>
  <c r="F85" i="13" l="1"/>
  <c r="F94" i="13" s="1"/>
  <c r="F96" i="13" s="1"/>
  <c r="F121" i="13" s="1"/>
  <c r="F34" i="15"/>
  <c r="F27" i="14"/>
  <c r="F40" i="14" s="1"/>
  <c r="F48" i="15"/>
  <c r="F62" i="15" s="1"/>
  <c r="F35" i="15"/>
  <c r="F36" i="15" s="1"/>
  <c r="F61" i="15" s="1"/>
  <c r="F64" i="15" s="1"/>
  <c r="F119" i="15" s="1"/>
  <c r="F74" i="15"/>
  <c r="F120" i="15" s="1"/>
  <c r="F80" i="14"/>
  <c r="F79" i="14"/>
  <c r="F43" i="14"/>
  <c r="F83" i="14"/>
  <c r="F34" i="13"/>
  <c r="F74" i="13"/>
  <c r="F120" i="13" s="1"/>
  <c r="F144" i="13"/>
  <c r="F70" i="14" l="1"/>
  <c r="F84" i="14"/>
  <c r="F33" i="14"/>
  <c r="F45" i="14"/>
  <c r="F73" i="14"/>
  <c r="F68" i="14"/>
  <c r="F41" i="14"/>
  <c r="F32" i="14"/>
  <c r="F34" i="14" s="1"/>
  <c r="F44" i="14"/>
  <c r="F42" i="14"/>
  <c r="F48" i="14" s="1"/>
  <c r="F62" i="14" s="1"/>
  <c r="F71" i="14"/>
  <c r="F72" i="14" s="1"/>
  <c r="F47" i="14"/>
  <c r="F69" i="14"/>
  <c r="F82" i="14"/>
  <c r="F118" i="14"/>
  <c r="F46" i="14"/>
  <c r="F123" i="15"/>
  <c r="F81" i="14"/>
  <c r="F108" i="15"/>
  <c r="F109" i="15" s="1"/>
  <c r="F85" i="14"/>
  <c r="F94" i="14" s="1"/>
  <c r="F96" i="14" s="1"/>
  <c r="F35" i="14"/>
  <c r="F36" i="14"/>
  <c r="F61" i="14" s="1"/>
  <c r="F74" i="14"/>
  <c r="F120" i="14" s="1"/>
  <c r="F36" i="13"/>
  <c r="F61" i="13" s="1"/>
  <c r="F64" i="13" s="1"/>
  <c r="F35" i="13"/>
  <c r="F64" i="14" l="1"/>
  <c r="F119" i="14" s="1"/>
  <c r="F111" i="15"/>
  <c r="F112" i="15"/>
  <c r="F113" i="15"/>
  <c r="F121" i="14"/>
  <c r="F119" i="13"/>
  <c r="F123" i="13" s="1"/>
  <c r="F108" i="13"/>
  <c r="F109" i="13" s="1"/>
  <c r="F108" i="14" l="1"/>
  <c r="F109" i="14" s="1"/>
  <c r="F123" i="14"/>
  <c r="F111" i="13"/>
  <c r="F114" i="15"/>
  <c r="F124" i="15" s="1"/>
  <c r="F125" i="15" s="1"/>
  <c r="D129" i="15" s="1"/>
  <c r="F129" i="15" s="1"/>
  <c r="F130" i="15" s="1"/>
  <c r="F136" i="15" s="1"/>
  <c r="F137" i="15" s="1"/>
  <c r="F112" i="13"/>
  <c r="F113" i="13"/>
  <c r="F113" i="14" l="1"/>
  <c r="F112" i="14"/>
  <c r="F135" i="15"/>
  <c r="F111" i="14"/>
  <c r="F114" i="13"/>
  <c r="F124" i="13" s="1"/>
  <c r="F125" i="13" s="1"/>
  <c r="D129" i="13" s="1"/>
  <c r="F135" i="13" s="1"/>
  <c r="F129" i="13" l="1"/>
  <c r="F130" i="13" s="1"/>
  <c r="F136" i="13" s="1"/>
  <c r="F137" i="13" s="1"/>
  <c r="F114" i="14"/>
  <c r="F124" i="14" s="1"/>
  <c r="F125" i="14" s="1"/>
  <c r="D129" i="14" s="1"/>
  <c r="F135" i="14" s="1"/>
  <c r="H5" i="11"/>
  <c r="F5" i="11"/>
  <c r="E27" i="24" s="1"/>
  <c r="D27" i="24" s="1"/>
  <c r="H5" i="10"/>
  <c r="F5" i="10"/>
  <c r="E26" i="24" s="1"/>
  <c r="D26" i="24" s="1"/>
  <c r="H21" i="9"/>
  <c r="H20" i="9"/>
  <c r="H19" i="9"/>
  <c r="H18" i="9"/>
  <c r="H17" i="9"/>
  <c r="H16" i="9"/>
  <c r="H15" i="9"/>
  <c r="H14" i="9"/>
  <c r="H13" i="9"/>
  <c r="H12" i="9"/>
  <c r="H11" i="9"/>
  <c r="H10" i="9"/>
  <c r="H9" i="9"/>
  <c r="H8" i="9"/>
  <c r="H7" i="9"/>
  <c r="H6" i="9"/>
  <c r="H5" i="9"/>
  <c r="F21" i="9"/>
  <c r="F20" i="9"/>
  <c r="F19" i="9"/>
  <c r="F18" i="9"/>
  <c r="F17" i="9"/>
  <c r="F16" i="9"/>
  <c r="F15" i="9"/>
  <c r="F14" i="9"/>
  <c r="F13" i="9"/>
  <c r="F12" i="9"/>
  <c r="F11" i="9"/>
  <c r="F10" i="9"/>
  <c r="F9" i="9"/>
  <c r="F8" i="9"/>
  <c r="F7" i="9"/>
  <c r="F6" i="9"/>
  <c r="F5" i="9"/>
  <c r="H21" i="8"/>
  <c r="H20" i="8"/>
  <c r="H19" i="8"/>
  <c r="H18" i="8"/>
  <c r="H17" i="8"/>
  <c r="H16" i="8"/>
  <c r="H15" i="8"/>
  <c r="H14" i="8"/>
  <c r="H13" i="8"/>
  <c r="H12" i="8"/>
  <c r="H11" i="8"/>
  <c r="H10" i="8"/>
  <c r="H9" i="8"/>
  <c r="H8" i="8"/>
  <c r="H7" i="8"/>
  <c r="H6" i="8"/>
  <c r="H5" i="8"/>
  <c r="F20" i="8"/>
  <c r="F19" i="8"/>
  <c r="F18" i="8"/>
  <c r="F17" i="8"/>
  <c r="F16" i="8"/>
  <c r="F15" i="8"/>
  <c r="F14" i="8"/>
  <c r="F13" i="8"/>
  <c r="F12" i="8"/>
  <c r="F11" i="8"/>
  <c r="F10" i="8"/>
  <c r="F9" i="8"/>
  <c r="F8" i="8"/>
  <c r="F7" i="8"/>
  <c r="F6" i="8"/>
  <c r="F5" i="8"/>
  <c r="F22" i="9" l="1"/>
  <c r="E25" i="24" s="1"/>
  <c r="D25" i="24" s="1"/>
  <c r="F129" i="14"/>
  <c r="F130" i="14" s="1"/>
  <c r="F136" i="14" s="1"/>
  <c r="F137" i="14" s="1"/>
  <c r="H22" i="9"/>
  <c r="F21" i="8"/>
  <c r="E24" i="24" s="1"/>
  <c r="D24" i="24" s="1"/>
  <c r="F5" i="6" l="1"/>
  <c r="E23" i="24" s="1"/>
  <c r="D23" i="24" s="1"/>
  <c r="H5" i="6"/>
  <c r="H32" i="5"/>
  <c r="H31" i="5"/>
  <c r="H30" i="5"/>
  <c r="H29" i="5"/>
  <c r="H28" i="5"/>
  <c r="H27" i="5"/>
  <c r="H26" i="5"/>
  <c r="H25" i="5"/>
  <c r="H24" i="5"/>
  <c r="H23" i="5"/>
  <c r="H22" i="5"/>
  <c r="H21" i="5"/>
  <c r="H20" i="5"/>
  <c r="H19" i="5"/>
  <c r="H18" i="5"/>
  <c r="H17" i="5"/>
  <c r="H16" i="5"/>
  <c r="H15" i="5"/>
  <c r="H14" i="5"/>
  <c r="H13" i="5"/>
  <c r="H12" i="5"/>
  <c r="H11" i="5"/>
  <c r="H10" i="5"/>
  <c r="H9" i="5"/>
  <c r="H8" i="5"/>
  <c r="H7" i="5"/>
  <c r="H6" i="5"/>
  <c r="F32" i="5"/>
  <c r="F31" i="5"/>
  <c r="F30" i="5"/>
  <c r="F29" i="5"/>
  <c r="F28" i="5"/>
  <c r="F27" i="5"/>
  <c r="F26" i="5"/>
  <c r="F25" i="5"/>
  <c r="F24" i="5"/>
  <c r="F23" i="5"/>
  <c r="F22" i="5"/>
  <c r="F21" i="5"/>
  <c r="F20" i="5"/>
  <c r="F19" i="5"/>
  <c r="F18" i="5"/>
  <c r="F17" i="5"/>
  <c r="F16" i="5"/>
  <c r="F15" i="5"/>
  <c r="F14" i="5"/>
  <c r="F13" i="5"/>
  <c r="F12" i="5"/>
  <c r="F11" i="5"/>
  <c r="F10" i="5"/>
  <c r="F9" i="5"/>
  <c r="F8" i="5"/>
  <c r="F7" i="5"/>
  <c r="F6" i="5"/>
  <c r="H30" i="4"/>
  <c r="H29" i="4"/>
  <c r="H28" i="4"/>
  <c r="H27" i="4"/>
  <c r="H26" i="4"/>
  <c r="H25" i="4"/>
  <c r="H24" i="4"/>
  <c r="H23" i="4"/>
  <c r="H22" i="4"/>
  <c r="H21" i="4"/>
  <c r="H20" i="4"/>
  <c r="H19" i="4"/>
  <c r="H18" i="4"/>
  <c r="H17" i="4"/>
  <c r="H16" i="4"/>
  <c r="H15" i="4"/>
  <c r="H14" i="4"/>
  <c r="H13" i="4"/>
  <c r="H12" i="4"/>
  <c r="H11" i="4"/>
  <c r="H10" i="4"/>
  <c r="H9" i="4"/>
  <c r="H8" i="4"/>
  <c r="H7" i="4"/>
  <c r="H6" i="4"/>
  <c r="H5" i="4"/>
  <c r="F30" i="4"/>
  <c r="F29" i="4"/>
  <c r="F28" i="4"/>
  <c r="F27" i="4"/>
  <c r="F26" i="4"/>
  <c r="F25" i="4"/>
  <c r="F24" i="4"/>
  <c r="F23" i="4"/>
  <c r="F22" i="4"/>
  <c r="F21" i="4"/>
  <c r="F20" i="4"/>
  <c r="F19" i="4"/>
  <c r="F18" i="4"/>
  <c r="F17" i="4"/>
  <c r="F16" i="4"/>
  <c r="F15" i="4"/>
  <c r="F14" i="4"/>
  <c r="F13" i="4"/>
  <c r="F12" i="4"/>
  <c r="F11" i="4"/>
  <c r="F10" i="4"/>
  <c r="F9" i="4"/>
  <c r="F8" i="4"/>
  <c r="F7" i="4"/>
  <c r="F6" i="4"/>
  <c r="F5" i="4"/>
  <c r="H33" i="5" l="1"/>
  <c r="F33" i="5"/>
  <c r="E22" i="24" s="1"/>
  <c r="F31" i="4"/>
  <c r="E21" i="24" s="1"/>
  <c r="D21" i="24" s="1"/>
  <c r="H31" i="4"/>
  <c r="D22" i="24" l="1"/>
  <c r="H14" i="3"/>
  <c r="H13" i="3"/>
  <c r="H12" i="3"/>
  <c r="H11" i="3"/>
  <c r="H10" i="3"/>
  <c r="H9" i="3"/>
  <c r="H8" i="3"/>
  <c r="H7" i="3"/>
  <c r="H6" i="3"/>
  <c r="I22" i="1"/>
  <c r="J22" i="1" s="1"/>
  <c r="I21" i="1"/>
  <c r="J21" i="1" s="1"/>
  <c r="I20" i="1"/>
  <c r="J20" i="1" s="1"/>
  <c r="I19" i="1"/>
  <c r="J19" i="1" s="1"/>
  <c r="I18" i="1"/>
  <c r="J18" i="1" s="1"/>
  <c r="I17" i="1"/>
  <c r="J17" i="1" s="1"/>
  <c r="I16" i="1"/>
  <c r="J16" i="1" s="1"/>
  <c r="I15" i="1"/>
  <c r="J15" i="1" s="1"/>
  <c r="I14" i="1"/>
  <c r="J14" i="1" s="1"/>
  <c r="I13" i="1"/>
  <c r="J13" i="1" s="1"/>
  <c r="I12" i="1"/>
  <c r="J12" i="1" s="1"/>
  <c r="I11" i="1"/>
  <c r="J11" i="1" s="1"/>
  <c r="I10" i="1"/>
  <c r="J10" i="1" s="1"/>
  <c r="I9" i="1"/>
  <c r="J9" i="1" s="1"/>
  <c r="I8" i="1"/>
  <c r="J8" i="1" s="1"/>
  <c r="I7" i="1"/>
  <c r="J7" i="1" s="1"/>
  <c r="F22" i="1"/>
  <c r="D18" i="24" s="1"/>
  <c r="E18" i="24" s="1"/>
  <c r="F21" i="1"/>
  <c r="D17" i="24" s="1"/>
  <c r="E17" i="24" s="1"/>
  <c r="F20" i="1"/>
  <c r="D16" i="24" s="1"/>
  <c r="E16" i="24" s="1"/>
  <c r="F19" i="1"/>
  <c r="D15" i="24" s="1"/>
  <c r="E15" i="24" s="1"/>
  <c r="F18" i="1"/>
  <c r="D14" i="24" s="1"/>
  <c r="E14" i="24" s="1"/>
  <c r="F17" i="1"/>
  <c r="D13" i="24" s="1"/>
  <c r="E13" i="24" s="1"/>
  <c r="F16" i="1"/>
  <c r="D12" i="24" s="1"/>
  <c r="E12" i="24" s="1"/>
  <c r="F15" i="1"/>
  <c r="D11" i="24" s="1"/>
  <c r="E11" i="24" s="1"/>
  <c r="F14" i="1"/>
  <c r="D10" i="24" s="1"/>
  <c r="E10" i="24" s="1"/>
  <c r="F13" i="1"/>
  <c r="D9" i="24" s="1"/>
  <c r="E9" i="24" s="1"/>
  <c r="F12" i="1"/>
  <c r="D8" i="24" s="1"/>
  <c r="E8" i="24" s="1"/>
  <c r="F11" i="1"/>
  <c r="D7" i="24" s="1"/>
  <c r="E7" i="24" s="1"/>
  <c r="F10" i="1"/>
  <c r="D6" i="24" s="1"/>
  <c r="E6" i="24" s="1"/>
  <c r="F9" i="1"/>
  <c r="D5" i="24" s="1"/>
  <c r="E5" i="24" s="1"/>
  <c r="F8" i="1"/>
  <c r="D4" i="24" s="1"/>
  <c r="E4" i="24" s="1"/>
  <c r="F7" i="1"/>
  <c r="D3" i="24" s="1"/>
  <c r="E3" i="24" s="1"/>
  <c r="J216" i="2"/>
  <c r="K216" i="2" s="1"/>
  <c r="J462" i="2"/>
  <c r="K462" i="2" s="1"/>
  <c r="J461" i="2"/>
  <c r="K461" i="2" s="1"/>
  <c r="J460" i="2"/>
  <c r="K460" i="2" s="1"/>
  <c r="J459" i="2"/>
  <c r="K459" i="2" s="1"/>
  <c r="J458" i="2"/>
  <c r="K458" i="2" s="1"/>
  <c r="J457" i="2"/>
  <c r="J456" i="2"/>
  <c r="K456" i="2" s="1"/>
  <c r="J455" i="2"/>
  <c r="K455" i="2" s="1"/>
  <c r="J454" i="2"/>
  <c r="K454" i="2" s="1"/>
  <c r="J453" i="2"/>
  <c r="K453" i="2" s="1"/>
  <c r="J451" i="2"/>
  <c r="K451" i="2" s="1"/>
  <c r="J450" i="2"/>
  <c r="K450" i="2" s="1"/>
  <c r="J449" i="2"/>
  <c r="K449" i="2" s="1"/>
  <c r="J448" i="2"/>
  <c r="J447" i="2"/>
  <c r="K447" i="2" s="1"/>
  <c r="J446" i="2"/>
  <c r="J445" i="2"/>
  <c r="J444" i="2"/>
  <c r="K444" i="2" s="1"/>
  <c r="J443" i="2"/>
  <c r="K443" i="2" s="1"/>
  <c r="J442" i="2"/>
  <c r="K442" i="2" s="1"/>
  <c r="J441" i="2"/>
  <c r="K441" i="2" s="1"/>
  <c r="J440" i="2"/>
  <c r="K440" i="2" s="1"/>
  <c r="J439" i="2"/>
  <c r="K439" i="2" s="1"/>
  <c r="J438" i="2"/>
  <c r="K438" i="2" s="1"/>
  <c r="J437" i="2"/>
  <c r="J436" i="2"/>
  <c r="J435" i="2"/>
  <c r="K435" i="2" s="1"/>
  <c r="J434" i="2"/>
  <c r="K434" i="2" s="1"/>
  <c r="J433" i="2"/>
  <c r="J432" i="2"/>
  <c r="K432" i="2" s="1"/>
  <c r="J431" i="2"/>
  <c r="K431" i="2" s="1"/>
  <c r="J430" i="2"/>
  <c r="K430" i="2" s="1"/>
  <c r="J429" i="2"/>
  <c r="K429" i="2" s="1"/>
  <c r="J428" i="2"/>
  <c r="K428" i="2" s="1"/>
  <c r="J427" i="2"/>
  <c r="K427" i="2" s="1"/>
  <c r="J426" i="2"/>
  <c r="K426" i="2" s="1"/>
  <c r="J425" i="2"/>
  <c r="J424" i="2"/>
  <c r="J423" i="2"/>
  <c r="K423" i="2" s="1"/>
  <c r="J422" i="2"/>
  <c r="K422" i="2" s="1"/>
  <c r="J421" i="2"/>
  <c r="K421" i="2" s="1"/>
  <c r="J420" i="2"/>
  <c r="J419" i="2"/>
  <c r="K419" i="2" s="1"/>
  <c r="J418" i="2"/>
  <c r="J417" i="2"/>
  <c r="K417" i="2" s="1"/>
  <c r="J416" i="2"/>
  <c r="K416" i="2" s="1"/>
  <c r="J415" i="2"/>
  <c r="K415" i="2" s="1"/>
  <c r="J414" i="2"/>
  <c r="J413" i="2"/>
  <c r="J412" i="2"/>
  <c r="J411" i="2"/>
  <c r="K411" i="2" s="1"/>
  <c r="J410" i="2"/>
  <c r="K410" i="2" s="1"/>
  <c r="J409" i="2"/>
  <c r="K409" i="2" s="1"/>
  <c r="J408" i="2"/>
  <c r="K408" i="2" s="1"/>
  <c r="J407" i="2"/>
  <c r="K407" i="2" s="1"/>
  <c r="J405" i="2"/>
  <c r="K405" i="2" s="1"/>
  <c r="J404" i="2"/>
  <c r="K404" i="2" s="1"/>
  <c r="J403" i="2"/>
  <c r="K403" i="2" s="1"/>
  <c r="J402" i="2"/>
  <c r="K402" i="2" s="1"/>
  <c r="J401" i="2"/>
  <c r="J400" i="2"/>
  <c r="J399" i="2"/>
  <c r="J398" i="2"/>
  <c r="K398" i="2" s="1"/>
  <c r="J397" i="2"/>
  <c r="K397" i="2" s="1"/>
  <c r="J396" i="2"/>
  <c r="K396" i="2" s="1"/>
  <c r="J395" i="2"/>
  <c r="K395" i="2" s="1"/>
  <c r="J394" i="2"/>
  <c r="K394" i="2" s="1"/>
  <c r="J393" i="2"/>
  <c r="K393" i="2" s="1"/>
  <c r="J392" i="2"/>
  <c r="K392" i="2" s="1"/>
  <c r="J391" i="2"/>
  <c r="K391" i="2" s="1"/>
  <c r="J390" i="2"/>
  <c r="K390" i="2" s="1"/>
  <c r="J389" i="2"/>
  <c r="J388" i="2"/>
  <c r="K388" i="2" s="1"/>
  <c r="J387" i="2"/>
  <c r="J386" i="2"/>
  <c r="J385" i="2"/>
  <c r="K385" i="2" s="1"/>
  <c r="J384" i="2"/>
  <c r="J383" i="2"/>
  <c r="K383" i="2" s="1"/>
  <c r="J382" i="2"/>
  <c r="K382" i="2" s="1"/>
  <c r="J381" i="2"/>
  <c r="J380" i="2"/>
  <c r="K380" i="2" s="1"/>
  <c r="J379" i="2"/>
  <c r="K379" i="2" s="1"/>
  <c r="J378" i="2"/>
  <c r="K378" i="2" s="1"/>
  <c r="J377" i="2"/>
  <c r="J376" i="2"/>
  <c r="K376" i="2" s="1"/>
  <c r="J375" i="2"/>
  <c r="J374" i="2"/>
  <c r="K374" i="2" s="1"/>
  <c r="J373" i="2"/>
  <c r="K373" i="2" s="1"/>
  <c r="J372" i="2"/>
  <c r="K372" i="2" s="1"/>
  <c r="J371" i="2"/>
  <c r="J370" i="2"/>
  <c r="K370" i="2" s="1"/>
  <c r="J369" i="2"/>
  <c r="J368" i="2"/>
  <c r="J367" i="2"/>
  <c r="K367" i="2" s="1"/>
  <c r="J366" i="2"/>
  <c r="K366" i="2" s="1"/>
  <c r="J365" i="2"/>
  <c r="J364" i="2"/>
  <c r="K364" i="2" s="1"/>
  <c r="J363" i="2"/>
  <c r="K363" i="2" s="1"/>
  <c r="J362" i="2"/>
  <c r="K362" i="2" s="1"/>
  <c r="J361" i="2"/>
  <c r="K361" i="2" s="1"/>
  <c r="J360" i="2"/>
  <c r="K360" i="2" s="1"/>
  <c r="J359" i="2"/>
  <c r="K359" i="2" s="1"/>
  <c r="J358" i="2"/>
  <c r="K358" i="2" s="1"/>
  <c r="J357" i="2"/>
  <c r="K357" i="2" s="1"/>
  <c r="J356" i="2"/>
  <c r="K356" i="2" s="1"/>
  <c r="J355" i="2"/>
  <c r="K355" i="2" s="1"/>
  <c r="J354" i="2"/>
  <c r="K354" i="2" s="1"/>
  <c r="J353" i="2"/>
  <c r="J352" i="2"/>
  <c r="K352" i="2" s="1"/>
  <c r="J351" i="2"/>
  <c r="J350" i="2"/>
  <c r="K350" i="2" s="1"/>
  <c r="J349" i="2"/>
  <c r="K349" i="2" s="1"/>
  <c r="J348" i="2"/>
  <c r="K348" i="2" s="1"/>
  <c r="J347" i="2"/>
  <c r="J346" i="2"/>
  <c r="K346" i="2" s="1"/>
  <c r="J345" i="2"/>
  <c r="K345" i="2" s="1"/>
  <c r="J344" i="2"/>
  <c r="J340" i="2"/>
  <c r="J343" i="2"/>
  <c r="K343" i="2" s="1"/>
  <c r="J342" i="2"/>
  <c r="K342" i="2" s="1"/>
  <c r="J341" i="2"/>
  <c r="J339" i="2"/>
  <c r="J338" i="2"/>
  <c r="K338" i="2" s="1"/>
  <c r="J337" i="2"/>
  <c r="K337" i="2" s="1"/>
  <c r="J336" i="2"/>
  <c r="J335" i="2"/>
  <c r="K335" i="2" s="1"/>
  <c r="J334" i="2"/>
  <c r="K334" i="2" s="1"/>
  <c r="J333" i="2"/>
  <c r="K333" i="2" s="1"/>
  <c r="J332" i="2"/>
  <c r="K332" i="2" s="1"/>
  <c r="J331" i="2"/>
  <c r="K331" i="2" s="1"/>
  <c r="J330" i="2"/>
  <c r="K330" i="2" s="1"/>
  <c r="J329" i="2"/>
  <c r="J328" i="2"/>
  <c r="J327" i="2"/>
  <c r="K327" i="2" s="1"/>
  <c r="J326" i="2"/>
  <c r="K326" i="2" s="1"/>
  <c r="J325" i="2"/>
  <c r="J324" i="2"/>
  <c r="K324" i="2" s="1"/>
  <c r="J323" i="2"/>
  <c r="K323" i="2" s="1"/>
  <c r="J322" i="2"/>
  <c r="K322" i="2" s="1"/>
  <c r="J321" i="2"/>
  <c r="K321" i="2" s="1"/>
  <c r="J320" i="2"/>
  <c r="K320" i="2" s="1"/>
  <c r="J319" i="2"/>
  <c r="K319" i="2" s="1"/>
  <c r="J318" i="2"/>
  <c r="K318" i="2" s="1"/>
  <c r="J317" i="2"/>
  <c r="K317" i="2" s="1"/>
  <c r="J316" i="2"/>
  <c r="K316" i="2" s="1"/>
  <c r="J315" i="2"/>
  <c r="K315" i="2" s="1"/>
  <c r="J314" i="2"/>
  <c r="K314" i="2" s="1"/>
  <c r="J313" i="2"/>
  <c r="J312" i="2"/>
  <c r="K312" i="2" s="1"/>
  <c r="J310" i="2"/>
  <c r="K310" i="2" s="1"/>
  <c r="J309" i="2"/>
  <c r="J308" i="2"/>
  <c r="J307" i="2"/>
  <c r="K307" i="2" s="1"/>
  <c r="J306" i="2"/>
  <c r="K306" i="2" s="1"/>
  <c r="J305" i="2"/>
  <c r="K305" i="2" s="1"/>
  <c r="J304" i="2"/>
  <c r="K304" i="2" s="1"/>
  <c r="J303" i="2"/>
  <c r="K303" i="2" s="1"/>
  <c r="J302" i="2"/>
  <c r="K302" i="2" s="1"/>
  <c r="J301" i="2"/>
  <c r="K301" i="2" s="1"/>
  <c r="J300" i="2"/>
  <c r="K300" i="2" s="1"/>
  <c r="J299" i="2"/>
  <c r="K299" i="2" s="1"/>
  <c r="J298" i="2"/>
  <c r="J297" i="2"/>
  <c r="K297" i="2" s="1"/>
  <c r="J296" i="2"/>
  <c r="K296" i="2" s="1"/>
  <c r="J295" i="2"/>
  <c r="K295" i="2" s="1"/>
  <c r="J294" i="2"/>
  <c r="K294" i="2" s="1"/>
  <c r="J293" i="2"/>
  <c r="K293" i="2" s="1"/>
  <c r="J292" i="2"/>
  <c r="K292" i="2" s="1"/>
  <c r="J291" i="2"/>
  <c r="K291" i="2" s="1"/>
  <c r="J290" i="2"/>
  <c r="J289" i="2"/>
  <c r="J288" i="2"/>
  <c r="K288" i="2" s="1"/>
  <c r="J287" i="2"/>
  <c r="K287" i="2" s="1"/>
  <c r="J286" i="2"/>
  <c r="K286" i="2" s="1"/>
  <c r="J285" i="2"/>
  <c r="K285" i="2" s="1"/>
  <c r="J284" i="2"/>
  <c r="K284" i="2" s="1"/>
  <c r="J283" i="2"/>
  <c r="K283" i="2" s="1"/>
  <c r="J282" i="2"/>
  <c r="K282" i="2" s="1"/>
  <c r="J281" i="2"/>
  <c r="K281" i="2" s="1"/>
  <c r="J280" i="2"/>
  <c r="K280" i="2" s="1"/>
  <c r="J279" i="2"/>
  <c r="K279" i="2" s="1"/>
  <c r="J278" i="2"/>
  <c r="K278" i="2" s="1"/>
  <c r="J277" i="2"/>
  <c r="K277" i="2" s="1"/>
  <c r="J276" i="2"/>
  <c r="K276" i="2" s="1"/>
  <c r="J275" i="2"/>
  <c r="K275" i="2" s="1"/>
  <c r="J274" i="2"/>
  <c r="K274" i="2" s="1"/>
  <c r="J273" i="2"/>
  <c r="K273" i="2" s="1"/>
  <c r="J272" i="2"/>
  <c r="K272" i="2" s="1"/>
  <c r="J271" i="2"/>
  <c r="J270" i="2"/>
  <c r="K270" i="2" s="1"/>
  <c r="J269" i="2"/>
  <c r="K269" i="2" s="1"/>
  <c r="J268" i="2"/>
  <c r="K268" i="2" s="1"/>
  <c r="J267" i="2"/>
  <c r="K267" i="2" s="1"/>
  <c r="J266" i="2"/>
  <c r="K266" i="2" s="1"/>
  <c r="J265" i="2"/>
  <c r="K265" i="2" s="1"/>
  <c r="J264" i="2"/>
  <c r="K264" i="2" s="1"/>
  <c r="J263" i="2"/>
  <c r="K263" i="2" s="1"/>
  <c r="J262" i="2"/>
  <c r="K262" i="2" s="1"/>
  <c r="J261" i="2"/>
  <c r="K261" i="2" s="1"/>
  <c r="J260" i="2"/>
  <c r="K260" i="2" s="1"/>
  <c r="J259" i="2"/>
  <c r="K259" i="2" s="1"/>
  <c r="J258" i="2"/>
  <c r="K258" i="2" s="1"/>
  <c r="J257" i="2"/>
  <c r="J256" i="2"/>
  <c r="J255" i="2"/>
  <c r="J254" i="2"/>
  <c r="J253" i="2"/>
  <c r="K253" i="2" s="1"/>
  <c r="J252" i="2"/>
  <c r="K252" i="2" s="1"/>
  <c r="J251" i="2"/>
  <c r="K251" i="2" s="1"/>
  <c r="J250" i="2"/>
  <c r="K250" i="2" s="1"/>
  <c r="J249" i="2"/>
  <c r="K249" i="2" s="1"/>
  <c r="J248" i="2"/>
  <c r="K248" i="2" s="1"/>
  <c r="J247" i="2"/>
  <c r="K247" i="2" s="1"/>
  <c r="J246" i="2"/>
  <c r="K246" i="2" s="1"/>
  <c r="J245" i="2"/>
  <c r="K245" i="2" s="1"/>
  <c r="J244" i="2"/>
  <c r="K244" i="2" s="1"/>
  <c r="J242" i="2"/>
  <c r="J241" i="2"/>
  <c r="J240" i="2"/>
  <c r="K240" i="2" s="1"/>
  <c r="J239" i="2"/>
  <c r="J238" i="2"/>
  <c r="K238" i="2" s="1"/>
  <c r="J237" i="2"/>
  <c r="K237" i="2" s="1"/>
  <c r="J236" i="2"/>
  <c r="J235" i="2"/>
  <c r="K235" i="2" s="1"/>
  <c r="J234" i="2"/>
  <c r="K234" i="2" s="1"/>
  <c r="J233" i="2"/>
  <c r="K233" i="2" s="1"/>
  <c r="J232" i="2"/>
  <c r="K232" i="2" s="1"/>
  <c r="J231" i="2"/>
  <c r="K231" i="2" s="1"/>
  <c r="J230" i="2"/>
  <c r="K230" i="2" s="1"/>
  <c r="J229" i="2"/>
  <c r="K229" i="2" s="1"/>
  <c r="J228" i="2"/>
  <c r="K228" i="2" s="1"/>
  <c r="J227" i="2"/>
  <c r="K227" i="2" s="1"/>
  <c r="J226" i="2"/>
  <c r="K226" i="2" s="1"/>
  <c r="J225" i="2"/>
  <c r="J224" i="2"/>
  <c r="K224" i="2" s="1"/>
  <c r="J223" i="2"/>
  <c r="K223" i="2" s="1"/>
  <c r="J222" i="2"/>
  <c r="K222" i="2" s="1"/>
  <c r="J221" i="2"/>
  <c r="K221" i="2" s="1"/>
  <c r="J220" i="2"/>
  <c r="K220" i="2" s="1"/>
  <c r="J219" i="2"/>
  <c r="K219" i="2" s="1"/>
  <c r="J218" i="2"/>
  <c r="J217" i="2"/>
  <c r="K217" i="2" s="1"/>
  <c r="J215" i="2"/>
  <c r="J214" i="2"/>
  <c r="K214" i="2" s="1"/>
  <c r="J213" i="2"/>
  <c r="J212" i="2"/>
  <c r="K212" i="2" s="1"/>
  <c r="J211" i="2"/>
  <c r="K211" i="2" s="1"/>
  <c r="J210" i="2"/>
  <c r="K210" i="2" s="1"/>
  <c r="J209" i="2"/>
  <c r="K209" i="2" s="1"/>
  <c r="J208" i="2"/>
  <c r="K208" i="2" s="1"/>
  <c r="J207" i="2"/>
  <c r="K207" i="2" s="1"/>
  <c r="J206" i="2"/>
  <c r="J205" i="2"/>
  <c r="J204" i="2"/>
  <c r="K204" i="2" s="1"/>
  <c r="J203" i="2"/>
  <c r="K203" i="2" s="1"/>
  <c r="J202" i="2"/>
  <c r="K202" i="2" s="1"/>
  <c r="J201" i="2"/>
  <c r="K201" i="2" s="1"/>
  <c r="J200" i="2"/>
  <c r="K200" i="2" s="1"/>
  <c r="J199" i="2"/>
  <c r="J198" i="2"/>
  <c r="K198" i="2" s="1"/>
  <c r="J197" i="2"/>
  <c r="K197" i="2" s="1"/>
  <c r="J196" i="2"/>
  <c r="K196" i="2" s="1"/>
  <c r="J195" i="2"/>
  <c r="J194" i="2"/>
  <c r="K194" i="2" s="1"/>
  <c r="J193" i="2"/>
  <c r="K193" i="2" s="1"/>
  <c r="J192" i="2"/>
  <c r="K192" i="2" s="1"/>
  <c r="J191" i="2"/>
  <c r="K191" i="2" s="1"/>
  <c r="J190" i="2"/>
  <c r="K190" i="2" s="1"/>
  <c r="J189" i="2"/>
  <c r="K189" i="2" s="1"/>
  <c r="J188" i="2"/>
  <c r="K188" i="2" s="1"/>
  <c r="J187" i="2"/>
  <c r="K187" i="2" s="1"/>
  <c r="J186" i="2"/>
  <c r="K186" i="2" s="1"/>
  <c r="J185" i="2"/>
  <c r="K185" i="2" s="1"/>
  <c r="J184" i="2"/>
  <c r="K184" i="2" s="1"/>
  <c r="J182" i="2"/>
  <c r="J181" i="2"/>
  <c r="K181" i="2" s="1"/>
  <c r="J180" i="2"/>
  <c r="K180" i="2" s="1"/>
  <c r="J179" i="2"/>
  <c r="K179" i="2" s="1"/>
  <c r="J178" i="2"/>
  <c r="K178" i="2" s="1"/>
  <c r="J177" i="2"/>
  <c r="K177" i="2" s="1"/>
  <c r="J176" i="2"/>
  <c r="K176" i="2" s="1"/>
  <c r="J175" i="2"/>
  <c r="K175" i="2" s="1"/>
  <c r="J174" i="2"/>
  <c r="K174" i="2" s="1"/>
  <c r="J173" i="2"/>
  <c r="K173" i="2" s="1"/>
  <c r="J172" i="2"/>
  <c r="K172" i="2" s="1"/>
  <c r="J171" i="2"/>
  <c r="K171" i="2" s="1"/>
  <c r="J170" i="2"/>
  <c r="K170" i="2" s="1"/>
  <c r="J169" i="2"/>
  <c r="K169" i="2" s="1"/>
  <c r="J168" i="2"/>
  <c r="K168" i="2" s="1"/>
  <c r="J167" i="2"/>
  <c r="K167" i="2" s="1"/>
  <c r="J166" i="2"/>
  <c r="K166" i="2" s="1"/>
  <c r="J165" i="2"/>
  <c r="K165" i="2" s="1"/>
  <c r="J164" i="2"/>
  <c r="J163" i="2"/>
  <c r="K163" i="2" s="1"/>
  <c r="J162" i="2"/>
  <c r="K162" i="2" s="1"/>
  <c r="J161" i="2"/>
  <c r="K161" i="2" s="1"/>
  <c r="J160" i="2"/>
  <c r="K160" i="2" s="1"/>
  <c r="J159" i="2"/>
  <c r="K159" i="2" s="1"/>
  <c r="J157" i="2"/>
  <c r="J156" i="2"/>
  <c r="J154" i="2"/>
  <c r="K154" i="2" s="1"/>
  <c r="J153" i="2"/>
  <c r="K153" i="2" s="1"/>
  <c r="J152" i="2"/>
  <c r="K152" i="2" s="1"/>
  <c r="J151" i="2"/>
  <c r="K151" i="2" s="1"/>
  <c r="J150" i="2"/>
  <c r="K150" i="2" s="1"/>
  <c r="J149" i="2"/>
  <c r="K149" i="2" s="1"/>
  <c r="J148" i="2"/>
  <c r="K148" i="2" s="1"/>
  <c r="J147" i="2"/>
  <c r="K147" i="2" s="1"/>
  <c r="J146" i="2"/>
  <c r="K146" i="2" s="1"/>
  <c r="J145" i="2"/>
  <c r="K145" i="2" s="1"/>
  <c r="J144" i="2"/>
  <c r="J143" i="2"/>
  <c r="J142" i="2"/>
  <c r="K142" i="2" s="1"/>
  <c r="J141" i="2"/>
  <c r="K141" i="2" s="1"/>
  <c r="J140" i="2"/>
  <c r="K140" i="2" s="1"/>
  <c r="J139" i="2"/>
  <c r="K139" i="2" s="1"/>
  <c r="J138" i="2"/>
  <c r="K138" i="2" s="1"/>
  <c r="J137" i="2"/>
  <c r="K137" i="2" s="1"/>
  <c r="J136" i="2"/>
  <c r="K136" i="2" s="1"/>
  <c r="J135" i="2"/>
  <c r="K135" i="2" s="1"/>
  <c r="J134" i="2"/>
  <c r="K134" i="2" s="1"/>
  <c r="J133" i="2"/>
  <c r="K133" i="2" s="1"/>
  <c r="J132" i="2"/>
  <c r="K132" i="2" s="1"/>
  <c r="J131" i="2"/>
  <c r="K131" i="2" s="1"/>
  <c r="J130" i="2"/>
  <c r="K130" i="2" s="1"/>
  <c r="J129" i="2"/>
  <c r="K129" i="2" s="1"/>
  <c r="J128" i="2"/>
  <c r="J127" i="2"/>
  <c r="K127" i="2" s="1"/>
  <c r="J126" i="2"/>
  <c r="K126" i="2" s="1"/>
  <c r="J125" i="2"/>
  <c r="K125" i="2" s="1"/>
  <c r="J124" i="2"/>
  <c r="K124" i="2" s="1"/>
  <c r="J123" i="2"/>
  <c r="K123" i="2" s="1"/>
  <c r="J121" i="2"/>
  <c r="K121" i="2" s="1"/>
  <c r="J120" i="2"/>
  <c r="K120" i="2" s="1"/>
  <c r="J119" i="2"/>
  <c r="J118" i="2"/>
  <c r="J117" i="2"/>
  <c r="K117" i="2" s="1"/>
  <c r="J116" i="2"/>
  <c r="K116" i="2" s="1"/>
  <c r="J115" i="2"/>
  <c r="K115" i="2" s="1"/>
  <c r="J114" i="2"/>
  <c r="K114" i="2" s="1"/>
  <c r="J113" i="2"/>
  <c r="K113" i="2" s="1"/>
  <c r="J112" i="2"/>
  <c r="K112" i="2" s="1"/>
  <c r="J111" i="2"/>
  <c r="K111" i="2" s="1"/>
  <c r="J110" i="2"/>
  <c r="K110" i="2" s="1"/>
  <c r="J109" i="2"/>
  <c r="K109" i="2" s="1"/>
  <c r="J108" i="2"/>
  <c r="K108" i="2" s="1"/>
  <c r="J107" i="2"/>
  <c r="J106" i="2"/>
  <c r="K106" i="2" s="1"/>
  <c r="J105" i="2"/>
  <c r="K105" i="2" s="1"/>
  <c r="J104" i="2"/>
  <c r="K104" i="2" s="1"/>
  <c r="J103" i="2"/>
  <c r="K103" i="2" s="1"/>
  <c r="J102" i="2"/>
  <c r="K102" i="2" s="1"/>
  <c r="J101" i="2"/>
  <c r="K101" i="2" s="1"/>
  <c r="J100" i="2"/>
  <c r="K100" i="2" s="1"/>
  <c r="J99" i="2"/>
  <c r="K99" i="2" s="1"/>
  <c r="J98" i="2"/>
  <c r="K98" i="2" s="1"/>
  <c r="J97" i="2"/>
  <c r="K97" i="2" s="1"/>
  <c r="J96" i="2"/>
  <c r="K96" i="2" s="1"/>
  <c r="J95" i="2"/>
  <c r="J94" i="2"/>
  <c r="K94" i="2" s="1"/>
  <c r="J93" i="2"/>
  <c r="K93" i="2" s="1"/>
  <c r="J92" i="2"/>
  <c r="J90" i="2"/>
  <c r="K90" i="2" s="1"/>
  <c r="J89" i="2"/>
  <c r="K89" i="2" s="1"/>
  <c r="J87" i="2"/>
  <c r="K87" i="2" s="1"/>
  <c r="J86" i="2"/>
  <c r="K86" i="2" s="1"/>
  <c r="J85" i="2"/>
  <c r="K85" i="2" s="1"/>
  <c r="J84" i="2"/>
  <c r="K84" i="2" s="1"/>
  <c r="J83" i="2"/>
  <c r="K83" i="2" s="1"/>
  <c r="J82" i="2"/>
  <c r="K82" i="2" s="1"/>
  <c r="J81" i="2"/>
  <c r="K81" i="2" s="1"/>
  <c r="J80" i="2"/>
  <c r="K80" i="2" s="1"/>
  <c r="J78" i="2"/>
  <c r="K78" i="2" s="1"/>
  <c r="J77" i="2"/>
  <c r="K77" i="2" s="1"/>
  <c r="J76" i="2"/>
  <c r="K76" i="2" s="1"/>
  <c r="J75" i="2"/>
  <c r="K75" i="2" s="1"/>
  <c r="J74" i="2"/>
  <c r="J73" i="2"/>
  <c r="J72" i="2"/>
  <c r="J71" i="2"/>
  <c r="K71" i="2" s="1"/>
  <c r="J70" i="2"/>
  <c r="K70" i="2" s="1"/>
  <c r="J69" i="2"/>
  <c r="K69" i="2" s="1"/>
  <c r="J68" i="2"/>
  <c r="J67" i="2"/>
  <c r="K67" i="2" s="1"/>
  <c r="J66" i="2"/>
  <c r="K66" i="2" s="1"/>
  <c r="J65" i="2"/>
  <c r="K65" i="2" s="1"/>
  <c r="J64" i="2"/>
  <c r="K64" i="2" s="1"/>
  <c r="J63" i="2"/>
  <c r="K63" i="2" s="1"/>
  <c r="J62" i="2"/>
  <c r="K62" i="2" s="1"/>
  <c r="J61" i="2"/>
  <c r="K61" i="2" s="1"/>
  <c r="J60" i="2"/>
  <c r="K60" i="2" s="1"/>
  <c r="J59" i="2"/>
  <c r="K59" i="2" s="1"/>
  <c r="J58" i="2"/>
  <c r="K58" i="2" s="1"/>
  <c r="J57" i="2"/>
  <c r="K57" i="2" s="1"/>
  <c r="J56" i="2"/>
  <c r="J55" i="2"/>
  <c r="K55" i="2" s="1"/>
  <c r="J54" i="2"/>
  <c r="K54" i="2" s="1"/>
  <c r="J53" i="2"/>
  <c r="K53" i="2" s="1"/>
  <c r="J52" i="2"/>
  <c r="K52" i="2" s="1"/>
  <c r="J51" i="2"/>
  <c r="K51" i="2" s="1"/>
  <c r="J50" i="2"/>
  <c r="J49" i="2"/>
  <c r="K49" i="2" s="1"/>
  <c r="J48" i="2"/>
  <c r="J47" i="2"/>
  <c r="J46" i="2"/>
  <c r="K46" i="2" s="1"/>
  <c r="J45" i="2"/>
  <c r="K45" i="2" s="1"/>
  <c r="J44" i="2"/>
  <c r="J43" i="2"/>
  <c r="K43" i="2" s="1"/>
  <c r="J42" i="2"/>
  <c r="J41" i="2"/>
  <c r="K41" i="2" s="1"/>
  <c r="J40" i="2"/>
  <c r="K40" i="2" s="1"/>
  <c r="J39" i="2"/>
  <c r="K39" i="2" s="1"/>
  <c r="J38" i="2"/>
  <c r="K38" i="2" s="1"/>
  <c r="J37" i="2"/>
  <c r="K37" i="2" s="1"/>
  <c r="J36" i="2"/>
  <c r="K36" i="2" s="1"/>
  <c r="J35" i="2"/>
  <c r="K35" i="2" s="1"/>
  <c r="J34" i="2"/>
  <c r="K34" i="2" s="1"/>
  <c r="J33" i="2"/>
  <c r="K33" i="2" s="1"/>
  <c r="J32" i="2"/>
  <c r="K32" i="2" s="1"/>
  <c r="J31" i="2"/>
  <c r="J30" i="2"/>
  <c r="J29" i="2"/>
  <c r="K29" i="2" s="1"/>
  <c r="J28" i="2"/>
  <c r="K28" i="2" s="1"/>
  <c r="J27" i="2"/>
  <c r="K27" i="2" s="1"/>
  <c r="J26" i="2"/>
  <c r="K26" i="2" s="1"/>
  <c r="J25" i="2"/>
  <c r="K25" i="2" s="1"/>
  <c r="J24" i="2"/>
  <c r="K24" i="2" s="1"/>
  <c r="J23" i="2"/>
  <c r="K23" i="2" s="1"/>
  <c r="J22" i="2"/>
  <c r="K22" i="2" s="1"/>
  <c r="J21" i="2"/>
  <c r="K21" i="2" s="1"/>
  <c r="J20" i="2"/>
  <c r="K20" i="2" s="1"/>
  <c r="J19" i="2"/>
  <c r="J18" i="2"/>
  <c r="J17" i="2"/>
  <c r="K17" i="2" s="1"/>
  <c r="J16" i="2"/>
  <c r="K16" i="2" s="1"/>
  <c r="J15" i="2"/>
  <c r="K15" i="2" s="1"/>
  <c r="J14" i="2"/>
  <c r="K14" i="2" s="1"/>
  <c r="K457" i="2"/>
  <c r="K448" i="2"/>
  <c r="K446" i="2"/>
  <c r="K445" i="2"/>
  <c r="K437" i="2"/>
  <c r="K436" i="2"/>
  <c r="K433" i="2"/>
  <c r="K425" i="2"/>
  <c r="K424" i="2"/>
  <c r="K420" i="2"/>
  <c r="K418" i="2"/>
  <c r="K414" i="2"/>
  <c r="K413" i="2"/>
  <c r="K412" i="2"/>
  <c r="K401" i="2"/>
  <c r="K400" i="2"/>
  <c r="K399" i="2"/>
  <c r="K389" i="2"/>
  <c r="K387" i="2"/>
  <c r="K386" i="2"/>
  <c r="K384" i="2"/>
  <c r="K381" i="2"/>
  <c r="K377" i="2"/>
  <c r="K375" i="2"/>
  <c r="K371" i="2"/>
  <c r="K369" i="2"/>
  <c r="K368" i="2"/>
  <c r="K365" i="2"/>
  <c r="K353" i="2"/>
  <c r="K351" i="2"/>
  <c r="K347" i="2"/>
  <c r="K344" i="2"/>
  <c r="K341" i="2"/>
  <c r="K340" i="2"/>
  <c r="K339" i="2"/>
  <c r="K336" i="2"/>
  <c r="K329" i="2"/>
  <c r="K328" i="2"/>
  <c r="K325" i="2"/>
  <c r="K313" i="2"/>
  <c r="K309" i="2"/>
  <c r="K308" i="2"/>
  <c r="K298" i="2"/>
  <c r="K290" i="2"/>
  <c r="K289" i="2"/>
  <c r="K271" i="2"/>
  <c r="K257" i="2"/>
  <c r="K256" i="2"/>
  <c r="K255" i="2"/>
  <c r="K254" i="2"/>
  <c r="K242" i="2"/>
  <c r="K241" i="2"/>
  <c r="K239" i="2"/>
  <c r="K236" i="2"/>
  <c r="K225" i="2"/>
  <c r="K218" i="2"/>
  <c r="K215" i="2"/>
  <c r="K213" i="2"/>
  <c r="K206" i="2"/>
  <c r="K205" i="2"/>
  <c r="K199" i="2"/>
  <c r="K195" i="2"/>
  <c r="K182" i="2"/>
  <c r="K164" i="2"/>
  <c r="K157" i="2"/>
  <c r="K156" i="2"/>
  <c r="K144" i="2"/>
  <c r="K143" i="2"/>
  <c r="K128" i="2"/>
  <c r="K119" i="2"/>
  <c r="K118" i="2"/>
  <c r="K107" i="2"/>
  <c r="K95" i="2"/>
  <c r="K92" i="2"/>
  <c r="K74" i="2"/>
  <c r="K73" i="2"/>
  <c r="K72" i="2"/>
  <c r="K68" i="2"/>
  <c r="K56" i="2"/>
  <c r="K50" i="2"/>
  <c r="K48" i="2"/>
  <c r="K47" i="2"/>
  <c r="K44" i="2"/>
  <c r="K42" i="2"/>
  <c r="K31" i="2"/>
  <c r="K30" i="2"/>
  <c r="K19" i="2"/>
  <c r="K18" i="2"/>
  <c r="K13" i="2"/>
  <c r="K12" i="2"/>
  <c r="K11" i="2"/>
  <c r="J13" i="2"/>
  <c r="J12" i="2"/>
  <c r="J11" i="2"/>
  <c r="J10" i="2"/>
  <c r="K10" i="2" s="1"/>
  <c r="J9" i="2"/>
  <c r="K9" i="2" s="1"/>
  <c r="J8" i="2"/>
  <c r="K8" i="2" s="1"/>
  <c r="G83" i="2"/>
  <c r="H83" i="2" s="1"/>
  <c r="G84" i="2"/>
  <c r="H84" i="2" s="1"/>
  <c r="G34" i="2"/>
  <c r="F14" i="3"/>
  <c r="F13" i="3"/>
  <c r="F12" i="3"/>
  <c r="F11" i="3"/>
  <c r="F10" i="3"/>
  <c r="F9" i="3"/>
  <c r="F8" i="3"/>
  <c r="F7" i="3"/>
  <c r="G22" i="1"/>
  <c r="G21" i="1"/>
  <c r="G20" i="1"/>
  <c r="G19" i="1"/>
  <c r="G18" i="1"/>
  <c r="G17" i="1"/>
  <c r="G16" i="1"/>
  <c r="G15" i="1"/>
  <c r="G13" i="1"/>
  <c r="G12" i="1"/>
  <c r="G11" i="1"/>
  <c r="G10" i="1"/>
  <c r="G9" i="1"/>
  <c r="G8" i="1"/>
  <c r="G7" i="1"/>
  <c r="G462" i="2"/>
  <c r="G461" i="2"/>
  <c r="G460" i="2"/>
  <c r="G459" i="2"/>
  <c r="G458" i="2"/>
  <c r="G457" i="2"/>
  <c r="G456" i="2"/>
  <c r="G455" i="2"/>
  <c r="G454" i="2"/>
  <c r="G453" i="2"/>
  <c r="G451" i="2"/>
  <c r="G450" i="2"/>
  <c r="G449" i="2"/>
  <c r="G448" i="2"/>
  <c r="G447" i="2"/>
  <c r="G446" i="2"/>
  <c r="G445" i="2"/>
  <c r="G444" i="2"/>
  <c r="G443" i="2"/>
  <c r="G442" i="2"/>
  <c r="G441" i="2"/>
  <c r="G440" i="2"/>
  <c r="G439" i="2"/>
  <c r="G438" i="2"/>
  <c r="G437" i="2"/>
  <c r="G436" i="2"/>
  <c r="G435" i="2"/>
  <c r="G434" i="2"/>
  <c r="G433" i="2"/>
  <c r="G432" i="2"/>
  <c r="G431" i="2"/>
  <c r="G430" i="2"/>
  <c r="G429" i="2"/>
  <c r="G428" i="2"/>
  <c r="G427" i="2"/>
  <c r="G426" i="2"/>
  <c r="G425" i="2"/>
  <c r="G424" i="2"/>
  <c r="G423" i="2"/>
  <c r="G422" i="2"/>
  <c r="G421" i="2"/>
  <c r="G420" i="2"/>
  <c r="G419" i="2"/>
  <c r="G418" i="2"/>
  <c r="G417" i="2"/>
  <c r="G416" i="2"/>
  <c r="G415" i="2"/>
  <c r="G414" i="2"/>
  <c r="G413" i="2"/>
  <c r="G412" i="2"/>
  <c r="G411" i="2"/>
  <c r="G410" i="2"/>
  <c r="G409" i="2"/>
  <c r="G408" i="2"/>
  <c r="G407" i="2"/>
  <c r="G405" i="2"/>
  <c r="G404" i="2"/>
  <c r="G403" i="2"/>
  <c r="G402" i="2"/>
  <c r="G401" i="2"/>
  <c r="G400" i="2"/>
  <c r="G399" i="2"/>
  <c r="G398" i="2"/>
  <c r="G397" i="2"/>
  <c r="G396" i="2"/>
  <c r="G395" i="2"/>
  <c r="G394" i="2"/>
  <c r="G393" i="2"/>
  <c r="G392" i="2"/>
  <c r="G391" i="2"/>
  <c r="G390" i="2"/>
  <c r="G389" i="2"/>
  <c r="G388" i="2"/>
  <c r="G387" i="2"/>
  <c r="G386" i="2"/>
  <c r="G385" i="2"/>
  <c r="G384" i="2"/>
  <c r="G383" i="2"/>
  <c r="G382" i="2"/>
  <c r="G381" i="2"/>
  <c r="G380" i="2"/>
  <c r="G379" i="2"/>
  <c r="G378" i="2"/>
  <c r="G360" i="2"/>
  <c r="G361" i="2"/>
  <c r="G377" i="2"/>
  <c r="G376" i="2"/>
  <c r="G375" i="2"/>
  <c r="G374" i="2"/>
  <c r="G373" i="2"/>
  <c r="G372" i="2"/>
  <c r="G371" i="2"/>
  <c r="G370" i="2"/>
  <c r="G369" i="2"/>
  <c r="G368" i="2"/>
  <c r="G367" i="2"/>
  <c r="G366" i="2"/>
  <c r="G365" i="2"/>
  <c r="G364" i="2"/>
  <c r="G363" i="2"/>
  <c r="G362" i="2"/>
  <c r="G359" i="2"/>
  <c r="G358" i="2"/>
  <c r="G357" i="2"/>
  <c r="G356" i="2"/>
  <c r="G355" i="2"/>
  <c r="G354" i="2"/>
  <c r="G353" i="2"/>
  <c r="G352" i="2"/>
  <c r="G351" i="2"/>
  <c r="G350" i="2"/>
  <c r="G349" i="2"/>
  <c r="G348" i="2"/>
  <c r="G347" i="2"/>
  <c r="G346" i="2"/>
  <c r="G345" i="2"/>
  <c r="G344" i="2"/>
  <c r="G343" i="2"/>
  <c r="G342" i="2"/>
  <c r="G341" i="2"/>
  <c r="G340" i="2"/>
  <c r="G339" i="2"/>
  <c r="G338" i="2"/>
  <c r="G337" i="2"/>
  <c r="G336" i="2"/>
  <c r="G335" i="2"/>
  <c r="G334" i="2"/>
  <c r="G333" i="2"/>
  <c r="G332" i="2"/>
  <c r="G331" i="2"/>
  <c r="G330" i="2"/>
  <c r="G329" i="2"/>
  <c r="G328" i="2"/>
  <c r="G327" i="2"/>
  <c r="G326" i="2"/>
  <c r="G325" i="2"/>
  <c r="G324" i="2"/>
  <c r="G323" i="2"/>
  <c r="G322" i="2"/>
  <c r="G321" i="2"/>
  <c r="G320" i="2"/>
  <c r="G319" i="2"/>
  <c r="G318" i="2"/>
  <c r="G317" i="2"/>
  <c r="G316" i="2"/>
  <c r="G315" i="2"/>
  <c r="G314" i="2"/>
  <c r="G313" i="2"/>
  <c r="G312" i="2"/>
  <c r="G310" i="2"/>
  <c r="G309" i="2"/>
  <c r="G308" i="2"/>
  <c r="G307" i="2"/>
  <c r="G306" i="2"/>
  <c r="G305" i="2"/>
  <c r="G304" i="2"/>
  <c r="G303" i="2"/>
  <c r="G302" i="2"/>
  <c r="G301" i="2"/>
  <c r="G300" i="2"/>
  <c r="G299" i="2"/>
  <c r="G298" i="2"/>
  <c r="G297" i="2"/>
  <c r="G296" i="2"/>
  <c r="G295" i="2"/>
  <c r="G294" i="2"/>
  <c r="G293" i="2"/>
  <c r="G292" i="2"/>
  <c r="G291" i="2"/>
  <c r="G290" i="2"/>
  <c r="G289" i="2"/>
  <c r="G288" i="2"/>
  <c r="G287" i="2"/>
  <c r="G286" i="2"/>
  <c r="G285" i="2"/>
  <c r="G284" i="2"/>
  <c r="G283" i="2"/>
  <c r="G282" i="2"/>
  <c r="G281" i="2"/>
  <c r="G280" i="2"/>
  <c r="G279" i="2"/>
  <c r="G278" i="2"/>
  <c r="G277" i="2"/>
  <c r="G276" i="2"/>
  <c r="G275" i="2"/>
  <c r="G274" i="2"/>
  <c r="G273" i="2"/>
  <c r="G272" i="2"/>
  <c r="G271" i="2"/>
  <c r="G270" i="2"/>
  <c r="G269" i="2"/>
  <c r="G268" i="2"/>
  <c r="G267" i="2"/>
  <c r="G266" i="2"/>
  <c r="G265" i="2"/>
  <c r="G264" i="2"/>
  <c r="G263" i="2"/>
  <c r="G262" i="2"/>
  <c r="G261" i="2"/>
  <c r="G260" i="2"/>
  <c r="G259" i="2"/>
  <c r="G258" i="2"/>
  <c r="G257" i="2"/>
  <c r="G256" i="2"/>
  <c r="G255" i="2"/>
  <c r="G254" i="2"/>
  <c r="G253" i="2"/>
  <c r="G252" i="2"/>
  <c r="G251" i="2"/>
  <c r="G250" i="2"/>
  <c r="G249" i="2"/>
  <c r="G248" i="2"/>
  <c r="G247" i="2"/>
  <c r="G246" i="2"/>
  <c r="G245" i="2"/>
  <c r="G244" i="2"/>
  <c r="G242" i="2"/>
  <c r="G241" i="2"/>
  <c r="G240" i="2"/>
  <c r="G239" i="2"/>
  <c r="G238" i="2"/>
  <c r="G237" i="2"/>
  <c r="G236" i="2"/>
  <c r="G235" i="2"/>
  <c r="G234" i="2"/>
  <c r="G233" i="2"/>
  <c r="G232" i="2"/>
  <c r="G231" i="2"/>
  <c r="G230" i="2"/>
  <c r="G229" i="2"/>
  <c r="G228" i="2"/>
  <c r="G227" i="2"/>
  <c r="G226" i="2"/>
  <c r="G225" i="2"/>
  <c r="G224" i="2"/>
  <c r="G223" i="2"/>
  <c r="G222" i="2"/>
  <c r="G221" i="2"/>
  <c r="G220" i="2"/>
  <c r="G219" i="2"/>
  <c r="G218" i="2"/>
  <c r="G217" i="2"/>
  <c r="G216" i="2"/>
  <c r="G215" i="2"/>
  <c r="G214" i="2"/>
  <c r="G213" i="2"/>
  <c r="G212" i="2"/>
  <c r="G211" i="2"/>
  <c r="G210" i="2"/>
  <c r="G209" i="2"/>
  <c r="G208" i="2"/>
  <c r="G207" i="2"/>
  <c r="G206" i="2"/>
  <c r="G205" i="2"/>
  <c r="G204" i="2"/>
  <c r="G203" i="2"/>
  <c r="G202" i="2"/>
  <c r="G201" i="2"/>
  <c r="G200" i="2"/>
  <c r="G199" i="2"/>
  <c r="G198" i="2"/>
  <c r="G197" i="2"/>
  <c r="G196" i="2"/>
  <c r="G195" i="2"/>
  <c r="G194" i="2"/>
  <c r="G193" i="2"/>
  <c r="G192" i="2"/>
  <c r="G191" i="2"/>
  <c r="G190" i="2"/>
  <c r="G189" i="2"/>
  <c r="G188" i="2"/>
  <c r="G187" i="2"/>
  <c r="G186" i="2"/>
  <c r="G185" i="2"/>
  <c r="G184" i="2"/>
  <c r="G182" i="2"/>
  <c r="G181" i="2"/>
  <c r="G180" i="2"/>
  <c r="G179" i="2"/>
  <c r="G178" i="2"/>
  <c r="G177" i="2"/>
  <c r="G176" i="2"/>
  <c r="G175" i="2"/>
  <c r="G174" i="2"/>
  <c r="G173" i="2"/>
  <c r="G172" i="2"/>
  <c r="G171" i="2"/>
  <c r="G170" i="2"/>
  <c r="G169" i="2"/>
  <c r="G168" i="2"/>
  <c r="G167" i="2"/>
  <c r="G166" i="2"/>
  <c r="G165" i="2"/>
  <c r="G164" i="2"/>
  <c r="G163" i="2"/>
  <c r="G162" i="2"/>
  <c r="G161" i="2"/>
  <c r="G160" i="2"/>
  <c r="G159" i="2"/>
  <c r="G157" i="2"/>
  <c r="G156" i="2"/>
  <c r="G154" i="2"/>
  <c r="G153" i="2"/>
  <c r="G152" i="2"/>
  <c r="G151" i="2"/>
  <c r="G150" i="2"/>
  <c r="G149" i="2"/>
  <c r="G148" i="2"/>
  <c r="G147" i="2"/>
  <c r="G146" i="2"/>
  <c r="G145" i="2"/>
  <c r="G144" i="2"/>
  <c r="G143" i="2"/>
  <c r="G142" i="2"/>
  <c r="G141" i="2"/>
  <c r="G140" i="2"/>
  <c r="G139" i="2"/>
  <c r="G138" i="2"/>
  <c r="G137" i="2"/>
  <c r="G136" i="2"/>
  <c r="G135" i="2"/>
  <c r="G134" i="2"/>
  <c r="G133" i="2"/>
  <c r="G132" i="2"/>
  <c r="G131" i="2"/>
  <c r="G130" i="2"/>
  <c r="G129" i="2"/>
  <c r="G128" i="2"/>
  <c r="G127" i="2"/>
  <c r="G126" i="2"/>
  <c r="G125" i="2"/>
  <c r="G124" i="2"/>
  <c r="G123" i="2"/>
  <c r="G121" i="2"/>
  <c r="G120" i="2"/>
  <c r="G119" i="2"/>
  <c r="G118" i="2"/>
  <c r="G117" i="2"/>
  <c r="G116" i="2"/>
  <c r="G115" i="2"/>
  <c r="G114" i="2"/>
  <c r="G113" i="2"/>
  <c r="G112" i="2"/>
  <c r="G111" i="2"/>
  <c r="G110" i="2"/>
  <c r="G109" i="2"/>
  <c r="G108" i="2"/>
  <c r="G107" i="2"/>
  <c r="G106" i="2"/>
  <c r="G105" i="2"/>
  <c r="G104" i="2"/>
  <c r="G103" i="2"/>
  <c r="G102" i="2"/>
  <c r="G101" i="2"/>
  <c r="G100" i="2"/>
  <c r="G99" i="2"/>
  <c r="G98" i="2"/>
  <c r="G97" i="2"/>
  <c r="G96" i="2"/>
  <c r="G95" i="2"/>
  <c r="G94" i="2"/>
  <c r="G93" i="2"/>
  <c r="G92" i="2"/>
  <c r="G90" i="2"/>
  <c r="G89" i="2"/>
  <c r="G87" i="2"/>
  <c r="G86" i="2"/>
  <c r="G85" i="2"/>
  <c r="G82" i="2"/>
  <c r="G81" i="2"/>
  <c r="G80" i="2"/>
  <c r="G78" i="2"/>
  <c r="G77" i="2"/>
  <c r="G76" i="2"/>
  <c r="G75" i="2"/>
  <c r="G74" i="2"/>
  <c r="G73" i="2"/>
  <c r="G72" i="2"/>
  <c r="G71" i="2"/>
  <c r="G70" i="2"/>
  <c r="G69" i="2"/>
  <c r="G68" i="2"/>
  <c r="G67" i="2"/>
  <c r="G66" i="2"/>
  <c r="G65" i="2"/>
  <c r="G64" i="2"/>
  <c r="G63" i="2"/>
  <c r="G62" i="2"/>
  <c r="G61" i="2"/>
  <c r="G60" i="2"/>
  <c r="G59" i="2"/>
  <c r="G58" i="2"/>
  <c r="G57" i="2"/>
  <c r="G56" i="2"/>
  <c r="G55" i="2"/>
  <c r="G54" i="2"/>
  <c r="G53" i="2"/>
  <c r="G52" i="2"/>
  <c r="G51" i="2"/>
  <c r="G50" i="2"/>
  <c r="G49" i="2"/>
  <c r="G48" i="2"/>
  <c r="G47" i="2"/>
  <c r="G46" i="2"/>
  <c r="G45" i="2"/>
  <c r="G44" i="2"/>
  <c r="G43" i="2"/>
  <c r="G42" i="2"/>
  <c r="G41" i="2"/>
  <c r="G40" i="2"/>
  <c r="G39" i="2"/>
  <c r="G38" i="2"/>
  <c r="G37" i="2"/>
  <c r="G36" i="2"/>
  <c r="G35" i="2"/>
  <c r="G33" i="2"/>
  <c r="G32" i="2"/>
  <c r="G31" i="2"/>
  <c r="G30" i="2"/>
  <c r="G29" i="2"/>
  <c r="G28" i="2"/>
  <c r="G27" i="2"/>
  <c r="G26" i="2"/>
  <c r="G25" i="2"/>
  <c r="G24" i="2"/>
  <c r="G23" i="2"/>
  <c r="G22" i="2"/>
  <c r="G21" i="2"/>
  <c r="G20" i="2"/>
  <c r="G19" i="2"/>
  <c r="G18" i="2"/>
  <c r="G17" i="2"/>
  <c r="G16" i="2"/>
  <c r="G15" i="2"/>
  <c r="G14" i="2"/>
  <c r="G13" i="2"/>
  <c r="G12" i="2"/>
  <c r="G11" i="2"/>
  <c r="G10" i="2"/>
  <c r="G9" i="2"/>
  <c r="G8" i="2"/>
  <c r="F6" i="3"/>
  <c r="G14" i="1" l="1"/>
  <c r="H5" i="3"/>
  <c r="H15" i="3" s="1"/>
  <c r="J23" i="1"/>
  <c r="K155" i="2"/>
  <c r="K88" i="2"/>
  <c r="K79" i="2"/>
  <c r="K311" i="2"/>
  <c r="K406" i="2"/>
  <c r="K243" i="2"/>
  <c r="K183" i="2" s="1"/>
  <c r="K122" i="2"/>
  <c r="K91" i="2"/>
  <c r="K158" i="2"/>
  <c r="K452" i="2"/>
  <c r="K7" i="2"/>
  <c r="F5" i="3"/>
  <c r="G23" i="1"/>
  <c r="F15" i="3"/>
  <c r="E20" i="24" s="1"/>
  <c r="D20" i="24" l="1"/>
  <c r="K463" i="2"/>
  <c r="H462" i="2"/>
  <c r="H461" i="2"/>
  <c r="H460" i="2"/>
  <c r="H459" i="2"/>
  <c r="H458" i="2"/>
  <c r="H457" i="2"/>
  <c r="H456" i="2"/>
  <c r="H455" i="2"/>
  <c r="H454" i="2"/>
  <c r="H453" i="2"/>
  <c r="H451" i="2"/>
  <c r="H450" i="2"/>
  <c r="H449" i="2"/>
  <c r="H448" i="2"/>
  <c r="H447" i="2"/>
  <c r="H446" i="2"/>
  <c r="H445" i="2"/>
  <c r="H444" i="2"/>
  <c r="H443" i="2"/>
  <c r="H442" i="2"/>
  <c r="H441" i="2"/>
  <c r="H440" i="2"/>
  <c r="H439" i="2"/>
  <c r="H438" i="2"/>
  <c r="H437" i="2"/>
  <c r="H436" i="2"/>
  <c r="H435" i="2"/>
  <c r="H434" i="2"/>
  <c r="H433" i="2"/>
  <c r="H432" i="2"/>
  <c r="H431" i="2"/>
  <c r="H430" i="2"/>
  <c r="H429" i="2"/>
  <c r="H428" i="2"/>
  <c r="H427" i="2"/>
  <c r="H426" i="2"/>
  <c r="H425" i="2"/>
  <c r="H424" i="2"/>
  <c r="H423" i="2"/>
  <c r="H422" i="2"/>
  <c r="H421" i="2"/>
  <c r="H420" i="2"/>
  <c r="H419" i="2"/>
  <c r="H418" i="2"/>
  <c r="H417" i="2"/>
  <c r="H416" i="2"/>
  <c r="H415" i="2"/>
  <c r="H414" i="2"/>
  <c r="H413" i="2"/>
  <c r="H412" i="2"/>
  <c r="H411" i="2"/>
  <c r="H410" i="2"/>
  <c r="H409" i="2"/>
  <c r="H408" i="2"/>
  <c r="H407" i="2"/>
  <c r="H405" i="2"/>
  <c r="H404" i="2"/>
  <c r="H403" i="2"/>
  <c r="H402" i="2"/>
  <c r="H401" i="2"/>
  <c r="H400" i="2"/>
  <c r="H399" i="2"/>
  <c r="H398" i="2"/>
  <c r="H397" i="2"/>
  <c r="H396" i="2"/>
  <c r="H395" i="2"/>
  <c r="H394" i="2"/>
  <c r="H393" i="2"/>
  <c r="H392" i="2"/>
  <c r="H391" i="2"/>
  <c r="H390" i="2"/>
  <c r="H389" i="2"/>
  <c r="H388" i="2"/>
  <c r="H387" i="2"/>
  <c r="H386" i="2"/>
  <c r="H385"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6" i="2"/>
  <c r="H355" i="2"/>
  <c r="H354" i="2"/>
  <c r="H353" i="2"/>
  <c r="H352" i="2"/>
  <c r="H351" i="2"/>
  <c r="H350" i="2"/>
  <c r="H349" i="2"/>
  <c r="H348" i="2"/>
  <c r="H347" i="2"/>
  <c r="H346" i="2"/>
  <c r="H345" i="2"/>
  <c r="H344" i="2"/>
  <c r="H343" i="2"/>
  <c r="H342" i="2"/>
  <c r="H341" i="2"/>
  <c r="H340" i="2"/>
  <c r="H339" i="2"/>
  <c r="H338" i="2"/>
  <c r="H337" i="2"/>
  <c r="H336" i="2"/>
  <c r="H335" i="2"/>
  <c r="H334" i="2"/>
  <c r="H333" i="2"/>
  <c r="H332" i="2"/>
  <c r="H331" i="2"/>
  <c r="H330" i="2"/>
  <c r="H329" i="2"/>
  <c r="H328" i="2"/>
  <c r="H327" i="2"/>
  <c r="H326" i="2"/>
  <c r="H325" i="2"/>
  <c r="H324" i="2"/>
  <c r="H323" i="2"/>
  <c r="H322" i="2"/>
  <c r="H321" i="2"/>
  <c r="H320" i="2"/>
  <c r="H319" i="2"/>
  <c r="H318" i="2"/>
  <c r="H317" i="2"/>
  <c r="H316" i="2"/>
  <c r="H315" i="2"/>
  <c r="H314" i="2"/>
  <c r="H313" i="2"/>
  <c r="H312" i="2"/>
  <c r="H310" i="2"/>
  <c r="H309" i="2"/>
  <c r="H308" i="2"/>
  <c r="H307" i="2"/>
  <c r="H306" i="2"/>
  <c r="H305" i="2"/>
  <c r="H304"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5"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2" i="2"/>
  <c r="H241" i="2"/>
  <c r="H240" i="2"/>
  <c r="H239" i="2"/>
  <c r="H238" i="2"/>
  <c r="H237" i="2"/>
  <c r="H236" i="2"/>
  <c r="H235" i="2"/>
  <c r="H234" i="2"/>
  <c r="H233" i="2"/>
  <c r="H232" i="2"/>
  <c r="H231" i="2"/>
  <c r="H230" i="2"/>
  <c r="H229" i="2"/>
  <c r="H228" i="2"/>
  <c r="H227" i="2"/>
  <c r="H226" i="2"/>
  <c r="H225" i="2"/>
  <c r="H224" i="2"/>
  <c r="H223"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4" i="2"/>
  <c r="H193" i="2"/>
  <c r="H192" i="2"/>
  <c r="H191" i="2"/>
  <c r="H190" i="2"/>
  <c r="H189" i="2"/>
  <c r="H188" i="2"/>
  <c r="H187" i="2"/>
  <c r="H186" i="2"/>
  <c r="H185" i="2"/>
  <c r="H184" i="2"/>
  <c r="H182" i="2"/>
  <c r="H181" i="2"/>
  <c r="H180" i="2"/>
  <c r="H179" i="2"/>
  <c r="H178" i="2"/>
  <c r="H177" i="2"/>
  <c r="H176" i="2"/>
  <c r="H175" i="2"/>
  <c r="H174" i="2"/>
  <c r="H173" i="2"/>
  <c r="H172" i="2"/>
  <c r="H171" i="2"/>
  <c r="H170" i="2"/>
  <c r="H169" i="2"/>
  <c r="H168" i="2"/>
  <c r="H167" i="2"/>
  <c r="H166" i="2"/>
  <c r="H165" i="2"/>
  <c r="H164" i="2"/>
  <c r="H163" i="2"/>
  <c r="H162" i="2"/>
  <c r="H161" i="2"/>
  <c r="H160" i="2"/>
  <c r="H159" i="2"/>
  <c r="H157" i="2"/>
  <c r="H156" i="2"/>
  <c r="H154" i="2"/>
  <c r="H153" i="2"/>
  <c r="H152" i="2"/>
  <c r="H151" i="2"/>
  <c r="H150" i="2"/>
  <c r="H149" i="2"/>
  <c r="H148" i="2"/>
  <c r="H147" i="2"/>
  <c r="H146" i="2"/>
  <c r="H145" i="2"/>
  <c r="H144" i="2"/>
  <c r="H143" i="2"/>
  <c r="H142" i="2"/>
  <c r="H141" i="2"/>
  <c r="H140" i="2"/>
  <c r="H139" i="2"/>
  <c r="H138" i="2"/>
  <c r="H137" i="2"/>
  <c r="H136" i="2"/>
  <c r="H135" i="2"/>
  <c r="H134" i="2"/>
  <c r="H133" i="2"/>
  <c r="H132" i="2"/>
  <c r="H131" i="2"/>
  <c r="H130" i="2"/>
  <c r="H129" i="2"/>
  <c r="H128" i="2"/>
  <c r="H127" i="2"/>
  <c r="H126" i="2"/>
  <c r="H125" i="2"/>
  <c r="H124" i="2"/>
  <c r="H123" i="2"/>
  <c r="H121" i="2"/>
  <c r="H120" i="2"/>
  <c r="H119" i="2"/>
  <c r="H118" i="2"/>
  <c r="H117" i="2"/>
  <c r="H116" i="2"/>
  <c r="H115" i="2"/>
  <c r="H114" i="2"/>
  <c r="H113" i="2"/>
  <c r="H112" i="2"/>
  <c r="H111" i="2"/>
  <c r="H110" i="2"/>
  <c r="H109" i="2"/>
  <c r="H108" i="2"/>
  <c r="H107" i="2"/>
  <c r="H106" i="2"/>
  <c r="H105" i="2"/>
  <c r="H104" i="2"/>
  <c r="H103" i="2"/>
  <c r="H102" i="2"/>
  <c r="H101" i="2"/>
  <c r="H100" i="2"/>
  <c r="H99" i="2"/>
  <c r="H98" i="2"/>
  <c r="H97" i="2"/>
  <c r="H96" i="2"/>
  <c r="H95" i="2"/>
  <c r="H94" i="2"/>
  <c r="H93" i="2"/>
  <c r="H92" i="2"/>
  <c r="H90" i="2"/>
  <c r="H89" i="2"/>
  <c r="H87" i="2"/>
  <c r="H86" i="2"/>
  <c r="H85" i="2"/>
  <c r="H82" i="2"/>
  <c r="H81" i="2"/>
  <c r="H80"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9" i="2" l="1"/>
  <c r="H88" i="2"/>
  <c r="H158" i="2"/>
  <c r="H155" i="2"/>
  <c r="H122" i="2"/>
  <c r="H91" i="2"/>
  <c r="H7" i="2"/>
  <c r="H406" i="2"/>
  <c r="H452" i="2"/>
  <c r="H243" i="2"/>
  <c r="H183" i="2" s="1"/>
  <c r="H311" i="2"/>
  <c r="H463" i="2" l="1"/>
  <c r="E19" i="24" s="1"/>
  <c r="D19" i="24" l="1"/>
  <c r="E28" i="24"/>
  <c r="E30" i="24" s="1"/>
  <c r="G52" i="24" s="1"/>
  <c r="G58"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marcio.silveira</author>
  </authors>
  <commentList>
    <comment ref="E4" authorId="0" shapeId="0" xr:uid="{DF51C727-3527-4348-AB7E-18FC4090AE6B}">
      <text>
        <r>
          <rPr>
            <b/>
            <sz val="9"/>
            <color indexed="81"/>
            <rFont val="Segoe UI"/>
            <family val="2"/>
          </rPr>
          <t>Administrador:</t>
        </r>
        <r>
          <rPr>
            <sz val="9"/>
            <color indexed="81"/>
            <rFont val="Segoe UI"/>
            <family val="2"/>
          </rPr>
          <t xml:space="preserve">
</t>
        </r>
        <r>
          <rPr>
            <sz val="12"/>
            <color indexed="81"/>
            <rFont val="Segoe UI"/>
            <family val="2"/>
          </rPr>
          <t>Foi estabelecido limpeza diária para a área interna = 1x por dia</t>
        </r>
      </text>
    </comment>
    <comment ref="E5" authorId="0" shapeId="0" xr:uid="{7462F4E8-B65F-48ED-85CA-134B8558186C}">
      <text>
        <r>
          <rPr>
            <b/>
            <sz val="9"/>
            <color indexed="81"/>
            <rFont val="Segoe UI"/>
            <family val="2"/>
          </rPr>
          <t>Administrador:</t>
        </r>
        <r>
          <rPr>
            <sz val="9"/>
            <color indexed="81"/>
            <rFont val="Segoe UI"/>
            <family val="2"/>
          </rPr>
          <t xml:space="preserve">
</t>
        </r>
        <r>
          <rPr>
            <sz val="12"/>
            <color indexed="81"/>
            <rFont val="Segoe UI"/>
            <family val="2"/>
          </rPr>
          <t>Foi estabelecido limpeza diária para a área interna = 1x por dia</t>
        </r>
      </text>
    </comment>
    <comment ref="E6" authorId="0" shapeId="0" xr:uid="{21C44F60-AC7A-4B44-865C-4A9D0E828B4F}">
      <text>
        <r>
          <rPr>
            <b/>
            <sz val="9"/>
            <color indexed="81"/>
            <rFont val="Segoe UI"/>
            <family val="2"/>
          </rPr>
          <t>Administrador:</t>
        </r>
        <r>
          <rPr>
            <sz val="9"/>
            <color indexed="81"/>
            <rFont val="Segoe UI"/>
            <family val="2"/>
          </rPr>
          <t xml:space="preserve">
</t>
        </r>
        <r>
          <rPr>
            <sz val="12"/>
            <color indexed="81"/>
            <rFont val="Segoe UI"/>
            <family val="2"/>
          </rPr>
          <t>Foi estabelecido limpeza diária para a área interna = 1x por dia</t>
        </r>
      </text>
    </comment>
    <comment ref="E7" authorId="0" shapeId="0" xr:uid="{51E350D4-23C3-46E8-83B6-5E09B4ACE2C1}">
      <text>
        <r>
          <rPr>
            <b/>
            <sz val="9"/>
            <color indexed="81"/>
            <rFont val="Segoe UI"/>
            <family val="2"/>
          </rPr>
          <t>Administrador:</t>
        </r>
        <r>
          <rPr>
            <sz val="9"/>
            <color indexed="81"/>
            <rFont val="Segoe UI"/>
            <family val="2"/>
          </rPr>
          <t xml:space="preserve">
</t>
        </r>
        <r>
          <rPr>
            <sz val="12"/>
            <color indexed="81"/>
            <rFont val="Segoe UI"/>
            <family val="2"/>
          </rPr>
          <t>Foi estabelecido limpeza diária da área externa 1x por dia</t>
        </r>
      </text>
    </comment>
    <comment ref="E8" authorId="1" shapeId="0" xr:uid="{AA102EE3-BBAB-48B3-83C6-5F9C16E30299}">
      <text>
        <r>
          <rPr>
            <b/>
            <sz val="9"/>
            <color indexed="81"/>
            <rFont val="Tahoma"/>
            <family val="2"/>
          </rPr>
          <t>marcio.silveira:</t>
        </r>
        <r>
          <rPr>
            <sz val="9"/>
            <color indexed="81"/>
            <rFont val="Tahoma"/>
            <family val="2"/>
          </rPr>
          <t xml:space="preserve">
</t>
        </r>
        <r>
          <rPr>
            <b/>
            <sz val="12"/>
            <color indexed="81"/>
            <rFont val="Tahoma"/>
            <family val="2"/>
          </rPr>
          <t>Limpeza 02 vezez por Mês (Projeto Básico) QUINZENALMENTE, CONFORME PERIODICIDADE ESTABELECIDA NO TR</t>
        </r>
      </text>
    </comment>
    <comment ref="F8" authorId="0" shapeId="0" xr:uid="{DA076F60-DE25-4FB5-AC39-5BBDEC994B70}">
      <text>
        <r>
          <rPr>
            <b/>
            <sz val="12"/>
            <color indexed="81"/>
            <rFont val="Segoe UI"/>
            <family val="2"/>
          </rPr>
          <t>Administrador:</t>
        </r>
        <r>
          <rPr>
            <sz val="12"/>
            <color indexed="81"/>
            <rFont val="Segoe UI"/>
            <family val="2"/>
          </rPr>
          <t xml:space="preserve">
Foi estabelecido que o empregado vai limpar as esquadrias 02x no mês: 8+8 = 16 horas.</t>
        </r>
      </text>
    </comment>
    <comment ref="G8" authorId="0" shapeId="0" xr:uid="{B421FF12-A7FA-47BB-BF7E-78EE2E688A58}">
      <text>
        <r>
          <rPr>
            <b/>
            <sz val="9"/>
            <color indexed="81"/>
            <rFont val="Segoe UI"/>
            <family val="2"/>
          </rPr>
          <t>Administrador:</t>
        </r>
        <r>
          <rPr>
            <sz val="9"/>
            <color indexed="81"/>
            <rFont val="Segoe UI"/>
            <family val="2"/>
          </rPr>
          <t xml:space="preserve">
</t>
        </r>
        <r>
          <rPr>
            <sz val="12"/>
            <color indexed="81"/>
            <rFont val="Segoe UI"/>
            <family val="2"/>
          </rPr>
          <t xml:space="preserve">A Jornada de Trabalho no mês levou em consideração </t>
        </r>
        <r>
          <rPr>
            <b/>
            <sz val="12"/>
            <color indexed="81"/>
            <rFont val="Segoe UI"/>
            <family val="2"/>
          </rPr>
          <t>1/188,76 = 0,05297733</t>
        </r>
      </text>
    </comment>
    <comment ref="E9" authorId="1" shapeId="0" xr:uid="{33F0EA5F-3365-4859-83E7-827C09B1AB5C}">
      <text>
        <r>
          <rPr>
            <b/>
            <sz val="9"/>
            <color indexed="81"/>
            <rFont val="Tahoma"/>
            <family val="2"/>
          </rPr>
          <t>marcio.silveira:</t>
        </r>
        <r>
          <rPr>
            <sz val="9"/>
            <color indexed="81"/>
            <rFont val="Tahoma"/>
            <family val="2"/>
          </rPr>
          <t xml:space="preserve">
</t>
        </r>
        <r>
          <rPr>
            <b/>
            <sz val="12"/>
            <color indexed="81"/>
            <rFont val="Tahoma"/>
            <family val="2"/>
          </rPr>
          <t>Limpeza 01 vez por ano (Projeto Básico)</t>
        </r>
      </text>
    </comment>
    <comment ref="F9" authorId="0" shapeId="0" xr:uid="{1BAE52AD-2706-4461-9105-880B51ACEF4F}">
      <text>
        <r>
          <rPr>
            <b/>
            <sz val="9"/>
            <color indexed="81"/>
            <rFont val="Segoe UI"/>
            <family val="2"/>
          </rPr>
          <t>Administrador:</t>
        </r>
        <r>
          <rPr>
            <sz val="9"/>
            <color indexed="81"/>
            <rFont val="Segoe UI"/>
            <family val="2"/>
          </rPr>
          <t xml:space="preserve">
</t>
        </r>
        <r>
          <rPr>
            <sz val="12"/>
            <color indexed="81"/>
            <rFont val="Segoe UI"/>
            <family val="2"/>
          </rPr>
          <t xml:space="preserve">Foi estabelecido que o empregado vai limpar 01x A CADA 6 MESES a fachada envidraçada. </t>
        </r>
        <r>
          <rPr>
            <b/>
            <sz val="12"/>
            <color indexed="81"/>
            <rFont val="Segoe UI"/>
            <family val="2"/>
          </rPr>
          <t>Frequência no mês: 08 horas</t>
        </r>
      </text>
    </comment>
  </commentList>
</comments>
</file>

<file path=xl/sharedStrings.xml><?xml version="1.0" encoding="utf-8"?>
<sst xmlns="http://schemas.openxmlformats.org/spreadsheetml/2006/main" count="6575" uniqueCount="2279">
  <si>
    <t>ITEM</t>
  </si>
  <si>
    <t>DESCRIÇÃO</t>
  </si>
  <si>
    <t>MÃO DE OBRA POR DEMANDA</t>
  </si>
  <si>
    <t>CÓDIGO SINAPI</t>
  </si>
  <si>
    <t>VALORES EXTRAÍDOS TABELA SINAPI - DF                                                                                                                                                                                 (agosto- ref. julho/2024)</t>
  </si>
  <si>
    <t>Gesseiro</t>
  </si>
  <si>
    <t>Pedreiro</t>
  </si>
  <si>
    <t>Bombeiro Hidráulico</t>
  </si>
  <si>
    <t>Pintor</t>
  </si>
  <si>
    <t>Serralheiro</t>
  </si>
  <si>
    <t>Marceneiro</t>
  </si>
  <si>
    <t>Técnico de Redes            (cabeamento estruturado)</t>
  </si>
  <si>
    <t>Eletrotécnico</t>
  </si>
  <si>
    <t>Auxiliar Tec. Refrigeração</t>
  </si>
  <si>
    <t>Valor Unitário</t>
  </si>
  <si>
    <t>Total</t>
  </si>
  <si>
    <t>1.1</t>
  </si>
  <si>
    <t>1.2</t>
  </si>
  <si>
    <t>1.3</t>
  </si>
  <si>
    <t>1.4</t>
  </si>
  <si>
    <t>1.5</t>
  </si>
  <si>
    <t>1.6</t>
  </si>
  <si>
    <t>1.7</t>
  </si>
  <si>
    <t>1.8</t>
  </si>
  <si>
    <t>1.9</t>
  </si>
  <si>
    <t>1.10</t>
  </si>
  <si>
    <t>1.11</t>
  </si>
  <si>
    <t>1.12</t>
  </si>
  <si>
    <t>1.13</t>
  </si>
  <si>
    <t>1.14</t>
  </si>
  <si>
    <t>Manutenção Predial</t>
  </si>
  <si>
    <t>1.15</t>
  </si>
  <si>
    <t>1.16</t>
  </si>
  <si>
    <t>Eletricista</t>
  </si>
  <si>
    <t>SERVIÇO/POSTO</t>
  </si>
  <si>
    <t>Encarregado Geral/Mestre</t>
  </si>
  <si>
    <t>Montador Técnico Eletrônico/Automação</t>
  </si>
  <si>
    <t>Ajudante Geral/Servente</t>
  </si>
  <si>
    <t>Mecânico Técnico em Refrigeração</t>
  </si>
  <si>
    <t>Arquiteto Pleno</t>
  </si>
  <si>
    <t>Engenheiro Pleno</t>
  </si>
  <si>
    <t>UND</t>
  </si>
  <si>
    <t>Código SINAPI/ Fonte</t>
  </si>
  <si>
    <t>PREÇO
(limite máximo)</t>
  </si>
  <si>
    <t>Unitário</t>
  </si>
  <si>
    <t>3.1</t>
  </si>
  <si>
    <t>3.1.1</t>
  </si>
  <si>
    <t>M</t>
  </si>
  <si>
    <t>00038200</t>
  </si>
  <si>
    <t>3.1.2</t>
  </si>
  <si>
    <t>PÇ</t>
  </si>
  <si>
    <t>Cotação</t>
  </si>
  <si>
    <t>00044397</t>
  </si>
  <si>
    <t>COPEX METALICO REVESTIDO 2" 15MT</t>
  </si>
  <si>
    <t>00012061</t>
  </si>
  <si>
    <t>BOX RETO DE 2. 1/2"</t>
  </si>
  <si>
    <t>0002528</t>
  </si>
  <si>
    <t>CUBA INOX C.1 4.1/ 2 47X32</t>
  </si>
  <si>
    <t>CUBA SEMI-QUAD C/MESA 410MM</t>
  </si>
  <si>
    <t>00010427</t>
  </si>
  <si>
    <t>CHAPA ST 12,5X1200X1800MM</t>
  </si>
  <si>
    <t>TUBO QUAD.100X100 CH.16 C/6MT.27,91 KG/BR. GERAL</t>
  </si>
  <si>
    <t>BR</t>
  </si>
  <si>
    <t xml:space="preserve">COLA REVESTIFLEX </t>
  </si>
  <si>
    <t>L</t>
  </si>
  <si>
    <t>00044327</t>
  </si>
  <si>
    <t>SILICONE TRANSPARENTE 280G/ ADESIVO SILICONE ACETICO 270ML TRANPARENTE</t>
  </si>
  <si>
    <t>00039961</t>
  </si>
  <si>
    <t>GARRA DA VERTICAL</t>
  </si>
  <si>
    <t>00014157</t>
  </si>
  <si>
    <t>ARGAMASSA VOTORANTIM ACII CZ 20KG</t>
  </si>
  <si>
    <t>KG</t>
  </si>
  <si>
    <t>00037596</t>
  </si>
  <si>
    <t>ADESIVO PU BCO 400G/ ADESIVO PLASTICO IBERE CINZA 400GR</t>
  </si>
  <si>
    <t>PC</t>
  </si>
  <si>
    <t>00000156</t>
  </si>
  <si>
    <t>ESPUMA EXPANSIVA 500ML MUNDIAL PRIME/ POLIURETANO SPRAY 500ML /360GR TEKBOND - 29500</t>
  </si>
  <si>
    <t>00038124</t>
  </si>
  <si>
    <t>MONTANTE M48 3000MM</t>
  </si>
  <si>
    <t>00039426</t>
  </si>
  <si>
    <t>ADESIVO PU BCO 400G</t>
  </si>
  <si>
    <t xml:space="preserve">QUEROSENE </t>
  </si>
  <si>
    <t>FITA TELADA DE VIDRO AZUL WALTAPE PLUS 100M/ FITA TELADA STD FIBATAPE 90 MT</t>
  </si>
  <si>
    <t>KIT ALIZAR 10/50MM 100X2200MM</t>
  </si>
  <si>
    <t>JG</t>
  </si>
  <si>
    <t>RHODOPAS A503 01KG</t>
  </si>
  <si>
    <t>00001339</t>
  </si>
  <si>
    <t>CADEADO E-50 LATAO/PADO</t>
  </si>
  <si>
    <t>00043603</t>
  </si>
  <si>
    <t>BARRA ROSCADA 3MT 3/8 ZINCADA</t>
  </si>
  <si>
    <t>LUBRIFICANTE WD40 SPRAY 300ML</t>
  </si>
  <si>
    <t>CASCOLA TRADICIONAL 2,80 KG HENKEL/ ADESIVO / COLA DE CONTATO LIQUIDO, A BASE DE RESINAS, PARA COLAGEM DE ESPUMA L 183,34  PARA ISOLAMENTO TERMICO FLEXIVEL/ adesivo de contato</t>
  </si>
  <si>
    <t>00039719</t>
  </si>
  <si>
    <t>CILINDRO ART</t>
  </si>
  <si>
    <t>PARAFUSO  CHAMP 5,0 X 25 CH BC PH</t>
  </si>
  <si>
    <t>00011058</t>
  </si>
  <si>
    <t>PARAFUSO ROSCA SOBERBA  SX SOB 1/4 X 60 ZB</t>
  </si>
  <si>
    <t>PARAFUSO MAD C/C PHJFX4,5X60MM</t>
  </si>
  <si>
    <t>CX</t>
  </si>
  <si>
    <t>PARAFUSO AB CH FP 4.2 X 16 / BELENUS</t>
  </si>
  <si>
    <t>00004356</t>
  </si>
  <si>
    <t>PERFIL TIPPO GUIA  R70 3000 MM - FORMATO U, EM ACO ZINCADO, PARA ESTRUTURA PAREDE DRYWALL, E = 0,5 M 8,06 MM, 70 X 3000 MM (L X C)</t>
  </si>
  <si>
    <t>00039419</t>
  </si>
  <si>
    <t>PERFILADO SAIDA HORIZONTAL PARA ELETRODUTO  REF.: EL 13219</t>
  </si>
  <si>
    <t>PARAF. PONTA BROCA 3,5 X 30 3.00MM CX</t>
  </si>
  <si>
    <t>00011056</t>
  </si>
  <si>
    <t>PARAFUSO ZINCADO AUTOBRACANTE 4.0 X 19MM</t>
  </si>
  <si>
    <t>CENTO</t>
  </si>
  <si>
    <t>00040547</t>
  </si>
  <si>
    <t>PARAFUSO PARABOLT TIPO CHUMBADOR ANCORA CBA 1/4X3 C/PF</t>
  </si>
  <si>
    <t>00011976</t>
  </si>
  <si>
    <t>BARRA ROSCADA 3MT 1/4 ZINCADA</t>
  </si>
  <si>
    <t>LAMINA DE SERRA METAL 24 DENTES PCT 10</t>
  </si>
  <si>
    <t>PT</t>
  </si>
  <si>
    <t>BROCA AR 5/32 ROCAST/MTX</t>
  </si>
  <si>
    <t>PARAFUSO PARABOLT TIPO CHUMBADOR ANCORA CBA 3/8X3 1/2 C/P</t>
  </si>
  <si>
    <t>00011963</t>
  </si>
  <si>
    <t>PARAFUSO PHILLIPS 4,8X50 ZINCADO</t>
  </si>
  <si>
    <t>00011059</t>
  </si>
  <si>
    <t>FITA 35X0,45 BRANCO ARTICO</t>
  </si>
  <si>
    <t>MT</t>
  </si>
  <si>
    <t>VERGALHAO GER/ARC D CA50 8.00MM</t>
  </si>
  <si>
    <t>00000033</t>
  </si>
  <si>
    <t>BROCA AR 3/16 ROCAST/CARNEIRO/MTX</t>
  </si>
  <si>
    <t xml:space="preserve"> </t>
  </si>
  <si>
    <t xml:space="preserve">PARAF AA CHIP 3,5X35 </t>
  </si>
  <si>
    <t>00011057</t>
  </si>
  <si>
    <t>SOLVENTE PARA COLA (PARA LAMINADO MELAMINICO) A BASE DE RESINA SINTETICA</t>
  </si>
  <si>
    <t>00010691</t>
  </si>
  <si>
    <t>CADEADO LATÃO 20MM</t>
  </si>
  <si>
    <t>00005090</t>
  </si>
  <si>
    <t xml:space="preserve">SACO DE ALGODÃO ALVEJADO </t>
  </si>
  <si>
    <t>BROCA SDS PLUS 8X160 IRWIN</t>
  </si>
  <si>
    <t>PREGO POLIDO S/CABEÇA GERDAU 10X10</t>
  </si>
  <si>
    <t>00039026</t>
  </si>
  <si>
    <t>PREGO 12X12 S/CABEÇA</t>
  </si>
  <si>
    <t>00005066</t>
  </si>
  <si>
    <t>ADITIVO ACELERADOR DE PEGA E ENDURECIMENTO PARA ARGAMASSAS E CONCRETOS, L 19,14 LIQUIDO E ISENTO DE CLORETOS</t>
  </si>
  <si>
    <t>00000124</t>
  </si>
  <si>
    <t>BROCA VIDEA SDS 6X160MM</t>
  </si>
  <si>
    <t>COLA PVA P/ PISOS 497GR EUCATEX</t>
  </si>
  <si>
    <t>00044396</t>
  </si>
  <si>
    <t>PARAFUSO MAD C/C PHJFX3,5X35MM</t>
  </si>
  <si>
    <t>REJUNTE MAXJUNTA 3X1 BR</t>
  </si>
  <si>
    <t>00037329</t>
  </si>
  <si>
    <t>BROCA A/R PARAL 1/8</t>
  </si>
  <si>
    <t xml:space="preserve">BUCHA PLASCTICA C/ ANEL 06 </t>
  </si>
  <si>
    <t>00004375</t>
  </si>
  <si>
    <t>BROCA VIDEA SDS 12X160MM</t>
  </si>
  <si>
    <t>ROLO DE ESPUMA POLIESTER 23 CM (SEM CABO)</t>
  </si>
  <si>
    <t>38393</t>
  </si>
  <si>
    <t>BROCA VIDEA SDS 10X160MM</t>
  </si>
  <si>
    <t>ABRAÇAD. NYLON 4,8 X 200 BR</t>
  </si>
  <si>
    <t>GUIA R48 300M</t>
  </si>
  <si>
    <t>ARGAMASSA MULTIPLO 40KG</t>
  </si>
  <si>
    <t>SAC</t>
  </si>
  <si>
    <t>00001381</t>
  </si>
  <si>
    <t xml:space="preserve">PORCA SEXT CIZER ZINCADA 3/8 </t>
  </si>
  <si>
    <t>00004341</t>
  </si>
  <si>
    <t>ARRUELA LISA FERRO 1/4 ESP 1,2ZB</t>
  </si>
  <si>
    <t>00011267</t>
  </si>
  <si>
    <t>CIMENTO CPII-32 25KG</t>
  </si>
  <si>
    <t>kg</t>
  </si>
  <si>
    <t>00013284</t>
  </si>
  <si>
    <t>DISCO CORTE TYROLIT INOX 4-1/2/ DISCO FLAP ECOINOX FIBRA RETO 115MM GRAO 80 HEAVY DUTY/ DISCO CORTE INOX 4.1/2X11,2MMX7/8</t>
  </si>
  <si>
    <t>00044495</t>
  </si>
  <si>
    <t>DIFUSOR PARA EXTINTOR</t>
  </si>
  <si>
    <t>REBITE DE ALUMINIO VAZADO DE REPUXO, 3,2 X 8 MM (1KG = 1025 UNIDADES)</t>
  </si>
  <si>
    <t>00005104</t>
  </si>
  <si>
    <t xml:space="preserve">ABRAÇAD. NYLON 3,6 X 300 BR </t>
  </si>
  <si>
    <t>00000408</t>
  </si>
  <si>
    <t>ARRUELA 1/4 ZINCADA</t>
  </si>
  <si>
    <t>00013348</t>
  </si>
  <si>
    <t>3.2</t>
  </si>
  <si>
    <t>Material civil - forro e gesso</t>
  </si>
  <si>
    <t>FORRO DE FIBRA MINERAL EM PLACAS DE 1250 X 625 MM, E = 15 MM, BORDA RETA, COM M2 135,12
PINTURA ANTIMOFO, APOIADO EM PERFIL DE ACO GALVANIZADO COM 24 MM DE BASE -
INSTALAD</t>
  </si>
  <si>
    <t>M2</t>
  </si>
  <si>
    <t>KIT PORTA PRONTA DRYWALL 800X2110, 800X2110X45 ou 800X2110X95</t>
  </si>
  <si>
    <t>00039484</t>
  </si>
  <si>
    <t>PORTA DRYWALL 80 DIREITA (MONT 70)</t>
  </si>
  <si>
    <t>00004992</t>
  </si>
  <si>
    <t>PARAFUSO DRYWAL PONTA BROCA 3,5X25MM</t>
  </si>
  <si>
    <t>00039435</t>
  </si>
  <si>
    <t>GESSO EM PO PARA REVESTIMENTOS/MOLDURAS/SANCAS E USO GERAL</t>
  </si>
  <si>
    <t>00003315</t>
  </si>
  <si>
    <t>3.3</t>
  </si>
  <si>
    <t>Material Civil - impermeabilizações</t>
  </si>
  <si>
    <t>3.3.1</t>
  </si>
  <si>
    <t>MANTA LIQUIDA DE BASE ASFALTICA MODIFICADA COM A ADICAO DE ELASTOMEROS KG 13,89 DILUIDOS EM SOLVENTE ORGANICO, APLICACAO A FRIO (MEMBRANA IMPERMEABILIZANTE ASFASTICA)</t>
  </si>
  <si>
    <t>00000626</t>
  </si>
  <si>
    <t>3.3.2</t>
  </si>
  <si>
    <t>3.3.3</t>
  </si>
  <si>
    <t>FITA ADESIVA ANTICORROSIVA DE PVC FLEXIVEL, COR PRETA, PARA PROTECAO M 7,23 TUBULACAO, 50 MM X 30 M (L X C), E= *0,25* MM</t>
  </si>
  <si>
    <t>00039634</t>
  </si>
  <si>
    <t>3.4</t>
  </si>
  <si>
    <t>Material Civil - marcenaria</t>
  </si>
  <si>
    <t>FITA DE ALUMINIO PARA PROTECAO DO CONDUTOR LARGURA 10 MM</t>
  </si>
  <si>
    <t>00000407</t>
  </si>
  <si>
    <t>FECH IMAB METRO LIGHT 6091 E17 CR</t>
  </si>
  <si>
    <t xml:space="preserve">BICO DE TUCANO GRANDE </t>
  </si>
  <si>
    <t>RODIZIO GIRAT.BORR.PT MEDIO 8POL. 150KG RM99</t>
  </si>
  <si>
    <t>FECHADURA IMAB 6091 EXT17 CR METRO LIGHT IMAB</t>
  </si>
  <si>
    <t>RODIZIO FIXO BORR.PT MEDIO 8POL. 150KG RM87</t>
  </si>
  <si>
    <t>FECHADURA MAGNUM ESP 325-881 CR</t>
  </si>
  <si>
    <t>DOBRADIÇA GERIS 3X4"X2.0MM CR</t>
  </si>
  <si>
    <t>00011447</t>
  </si>
  <si>
    <t>PARAFUSO TROMBETA 3,5X45 AG - PARAFUSO DRY WALL, EM ACO FOSFATIZADO, CABECA TROMBETA E PONTA AGULHA (TA), UN 0,24 COMPRIMENTO 45 MM</t>
  </si>
  <si>
    <t>00039437</t>
  </si>
  <si>
    <t>RODIZIO GIR COLSON 2512 412 INSTIT ESPIGA FREIO COLSON DO BRASIL</t>
  </si>
  <si>
    <t>FECH RENNA GAVETA 22MM CR - FECHADURA DE SOBREPOR PARA GAVETAS E ARMARIOS, EM ACO INOX COM ACABAMENTO UN 11,63 CROMADO, COM CILINDRO DE APROX 20 MM</t>
  </si>
  <si>
    <t>00011468</t>
  </si>
  <si>
    <t>RODIZIO GIRATORIO 50/CH MM C/ PLACA PRETO</t>
  </si>
  <si>
    <t>RODIZIO GIRATORIO C/ESP414 C/F</t>
  </si>
  <si>
    <t>RODIZIO GIR COLSON 2507 412 INSTIT ESPIGA COLSON DO BRASIL</t>
  </si>
  <si>
    <t>CABO COAXIAL RG6 95% RL 100 MT</t>
  </si>
  <si>
    <t>LIXA MASSA MADEIRA P100 3M - LIXA EM FOLHA PARA PAREDE OU MADEIRA, NUMERO 120, COR VERMELHA</t>
  </si>
  <si>
    <t>00003767</t>
  </si>
  <si>
    <t xml:space="preserve">DOBRADIÇA 35MM RETA C/ AMORTECEDOR </t>
  </si>
  <si>
    <t>PA CHAMP 4,0 X 16 CH BC PH</t>
  </si>
  <si>
    <t>PA BROC 4,2 X 13 FL PH ZB SERRILHAS</t>
  </si>
  <si>
    <t>RODIZIO GIRATORIO C/ESP414 CZ</t>
  </si>
  <si>
    <t>FECHADURA 0511CR - FECHADURA DE EMBUTIR PARA GAVETA E MOVEIS DE MADEIRA, EM ACO INOX COM UN 11,63 ACABAMENTO CROMADO, COM ABAS LATERAIS, CILINDRO COM 22 MM DE DIAMETRO, INCLUINDO CHAVE COM PERFIL METALICO E CAPA ESCAMOTEAVEL</t>
  </si>
  <si>
    <t>00011469</t>
  </si>
  <si>
    <t xml:space="preserve">FECHADURA TETRA 140 CR PAPAIZ </t>
  </si>
  <si>
    <t>00038155</t>
  </si>
  <si>
    <t>RODIZIO GIRAT 3" LEVE SILIC C/FREIO</t>
  </si>
  <si>
    <t>ARALDITE HOBBY 10MIN BISNAGA 16G /T TEK BOND</t>
  </si>
  <si>
    <t>CR</t>
  </si>
  <si>
    <t>ROLO  DE LÃ ANTI - GOTA - ROLO DE LA DE CARNEIRO 23 CM (SEM CABO)</t>
  </si>
  <si>
    <t>00038390</t>
  </si>
  <si>
    <t xml:space="preserve"> PARAFUSO DE LATAO COM ROSCA SOBERBA, CABECA CHATA E FENDA SIMPLES, DIAMETRO UN 2,11 4,8 MM, COMPRIMENTO 65 MM</t>
  </si>
  <si>
    <t>00004358</t>
  </si>
  <si>
    <t>SELADOR ACRILICO OPACO PREMIUM INTERIOR/EXTERIOR</t>
  </si>
  <si>
    <t>00006085</t>
  </si>
  <si>
    <t>LIXA MASSA MADEIRA FOLHA 3M 230U GR AO 180</t>
  </si>
  <si>
    <t>LIXA MASSA MADEIRA FOLHA 3M 230U GR AO 220</t>
  </si>
  <si>
    <t>PARAFUSO CHIPB.4.0X16MM CH PH ZINC JOMARCA</t>
  </si>
  <si>
    <t>00004333</t>
  </si>
  <si>
    <t>3.5</t>
  </si>
  <si>
    <t>Material civil - pintura</t>
  </si>
  <si>
    <t>CORAL BRILHO E PROTECÃO C/ 18L BRANCO/ EPOXI NOVACOR CINZA 500 BASE DAGUA/  TINTA CORAL RENDE MUITO C/ 18L BRANCO GELO</t>
  </si>
  <si>
    <t>00035692</t>
  </si>
  <si>
    <t>TINTA CORAL DECORA SB 18L BRANCO/ EPOXI NOVACOR  300 BASE DAGUA G36</t>
  </si>
  <si>
    <t>00007304</t>
  </si>
  <si>
    <t>TINTA DECORA DIAMANTE S/B BRANCO NEVE 18L</t>
  </si>
  <si>
    <t>MASSA CORRIDA CORAL PVA 25 KG 18 L</t>
  </si>
  <si>
    <t>00043626</t>
  </si>
  <si>
    <t>TINTACORAL PINTA PISO C/ 18L CINZA ESCURO</t>
  </si>
  <si>
    <t>00007348</t>
  </si>
  <si>
    <t>TINTA ACR FOSCO BRANCO 18L RENNER</t>
  </si>
  <si>
    <t>00007356</t>
  </si>
  <si>
    <t>TINTA FOS BCO 18L RENDE E COBRE MUITO STANDARD SUVINIL 17314</t>
  </si>
  <si>
    <t>00043648</t>
  </si>
  <si>
    <t>TINTA ESM DULIT BRI VERDE FOLHA 3.6L RENNER</t>
  </si>
  <si>
    <t>FITA CREPE 48MMX50 M</t>
  </si>
  <si>
    <t>00012815</t>
  </si>
  <si>
    <t>TINTA DUCRYL SEMIBRILHO BRANCO 18L RENNER</t>
  </si>
  <si>
    <t>00007292</t>
  </si>
  <si>
    <t>CORAL CORALIT TOTAL SEC RAPIDA BALANC E CORES BR C/ 3,6L PLATINA/PRATA/ CORALIT ULTRA RESIST A/B CINZA MEDIO 3,6L</t>
  </si>
  <si>
    <t>VERNIZ BR MOGNO 3,6L POLIREX</t>
  </si>
  <si>
    <t>00010478</t>
  </si>
  <si>
    <t>VERNIZ BRI NATURAL 3,6L MADEIRA</t>
  </si>
  <si>
    <t>ROLO LA AT2014 BRASILEIRINHO 23CM ATLAS 22690</t>
  </si>
  <si>
    <t>038390</t>
  </si>
  <si>
    <t>TRINCHA 2" CERDA NATURAL CABO PT 300</t>
  </si>
  <si>
    <t>TRINCHA TIGRE PLAST 500 F 2.1/2 TIGRE  - PINCEIS</t>
  </si>
  <si>
    <t>00038386</t>
  </si>
  <si>
    <t>MASSA PLASTICA 400GR BRANCA</t>
  </si>
  <si>
    <t>00038120</t>
  </si>
  <si>
    <t>ROLO ESPUMA 406 09CM ATLAS 3656</t>
  </si>
  <si>
    <t>TRINCHA TIGRE PLAST 500 E 2</t>
  </si>
  <si>
    <t>TRINCHA 3" CERDA NATURAL CABO PT 300</t>
  </si>
  <si>
    <t>ROLO ESPUMA 15CM 406/15 ATLAS UND</t>
  </si>
  <si>
    <t>PROLONGADOR GARFO P/ ROLO 23CM 330/23SR ATLAS UND</t>
  </si>
  <si>
    <t>00038392</t>
  </si>
  <si>
    <t>ESPATULA TIGRE MULTI-USO 2.1/2 2320 TIGRE - PINCEIS</t>
  </si>
  <si>
    <t>00038367</t>
  </si>
  <si>
    <t>LIXA FERRO 080 3M 3M DO BRASIL</t>
  </si>
  <si>
    <t>FL</t>
  </si>
  <si>
    <t>00003768</t>
  </si>
  <si>
    <t>TRINCHA TIGRE PLAST 500 H 4 TIGRE - PINCEIS</t>
  </si>
  <si>
    <t>TRINCHA TIGRE PLAST 500 G 3 TIGRE - PINCEIS</t>
  </si>
  <si>
    <t>ESTOPA BRANCA DE 1 BRILHO 1KG</t>
  </si>
  <si>
    <t>00000013</t>
  </si>
  <si>
    <t>LIXA MASSA/MADEIRA 220 (FOLHA) 3M 3M DO BRASIL</t>
  </si>
  <si>
    <t xml:space="preserve">TRINCHA PRO 3/4" </t>
  </si>
  <si>
    <t>TRINCHA TIGRE PLAST 500 C 1 TIGRE - PINCEIS</t>
  </si>
  <si>
    <t>TRINCHA TIGRE PLAST 500 A 1/2 TIGRE - PINCEIS</t>
  </si>
  <si>
    <t>TRINCHA TIGRE PLAST 500 B 3/4 TIGRE - PINCEIS</t>
  </si>
  <si>
    <t>Material civil - pisos</t>
  </si>
  <si>
    <t>PISO VINILICO 30CMX30CM X2MM COR AMBAR</t>
  </si>
  <si>
    <t xml:space="preserve">M² </t>
  </si>
  <si>
    <t>RODAPE P/ PISO VINILICO</t>
  </si>
  <si>
    <t>00004804</t>
  </si>
  <si>
    <t>Material civil - serralheria</t>
  </si>
  <si>
    <t>PLACA POLICARBONATO ALVEO 6MM CRISTAL 6X1,05M</t>
  </si>
  <si>
    <t>PEÇ</t>
  </si>
  <si>
    <t xml:space="preserve">TUBO INDUSTRIAL 50X20 #18 RETANGULAR </t>
  </si>
  <si>
    <t xml:space="preserve">TELA INOX MOEDEIRA </t>
  </si>
  <si>
    <t>PINUS TABUA BRUTA 2,0X30</t>
  </si>
  <si>
    <t>00006189</t>
  </si>
  <si>
    <t>TUBO IND RET 50X20# 18 6000MM SAE</t>
  </si>
  <si>
    <t>00013356</t>
  </si>
  <si>
    <t>PERFIL 75X40 X 15 #14 6M ENRIJECIDO</t>
  </si>
  <si>
    <t>00010966</t>
  </si>
  <si>
    <t>TUBO IND. RET 40X30</t>
  </si>
  <si>
    <t>ACETILENO PPU</t>
  </si>
  <si>
    <t>00000001</t>
  </si>
  <si>
    <t>PERFIL ALUMINIO 2131TRAP 6M POLICARBONATO</t>
  </si>
  <si>
    <t>TUBO INDUSTRIAL 30X 20 X 18 RETANGULAR</t>
  </si>
  <si>
    <t>TUBO QUAD. 40X40 CH. 18 C/6MT 8,85.KG/BR GERAL</t>
  </si>
  <si>
    <t>00000557</t>
  </si>
  <si>
    <t>NITROGENIO 3</t>
  </si>
  <si>
    <t>M³</t>
  </si>
  <si>
    <t>CONECTOR DIVISOR 1 ENTRADA/3 SAIDAS</t>
  </si>
  <si>
    <t>OXIGENIO INDUSTRIAL PPU</t>
  </si>
  <si>
    <t>00000002</t>
  </si>
  <si>
    <t>CONECTOR DIVISOR 1 ENTRADA/2 SAIDAS</t>
  </si>
  <si>
    <t>GAXETA GROSSA SD-1619 - POLICARBONATO</t>
  </si>
  <si>
    <t>FERRO CHATO-LINHA 1/8 X 3/4 0,47-2,95 C/ 6.00M GERAL</t>
  </si>
  <si>
    <t xml:space="preserve">BR </t>
  </si>
  <si>
    <t>FERRO CHATO LAM 1X1/8</t>
  </si>
  <si>
    <t>00000555</t>
  </si>
  <si>
    <t>JAQUETA / CONE 1/4</t>
  </si>
  <si>
    <t>PA BROC SX 12X1 ZB C ARRUELA</t>
  </si>
  <si>
    <t>ABRAC PLAST BRANCA 100PÇ 200X3 MM</t>
  </si>
  <si>
    <t>00000410</t>
  </si>
  <si>
    <t xml:space="preserve">MASSA DE CALAF. 350GR POLVITEC </t>
  </si>
  <si>
    <t>00010498</t>
  </si>
  <si>
    <t>DOBRADIÇA CACHIMBO TIPO DOBRADICA 5/8-TOLEMAT GERAL</t>
  </si>
  <si>
    <t>00002432</t>
  </si>
  <si>
    <t xml:space="preserve">ARRUELA LISA ZINC 1/4 </t>
  </si>
  <si>
    <t>Material hidrosanitário</t>
  </si>
  <si>
    <t>DETECTOR DE FUMAÇA ENDEREÇAVEL - 3 FIOS</t>
  </si>
  <si>
    <t>4686 001 REPARO DEMATIC</t>
  </si>
  <si>
    <t>CASTELO TORNEIRA MONARCHA</t>
  </si>
  <si>
    <t xml:space="preserve">REPARO 4686 013 DUO 2545 1.1/2 HYDRA </t>
  </si>
  <si>
    <t>CASTELO TORNEIRA ALAVANCA UNIVERSAL</t>
  </si>
  <si>
    <t>MANGUEIRA DE INC. TIPO 01 DE 1.1/2 X 15MTS</t>
  </si>
  <si>
    <t>00021029</t>
  </si>
  <si>
    <t>DUTO SLIM BRANCO C/ TAMPA (BR 1,5M) DS-19040 DUTOTEC</t>
  </si>
  <si>
    <t>TOMADA PAINEL ABA INT 2P+T 20A</t>
  </si>
  <si>
    <t>TORNEIRA DECA 1168 C50</t>
  </si>
  <si>
    <t>LONA LONAX AMARELA 4X50 -18KG LONAX</t>
  </si>
  <si>
    <t>BOB</t>
  </si>
  <si>
    <t>TORNEIRA COZ. MESA 1167 C40 B MOVEL</t>
  </si>
  <si>
    <t>TOMADA PAINEL ABA  INT 2P+T 220 COM CABO PT</t>
  </si>
  <si>
    <t>TORNEIRA GOURMET PARA COZINHA COM SPRAY</t>
  </si>
  <si>
    <t>FITA MULTIUSO ALUMINIO 30CMX10MT - MANTA ALUMINIZADA NAS DUAS FACES, PARA SUBCOBERTURA, E = *2* MM</t>
  </si>
  <si>
    <t>00042528</t>
  </si>
  <si>
    <t>ASSENTO PP AP50</t>
  </si>
  <si>
    <t>LIMPADOR DE FOSSA, CAIXA DE GORDURA E CANOS 500G</t>
  </si>
  <si>
    <t>PCT</t>
  </si>
  <si>
    <t>TORNEIRA BICA DECA C40CR</t>
  </si>
  <si>
    <t>TAMPAO T-33 ARTICULADO PESADO FERRO FUNDIDO=15KGS GERAL - TAMPAO FOFO ARTICULADO, CLASSE D400 CARGA MAX 40 T, REDONDO TAMPA *600 MM, UN 809,30 REDE PLUVIAL/ESGOTO</t>
  </si>
  <si>
    <t>00021090</t>
  </si>
  <si>
    <t>ACAB. DECA HIDRA MAX CR 4900 990</t>
  </si>
  <si>
    <t>GRELHA CRISTAL QD 15X15 CR G19A C/ CAIXILHO</t>
  </si>
  <si>
    <t>REPARO PARA VALVULA 2550 11/4 E 11/2 HYDRA MAX</t>
  </si>
  <si>
    <t>KIT PARA FIXAÇÃO DE ASSENTO SANITARIO VOGUE PLUS DECA</t>
  </si>
  <si>
    <t>TUBO BLUKIT SAIDA SIF. 1680 DECA - SIFAO EM METAL CROMADO PARA PIA OU LAVATORIO, 1 X 1.1/2 "</t>
  </si>
  <si>
    <t>00006136</t>
  </si>
  <si>
    <t>TORNEIRA CORPO BRANCO ALAVANCA BRANCA PPR</t>
  </si>
  <si>
    <t>TORNEIRA JARDIM E TANQUE  - TORNEIRA DE METAL AMARELO, PARA TANQUE / JARDIM, DE PAREDE, COM BICO PLASTICO</t>
  </si>
  <si>
    <t>00007602</t>
  </si>
  <si>
    <t>4870 010 BASE PLASTICA MVR</t>
  </si>
  <si>
    <t>TUBO PVC SOLDA C/6M 25 - TUBO PVC, SOLDAVEL, DN 25 MM, AGUA FRIA (NBR-5648)</t>
  </si>
  <si>
    <t>00009868</t>
  </si>
  <si>
    <t>MOD TOMADA 20A VERMELHO</t>
  </si>
  <si>
    <t>SIFÃO COZ/TANQ 1.1/2"X1.1/2"-1./2"X2 CR - SIFAO EM METAL CROMADO PARA TANQUE, 1.1/4 X 1.1/2 "</t>
  </si>
  <si>
    <t>00038638</t>
  </si>
  <si>
    <t>SELANTE PU BRANCO  400G</t>
  </si>
  <si>
    <t>ML</t>
  </si>
  <si>
    <t>00000142</t>
  </si>
  <si>
    <t>DESENTUPIDOR TUFAO 10 METROS OVERTIME</t>
  </si>
  <si>
    <t>VALVULA P/PIA/CUBA 4.1/2</t>
  </si>
  <si>
    <t>REGISTRO GAVETA 3/4 - REGISTRO GAVETA COM ACABAMENTO E CANOPLA CROMADOS, SIMPLES, BITOLA 3/4 " (REF UN 81,85
1509)</t>
  </si>
  <si>
    <t>00006005</t>
  </si>
  <si>
    <t>CURVA HORIZONTAL 90 ALUMINIO SLIM BRANCO DS-19240 DUTOTEC</t>
  </si>
  <si>
    <t>SIFÃO UNIVPLAST SANF C/ANEL</t>
  </si>
  <si>
    <t>00006148</t>
  </si>
  <si>
    <t>ACABAMENTO P/REG C40 1/2 A 1 4900 TARGA - ACABAMENTO DE METAL CROMADO PARA REGISTRO PEQUENO, DE PAREDE, 1/2 " OU 3/4 "</t>
  </si>
  <si>
    <t>00036801</t>
  </si>
  <si>
    <t>00011762</t>
  </si>
  <si>
    <t>JUNÇÃO LATÃO CROMADA 1/2 DALCON</t>
  </si>
  <si>
    <t>FITA VEDA ROSCA 18MM X50 MTS</t>
  </si>
  <si>
    <t>00003148</t>
  </si>
  <si>
    <t>TUBO PVC ESGOTO C/6M 40</t>
  </si>
  <si>
    <t>00009874</t>
  </si>
  <si>
    <t>ANEL DE VEDACAO P/ VASO C/GUIA</t>
  </si>
  <si>
    <t>NIPELGALV TUPY A 1/2 280 TUPY</t>
  </si>
  <si>
    <t>00004209</t>
  </si>
  <si>
    <t>BASE P/REG GAVETA 4509 3/4 DECA</t>
  </si>
  <si>
    <t>TUBO TIGRE ESG SN 050MM TIGRE - TUBOS E CONEXÕES</t>
  </si>
  <si>
    <t>00020068</t>
  </si>
  <si>
    <t>UNIÃO C/ VALVULA 1/4 SOLDA</t>
  </si>
  <si>
    <t>RALINHO JAPONES INOX 3.1/2" P/ PIA</t>
  </si>
  <si>
    <t>PASTA LUBRIFICANTE BISNAGA - PASTA LUBRIFICANTE PARA TUBOS E CONEXOES COM JUNTA ELASTICA, EMBALAGEM DE*400* GR (USO EM PVC, ACO, POLIETILENO E OUTROS)</t>
  </si>
  <si>
    <t>00020078</t>
  </si>
  <si>
    <t>JOELHO PVC SOLD. SMD 90X25X1/2</t>
  </si>
  <si>
    <t>00003531</t>
  </si>
  <si>
    <t>JOELHO TIGRE ESG 90 X100MM</t>
  </si>
  <si>
    <t>00020157</t>
  </si>
  <si>
    <t>JOELHO PVC ESGOTO 90X40 C/ANEL</t>
  </si>
  <si>
    <t>00020154</t>
  </si>
  <si>
    <t>VALVULA P/LAV CR 7/8X6 6CM</t>
  </si>
  <si>
    <t>JOELHO PVC ESGOTO 45X40</t>
  </si>
  <si>
    <t>00037951</t>
  </si>
  <si>
    <t xml:space="preserve">JOELHO PVC ESGOTO 90X40 </t>
  </si>
  <si>
    <t>00037949</t>
  </si>
  <si>
    <t>LUVA PVC ESGOTO SIMPLES 40</t>
  </si>
  <si>
    <t>00020167</t>
  </si>
  <si>
    <t>PLUG ROSCAVEL 3 /4</t>
  </si>
  <si>
    <t>00004896</t>
  </si>
  <si>
    <t>LUVA PVC SOLD.25</t>
  </si>
  <si>
    <t>00003904</t>
  </si>
  <si>
    <t>ADAP.PVC CURTO SOLD.25X3/4</t>
  </si>
  <si>
    <t>00000065</t>
  </si>
  <si>
    <t>JOELHO PVC SOLD. 90X25</t>
  </si>
  <si>
    <t>00003522</t>
  </si>
  <si>
    <t>Material Climatização</t>
  </si>
  <si>
    <t>COMPRESSOR 36K BTU 220/660 R 410A</t>
  </si>
  <si>
    <t>COMPRESSOR SCROLL 5TR HRM060T9LP6 380V/3F DANFOSS/ CSB373H6B - COMPRESSOR PANASONIC SCROLL 60000 BTUS TRIF 220V R22 5TR</t>
  </si>
  <si>
    <t>COMPRESSOR 1/10 EMBRACO R134A 220V REF: W10393801</t>
  </si>
  <si>
    <t>COMPRESSOR EMBRACO 1/6 EMI R 134A</t>
  </si>
  <si>
    <t>COMPRESSOR EMBRACO 1/4HP + EGAS 80HLR</t>
  </si>
  <si>
    <t>COMPRESSOR AR DIRETO 1/3HP</t>
  </si>
  <si>
    <t>COMPRESSOR EMBRACO EM2P70CLP</t>
  </si>
  <si>
    <t>COMPRESSOR EMBRACO 1/5 EMYE70CLP R600A</t>
  </si>
  <si>
    <t>COMPRES.EMI 60HER 1/6 HP EMBRACO</t>
  </si>
  <si>
    <t>ASD 113 - COMPRESSOR ROTATIVO HIGHLY 1200 BTUS R410A 220V 60HZ</t>
  </si>
  <si>
    <t>GAS R22 CILINDRO DE 13,6 KG</t>
  </si>
  <si>
    <t>GAS R410A CILINDRO DE 11,34 KG</t>
  </si>
  <si>
    <t>GAS R134A CILINDRO 13,62KG</t>
  </si>
  <si>
    <t>GAS FORMIATO DE METILA 10,500KG ECOMATE DUGOLD</t>
  </si>
  <si>
    <t>GAS R141B 13,6</t>
  </si>
  <si>
    <t>LATA DE GÁS R600 C/360G</t>
  </si>
  <si>
    <t>REFIL GAS MAP/PRO CHENM PENN 400G</t>
  </si>
  <si>
    <t>BALANÇA ELETRONICA 100KG</t>
  </si>
  <si>
    <t>CLIMATIZADOR FRIO 7,5L 220V</t>
  </si>
  <si>
    <t xml:space="preserve">MOTOR 310VDC EVAPORADORA TETO 153W </t>
  </si>
  <si>
    <t>BOMBA DE REMOÇAO DE CONDENSADO MAXI</t>
  </si>
  <si>
    <t>KIT CARTÃO DE MEMORIA H-LINK CSNET - WEB</t>
  </si>
  <si>
    <t>PC0002 - PRESSOSTATO EOS ALTA 18.0 A 26.5 BAR 261/385PSI</t>
  </si>
  <si>
    <t>FILTRO SECADOR COM SILICA</t>
  </si>
  <si>
    <t>CORREIA TRANSMISSAO  A-30</t>
  </si>
  <si>
    <t xml:space="preserve">VALVULA PERFURADORA DE TUBOS </t>
  </si>
  <si>
    <t>BACTERICIDA DESIX FLORAL 5L</t>
  </si>
  <si>
    <t>THILEX LIMPADOR CONCENTRADO GL 5 LITROS</t>
  </si>
  <si>
    <t>FITA ADESIVA SILVER TAPE 48X50 PRATA</t>
  </si>
  <si>
    <t>RL</t>
  </si>
  <si>
    <t xml:space="preserve">FILTRO SECADOR MOLECULAR </t>
  </si>
  <si>
    <t>FITA ALUMINIZADA 45 X 48 MM TEC TAPE</t>
  </si>
  <si>
    <t>FITA AUTO FUSAO 19X10MT PRYSMIAN x10m</t>
  </si>
  <si>
    <t>FITA PVC 100MM BRANCA ROLO C/ 10 MTS</t>
  </si>
  <si>
    <t>ABRAÇADEIRA NYLON T.50-R 200X5.0PT 100UND</t>
  </si>
  <si>
    <t>ABRAÇADEIRA  TIPO COPO 2</t>
  </si>
  <si>
    <t xml:space="preserve">TUBO ISOLANTE ELASTOMERICO CLASS ARMAFLEX 5/8 15MM </t>
  </si>
  <si>
    <t>TUBO ISOLANTE ELASTOMERICO CLASS1 ARMAFLEX 3/8 10MM PAREDE 13MM KEM</t>
  </si>
  <si>
    <t xml:space="preserve">TUBO ISOLANTE ELASTOMERICO CLASS1 ARMAFLEX 1/2 10MM PAREDE </t>
  </si>
  <si>
    <t>TUBO ISOLANTE POLIETILENO 1/4 X 10MM</t>
  </si>
  <si>
    <t>TUBO ISOLANTE POLIETILENO 5/8 10MM</t>
  </si>
  <si>
    <t>TUBO DE ESPUMA POLIETILENO 3/8 10MM</t>
  </si>
  <si>
    <t>TUBO DE ESPUMA POLIETILENO 1/2" 10MM</t>
  </si>
  <si>
    <t>TUBO PVC SOLDA C/6M 20 TIGRE</t>
  </si>
  <si>
    <t>JOELHO PVC SOLD. 90X020 TIGRE</t>
  </si>
  <si>
    <t>TE PVC SOLD. 020 TIGRE</t>
  </si>
  <si>
    <t>CORTADOR TUBO 1/8 EOS</t>
  </si>
  <si>
    <t>SUPORTE SPLIT COND 500M CAPACIDADE 90KG</t>
  </si>
  <si>
    <t>TUBO DE COBRE FLEXIVEL 1/2"</t>
  </si>
  <si>
    <t>TUBO DE COBRE PANQUECA 5/8  19M</t>
  </si>
  <si>
    <t>TUBO COBRE PANQUECA 3/8 9,52MM</t>
  </si>
  <si>
    <t>TUBO DE COBRE FLEXIVEL 1/4"</t>
  </si>
  <si>
    <t>FILTRO SECADOR 1/2 FSE 164 ROSCA ELGIN</t>
  </si>
  <si>
    <t>PORCA 1/2 SAE CURTA USINADA LATÃO</t>
  </si>
  <si>
    <t>Material Elétrica</t>
  </si>
  <si>
    <t>CABO 750V FLEX 2,5MM AMARELO / AZUL/ BRANCO/ PRETO/ VERDE</t>
  </si>
  <si>
    <t>00001022</t>
  </si>
  <si>
    <t>CABO FLEXIVEL 95MM AZ 1KV</t>
  </si>
  <si>
    <t>00000998</t>
  </si>
  <si>
    <t>CABO NAX FLEX 35MM 0,6  VD 1KV</t>
  </si>
  <si>
    <t>00001019</t>
  </si>
  <si>
    <t>BATERIAS 12V PARA NOBREAK 180Ah</t>
  </si>
  <si>
    <t>RESIST. IM RE 1KM 220V 175MM</t>
  </si>
  <si>
    <t>TOM.RED. C/HASTE 2P+T PB S/PLACA VM 20A</t>
  </si>
  <si>
    <t>00038102</t>
  </si>
  <si>
    <t>00038778</t>
  </si>
  <si>
    <t>CARREGADOR DE BATERIA 5A 12V</t>
  </si>
  <si>
    <t>LUCETEK PAINEL LED SOBREPOR 24W/6000K</t>
  </si>
  <si>
    <t>FITA ISOL. 3M SCOTCH 33+ 19MMX20MTS</t>
  </si>
  <si>
    <t>00020111</t>
  </si>
  <si>
    <t>TOMADA P/PAINEL 2P+T 10A C/RABICHO PT MARGIRIUS</t>
  </si>
  <si>
    <t>TOM. PAINEL C/RABICHO 10A 250V VM</t>
  </si>
  <si>
    <t>00007528</t>
  </si>
  <si>
    <t xml:space="preserve">ANTICORROSIVO MP1 321ML MUNDIAL PRIME </t>
  </si>
  <si>
    <t>ARANDELA PRETO COM COBRE BRILHO</t>
  </si>
  <si>
    <t>CABO PP 3X4MM 1KV EPR-90 INDUSCABOS</t>
  </si>
  <si>
    <t>00039259</t>
  </si>
  <si>
    <t>DISJUNTOR MONO 20A CURVA B 3KA/ 16A CURVA C 3KA/  CURVA C 032A</t>
  </si>
  <si>
    <t>00034653</t>
  </si>
  <si>
    <t>BARRA. NEUTRO AZ 16 FUROS F/PAR</t>
  </si>
  <si>
    <t>00038779</t>
  </si>
  <si>
    <t>DISJUNTOR MONO 20-50A CURVA C 3KA</t>
  </si>
  <si>
    <t>00034616</t>
  </si>
  <si>
    <t>TUBO ESPIRAL TUBE 3/4 PRETO CX 50MT</t>
  </si>
  <si>
    <t>DJUNTOR TRIP 70A CURVA C 4,5KA</t>
  </si>
  <si>
    <t>00034714</t>
  </si>
  <si>
    <t>03753</t>
  </si>
  <si>
    <t>CABO PP/HEPR FLEX 1KV 3X1,50 MM2</t>
  </si>
  <si>
    <t>00034618</t>
  </si>
  <si>
    <t>DISJUNTOR CX MOLDADA 3P 415V 80A 18KA*32803*1*BZME1A80BTAP</t>
  </si>
  <si>
    <t>CABO 1KV FLEX 10MM PRETO/ VERDE/ AZUL/ PT</t>
  </si>
  <si>
    <t>00001020</t>
  </si>
  <si>
    <t>TOMADA PIAUL PLUS INTERRUPTOR SIMPLES 10A</t>
  </si>
  <si>
    <t>00038077</t>
  </si>
  <si>
    <t>QUADRO DIS EMBUTIR 12BCO MOSAICO</t>
  </si>
  <si>
    <t>00013393</t>
  </si>
  <si>
    <t>CABO FLEXIVEL 25MM PT</t>
  </si>
  <si>
    <t>00000996</t>
  </si>
  <si>
    <t>TOMADA P/PAINEL 2P+T 20A C/RABICHO VM</t>
  </si>
  <si>
    <t>VENTILADOR PAREDE 60CM GRDE PRETA</t>
  </si>
  <si>
    <t>CABO DE FORÇA C13 PARA C14 REFERENCIA: 606161</t>
  </si>
  <si>
    <t>INTERRUPTOR SIMPLES 10A PIAL</t>
  </si>
  <si>
    <t>00012129</t>
  </si>
  <si>
    <t xml:space="preserve">CONECTOR GENERICO 50MM </t>
  </si>
  <si>
    <t>BARRAMENTO PENTE TRIF 80A 440V 3X4P DIN</t>
  </si>
  <si>
    <t>MOD INTER PIALPLUS SIMP</t>
  </si>
  <si>
    <t>TOMADA IND SOB 2P+T 32A 380V VERM</t>
  </si>
  <si>
    <t>00007525</t>
  </si>
  <si>
    <t>CONECTOR EMENDA 221 3 POLOS ATÉ 4MM (Pacote com 200 UND)</t>
  </si>
  <si>
    <t>PINO MACHO 2P+T 10A PT PLD1-3 MARGIRIUS</t>
  </si>
  <si>
    <t>TERMINAL PRE ISOL. TPP28 PINO 16MM AZ</t>
  </si>
  <si>
    <t>00001575</t>
  </si>
  <si>
    <t>LÂMPADA LED GU10 GLASS 4W = DICROICA</t>
  </si>
  <si>
    <t>00039388</t>
  </si>
  <si>
    <t>LUK BARRA NEUTRO VD  08 FUROS F/TRI</t>
  </si>
  <si>
    <t>LUK BARRA DOMINO TRIP PINO 63A</t>
  </si>
  <si>
    <t>KIT BARRAMTRIF DIN P/16 DISJ 100A</t>
  </si>
  <si>
    <t>TERMINAL PRE ISOL PINO 50MM AZ</t>
  </si>
  <si>
    <t>00001578</t>
  </si>
  <si>
    <t>ABRAÇADEIRA T-120R NATURAL 390 X 7.60 M</t>
  </si>
  <si>
    <t xml:space="preserve">CONDULETE VERSATIL 3/4 </t>
  </si>
  <si>
    <t>00039344</t>
  </si>
  <si>
    <t>BARRAMENTO TRIF 80A 3X19 3P 19 CIRC.32CM STECK</t>
  </si>
  <si>
    <t>PLACA 4X4 3+3POST</t>
  </si>
  <si>
    <t>00038098</t>
  </si>
  <si>
    <t>PLACA 4X4 2+2POST SEP</t>
  </si>
  <si>
    <t>00038097</t>
  </si>
  <si>
    <t>ESTANHO AZUL 1,0MM 60X40 500G CAST SOLD</t>
  </si>
  <si>
    <t>00012732</t>
  </si>
  <si>
    <t>LUK BARRA NEUTRO AZ 08 FUROS F/TRI</t>
  </si>
  <si>
    <t xml:space="preserve">TERMINAL PRE ISOL PINO 35MM VM </t>
  </si>
  <si>
    <t>00001577</t>
  </si>
  <si>
    <t>PIAL PLUS PLACA 4X2 1POSTO HORIZ. - 61850/ LIZ PLACA 4X2 1POSTO</t>
  </si>
  <si>
    <t>00038092</t>
  </si>
  <si>
    <t>PINO FEMEA 2P+T 10A PT TMD1-3 MARGIRIUS</t>
  </si>
  <si>
    <t>PIAL PLUS PLACA 4X2 2 POST. SEP.</t>
  </si>
  <si>
    <t>00038093</t>
  </si>
  <si>
    <t>ADESIVO PLASTICO IBERE CZ 400GR</t>
  </si>
  <si>
    <t>00000131</t>
  </si>
  <si>
    <t>DISJUNTOR MON.20A C 3KA</t>
  </si>
  <si>
    <t>00034686</t>
  </si>
  <si>
    <t>CABO FLEXIVEL 6,0MM PT</t>
  </si>
  <si>
    <t>00000994</t>
  </si>
  <si>
    <t>BOMBONA P/ COMBUST.CERTIFICADA 10 litros</t>
  </si>
  <si>
    <t>ARAME GALVANIZADO 16 1KG</t>
  </si>
  <si>
    <t>00000344</t>
  </si>
  <si>
    <t>ESPELHO PLACA 4X2 CEGA</t>
  </si>
  <si>
    <t>00038091</t>
  </si>
  <si>
    <t>CABO PP 3X2,5MM2</t>
  </si>
  <si>
    <t>00039258</t>
  </si>
  <si>
    <t>CAIXA DE LUZ  4X2 P/GESSO (DRY WALL)</t>
  </si>
  <si>
    <t>CONTROLE REM. SANSUNG LCD NORMAL PARA AR CONDIC.</t>
  </si>
  <si>
    <t>LAMP LED BULB 9W BV NOR 810LM 6K</t>
  </si>
  <si>
    <t>00038194</t>
  </si>
  <si>
    <t>ESPELHO PLACA 4X4 CEGA</t>
  </si>
  <si>
    <t>00038095</t>
  </si>
  <si>
    <t>TERMINAL PRE ISOL. PINO 25MM AM C/ 20</t>
  </si>
  <si>
    <t>00001576</t>
  </si>
  <si>
    <t xml:space="preserve">TAMPA CODULETE 3/4 C/FURO </t>
  </si>
  <si>
    <t>00039346</t>
  </si>
  <si>
    <t>FITA ISOLANTE AUTOFUSÃO 10M</t>
  </si>
  <si>
    <t>00000404</t>
  </si>
  <si>
    <t>TERMINAL PRE ISOL.PINO 4 A6MM AM</t>
  </si>
  <si>
    <t>00001571</t>
  </si>
  <si>
    <t>CAIXA 4X4 DRYWALL</t>
  </si>
  <si>
    <t>00001873</t>
  </si>
  <si>
    <t>TERM PRE ISOL PINO VM 10MM</t>
  </si>
  <si>
    <t>00001574</t>
  </si>
  <si>
    <t>TERMINAL COMPRESSAO 95MM TC</t>
  </si>
  <si>
    <t>00001580</t>
  </si>
  <si>
    <t>TERMINAL PRE ISOL TP GARFO 1,5 A 2,5MM</t>
  </si>
  <si>
    <t>00001570</t>
  </si>
  <si>
    <t>ABRAÇADEIRA T-18R NATURAL 200X4.6MM</t>
  </si>
  <si>
    <t>00000411</t>
  </si>
  <si>
    <t>TERMINAL PRE ISOL TPP PINO 4,0 A 6,0MM</t>
  </si>
  <si>
    <t>00001573</t>
  </si>
  <si>
    <t>TERMINAL PRE ISOL OLHAL 10MM/ TOMADA PAINEL ABA INT 2P+T 20A 220V C/CABO PT/ TOMADA PAINEL ABA INT 2P+T 20A 220V C/CABO VM/ TOMADA PIAL PLUS MO TOM 2P+T 10A BRANCO 615040 PIAL/ TOMADA PIAL PLUS MOD TOMADA 2P+T 20A  BRANCO/ TOMADA P/PAINEL 2P+T 20A C/RABICHO PT/ TOMADA P/PAINEL 2P+T 20A C/RABICHO PT MARGIRIUS/ TOM. PAINEL C/RABICHO 20A 250V VM/ TOMADA P/COND RED  S/PL 1/ TOMADA PIAL PLUS MO TOM 2P+T 20A BRANCO 615060 PIAL</t>
  </si>
  <si>
    <t>00038055</t>
  </si>
  <si>
    <t>ARAME GALVANIZADO 18 1KG ou 22 1kg</t>
  </si>
  <si>
    <t>00000345</t>
  </si>
  <si>
    <t>MODULO TOMADA LUX 2 TAMPÃO MOD. RJ45</t>
  </si>
  <si>
    <t>00038083</t>
  </si>
  <si>
    <t>FLUXO PARA SOLDA 80 GR ARON 200 BRASWELD</t>
  </si>
  <si>
    <t>00004895</t>
  </si>
  <si>
    <t>ABRAÇADEIRA T18R 100X2.50MM</t>
  </si>
  <si>
    <t>00000414</t>
  </si>
  <si>
    <t>ABRAÇADEIRA NYLON 140X3,5 MM</t>
  </si>
  <si>
    <t>CONTACTOR CWM 9-10 024VCA 009A</t>
  </si>
  <si>
    <t>CONTATOR BIPOLAR HX20-32/220V-32A-011966</t>
  </si>
  <si>
    <t>RESISTOR 20W 500 OHM</t>
  </si>
  <si>
    <t>RELE SOBRECARGA 4-6, 3A RWL27-1D3-D063 WEG</t>
  </si>
  <si>
    <t>00012359</t>
  </si>
  <si>
    <t>CONTATOR 20A</t>
  </si>
  <si>
    <t>0001625</t>
  </si>
  <si>
    <t>ELETROCALHA PER C/VIROLA 100X50CHP 24 EL13302</t>
  </si>
  <si>
    <t>CONECTOR KS SPLIT BOLT PF95</t>
  </si>
  <si>
    <t>00011864</t>
  </si>
  <si>
    <t>SOLDA 15 SILFOSCOPER 3.25MM X 500</t>
  </si>
  <si>
    <t>CHAVE CB 2002 BOIA SUP. E INF. UNIP. 15A</t>
  </si>
  <si>
    <t>00007588</t>
  </si>
  <si>
    <t>Material para serviços de eletroeletrônico</t>
  </si>
  <si>
    <t>CABO HDMI PIX 2.0 4K 30MT/ 25MT</t>
  </si>
  <si>
    <t xml:space="preserve">SUPORTE TETO V4 </t>
  </si>
  <si>
    <t>VIDEO PORTEIRO DS-KH6210-L HIKVISION</t>
  </si>
  <si>
    <t>SUPORTE ARTiculado DE TETO PARA ANTENA DE TV</t>
  </si>
  <si>
    <t>PILHA ELET RAY P/DISP PORT 3V</t>
  </si>
  <si>
    <t>CA</t>
  </si>
  <si>
    <t>ANTENA INTERNA HDTV INDUSAT</t>
  </si>
  <si>
    <t>CABO HDMI 1.4 15 METROS 03145 BR CABO HIGH SPEED</t>
  </si>
  <si>
    <t>CABO HDMI 1.4 10 METROS COM FILTRO X-CELL XC-HDMI 10</t>
  </si>
  <si>
    <t>PLACA DE CONTROLE BIVOLT para geladeira Consul</t>
  </si>
  <si>
    <t>LUPA CABO PLASTICO 100 COM LENTE BI FOCAL</t>
  </si>
  <si>
    <t>CONTROLE REMOTO UNIVERSAL PARA TV PHILCO</t>
  </si>
  <si>
    <t>BATERIA ALCALINA 09V</t>
  </si>
  <si>
    <t>LUPA CABO PLASTICO 100 CPM</t>
  </si>
  <si>
    <t xml:space="preserve">CABO HDMI 4K 60HZ </t>
  </si>
  <si>
    <t>REDE ELETRICA COM VENTILADOR DC49A/DC46</t>
  </si>
  <si>
    <t>CDA</t>
  </si>
  <si>
    <t>LUPA CABO PLASTICO 65 CPM</t>
  </si>
  <si>
    <t>CABO HDMI 5,0M 2,0 4K ALTA</t>
  </si>
  <si>
    <t>LUPA CABO PLASTICO 50 CPM</t>
  </si>
  <si>
    <t>SUPORTE TV INDUSAT TRIART TETO 10 A 42</t>
  </si>
  <si>
    <t>BATERIA ALCALINA 12V ELETRONICA</t>
  </si>
  <si>
    <t>EXTENSÃO P2 MACHO PARA P2 FEMEA 25MT</t>
  </si>
  <si>
    <t>ANEL SILICONE TORNEIRA UNIVERSAL</t>
  </si>
  <si>
    <t>CONTATOR CWN 9-10 024VCA 009A</t>
  </si>
  <si>
    <t>00001612</t>
  </si>
  <si>
    <t xml:space="preserve">DIVISOR COAXIAL DE ALTA </t>
  </si>
  <si>
    <t>DUCHA MAXI DUCHA 220V 4600W ULTRA</t>
  </si>
  <si>
    <t>00001367</t>
  </si>
  <si>
    <t>MEMBRANA MICROONDAS C ou S RELEVO</t>
  </si>
  <si>
    <t>PILHA ALCALINA - AAA - PALITO  C/2</t>
  </si>
  <si>
    <t>HELICE 0827 PLAST.</t>
  </si>
  <si>
    <t>SUPORTE UNIV FORNO MICROONDAS</t>
  </si>
  <si>
    <t>PORCA SX J 1/2 UNC-13 G2 PL /CH.3/4</t>
  </si>
  <si>
    <t>00004339</t>
  </si>
  <si>
    <t>CABO ADPTADOR DISPLAY-PORT/HDMI-F 15CM PRETO DEX</t>
  </si>
  <si>
    <t>PILHA AA 2X2 ALCALINA C/2</t>
  </si>
  <si>
    <t>CONTROLE FGB 8050</t>
  </si>
  <si>
    <t>ARRUELA INCA A 1/2 INCA</t>
  </si>
  <si>
    <t>ARRUELA INCA B 3/4 INCA</t>
  </si>
  <si>
    <t>CONECTOR P/ COAXIAL EMENDA</t>
  </si>
  <si>
    <t>PORCA SEXT CISER ZINCADA 1/4 CISER</t>
  </si>
  <si>
    <t>00039997</t>
  </si>
  <si>
    <t>ARRUELA LS F 1/4 AC ZB</t>
  </si>
  <si>
    <t>CT</t>
  </si>
  <si>
    <t>ARRUELA LS H 3/8 AC ZB</t>
  </si>
  <si>
    <t>PORCA SX D 3/16 BSW-24 G2 ZB /CH.5</t>
  </si>
  <si>
    <t>00004330</t>
  </si>
  <si>
    <t>ARRUELA LS D 3/16 AC ZB</t>
  </si>
  <si>
    <t>CAPACITOR PERMANENTE 50µF 450V METALICO KLIMASA</t>
  </si>
  <si>
    <t>FUSIVEL VIDRO PEQ 20AG 0,1 A 30 A</t>
  </si>
  <si>
    <t>CAPACITOR PERMANENTE 3,5µF 450V RETANGULAR</t>
  </si>
  <si>
    <t>Material de instalações lógicas</t>
  </si>
  <si>
    <t>WET MOLDURA P/RJ-45 (CZ) 73050002</t>
  </si>
  <si>
    <t>ESPELHO 4X2 P/2 RJ45 BC DIVERSOS INFRA</t>
  </si>
  <si>
    <t>00039351</t>
  </si>
  <si>
    <t>ESPELHO 4X2 P/1 RJ45 BC DIVERSOS INFRA</t>
  </si>
  <si>
    <t>CONECTOR RJ - 45 FÊMEA CAT 06</t>
  </si>
  <si>
    <t>00039601</t>
  </si>
  <si>
    <t>CABO UTP GILAGRAN GREEN 4PX23AWG CAT 6</t>
  </si>
  <si>
    <t>m</t>
  </si>
  <si>
    <t>00039599</t>
  </si>
  <si>
    <t>FITA ROTULADOR BROTHER M-231</t>
  </si>
  <si>
    <t>SPIRAL TUBE 3/4 BRANCO CX 50M HELLERMANN</t>
  </si>
  <si>
    <t>CONECTOR RJ 45 MACHO CAT 06</t>
  </si>
  <si>
    <t>00039603</t>
  </si>
  <si>
    <t>ABRAÇAD. TP D 3/4 C/ CUNHA</t>
  </si>
  <si>
    <t>00039128</t>
  </si>
  <si>
    <t>SUPORTE 4X2 HORIZ/ SUPORTE PIAL PLUS  4X2 HORIZ 612122 PIAL OU SIMILAR</t>
  </si>
  <si>
    <t>00038099</t>
  </si>
  <si>
    <t xml:space="preserve">TOTAL </t>
  </si>
  <si>
    <t>FORNECIMENTO DE MATERIAIS</t>
  </si>
  <si>
    <t>Material Civil (uso geral)</t>
  </si>
  <si>
    <r>
      <t>PLUG ROSCAVEL 1/2"</t>
    </r>
    <r>
      <rPr>
        <sz val="8"/>
        <color rgb="FFFF0000"/>
        <rFont val="Calibri"/>
        <family val="2"/>
      </rPr>
      <t xml:space="preserve"> PVC</t>
    </r>
  </si>
  <si>
    <t>UNIDADE</t>
  </si>
  <si>
    <t>MANUTENÇÃO DE GERADORES</t>
  </si>
  <si>
    <t>Unid.</t>
  </si>
  <si>
    <t>MANUTENÇÃO DE NOBREAK</t>
  </si>
  <si>
    <t>RECARGA DE EXTINTORES DE INCÊNDIO</t>
  </si>
  <si>
    <t>Tipo PQS 6 Kg ABC</t>
  </si>
  <si>
    <t>Tipo PQS 12 Kg ABC</t>
  </si>
  <si>
    <t>Tipo CO² 06 Kg</t>
  </si>
  <si>
    <t>TESTE HIDROSTÁTICO PARA MANGUEIRAS DE COMBATE À INCÊNDIO</t>
  </si>
  <si>
    <t>ENSAIO DE SISTEMA DE PROTEÇÃO CONTRA DESCARGAS ATMOSFÉRICAS</t>
  </si>
  <si>
    <t>QUANTIDADE</t>
  </si>
  <si>
    <t>(D)</t>
  </si>
  <si>
    <t xml:space="preserve">(E) </t>
  </si>
  <si>
    <t>(F)</t>
  </si>
  <si>
    <t>2.1</t>
  </si>
  <si>
    <t>2.1.1</t>
  </si>
  <si>
    <t>2.1.4</t>
  </si>
  <si>
    <t>2.1.5</t>
  </si>
  <si>
    <t>2.1.6</t>
  </si>
  <si>
    <t>2.1.7</t>
  </si>
  <si>
    <t>2.1.8</t>
  </si>
  <si>
    <t>2.1.9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</si>
  <si>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</si>
  <si>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</si>
  <si>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</si>
  <si>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</si>
  <si>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</si>
  <si>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</si>
  <si>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</si>
  <si>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</si>
  <si>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</si>
  <si>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</si>
  <si>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</si>
  <si>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</si>
  <si>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</si>
  <si>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</si>
  <si>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</si>
  <si>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</si>
  <si>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</si>
  <si>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</si>
  <si>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</si>
  <si>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</si>
  <si>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</si>
  <si>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</si>
  <si>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</si>
  <si>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</si>
  <si>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</si>
  <si>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</si>
  <si>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</si>
  <si>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</si>
  <si>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</si>
  <si>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</si>
  <si>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</si>
  <si>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</si>
  <si>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</si>
  <si>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</si>
  <si>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</si>
  <si>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</si>
  <si>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</si>
  <si>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</si>
  <si>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</si>
  <si>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</si>
  <si>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</si>
  <si>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</si>
  <si>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</si>
  <si>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</si>
  <si>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</si>
  <si>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</si>
  <si>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</si>
  <si>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</si>
  <si>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</si>
  <si>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</si>
  <si>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</si>
  <si>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</si>
  <si>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</si>
  <si>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</si>
  <si>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</si>
  <si>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</si>
  <si>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</si>
  <si>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</si>
  <si>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</si>
  <si>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</si>
  <si>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</si>
  <si>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</si>
  <si>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</si>
  <si>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</si>
  <si>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2.2</t>
  </si>
  <si>
    <t>2.2.1</t>
  </si>
  <si>
    <t>2.2.2</t>
  </si>
  <si>
    <t>2.2.3</t>
  </si>
  <si>
    <t>2.2.4</t>
  </si>
  <si>
    <t>2.2.5</t>
  </si>
  <si>
    <t>2.2.6</t>
  </si>
  <si>
    <t>2.3</t>
  </si>
  <si>
    <t>2.4</t>
  </si>
  <si>
    <t>2.3.1</t>
  </si>
  <si>
    <t>2.3.2</t>
  </si>
  <si>
    <t>2.4.1</t>
  </si>
  <si>
    <t>2.4.2</t>
  </si>
  <si>
    <t>2.4.3</t>
  </si>
  <si>
    <t>2.4.4</t>
  </si>
  <si>
    <t>2.4.5</t>
  </si>
  <si>
    <t>2.4.6</t>
  </si>
  <si>
    <t>2.4.7</t>
  </si>
  <si>
    <t>2.4.8</t>
  </si>
  <si>
    <t>2.4.9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</si>
  <si>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</si>
  <si>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</si>
  <si>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</si>
  <si>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</si>
  <si>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</si>
  <si>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</si>
  <si>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</si>
  <si>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</si>
  <si>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</si>
  <si>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</si>
  <si>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</si>
  <si>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</si>
  <si>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</si>
  <si>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</si>
  <si>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</si>
  <si>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</si>
  <si>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</si>
  <si>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</si>
  <si>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</si>
  <si>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</si>
  <si>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</si>
  <si>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2.5</t>
  </si>
  <si>
    <t>2.5.1</t>
  </si>
  <si>
    <t>2.5.2</t>
  </si>
  <si>
    <t>2.5.3</t>
  </si>
  <si>
    <t>2.5.4</t>
  </si>
  <si>
    <t>2.5.5</t>
  </si>
  <si>
    <t>2.5.6</t>
  </si>
  <si>
    <t>2.5.7</t>
  </si>
  <si>
    <t>2.5.8</t>
  </si>
  <si>
    <t>2.5.9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</si>
  <si>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</si>
  <si>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</si>
  <si>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</si>
  <si>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</si>
  <si>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</si>
  <si>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</si>
  <si>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</si>
  <si>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</si>
  <si>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</si>
  <si>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</si>
  <si>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</si>
  <si>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</si>
  <si>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</si>
  <si>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</si>
  <si>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</si>
  <si>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</si>
  <si>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</si>
  <si>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</si>
  <si>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</si>
  <si>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</si>
  <si>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</si>
  <si>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</si>
  <si>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</si>
  <si>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2.6</t>
  </si>
  <si>
    <t>2.6.1</t>
  </si>
  <si>
    <t>2.6.2</t>
  </si>
  <si>
    <t>2.7</t>
  </si>
  <si>
    <t>2.7.1</t>
  </si>
  <si>
    <t>2.7.2</t>
  </si>
  <si>
    <t>2.7.3</t>
  </si>
  <si>
    <t>2.7.4</t>
  </si>
  <si>
    <t>2.7.5</t>
  </si>
  <si>
    <t>2.7.6</t>
  </si>
  <si>
    <t>2.7.7</t>
  </si>
  <si>
    <t>2.7.8</t>
  </si>
  <si>
    <t>2.7.9</t>
  </si>
  <si>
    <t>2.7.10</t>
  </si>
  <si>
    <t>2.7.11</t>
  </si>
  <si>
    <t>2.7.12</t>
  </si>
  <si>
    <t>2.7.13</t>
  </si>
  <si>
    <t>2.7.14</t>
  </si>
  <si>
    <t>2.7.15</t>
  </si>
  <si>
    <t>2.7.16</t>
  </si>
  <si>
    <t>2.7.17</t>
  </si>
  <si>
    <t>2.7.18</t>
  </si>
  <si>
    <t>2.7.19</t>
  </si>
  <si>
    <t>2.7.20</t>
  </si>
  <si>
    <t>2.7.21</t>
  </si>
  <si>
    <t>2.7.22</t>
  </si>
  <si>
    <t>2.7.23</t>
  </si>
  <si>
    <t>2.7.24</t>
  </si>
  <si>
    <t>2.8</t>
  </si>
  <si>
    <t>2.8.1</t>
  </si>
  <si>
    <t>2.8.2</t>
  </si>
  <si>
    <t>2.8.3</t>
  </si>
  <si>
    <t>2.8.4</t>
  </si>
  <si>
    <t>2.8.5</t>
  </si>
  <si>
    <t>2.8.6</t>
  </si>
  <si>
    <t>2.8.7</t>
  </si>
  <si>
    <t>2.8.8</t>
  </si>
  <si>
    <t>2.8.9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</si>
  <si>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</si>
  <si>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</si>
  <si>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</si>
  <si>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</si>
  <si>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</si>
  <si>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</si>
  <si>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</si>
  <si>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</si>
  <si>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</si>
  <si>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</si>
  <si>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</si>
  <si>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</si>
  <si>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</si>
  <si>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</si>
  <si>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</si>
  <si>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</si>
  <si>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</si>
  <si>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</si>
  <si>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</si>
  <si>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</si>
  <si>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</si>
  <si>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</si>
  <si>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</si>
  <si>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</si>
  <si>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</si>
  <si>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</si>
  <si>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</si>
  <si>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</si>
  <si>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</si>
  <si>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</si>
  <si>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</si>
  <si>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</si>
  <si>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</si>
  <si>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</si>
  <si>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</si>
  <si>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</si>
  <si>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</si>
  <si>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</si>
  <si>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</si>
  <si>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</si>
  <si>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</si>
  <si>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</si>
  <si>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</si>
  <si>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</si>
  <si>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</si>
  <si>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</si>
  <si>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</si>
  <si>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</si>
  <si>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</si>
  <si>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</si>
  <si>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2.9</t>
  </si>
  <si>
    <t>2.9.1</t>
  </si>
  <si>
    <t>2.9.2</t>
  </si>
  <si>
    <t>2.9.3</t>
  </si>
  <si>
    <t>2.9.4</t>
  </si>
  <si>
    <t>2.9.5</t>
  </si>
  <si>
    <t>2.9.6</t>
  </si>
  <si>
    <t>2.9.7</t>
  </si>
  <si>
    <t>2.9.8</t>
  </si>
  <si>
    <t>2.9.9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</si>
  <si>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</si>
  <si>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</si>
  <si>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</si>
  <si>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</si>
  <si>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</si>
  <si>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</si>
  <si>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</si>
  <si>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</si>
  <si>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</si>
  <si>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</si>
  <si>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</si>
  <si>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</si>
  <si>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</si>
  <si>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</si>
  <si>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</si>
  <si>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</si>
  <si>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</si>
  <si>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</si>
  <si>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</si>
  <si>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</si>
  <si>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</si>
  <si>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</si>
  <si>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</si>
  <si>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</si>
  <si>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</si>
  <si>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</si>
  <si>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</si>
  <si>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</si>
  <si>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</si>
  <si>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</si>
  <si>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</si>
  <si>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</si>
  <si>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</si>
  <si>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</si>
  <si>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</si>
  <si>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</si>
  <si>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</si>
  <si>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</si>
  <si>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</si>
  <si>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</si>
  <si>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</si>
  <si>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</si>
  <si>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</si>
  <si>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</si>
  <si>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</si>
  <si>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</si>
  <si>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</si>
  <si>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</si>
  <si>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</si>
  <si>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</si>
  <si>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</si>
  <si>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</si>
  <si>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</si>
  <si>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</si>
  <si>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</si>
  <si>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</si>
  <si>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</si>
  <si>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</si>
  <si>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2.10</t>
  </si>
  <si>
    <t>2.10.1</t>
  </si>
  <si>
    <t>2.10.2</t>
  </si>
  <si>
    <t>2.10.3</t>
  </si>
  <si>
    <t>2.10.4</t>
  </si>
  <si>
    <t>2.10.5</t>
  </si>
  <si>
    <t>2.10.6</t>
  </si>
  <si>
    <t>2.10.7</t>
  </si>
  <si>
    <t>2.10.8</t>
  </si>
  <si>
    <t>2.10.9</t>
  </si>
  <si>
    <t>2.10.10</t>
  </si>
  <si>
    <t>2.10.11</t>
  </si>
  <si>
    <t>2.10.12</t>
  </si>
  <si>
    <t>2.10.13</t>
  </si>
  <si>
    <t>2.10.14</t>
  </si>
  <si>
    <t>2.10.15</t>
  </si>
  <si>
    <t>2.10.16</t>
  </si>
  <si>
    <t>2.10.17</t>
  </si>
  <si>
    <t>2.10.18</t>
  </si>
  <si>
    <t>2.10.19</t>
  </si>
  <si>
    <t>2.10.20</t>
  </si>
  <si>
    <t>2.10.21</t>
  </si>
  <si>
    <t>2.10.22</t>
  </si>
  <si>
    <t>2.10.23</t>
  </si>
  <si>
    <t>2.10.24</t>
  </si>
  <si>
    <t>2.10.25</t>
  </si>
  <si>
    <t>2.10.26</t>
  </si>
  <si>
    <t>2.10.27</t>
  </si>
  <si>
    <t>2.10.28</t>
  </si>
  <si>
    <t>2.10.29</t>
  </si>
  <si>
    <t>2.10.30</t>
  </si>
  <si>
    <t>2.10.31</t>
  </si>
  <si>
    <t>2.10.32</t>
  </si>
  <si>
    <t>2.10.33</t>
  </si>
  <si>
    <t>2.10.34</t>
  </si>
  <si>
    <t>2.10.35</t>
  </si>
  <si>
    <t>2.10.36</t>
  </si>
  <si>
    <t>2.10.37</t>
  </si>
  <si>
    <t>2.10.38</t>
  </si>
  <si>
    <t>2.10.39</t>
  </si>
  <si>
    <t>2.10.40</t>
  </si>
  <si>
    <t>2.10.41</t>
  </si>
  <si>
    <t>2.10.42</t>
  </si>
  <si>
    <t>2.10.43</t>
  </si>
  <si>
    <t>2.10.44</t>
  </si>
  <si>
    <t>2.10.45</t>
  </si>
  <si>
    <t>2.10.46</t>
  </si>
  <si>
    <t>2.10.47</t>
  </si>
  <si>
    <t>2.10.48</t>
  </si>
  <si>
    <t>2.10.49</t>
  </si>
  <si>
    <t>2.10.50</t>
  </si>
  <si>
    <t>2.10.51</t>
  </si>
  <si>
    <t>2.10.52</t>
  </si>
  <si>
    <t>2.10.53</t>
  </si>
  <si>
    <t>2.10.54</t>
  </si>
  <si>
    <t>2.10.55</t>
  </si>
  <si>
    <t>2.10.56</t>
  </si>
  <si>
    <t>2.10.57</t>
  </si>
  <si>
    <t>2.10.58</t>
  </si>
  <si>
    <t>2.10.59</t>
  </si>
  <si>
    <t>2.10.60</t>
  </si>
  <si>
    <t>2.10.61</t>
  </si>
  <si>
    <t>2.10.62</t>
  </si>
  <si>
    <t>2.10.63</t>
  </si>
  <si>
    <t>2.10.64</t>
  </si>
  <si>
    <t>2.10.65</t>
  </si>
  <si>
    <t>2.10.66</t>
  </si>
  <si>
    <t>2.10.67</t>
  </si>
  <si>
    <t>2.10.68</t>
  </si>
  <si>
    <t>2.10.69</t>
  </si>
  <si>
    <t>2.10.70</t>
  </si>
  <si>
    <t>2.10.71</t>
  </si>
  <si>
    <t>2.10.72</t>
  </si>
  <si>
    <t>2.10.73</t>
  </si>
  <si>
    <t>2.10.74</t>
  </si>
  <si>
    <t>2.10.75</t>
  </si>
  <si>
    <t>2.10.76</t>
  </si>
  <si>
    <t>2.10.77</t>
  </si>
  <si>
    <t>2.10.78</t>
  </si>
  <si>
    <t>2.10.79</t>
  </si>
  <si>
    <t>2.10.80</t>
  </si>
  <si>
    <t>2.10.81</t>
  </si>
  <si>
    <t>2.10.82</t>
  </si>
  <si>
    <t>2.10.83</t>
  </si>
  <si>
    <t>2.10.84</t>
  </si>
  <si>
    <t>2.10.85</t>
  </si>
  <si>
    <t>2.10.86</t>
  </si>
  <si>
    <t>2.10.87</t>
  </si>
  <si>
    <t>2.10.88</t>
  </si>
  <si>
    <t>2.10.89</t>
  </si>
  <si>
    <t>2.10.90</t>
  </si>
  <si>
    <t>2.10.91</t>
  </si>
  <si>
    <t>2.10.92</t>
  </si>
  <si>
    <t>2.10.93</t>
  </si>
  <si>
    <t>2.10.94</t>
  </si>
  <si>
    <t>2.11</t>
  </si>
  <si>
    <t>2.11.1</t>
  </si>
  <si>
    <t>2.11.2</t>
  </si>
  <si>
    <t>2.11.3</t>
  </si>
  <si>
    <t>2.11.4</t>
  </si>
  <si>
    <t>2.11.5</t>
  </si>
  <si>
    <t>2.11.6</t>
  </si>
  <si>
    <t>2.11.7</t>
  </si>
  <si>
    <t>2.11.8</t>
  </si>
  <si>
    <t>2.11.9</t>
  </si>
  <si>
    <t>2.11.10</t>
  </si>
  <si>
    <t>2.11.11</t>
  </si>
  <si>
    <t>2.11.12</t>
  </si>
  <si>
    <t>2.11.13</t>
  </si>
  <si>
    <t>2.11.14</t>
  </si>
  <si>
    <t>2.11.15</t>
  </si>
  <si>
    <t>2.11.16</t>
  </si>
  <si>
    <t>2.11.17</t>
  </si>
  <si>
    <t>2.11.18</t>
  </si>
  <si>
    <t>2.11.19</t>
  </si>
  <si>
    <t>2.11.20</t>
  </si>
  <si>
    <t>2.11.21</t>
  </si>
  <si>
    <t>2.11.22</t>
  </si>
  <si>
    <t>2.11.23</t>
  </si>
  <si>
    <t>2.11.24</t>
  </si>
  <si>
    <t>2.11.25</t>
  </si>
  <si>
    <t>2.11.26</t>
  </si>
  <si>
    <t>2.11.27</t>
  </si>
  <si>
    <t>2.11.28</t>
  </si>
  <si>
    <t>2.11.29</t>
  </si>
  <si>
    <t>2.11.30</t>
  </si>
  <si>
    <t>2.11.31</t>
  </si>
  <si>
    <t>2.11.32</t>
  </si>
  <si>
    <t>2.11.33</t>
  </si>
  <si>
    <t>2.11.34</t>
  </si>
  <si>
    <t>2.11.35</t>
  </si>
  <si>
    <t>2.11.36</t>
  </si>
  <si>
    <t>2.11.37</t>
  </si>
  <si>
    <t>2.11.38</t>
  </si>
  <si>
    <t>2.11.39</t>
  </si>
  <si>
    <t>2.11.40</t>
  </si>
  <si>
    <t>2.11.41</t>
  </si>
  <si>
    <t>2.11.42</t>
  </si>
  <si>
    <t>2.11.43</t>
  </si>
  <si>
    <t>2.11.44</t>
  </si>
  <si>
    <t>2.11.45</t>
  </si>
  <si>
    <t>2.12</t>
  </si>
  <si>
    <t>2.12.1</t>
  </si>
  <si>
    <t>2.12.2</t>
  </si>
  <si>
    <t>2.12.3</t>
  </si>
  <si>
    <t>2.12.4</t>
  </si>
  <si>
    <t>2.12.5</t>
  </si>
  <si>
    <t>2.12.6</t>
  </si>
  <si>
    <t>2.12.7</t>
  </si>
  <si>
    <t>2.12.8</t>
  </si>
  <si>
    <t>2.12.9</t>
  </si>
  <si>
    <t>2.12.10</t>
  </si>
  <si>
    <t>Estimativa de Valores</t>
  </si>
  <si>
    <t>BDI Estimado</t>
  </si>
  <si>
    <t>TOTALIZAÇÃO</t>
  </si>
  <si>
    <t xml:space="preserve">TOTAL SINAPI = </t>
  </si>
  <si>
    <r>
      <t xml:space="preserve">QUANTITATIVO          MENSAL          (horas estimadas)               </t>
    </r>
    <r>
      <rPr>
        <sz val="10"/>
        <color rgb="FFFF0000"/>
        <rFont val="Calibri"/>
        <family val="2"/>
      </rPr>
      <t>(D)</t>
    </r>
  </si>
  <si>
    <t>3. SERVIÇOS ESPECIALIZADOS (Anual)</t>
  </si>
  <si>
    <t>Abastecimento Diesel</t>
  </si>
  <si>
    <t>Gerador até 650 kVA, incluso peças e serviços eletromêcanicos, troca de óleo, aditivos, filtros e limpeza. Manutenção preventiva mensal com testes.</t>
  </si>
  <si>
    <t>FITA DUPLA FACE VHB TRANP 19X20M</t>
  </si>
  <si>
    <t>QUANTIDADE    (Consumo Anual)</t>
  </si>
  <si>
    <t>LÃ DE ROCHA PARA ISOLAMENTO TERMOACÚSTICO</t>
  </si>
  <si>
    <t>PLACA / CHAPA DE GESSO ACARTONADO, STANDARD (ST), COR BRANCA, E = 12,5 X 1200 X 2400 MM</t>
  </si>
  <si>
    <t>PERFIS GUIA, CANALETAS E MONTANTES DRYWALL</t>
  </si>
  <si>
    <t>2.2.7</t>
  </si>
  <si>
    <t>2.2.8</t>
  </si>
  <si>
    <t>TORN JARDIM ALAV -TORNEIRA METALICA CROMADA PARA JARDIM / TANQUE, COM BICO PLASTICO, CANO LONGO, DE PAREDE, PADRAO POPULAR / USO GERAL , 1/2 " OU 3/4 " (REF 1153 / 1130)</t>
  </si>
  <si>
    <t>KIT COMPLETO PARA CAIXA DE DESCARGA ACOPLADA UNIVERSAL</t>
  </si>
  <si>
    <t>SENSOR TEMPERATURA L. GÁS EVAPORADORA VRF</t>
  </si>
  <si>
    <t>SENSOR TEMPERATURA L. LIQUIDO EVAPORADORA VRF</t>
  </si>
  <si>
    <t>OLEO SINTETICO PARA CONDENSADOR VRF</t>
  </si>
  <si>
    <t>VÁLVULA DE EXPANSÃO VRF</t>
  </si>
  <si>
    <t>MODULO DE DIODOS VRF</t>
  </si>
  <si>
    <t>FILTRO DE LINHA ELEMENTO FILTRANTE VRF</t>
  </si>
  <si>
    <t>MOTOR VENTILADOR EVAPORADORA VRF</t>
  </si>
  <si>
    <t>CONTROLE REMOTO SEM FIO EVAPORADORA VRF</t>
  </si>
  <si>
    <t>CJ BOMBA DE DRENO EVAPORADORA VRF</t>
  </si>
  <si>
    <t>VALVULA 1 VIA PARA SISTEMA VRF</t>
  </si>
  <si>
    <t>MODULO DE TRANSITOR VRF</t>
  </si>
  <si>
    <t>BANDEJA DRENO COM FLANGE VENTILADA VRF</t>
  </si>
  <si>
    <t>PLACA PCB 1 VRF</t>
  </si>
  <si>
    <t>PLACA DE CIRCUITO ISPM 380v VRF</t>
  </si>
  <si>
    <t>LÂMPADA LED 40W</t>
  </si>
  <si>
    <t xml:space="preserve">LAMPADA LED 16W-640 </t>
  </si>
  <si>
    <t>LÂMPADA LED 32W CX 25</t>
  </si>
  <si>
    <t>BATERIA 150AH (15 MESES)</t>
  </si>
  <si>
    <t>CONTROLE REMOTO UNIVERSAL PARA TV AOC</t>
  </si>
  <si>
    <t>UNID.</t>
  </si>
  <si>
    <t>CORDA DE POLIAMIDA 12 MM TIPO BOMBEIRO, PARA TRABALHO EM ALTURA C/ 100 METROS</t>
  </si>
  <si>
    <t>BDI Proposto</t>
  </si>
  <si>
    <t>(I)</t>
  </si>
  <si>
    <t>(D2)</t>
  </si>
  <si>
    <t>(K2)</t>
  </si>
  <si>
    <t>(Gn)=(Fn)*(1+D2)</t>
  </si>
  <si>
    <t>(Hn)=(Gn)*(En)</t>
  </si>
  <si>
    <t>(Jn)=(In)*(1+K2)</t>
  </si>
  <si>
    <t>(Kn)=(Jn)*(En)</t>
  </si>
  <si>
    <t>Valor Básico</t>
  </si>
  <si>
    <t>Valor com BDI</t>
  </si>
  <si>
    <t>Proposta</t>
  </si>
  <si>
    <t>Total Estimado 2.1 =</t>
  </si>
  <si>
    <t>Total Proposto 2.1 =</t>
  </si>
  <si>
    <t>TOTAL Estimado 2.2 =</t>
  </si>
  <si>
    <t>TOTAL Proposto 2.2 =</t>
  </si>
  <si>
    <t>TOTAL Estimado 2.3 =</t>
  </si>
  <si>
    <t>TOTAL Proposto 2.3 =</t>
  </si>
  <si>
    <t>TOTAL Estimado 2.4 =</t>
  </si>
  <si>
    <t xml:space="preserve">TOTAL Proposto 2.4 </t>
  </si>
  <si>
    <t>TOTAL Estimado 2.5 =</t>
  </si>
  <si>
    <t xml:space="preserve">TOTAL Proposto 2.5 = </t>
  </si>
  <si>
    <t>TOTAL Estimado 2.6 =</t>
  </si>
  <si>
    <t>TOTAL Proposto 2.6 =</t>
  </si>
  <si>
    <t>TOTAL Estimado 2.7 =</t>
  </si>
  <si>
    <t>TOTAL Proposto 2.7 =</t>
  </si>
  <si>
    <t>TOTAL Estimativa 2.8 =</t>
  </si>
  <si>
    <t>TOTAL Proposto 2.8 =</t>
  </si>
  <si>
    <t>TOTAL Estimativa 2.9 =</t>
  </si>
  <si>
    <t>TOTAL Proposto 2.9 =</t>
  </si>
  <si>
    <t>TOTAL Estimativa 2.10 =</t>
  </si>
  <si>
    <t>TOTAL Propoisto 2.10 =</t>
  </si>
  <si>
    <t>TOTAL Estimativa 2.11 =</t>
  </si>
  <si>
    <t>TOTAL Proposto 2.11 =</t>
  </si>
  <si>
    <t>TOTAL Estimativa 2.12 =</t>
  </si>
  <si>
    <t>TOTAL Proposto 2.12 =</t>
  </si>
  <si>
    <r>
      <t xml:space="preserve">Total           </t>
    </r>
    <r>
      <rPr>
        <sz val="10"/>
        <color rgb="FFFF0000"/>
        <rFont val="Calibri"/>
        <family val="2"/>
      </rPr>
      <t>(Gn)=(Dn)*(Fn)</t>
    </r>
  </si>
  <si>
    <r>
      <t xml:space="preserve">Valor Básico </t>
    </r>
    <r>
      <rPr>
        <sz val="10"/>
        <color rgb="FFFF0000"/>
        <rFont val="Calibri"/>
        <family val="2"/>
      </rPr>
      <t>(E)</t>
    </r>
  </si>
  <si>
    <r>
      <t xml:space="preserve">Valor com BDI               </t>
    </r>
    <r>
      <rPr>
        <sz val="10"/>
        <color rgb="FFFF0000"/>
        <rFont val="Calibri"/>
        <family val="2"/>
      </rPr>
      <t>(Fn)=(En)*(1+(G2))</t>
    </r>
  </si>
  <si>
    <t>BDI</t>
  </si>
  <si>
    <t>Estimado (G2) =</t>
  </si>
  <si>
    <t>Proposto (J2) =</t>
  </si>
  <si>
    <r>
      <t xml:space="preserve">Valor Básico </t>
    </r>
    <r>
      <rPr>
        <sz val="10"/>
        <color rgb="FFFF0000"/>
        <rFont val="Calibri"/>
        <family val="2"/>
      </rPr>
      <t>(H)</t>
    </r>
  </si>
  <si>
    <t xml:space="preserve">TOTAL PROPOSTA = </t>
  </si>
  <si>
    <r>
      <t xml:space="preserve">Valor com BDI               </t>
    </r>
    <r>
      <rPr>
        <sz val="10"/>
        <color rgb="FFFF0000"/>
        <rFont val="Calibri"/>
        <family val="2"/>
      </rPr>
      <t>(In)=(Hn)*(1+(J2))</t>
    </r>
  </si>
  <si>
    <r>
      <t xml:space="preserve">Total           </t>
    </r>
    <r>
      <rPr>
        <sz val="10"/>
        <color rgb="FFFF0000"/>
        <rFont val="Calibri"/>
        <family val="2"/>
      </rPr>
      <t>(Jn)=(Dn)*(In)</t>
    </r>
  </si>
  <si>
    <t>TOTALIZAÇÃO MO MANUTENÇÃO PREDIAL</t>
  </si>
  <si>
    <t>(E)</t>
  </si>
  <si>
    <t>(G)</t>
  </si>
  <si>
    <t>(Fn)=(Dn)*(En)</t>
  </si>
  <si>
    <t>(Hn)=(Dn)*(Gn)</t>
  </si>
  <si>
    <t>PROPOSTA</t>
  </si>
  <si>
    <t>TOTAL ESTIMADO =</t>
  </si>
  <si>
    <t>TOTAL PROPOSTO =</t>
  </si>
  <si>
    <t>FITA/CINTA ALTO ADESIVA ELASTOMÉRICA  PARA VEDAÇÃO L=50mm E=3mm</t>
  </si>
  <si>
    <t>QNT</t>
  </si>
  <si>
    <t>PREÇO
(proposta)</t>
  </si>
  <si>
    <t>m²</t>
  </si>
  <si>
    <t>Vidro liso incolor, 4 mm de espessura.</t>
  </si>
  <si>
    <t>Vidro liso incolor, 5 mm de espessura.</t>
  </si>
  <si>
    <t>Vidro liso incolor, 6 mm de espessura.</t>
  </si>
  <si>
    <t>Vidro temperado incolor, 10 mm de espessura, com ferragens.</t>
  </si>
  <si>
    <t>Vidro laminado branco, 8 mm de espessura.</t>
  </si>
  <si>
    <t>Vidro temperado incolor de 8 mm, para box.</t>
  </si>
  <si>
    <t>Painel com nicho em vidro laminado branco de 8 mm, fixado em colunas de inox para vidro.</t>
  </si>
  <si>
    <t>Espelho Cristal, 4 mm de espessura;</t>
  </si>
  <si>
    <t>Película Espelhada</t>
  </si>
  <si>
    <t>Película Frisada</t>
  </si>
  <si>
    <t>Película Fumê</t>
  </si>
  <si>
    <t>Película Jateada</t>
  </si>
  <si>
    <t>Porta de vidro temperado incolor de 8 mm, com fechadura eletrônica, com ferragem em inox.</t>
  </si>
  <si>
    <t>Mola hidráulica para piso</t>
  </si>
  <si>
    <t>un</t>
  </si>
  <si>
    <t>Baguete de ferro para fixação de vidros em esquadrias.</t>
  </si>
  <si>
    <t>ml</t>
  </si>
  <si>
    <t>Baguete para colocação de vidro/espelho em divisóris e paredes.</t>
  </si>
  <si>
    <t>Apoio de baguete para colocação em divisória.</t>
  </si>
  <si>
    <t>Mangueira de polietileno para colocação de vidro em divisória.</t>
  </si>
  <si>
    <t>Moldura de alumínio, ref. AL.15, fornecimento e montagem.</t>
  </si>
  <si>
    <t>Alumínio para instalação de vidro laminado, ref. VL-003, fornecimento e montagem.</t>
  </si>
  <si>
    <t>Serviço de revisão e regulagem de portas de vidro com molas.</t>
  </si>
  <si>
    <t>Vedação de vidro com silicone acético, tubo de 280g.</t>
  </si>
  <si>
    <t>Vedação de vidro com silicone estrutural, tubo de 280g.</t>
  </si>
  <si>
    <t>Portas de vidro temperado transparente 10mm (tipo Blindex)</t>
  </si>
  <si>
    <t>Vidro temperado fumê de 8mm </t>
  </si>
  <si>
    <t>vidro temperado transparente 6mm </t>
  </si>
  <si>
    <t>VALOR ESTIMADO</t>
  </si>
  <si>
    <t>VALOR PROPOSTO</t>
  </si>
  <si>
    <t>(F)=(Dn)*(En)</t>
  </si>
  <si>
    <t>(H)=(Dn)*(Gn)</t>
  </si>
  <si>
    <t>4. SERVIÇOS DE VIDRAÇARIA</t>
  </si>
  <si>
    <t>4.1</t>
  </si>
  <si>
    <t>4.2</t>
  </si>
  <si>
    <t>4.3</t>
  </si>
  <si>
    <t>4.4</t>
  </si>
  <si>
    <t>4.5</t>
  </si>
  <si>
    <t>4.6</t>
  </si>
  <si>
    <t>4.7</t>
  </si>
  <si>
    <t>4.8</t>
  </si>
  <si>
    <t>4.9</t>
  </si>
  <si>
    <t>4.10</t>
  </si>
  <si>
    <t>4.11</t>
  </si>
  <si>
    <t>4.12</t>
  </si>
  <si>
    <t>4.13</t>
  </si>
  <si>
    <t>4.14</t>
  </si>
  <si>
    <t>4.15</t>
  </si>
  <si>
    <t>4.16</t>
  </si>
  <si>
    <t>4.17</t>
  </si>
  <si>
    <t>4.18</t>
  </si>
  <si>
    <t>4.19</t>
  </si>
  <si>
    <t>4.20</t>
  </si>
  <si>
    <t>4.21</t>
  </si>
  <si>
    <t>4.22</t>
  </si>
  <si>
    <t>4.23</t>
  </si>
  <si>
    <t>4.24</t>
  </si>
  <si>
    <t>4.25</t>
  </si>
  <si>
    <t>4.26</t>
  </si>
  <si>
    <t>und</t>
  </si>
  <si>
    <t>cj</t>
  </si>
  <si>
    <t>Valor Previsto</t>
  </si>
  <si>
    <t>Valor Proposto</t>
  </si>
  <si>
    <t>MONTANTE</t>
  </si>
  <si>
    <t>MONTANTE DE CANTO</t>
  </si>
  <si>
    <t>GUIAS DE PISO</t>
  </si>
  <si>
    <t>GUIAS DE TETO</t>
  </si>
  <si>
    <t>RODAPÉ SEM FURO</t>
  </si>
  <si>
    <t>RODAPÉ COM FURO</t>
  </si>
  <si>
    <t>GUIAS SAÍDA DE PAREDE</t>
  </si>
  <si>
    <t>COLUNA</t>
  </si>
  <si>
    <t>BANDEIRA CEGA</t>
  </si>
  <si>
    <t>CONJUNTO DE FERRAGENS PARA PORTA</t>
  </si>
  <si>
    <t>CLIPE MACHO E FÊMEA PARA ENGATE DE PAINÉIS</t>
  </si>
  <si>
    <t>ISOLAMENTO ACÚSTICO: manta Pet de 35 kg/m³ e 40 mm de espessura, para ser instalada entre os painéis e portas.</t>
  </si>
  <si>
    <t>MINI-PERSIANA HORIZONTAL: para os quadros de vidro duplo, interna, em alumínio com lâmina de 16mm de largura, com botão de acionamento a instalar no quadro de vidro.</t>
  </si>
  <si>
    <t>DESMONTAGEM</t>
  </si>
  <si>
    <t>MONTAGEM</t>
  </si>
  <si>
    <t>5.1</t>
  </si>
  <si>
    <t>5.2</t>
  </si>
  <si>
    <t>5.3</t>
  </si>
  <si>
    <t>5.4</t>
  </si>
  <si>
    <t>5.5</t>
  </si>
  <si>
    <t>5.6</t>
  </si>
  <si>
    <t>5.7</t>
  </si>
  <si>
    <t>5.8</t>
  </si>
  <si>
    <t>5.9</t>
  </si>
  <si>
    <t>5.10</t>
  </si>
  <si>
    <t>5.11</t>
  </si>
  <si>
    <t>5.12</t>
  </si>
  <si>
    <t>5.13</t>
  </si>
  <si>
    <t>5.14</t>
  </si>
  <si>
    <t>5.15</t>
  </si>
  <si>
    <t>5.16</t>
  </si>
  <si>
    <t>5.17</t>
  </si>
  <si>
    <t>5.18</t>
  </si>
  <si>
    <t>5.19</t>
  </si>
  <si>
    <t>5.20</t>
  </si>
  <si>
    <t>5.21</t>
  </si>
  <si>
    <t>5.22</t>
  </si>
  <si>
    <t>5.23</t>
  </si>
  <si>
    <t>5.24</t>
  </si>
  <si>
    <t>5.25</t>
  </si>
  <si>
    <t>5.26</t>
  </si>
  <si>
    <t>5.27</t>
  </si>
  <si>
    <t>1.1. Painel de operação.</t>
  </si>
  <si>
    <t>1.2. Interfone ou</t>
  </si>
  <si>
    <t>intercomunicador</t>
  </si>
  <si>
    <t>1.3. Iluminação, subteto e</t>
  </si>
  <si>
    <t>ventilador.</t>
  </si>
  <si>
    <t>1.4. Painéis de acabamento,</t>
  </si>
  <si>
    <t>frisos e piso.</t>
  </si>
  <si>
    <t>1.5. Guarda corpo e espelhos</t>
  </si>
  <si>
    <t>1.6. Portas, corrediças e régua</t>
  </si>
  <si>
    <t>de segurança.</t>
  </si>
  <si>
    <t>1.7. Indicador</t>
  </si>
  <si>
    <t>1.8. Comandos Cabineiro,</t>
  </si>
  <si>
    <t>ventilador e banqueta.</t>
  </si>
  <si>
    <t>2.1. Botoeiras e indicadores.</t>
  </si>
  <si>
    <t>2.2. Portas e soleiras.</t>
  </si>
  <si>
    <t>2.3. Aceleração,</t>
  </si>
  <si>
    <t>desaceleração e nivelamento.</t>
  </si>
  <si>
    <t>3.1. Proteções e conexões</t>
  </si>
  <si>
    <t>(Painel de Força).</t>
  </si>
  <si>
    <t>3.2. Quadro de Comando</t>
  </si>
  <si>
    <t>3.3. Bateria e fonte de luz de</t>
  </si>
  <si>
    <t>emergência</t>
  </si>
  <si>
    <t>3.4. Máquina e Cabos de</t>
  </si>
  <si>
    <t>tração</t>
  </si>
  <si>
    <t>3.5. Motor de indução</t>
  </si>
  <si>
    <t>3.6. Freio e contato BK ou CPF</t>
  </si>
  <si>
    <t>3.7. Regulador de Velocidade</t>
  </si>
  <si>
    <t>3.8. Interfone ou</t>
  </si>
  <si>
    <t>3.9. Limite Final de subida</t>
  </si>
  <si>
    <t>3.10. Limite Final de descida</t>
  </si>
  <si>
    <t>3.11. Aparelho de Segurança</t>
  </si>
  <si>
    <t>4. CABINA EM CIMA</t>
  </si>
  <si>
    <t>4.1. Porta e contato de</t>
  </si>
  <si>
    <t>4.2. Corrediças superiores,</t>
  </si>
  <si>
    <t>suspenção dos cabos e chaves de indução.</t>
  </si>
  <si>
    <t>4.3. Aparelho de segurança</t>
  </si>
  <si>
    <t>4.4. Operador de Portas</t>
  </si>
  <si>
    <t>4.5 Teto/Estrutura</t>
  </si>
  <si>
    <t>4.6. Aparelho de Segurança</t>
  </si>
  <si>
    <t>5.1. Polia de desvio</t>
  </si>
  <si>
    <t>5.2. Limites de Parada de subida</t>
  </si>
  <si>
    <t>5.3. Guias e suportes</t>
  </si>
  <si>
    <t>5.4. Cabos de manobra e fiações</t>
  </si>
  <si>
    <t>5.5. Portas de pavimento e Fecho eletromecânico</t>
  </si>
  <si>
    <t>5.6. Contra peso</t>
  </si>
  <si>
    <t>5.7. Limite de redução de descida</t>
  </si>
  <si>
    <t>5.8. Limite de Parada de descida</t>
  </si>
  <si>
    <t>6. POÇO</t>
  </si>
  <si>
    <t>6.2. Corrediças inferiores</t>
  </si>
  <si>
    <t>6.3. Aparelho de Segurança</t>
  </si>
  <si>
    <t>6.4. Para-choques e cornija</t>
  </si>
  <si>
    <t>6.5. Polias, cabos e corrente de compensação.</t>
  </si>
  <si>
    <t>6.6. Polia tensora</t>
  </si>
  <si>
    <t>6.7. Deslize do contrapeso</t>
  </si>
  <si>
    <t>6.8. Fundo do Poço</t>
  </si>
  <si>
    <t>7. GERAL</t>
  </si>
  <si>
    <t>7.1. Manutenção Dirigida</t>
  </si>
  <si>
    <t>7.2. Colocação e retirada das placas de MPP</t>
  </si>
  <si>
    <t>7.3. Consulta ao auto diagnóstico.</t>
  </si>
  <si>
    <t>1. CABINA INTERNA</t>
  </si>
  <si>
    <t>LOCAL</t>
  </si>
  <si>
    <t>PARTES INSPECIONADAS</t>
  </si>
  <si>
    <t>Verificação, ajustes, lubrificação e limpeza</t>
  </si>
  <si>
    <t>SERVIÇOS CORRETIVOS</t>
  </si>
  <si>
    <t>Troca de lâmpadas ou peças eletromecânicas que se fizerem necessáriaspara manter a operacionalidade do equipamento.</t>
  </si>
  <si>
    <t>Troca de peças eletromecânicas que se fizerem necessáriaspara manter a operacionalidade do equipamento.</t>
  </si>
  <si>
    <t xml:space="preserve">SERVIÇOS ROTINA PREVENTIVA MENSAL </t>
  </si>
  <si>
    <t>3. CASA MÁQUINA</t>
  </si>
  <si>
    <t>2. PAVIMENTOS</t>
  </si>
  <si>
    <t>5. CAIXA CORRIDA</t>
  </si>
  <si>
    <t>mês</t>
  </si>
  <si>
    <t>6. SERVIÇOS DE MANUTENÇÃO DE ELEVADORES</t>
  </si>
  <si>
    <t>(Fn)=(D)*(E)</t>
  </si>
  <si>
    <t>(F)=(D)*(E)</t>
  </si>
  <si>
    <t>Serviços de manutenção de elevadores     (Por unidade por Elevador)</t>
  </si>
  <si>
    <t>QUANTIDADE       ANUAL</t>
  </si>
  <si>
    <t>00039512</t>
  </si>
  <si>
    <t>5. FORNECIMENTO E INSTALAÇÃO DE DIVISÓRIAS</t>
  </si>
  <si>
    <t>Fornecimento e instalação de divisória com painel do tipo piso/teto, paginado, cego, com altura correspondente a dois módulos da paginação, com janela fixa com vidro duplo, com tamanho equivalente a dois módulos da paginação, bandeira de vidro duplo, com ou sem película de efeito jateado e rodapé técnico. Acabamento texturizado conforme padrão (cor branco gelo geral e mogno para gabinetes).</t>
  </si>
  <si>
    <t>Fornecimento e instalação de divisória com painel do tipo piso/teto, paginado, cego, com altura correspondente a dois módulos da paginação, com janela fixa com vidro duplo, com tamanho equivalente a dois módulos da paginação, bandeira de vidro duplo e rodapé técnico. Inclui mini persiana horizontal interna, em alumínio, com lâmina de 16mm de largura e botão de acionamento instalado no quadro de vidro. Acabamento texturizado conforme padrão (cor branco gelo geral e mogno para gabinetes).</t>
  </si>
  <si>
    <t>Fornecimento e instalação de divisória baixa do tipo cego, paginado, altura correspondente a dois módulos da paginação, com janela fixa com vidro duplo equivalente a um módulo da paginação, com ou sem película de efeito jateado e rodapé técnico. Altura equivalente a 1640mm e larguras variadas. Acabamento texturizado conforme padrão (cor branco gelo geral e mogno para gabinetes).</t>
  </si>
  <si>
    <t>Fornecimento e instalação de porta simples completa, cega, paginada, com ferragens, medindo 900x2100 mm, com bandeira cega. Acabamento texturizado conforme padrão (cor branco gelo geral e mogno para gabinetes).</t>
  </si>
  <si>
    <t>Fornecimento e instalação de divisória piso-teto de vidro duplo, inteiriço, com rodapé técnico. Inclui mini persiana horizontal interna, em alumínio, com lâmina de 16mm de largura e botão de acionamento instalado no quadro de vidro. Acabamento conforme padrão (cor branco gelo geral e mogno para gabinetes).</t>
  </si>
  <si>
    <t>Fornecimento e instalação de painel do tipo piso/teto cego, sem bandeira, com base de 70 centímetros de altura, e topo até ao teto, variável em altura segundo o pé direito. Acabamento madeirado conforme padrão (cor branco gelo geral e mogno para gabinetes), com rodapé técnico e isolamento acústico em manta Pet de 35 kg/m³ e 40 mm de espessura.</t>
  </si>
  <si>
    <t>Fornecimento e instalação de painel do tipo piso/teto, com base cega de 70 centímetros de altura, janela de vidro duplo de 135 centímetros de altura, de modo que o topo da janela fique alinhado com o topo das portas, com mini persiana horizontal interna (alumínio, 16 mm, botão de acionamento no quadro do vidro), com bandeira cega até ao teto, variável em altura segundo o pé direito, com rodapé técnico e isolamento acústico em manta Pet de 35 kg/m³ e 40 mm de espessura. Acabamento madeirado conforme padrão (cor branco gelo geral e mogno para gabinetes).</t>
  </si>
  <si>
    <t>Fornecimento e instalação de divisória com painel do tipo piso/teto, cego, paginado, com bandeira cega e rodapé técnico. Acabamento texturizado conforme padrão (cor branco gelo geral e mogno para gabinetes).</t>
  </si>
  <si>
    <t>Fornecimento e instalação de porta completa simples, cega, paginada, com ferragens, medindo 900x2100 mm, com bandeira cega e guilhotina. Acabamento madeirado conforme padrão (cor branco gelo geral e mogno para gabinetes).</t>
  </si>
  <si>
    <t>Fornecimento e instalação de lambri do tipo piso/teto cego, sem bandeira, com base de 70 centímetros de altura, e topo até ao teto, variável em altura segundo o pé direito. Acabamento madeirado conforme padrão (cor branco gelo geral e mogno para gabinetes), com rodapé técnico.</t>
  </si>
  <si>
    <t>Fornecimento e instalação de divisória com painel do tipo piso/teto, cego, paginado, com bandeira cega e rodapé técnico. Acabamento texturizado, conforme padrão (cor branco gelo geral e mogno para gabinetes) em sua face A e Painel do tipo piso/teto cego, sem bandeira, com base de 70 centímetros de altura, e topo até ao teto, variável em altura segundo o pé direito, com acabamento madeirado, com rodapé técnico em sua face B. Inclui isolamento acústico em manta Pet de 35 kg/m³ e 40 mm de espessura</t>
  </si>
  <si>
    <t>8.1</t>
  </si>
  <si>
    <t>Placa direcional dos elevadores/indicativa/recepção aérea – 1850x500mm</t>
  </si>
  <si>
    <t>un.</t>
  </si>
  <si>
    <t>8.2</t>
  </si>
  <si>
    <t>Adesivo para placa aérea direcional dos elevadores/indicativa/recepção – 1850x500mm</t>
  </si>
  <si>
    <t>8.3</t>
  </si>
  <si>
    <t>Placa indicativa e direcional de porta – 300x140mm</t>
  </si>
  <si>
    <t>8.4</t>
  </si>
  <si>
    <t> Adesivos para placa indicativa de porta – 300x140 mm</t>
  </si>
  <si>
    <t>8.5</t>
  </si>
  <si>
    <t>Placa indicativa de serviço – 150x150mm</t>
  </si>
  <si>
    <t>8.6</t>
  </si>
  <si>
    <t>Adesivos para placa indicativa de serviço – 150x150mm</t>
  </si>
  <si>
    <t>8.7</t>
  </si>
  <si>
    <t>Placa indicativa aérea – 500x200mm</t>
  </si>
  <si>
    <t>8.8</t>
  </si>
  <si>
    <t>Adesivos para placa indicativa dupla aérea – 500x200mm</t>
  </si>
  <si>
    <t>8.9</t>
  </si>
  <si>
    <t>Placa indicativa de advertência – 300x300mm</t>
  </si>
  <si>
    <t>8.10</t>
  </si>
  <si>
    <t>Painel de informações de acrílico 2020x1100mm</t>
  </si>
  <si>
    <t>8.11</t>
  </si>
  <si>
    <t>Painel de informações 500x850mm</t>
  </si>
  <si>
    <t>8.12</t>
  </si>
  <si>
    <t>Placa indicativa de informações gerais 148x210mm</t>
  </si>
  <si>
    <t>8.13</t>
  </si>
  <si>
    <t>Placa indicativa de informações gerais – 210x297mm</t>
  </si>
  <si>
    <t>8.14</t>
  </si>
  <si>
    <t>Adesivos orientativo de sustentabilidade – 70x30mm</t>
  </si>
  <si>
    <t>8.15</t>
  </si>
  <si>
    <t>Adesivos orientativo de sustentabilidade – 140x140mm</t>
  </si>
  <si>
    <t>8.16</t>
  </si>
  <si>
    <t>Adesivos orientativo de sustentabilidade – 280x280mm</t>
  </si>
  <si>
    <t>7.1</t>
  </si>
  <si>
    <t>7. SINALIZAÇÃO VISUAL</t>
  </si>
  <si>
    <t>7.2</t>
  </si>
  <si>
    <t>7.3</t>
  </si>
  <si>
    <t>7.4</t>
  </si>
  <si>
    <t>7.5</t>
  </si>
  <si>
    <t>7.6</t>
  </si>
  <si>
    <t>7.7</t>
  </si>
  <si>
    <t>7.8</t>
  </si>
  <si>
    <t>7.9</t>
  </si>
  <si>
    <t>7.10</t>
  </si>
  <si>
    <t>7.11</t>
  </si>
  <si>
    <t>7.12</t>
  </si>
  <si>
    <t>7.13</t>
  </si>
  <si>
    <t>7.14</t>
  </si>
  <si>
    <t>7.15</t>
  </si>
  <si>
    <t>7.16</t>
  </si>
  <si>
    <t>Abertura de fechadura de móveis.</t>
  </si>
  <si>
    <t>Und.</t>
  </si>
  <si>
    <t>Abertura de fechadura de porta.</t>
  </si>
  <si>
    <t>Abertura de porta de carro oficial.</t>
  </si>
  <si>
    <t>Abertura de cofre.</t>
  </si>
  <si>
    <t>Conserto de fechadura de porta, mesa, arquivo e armário</t>
  </si>
  <si>
    <t>Cópia de chave de carro oficial.</t>
  </si>
  <si>
    <t>Cópia e chave de porta, mesa, arquivo e armário.</t>
  </si>
  <si>
    <t>Cópia de chave de cofre.</t>
  </si>
  <si>
    <t>Cópia de chave tetra.</t>
  </si>
  <si>
    <t>Fornecimento e instalação de fechadura de armário.</t>
  </si>
  <si>
    <t>Fornecimento e instalação de fechadura de mesa.</t>
  </si>
  <si>
    <t>Modelagem de chave tetra.</t>
  </si>
  <si>
    <t>Modelagem de chave de cofre.</t>
  </si>
  <si>
    <t>Modelagem de chave de porta, mesa, arquivo e armário.</t>
  </si>
  <si>
    <t>Redefinir senha de cofre mecânico.</t>
  </si>
  <si>
    <t>Troca de segredo de fechadura de móveis.</t>
  </si>
  <si>
    <t>Troca de segredo de fechadura de porta.</t>
  </si>
  <si>
    <t>8. SERVIÇOS DE CHAVEIRO</t>
  </si>
  <si>
    <t>8.17</t>
  </si>
  <si>
    <t>VALOR PROPOSTA</t>
  </si>
  <si>
    <t> Fornecimento e instalação de lambri do tipo piso/teto, cego, paginado, com rodapé técnico. Acabamento texturizado conforme padrão.</t>
  </si>
  <si>
    <t>9. SERVIÇOS DE DEDETIZAÇÃO</t>
  </si>
  <si>
    <t>(H)=(D)*(G)</t>
  </si>
  <si>
    <t>toneladas</t>
  </si>
  <si>
    <t>(F)=(D)*(G)</t>
  </si>
  <si>
    <t>10. GERENCIAMENTO DE RESÍDUOS SÓLIDOS</t>
  </si>
  <si>
    <t>Serviços de dedetização Serviços de Dedetização englobando desinsetização, desratização, descupinização e desinfecção. Método "Spray, Fog e Gel". (Área aproximada da edificação 10.093 M2)</t>
  </si>
  <si>
    <t>MANUTENÇÃO ELEVADORES PRETENDIDA (EQUIPAMENTO COM OU SEM CASA DE MÁQUINA)</t>
  </si>
  <si>
    <t xml:space="preserve"> Serviços de gerenciamento de resíduos sólidos urbanos não perigosos, orgânicos e indiferenciados, gerados nas futuras dependências do Ministério das Cidades, abrangendo as etapas de coleta, transporte, transbordo, tratamento e disposição/destinação final ambientalmente adequada segundo leis e normas da ABNT, INMETRO, CONFEA/CREA, ANVISA e ADASA vigentes - Área Aproximada da edificação de 10.093 M2</t>
  </si>
  <si>
    <t>QUADRO RESUMO DA CONTRATAÇÃO</t>
  </si>
  <si>
    <t>Tipo de Serviço</t>
  </si>
  <si>
    <t xml:space="preserve">Valor Proposto por Empregado </t>
  </si>
  <si>
    <t>Quant. De Empregados por Posto (C)</t>
  </si>
  <si>
    <t xml:space="preserve">Valor Proposto por Posto </t>
  </si>
  <si>
    <t xml:space="preserve">Quant. De Postos </t>
  </si>
  <si>
    <t xml:space="preserve">Valor Total Mensal do Serviço                                                                                           </t>
  </si>
  <si>
    <t>I</t>
  </si>
  <si>
    <t>Bombeiro Civil 12x36 Noturno</t>
  </si>
  <si>
    <t>II</t>
  </si>
  <si>
    <t>Bombeiro Civil 12x36 Diurno</t>
  </si>
  <si>
    <t>III</t>
  </si>
  <si>
    <t>Bombeiro Civil 12x36 Líder</t>
  </si>
  <si>
    <t>Quant. de Postos</t>
  </si>
  <si>
    <t>***</t>
  </si>
  <si>
    <t>Valor Mensal dos Serviços ( I + II + III) - CCT 2023</t>
  </si>
  <si>
    <t>Valor Global dos Serviços ( I + II + III)  12 MESES - CCT 2023</t>
  </si>
  <si>
    <t xml:space="preserve">PLANILHA DE CUSTOS E FORMAÇÃO DE PREÇOS </t>
  </si>
  <si>
    <t>Pregão Eletrônico Nº:</t>
  </si>
  <si>
    <t>PLANILHA DE CUSTOS</t>
  </si>
  <si>
    <t>DISCRIMINAÇÃO DOS SERVIÇOS</t>
  </si>
  <si>
    <t>A</t>
  </si>
  <si>
    <t>Data da apresentação da proposta:</t>
  </si>
  <si>
    <t>B</t>
  </si>
  <si>
    <t>Município/UF</t>
  </si>
  <si>
    <t>BRASÍLIA/DF</t>
  </si>
  <si>
    <t>C</t>
  </si>
  <si>
    <t>Ano Acordo, Convenção ou Sentença Normativa em Dissídio Coletivo</t>
  </si>
  <si>
    <t>CCTSINDBOMBEIROS/DF000184/2024</t>
  </si>
  <si>
    <t>D</t>
  </si>
  <si>
    <t>Nº de Meses de execução contratual</t>
  </si>
  <si>
    <t>12 MESES</t>
  </si>
  <si>
    <t>Dados complementares para composição dos custos referente à mão-de-obra</t>
  </si>
  <si>
    <t>Tipo de serviço (mesmo serviço com características distintas)</t>
  </si>
  <si>
    <t>Brigada</t>
  </si>
  <si>
    <t>Classificação Brasileira de Ocupações</t>
  </si>
  <si>
    <t>5171-10</t>
  </si>
  <si>
    <t>Salário Normativo da Categoria Profissional</t>
  </si>
  <si>
    <t>Categoria Profissional (vinculada à execução contratual)</t>
  </si>
  <si>
    <t>Bombeiro Civil Brigadista Noturno 12x36</t>
  </si>
  <si>
    <t>Data base da categoria (dia/mês/ano)</t>
  </si>
  <si>
    <t>Módulo 1 - Composição da Remuneração</t>
  </si>
  <si>
    <t>Composição da Remuneração</t>
  </si>
  <si>
    <t>Valor (R$)</t>
  </si>
  <si>
    <t>Salário-Base</t>
  </si>
  <si>
    <r>
      <t xml:space="preserve">Adicional de Periculosidade </t>
    </r>
    <r>
      <rPr>
        <b/>
        <sz val="10"/>
        <color theme="1"/>
        <rFont val="Cambria"/>
        <family val="1"/>
      </rPr>
      <t>(30%)</t>
    </r>
  </si>
  <si>
    <t>Adicional de Insalubridade</t>
  </si>
  <si>
    <t>Adicional Noturno</t>
  </si>
  <si>
    <t>E</t>
  </si>
  <si>
    <t>Adicional de Hora Noturna Reduzida</t>
  </si>
  <si>
    <t>F</t>
  </si>
  <si>
    <t>Outros (especificar)</t>
  </si>
  <si>
    <t>Módulo 2 - Encargos e Benefícios Anuais, Mensais e Diários</t>
  </si>
  <si>
    <t>Submódulo 2.1 - 13º (décimo terceiro) Salário, Férias e Adicional de Férias</t>
  </si>
  <si>
    <t>13º (décimo terceiro) Salário, Férias e Adicional de Férias</t>
  </si>
  <si>
    <t>Percentual (%)</t>
  </si>
  <si>
    <t>13º (décimo terceiro) Salário</t>
  </si>
  <si>
    <t>Férias e Adicional de Férias</t>
  </si>
  <si>
    <t>Sub total</t>
  </si>
  <si>
    <t>Incidência do submódulo 2.1 sob o 2.2</t>
  </si>
  <si>
    <t>Submódulo 2.2 - Encargos Previdenciários (GPS), Fundo de Garantia por Tempo de Serviço (FGTS) e outras contribuições.</t>
  </si>
  <si>
    <t>GPS, FGTS e outras contribuições</t>
  </si>
  <si>
    <t>INSS</t>
  </si>
  <si>
    <t>Salário Educação</t>
  </si>
  <si>
    <t xml:space="preserve">SAT </t>
  </si>
  <si>
    <t>SESC ou SESI</t>
  </si>
  <si>
    <t>SENAI - SENAC</t>
  </si>
  <si>
    <t>SEBRAE</t>
  </si>
  <si>
    <t>G</t>
  </si>
  <si>
    <t>INCRA</t>
  </si>
  <si>
    <t>H</t>
  </si>
  <si>
    <t>FGTS</t>
  </si>
  <si>
    <t xml:space="preserve">Total </t>
  </si>
  <si>
    <t>Submódulo 2.3 - Benefícios Mensais e Diários.</t>
  </si>
  <si>
    <t>Benefícios Mensais e Diários</t>
  </si>
  <si>
    <r>
      <t xml:space="preserve">Transporte (5,50) x 2 = 11,00  </t>
    </r>
    <r>
      <rPr>
        <b/>
        <i/>
        <sz val="10"/>
        <color theme="1"/>
        <rFont val="Arial"/>
        <family val="2"/>
      </rPr>
      <t/>
    </r>
  </si>
  <si>
    <r>
      <t xml:space="preserve">Auxílio-Refeição/Alimentação </t>
    </r>
    <r>
      <rPr>
        <b/>
        <i/>
        <sz val="10"/>
        <color theme="1"/>
        <rFont val="Cambria"/>
        <family val="1"/>
      </rPr>
      <t>(R$ 45,23)</t>
    </r>
  </si>
  <si>
    <t>B.1</t>
  </si>
  <si>
    <t>Contribuição  PAT (R$ 0,30) x 13</t>
  </si>
  <si>
    <t>B.2</t>
  </si>
  <si>
    <t>Auxilio Alimentação com desconto</t>
  </si>
  <si>
    <t>Auxilio Funeral</t>
  </si>
  <si>
    <t>Assistência Odontológica</t>
  </si>
  <si>
    <t>Quadro-Resumo do Módulo 2 - Encargos e Benefícios anuais, mensais e diários</t>
  </si>
  <si>
    <t>Encargos e Benefícios Anuais, Mensais e Diários</t>
  </si>
  <si>
    <t>Módulo 3 - Provisão para Rescisão</t>
  </si>
  <si>
    <t>Provisão para Rescisão</t>
  </si>
  <si>
    <t>Aviso Prévio Indenizado</t>
  </si>
  <si>
    <t>Incidência do FGTS sobre o Aviso Prévio Indenizado</t>
  </si>
  <si>
    <r>
      <t>Multa FGTS - Rescisão sem Justa Causa  Alteração dada pela Lei nº 13.932/2019 / Art. 12 / Extinguiu a cobrança da contribuição social de 10%</t>
    </r>
    <r>
      <rPr>
        <b/>
        <sz val="10"/>
        <color theme="1"/>
        <rFont val="Cambria"/>
        <family val="1"/>
      </rPr>
      <t xml:space="preserve"> </t>
    </r>
    <r>
      <rPr>
        <b/>
        <sz val="10"/>
        <color rgb="FFFF0000"/>
        <rFont val="Cambria"/>
        <family val="1"/>
      </rPr>
      <t>a Partir de 01.01.2020</t>
    </r>
  </si>
  <si>
    <t xml:space="preserve">Aviso Prévio Trabalhado </t>
  </si>
  <si>
    <t>Incidência dos encargos do submódulo 2.2 sobre o Aviso Prévio Trabalhado</t>
  </si>
  <si>
    <t>Multa do FGTS e contribuição social sobre o Aviso Prévio Trabalhado</t>
  </si>
  <si>
    <t>Módulo 4 - Custo de Reposição do Profissional Ausente</t>
  </si>
  <si>
    <t>Submódulo 4.1 - Ausências Legais</t>
  </si>
  <si>
    <t>Ausências Legais</t>
  </si>
  <si>
    <t>Substituto na cobertura de Férias</t>
  </si>
  <si>
    <t>Substituto na cobertura de Ausências Legais</t>
  </si>
  <si>
    <t>Substituto na cobertura de Licença-Paternidade</t>
  </si>
  <si>
    <t>Substituto na cobertura de Ausência por acidente de trabalho</t>
  </si>
  <si>
    <t>Substituto na cobertura de Afastamento Maternidade</t>
  </si>
  <si>
    <t>Auxílio Doença (afastamento mais de 15 dias)</t>
  </si>
  <si>
    <t>Submódulo 4.2 - Intrajornada</t>
  </si>
  <si>
    <t>Intrajornada</t>
  </si>
  <si>
    <t>Intervalo para repouso e alimentação</t>
  </si>
  <si>
    <t>Quadro-Resumo do Módulo 4 - Custo de Reposição do Profissional Ausente</t>
  </si>
  <si>
    <t>Custo de Reposição do Profissional Ausente</t>
  </si>
  <si>
    <t>Módulo 5 - Insumos Diversos</t>
  </si>
  <si>
    <t>Insumos Diversos</t>
  </si>
  <si>
    <t>Uniformes</t>
  </si>
  <si>
    <t>Materiais</t>
  </si>
  <si>
    <t>Equipamentos / Relógio de Ponto</t>
  </si>
  <si>
    <t>Módulo 6 - Custos Indiretos, Tributos e Lucro</t>
  </si>
  <si>
    <t>Custos Indiretos, Tributos e Lucro</t>
  </si>
  <si>
    <t>Custos Indiretos</t>
  </si>
  <si>
    <t>Lucro</t>
  </si>
  <si>
    <t>Tributos</t>
  </si>
  <si>
    <t>C.1. Tributos Federais (PIS e COFINS)</t>
  </si>
  <si>
    <t>C.2. Tributos Federais (CPRB)</t>
  </si>
  <si>
    <t>C.3. Tributos Municipais (especificar)</t>
  </si>
  <si>
    <t>2. QUADRO-RESUMO DO CUSTO POR EMPREGADO</t>
  </si>
  <si>
    <t>Mão de obra vinculada à execução contratual (valor por empregado)</t>
  </si>
  <si>
    <t>Subtotal (A + B +C+ D+E)</t>
  </si>
  <si>
    <t>Módulo 6 – Custos Indiretos, Tributos e Lucro</t>
  </si>
  <si>
    <t xml:space="preserve">Valor Total por Empregado </t>
  </si>
  <si>
    <t>QUADRO-RESUMO DO VALOR MENSAL DOS SERVIÇOS</t>
  </si>
  <si>
    <t>Tipo de serviço</t>
  </si>
  <si>
    <t>Qtde de empregados por posto</t>
  </si>
  <si>
    <t>Valor proposto por posto</t>
  </si>
  <si>
    <t>Qtde de postos</t>
  </si>
  <si>
    <t>Valor total Mensal do serviço</t>
  </si>
  <si>
    <t>VALOR MENSAL DOS SERVIÇOS</t>
  </si>
  <si>
    <t>QUADRO DEMONSTRATIVO DO VALOR GLOBAL DA PROPOSTA</t>
  </si>
  <si>
    <t>Valor Global da Proposta</t>
  </si>
  <si>
    <t>VALOR</t>
  </si>
  <si>
    <t>Valor proposto por unidade de medida</t>
  </si>
  <si>
    <t>Valor mensal dos Serviços</t>
  </si>
  <si>
    <t>Valor global da proposta</t>
  </si>
  <si>
    <t>Encargos Sociais</t>
  </si>
  <si>
    <t>BDI=</t>
  </si>
  <si>
    <t xml:space="preserve">(1 + A) x (1 + B) </t>
  </si>
  <si>
    <t xml:space="preserve">                (1 - C)</t>
  </si>
  <si>
    <t>Onde:</t>
  </si>
  <si>
    <t>A =</t>
  </si>
  <si>
    <t>Taxa de Despesas Administrativas</t>
  </si>
  <si>
    <t>B =</t>
  </si>
  <si>
    <t xml:space="preserve">Taxa de Lucro </t>
  </si>
  <si>
    <t>C =</t>
  </si>
  <si>
    <t>Taxa dos Tributos sobre o Faturamento</t>
  </si>
  <si>
    <t>Bombeiro Civil Brigadista Diruno</t>
  </si>
  <si>
    <t>Contribuição / PAT (R$ 0,30)</t>
  </si>
  <si>
    <r>
      <t>Multa FGTS - Rescisão sem Justa Causa Alteração dada pela Lei nº 13.932/2019 / Art. 12 / Extinguiu a cobrança da contribuição social de 10%</t>
    </r>
    <r>
      <rPr>
        <b/>
        <sz val="10"/>
        <color theme="1"/>
        <rFont val="Cambria"/>
        <family val="1"/>
      </rPr>
      <t xml:space="preserve"> </t>
    </r>
    <r>
      <rPr>
        <b/>
        <sz val="10"/>
        <color rgb="FFFF0000"/>
        <rFont val="Cambria"/>
        <family val="1"/>
      </rPr>
      <t>a Partir de 01.01.2020</t>
    </r>
  </si>
  <si>
    <t xml:space="preserve">Bombeiro Civil Lider Diruno </t>
  </si>
  <si>
    <t>SAT</t>
  </si>
  <si>
    <r>
      <t xml:space="preserve">Vale Transporte (5,50) x 2 = 11,00  </t>
    </r>
    <r>
      <rPr>
        <b/>
        <i/>
        <sz val="10"/>
        <color theme="1"/>
        <rFont val="Arial"/>
        <family val="2"/>
      </rPr>
      <t/>
    </r>
  </si>
  <si>
    <t>Contribuição  PAT (R$ 0,30)</t>
  </si>
  <si>
    <t>Aviso Prévio Trabalhado</t>
  </si>
  <si>
    <t xml:space="preserve">Substituto na cobertura de Férias </t>
  </si>
  <si>
    <t>UNIFORME</t>
  </si>
  <si>
    <t>POSTO DE TRABALHO</t>
  </si>
  <si>
    <t>VALOR UNITÁRIO</t>
  </si>
  <si>
    <t>VALOR TOTAL</t>
  </si>
  <si>
    <t>VALOR POR EMPREGADO</t>
  </si>
  <si>
    <t>GANDOLA - TECIDO RIP-STOP - PROFISSIONAL</t>
  </si>
  <si>
    <t>CALÇA - TECIDO RIP-STOP PROFISSIONAL</t>
  </si>
  <si>
    <t>BLUSAO DE FRIO - TECIDO RIP-STOP PROFISSIONAL</t>
  </si>
  <si>
    <t>CINTO EM POLIESTER, COM FIVELA E PONTEIRA</t>
  </si>
  <si>
    <t>CAMISETA - 100% ALGODÃO MANGA CURTA</t>
  </si>
  <si>
    <t>COTURNO HIDROFUGADO EM TECIDO POLIESTER  IMPERMEÁVEL, COM ZIPER</t>
  </si>
  <si>
    <t>MEIÃO - CONFECCIONADO EM ALGODAO, CANO LONGO</t>
  </si>
  <si>
    <t>VALOR TOTAL MENSAL POR EMPREGADO</t>
  </si>
  <si>
    <t>MATERIAIS E EQUIPAMENTOS</t>
  </si>
  <si>
    <t xml:space="preserve">MATERIAL E EQUIPAMENTOS AUXILIARES (REPOSIÇÃO MENSAL) </t>
  </si>
  <si>
    <t>Un</t>
  </si>
  <si>
    <t xml:space="preserve">Qtd.      </t>
  </si>
  <si>
    <t xml:space="preserve">VALOR MENSAL  </t>
  </si>
  <si>
    <t>Atadura de crepe de 20 cm x 1,80cm cor natural, constituída de fios de
algodão cru (rolo)</t>
  </si>
  <si>
    <t xml:space="preserve">rolo </t>
  </si>
  <si>
    <t>Algodão hidrófilo em bolinhas, com aspecto homogêneco e macio, cor
branca rolo 500Gr</t>
  </si>
  <si>
    <t xml:space="preserve">pacote </t>
  </si>
  <si>
    <t>Algodão hidrófilo em camadas (manta) continua em forma de rolo, com aspecto homogêneco e macio, cor branca 95 gramas</t>
  </si>
  <si>
    <t>Fita zebrada para isolamentoe (rolo com 200mts)</t>
  </si>
  <si>
    <t>unid</t>
  </si>
  <si>
    <t>Fita adesiva crepe esparadrapo impermeavel 10cm x 4,5cm</t>
  </si>
  <si>
    <t>Bandagem triangular, de 142x100x100 cm, confeccionada de tecido cru lavável, indicado no resgate de acidente pode ser usado nos membros superiores e inferiores, com imobilização precária.</t>
  </si>
  <si>
    <t>Compressa de gaze, medindo 10 x 15 cm, confeccionada com fios 100% algodão hidrófilo, pacote c/ 10 unidades</t>
  </si>
  <si>
    <t>Esparadrapo impermeável, micropore, comr branca tam. 10 x 4,5m</t>
  </si>
  <si>
    <t>Compressa de gaze, medindo 7,5 x 7,5 cm, confeccionada com fios 100% algodão hidrófilo, pacote c/ 10 unidades.</t>
  </si>
  <si>
    <t>Luva de látex para procedimento hospitalar, descartável alta sensibilidade tátil, boa elasticidade e resistência. unidades tam. P, M, G, caixa com 50 unidades</t>
  </si>
  <si>
    <t xml:space="preserve">caixa </t>
  </si>
  <si>
    <t>Luva vaqueta para proteção contra agentes químicos</t>
  </si>
  <si>
    <t xml:space="preserve">par </t>
  </si>
  <si>
    <t>Máscara PFF2, individual, com filtro e válvula - unidade</t>
  </si>
  <si>
    <t>Máscara círurgica descartável, formato retangular cor branca caixa com 50 unidades</t>
  </si>
  <si>
    <t>Plástico protetor de queimaduras e eviscerações, de 1m x 1m, embalagem individual</t>
  </si>
  <si>
    <t>Soro fisiológico de 0.9% em embalagem plástica de 250 ml.</t>
  </si>
  <si>
    <t xml:space="preserve">Valor Total dos Materiais/ Equipamentos </t>
  </si>
  <si>
    <t>Depreciação do material/equipamentos / 28 empregados</t>
  </si>
  <si>
    <t>Item</t>
  </si>
  <si>
    <t xml:space="preserve">Materiais e Equipamentos de Primeiros Socorros ( reposição anual ou a qualquer momento devido a defeito) </t>
  </si>
  <si>
    <t>Un.</t>
  </si>
  <si>
    <t xml:space="preserve">Qtd. Mensal </t>
  </si>
  <si>
    <t xml:space="preserve">VALOR UNITÁRIO REFERENCIAL </t>
  </si>
  <si>
    <t>Valor Total</t>
  </si>
  <si>
    <t>Aparelho de radiocomunicação, com níveis de potência ajustáveis, com alcance mínimo de 9,8 km na transmissão, nível profissional, acompanhado de carregador e baterias carregáveis.</t>
  </si>
  <si>
    <t>Cabo (corda) de segurança, em fibra sintética, de 12 mm x 50,00 m, 108,25 grs/metro, 9,25 m/kg, por brigadista.</t>
  </si>
  <si>
    <t>KIT 02 Bastões de Ronda com tecnologia em tempo real, com estojo de proteção e bateria + 10 Button com placa metálica para colocaçao em pontos de ronda, com adesivos ou parafuso para fixação + 01 Base coletora USB para descarga dos dados, com cabo de comunicaçao USB, manual de instalação e mídia com o sofwere para capturar dados dos bastões e gerar relatório de rondas</t>
  </si>
  <si>
    <t>aparelho para aferição de pressao Braço, digital automático com carregador</t>
  </si>
  <si>
    <t>Megafone portátil profissional, com cabo retrátil, com alça, potencia aprox. de 5W RMS, pilhas D, peso aprox. 450 grs, tamanho aprox. 24 cm, diâmetro de saída do som aprox. 15cm</t>
  </si>
  <si>
    <t>Capacete - C.A. 14816 - Capacete de Segurança Tipo III, Classe A, injetado em polipropileno, com tira absorvedora de suor confeccionada em neoprene com regulagem de tamanho feita através de ajuste simples com velcro e jugular confeccionada com fitas de poliéster com três pontos de ancoragem na parte interna do casco, com suportes de nylon para fixação de lanterna.</t>
  </si>
  <si>
    <t>Colar cervical, pequeno, confeccionado em polipropileno, suporte adaptável a qualquer forma e tamanho</t>
  </si>
  <si>
    <t>Colar cervical, médio, confeccionado em polipropileno, suporte adaptável a qualquer forma e tamanho .</t>
  </si>
  <si>
    <t>Colar cervical, grande, confeccionado em polipropileno, suporte adaptável a qualquer forma e tamanho .</t>
  </si>
  <si>
    <t>Lanternas Vigilight ou similar, de mão, tipo farolete, com lâmpada Halógena de 55W, tensão de carregador 110V/220V, peso máximo de 3,6 Kg.</t>
  </si>
  <si>
    <t>Óculos de segurança de Proteção Individual</t>
  </si>
  <si>
    <t>Manta Térmica aluminizada adulto, confeccionada em poliester metalizada</t>
  </si>
  <si>
    <t>Ressuscitador manual em silicone, tamanho adulto (conhecido comercialmente como Ambu)</t>
  </si>
  <si>
    <t>Tala moldável média, confeccionada em material metálico recoberto por espuma e envolvido em plástico transparente, dimensões de 63 x 09 x 02 cm (comprimento x largura x espessura).</t>
  </si>
  <si>
    <t>Tala moldável pequena, confeccionada em material metálico recoberto por espuma e envolvido em plástico transparente, dimensões de 30 x 08 x 02 cm (comprimento x largura x espessura).</t>
  </si>
  <si>
    <t>Tala moldável grande, confeccionada em material metálico recoberto por espuma e envolvido em plástico transparente, dimensões de 86 x 10 x 02 cm (comprimento x largura x espessura).</t>
  </si>
  <si>
    <t>termometro digital infravermelho sem contato, com tempo de mediçao de até 1 (um segundo) comvariação mínima de temperatura de 0º até 11ºC. Com registro na ANVISA ou IMNETRO.</t>
  </si>
  <si>
    <t>Tesoura sem ponta reta, confeccionada em aço inox, medindo 10 cm de comprimento.</t>
  </si>
  <si>
    <t>VALOR DOS EQUIPAMENTOS = ( valor total *10% depreciação/60 meses/28 empregados)</t>
  </si>
  <si>
    <t>DEPRECIAÇÃO DOS EQUIPAMENTOS</t>
  </si>
  <si>
    <t>Vigilante 12x36 Noturno</t>
  </si>
  <si>
    <t>Vigilante 12x36 Diurno</t>
  </si>
  <si>
    <t>Vigilante 12x36 Desarmado</t>
  </si>
  <si>
    <t>IV</t>
  </si>
  <si>
    <t>Supervisor 44 horas semanais</t>
  </si>
  <si>
    <t>Valor Mensal dos Serviços ( I + II + III + IV) - CCT 2024</t>
  </si>
  <si>
    <t>Valor Global dos Serviços ( I + II + III + IV)  12 MESES - CCT 2024</t>
  </si>
  <si>
    <t>SINDESV/SINDESP - DF/DF000333/2024</t>
  </si>
  <si>
    <t>Vigilância Noturna</t>
  </si>
  <si>
    <t>5173-30</t>
  </si>
  <si>
    <t>Vigilante Armado, 12 horas noturnas das 19h às 07h de 2ª a domingo em escala 12x36</t>
  </si>
  <si>
    <t xml:space="preserve">Seguro Acidente do Trabalho </t>
  </si>
  <si>
    <r>
      <t xml:space="preserve">Auxílio-Refeição/Alimentação </t>
    </r>
    <r>
      <rPr>
        <b/>
        <i/>
        <sz val="10"/>
        <color theme="1"/>
        <rFont val="Cambria"/>
        <family val="1"/>
      </rPr>
      <t>(R$ 47,37)</t>
    </r>
  </si>
  <si>
    <t xml:space="preserve">Nº Processo: </t>
  </si>
  <si>
    <t>Vigilância Diurna</t>
  </si>
  <si>
    <t>Vigilante Armado Diurno</t>
  </si>
  <si>
    <t xml:space="preserve">Pregão Eletrônico Nº: </t>
  </si>
  <si>
    <t>Supervisor de Pessoal</t>
  </si>
  <si>
    <t>5103-10</t>
  </si>
  <si>
    <t>Seguro Acidente de Trabalho</t>
  </si>
  <si>
    <t>Desconto do Vale Alimentação 2%</t>
  </si>
  <si>
    <t xml:space="preserve">Calça Preta em tecido Oxford com acabamento em primeira linha (masculino ou feminino) </t>
  </si>
  <si>
    <t xml:space="preserve">Camisa Branca Mista 60% algodão 40% Poliester, manga longa, com detalhes em piquet (deverá a camisa ter o logotipo da empresa), (masculino ou feminino) </t>
  </si>
  <si>
    <t>BLUSAO DE FRIO - PROFISSIONAL</t>
  </si>
  <si>
    <t>Vigilante Desarmado Diurno (Não Letal), 12 horas diurnas das 07 horas às 19 horas de 2ª a domingo escala 12x36</t>
  </si>
  <si>
    <t>QUANTITATIVO  MENSAL (h)</t>
  </si>
  <si>
    <t>VALOR PARCIAL</t>
  </si>
  <si>
    <t>Técnico de Redes (cabeamento estruturado)</t>
  </si>
  <si>
    <t>TIPO DE SERVIÇO</t>
  </si>
  <si>
    <t>TOTAL DOS SERVIÇOS POR DEMANDA POR UNIDADE DE ÁREA (R$/m²)</t>
  </si>
  <si>
    <t>RESUMO DAS TABELAS DE SERVIÇOS POR DEMANDA</t>
  </si>
  <si>
    <t>Consumo de Material para manutenção</t>
  </si>
  <si>
    <t>Serviços especializados</t>
  </si>
  <si>
    <t>Serviços de Vidraçaria</t>
  </si>
  <si>
    <t>Fornecimento e Instalação de Divisórias</t>
  </si>
  <si>
    <t>Sinalização Visual</t>
  </si>
  <si>
    <t>Serviços de Chaveiro</t>
  </si>
  <si>
    <t>Dedetezição</t>
  </si>
  <si>
    <t>Gerenciamento de Resíduos Sólidos</t>
  </si>
  <si>
    <t>1.17</t>
  </si>
  <si>
    <t>1.18</t>
  </si>
  <si>
    <t>1.19</t>
  </si>
  <si>
    <t>1.20</t>
  </si>
  <si>
    <t>1.21</t>
  </si>
  <si>
    <t>1.22</t>
  </si>
  <si>
    <t>1.23</t>
  </si>
  <si>
    <t>1.24</t>
  </si>
  <si>
    <t>1.25</t>
  </si>
  <si>
    <t>Manutenção de Elevadores</t>
  </si>
  <si>
    <t>LIMPEZA</t>
  </si>
  <si>
    <t xml:space="preserve"> PLANILHA DE CUSTOS E FORMAÇÃO DE PREÇOS </t>
  </si>
  <si>
    <t>Nº Processo</t>
  </si>
  <si>
    <t>Licitação Nº</t>
  </si>
  <si>
    <t>DIA __/__/__ às __:__ HORAS</t>
  </si>
  <si>
    <t>DISCRIMINAÇÃO DOS SERVIÇOS (DADOS REFERENTE À CONTRATAÇÃO)</t>
  </si>
  <si>
    <t>Data de apresentação da proposta (dia/mês/ano)</t>
  </si>
  <si>
    <t>Brasília - DF</t>
  </si>
  <si>
    <r>
      <rPr>
        <sz val="14"/>
        <color indexed="8"/>
        <rFont val="Arial Unicode MS"/>
      </rPr>
      <t xml:space="preserve">Ano Acordo, Convenção ou Sentença Normativa em Dissídio Coletivo /  </t>
    </r>
    <r>
      <rPr>
        <sz val="11"/>
        <color indexed="8"/>
        <rFont val="Arial Unicode MS"/>
        <family val="2"/>
      </rPr>
      <t xml:space="preserve">           </t>
    </r>
  </si>
  <si>
    <t>SEAC/DF/ DF000012/2023</t>
  </si>
  <si>
    <t>Nº de meses de execução contratual</t>
  </si>
  <si>
    <t>Nº de dias p/ o cálculo do vale transporte e auxílio alimentação</t>
  </si>
  <si>
    <t>IDENTIFICAÇÃO DO SERVIÇO</t>
  </si>
  <si>
    <t xml:space="preserve"> Unidade de Medida</t>
  </si>
  <si>
    <t>Quantidade total a contratar (em função da unidade de medida)</t>
  </si>
  <si>
    <t xml:space="preserve">COPEIRA </t>
  </si>
  <si>
    <t>POSTO</t>
  </si>
  <si>
    <t>1. MÓDULOS</t>
  </si>
  <si>
    <t>Mão de obra vinculada à execução contratual</t>
  </si>
  <si>
    <t>Dados para composição dos custos referente à mão-de-obra</t>
  </si>
  <si>
    <t>COPEIRA - 44 HORAS SEMANAIS</t>
  </si>
  <si>
    <t>Classificação Brasileira de Ocupações (CBO)</t>
  </si>
  <si>
    <t>5134-25</t>
  </si>
  <si>
    <t>Categoria profissional (vinculada à execução contratual)</t>
  </si>
  <si>
    <t>SERVENTE 44 HORAS SEMANAIS</t>
  </si>
  <si>
    <t>1º de janeiro de 2022</t>
  </si>
  <si>
    <t>Nota 1: Deverá ser elaborado um quadro para cada tipo de serviço.</t>
  </si>
  <si>
    <t xml:space="preserve"> Nota 2: A planilha será calculada considerando o valor mensal do empregado.</t>
  </si>
  <si>
    <t>MÓDULO 01 - COMPOSIÇÃO DA REMUNERAÇÃO</t>
  </si>
  <si>
    <r>
      <t xml:space="preserve">Salário Base </t>
    </r>
    <r>
      <rPr>
        <b/>
        <i/>
        <sz val="12"/>
        <color indexed="8"/>
        <rFont val="Arial Unicode MS"/>
      </rPr>
      <t>(Cláusula Terceira)</t>
    </r>
  </si>
  <si>
    <r>
      <t xml:space="preserve">Adicional de periculosidade </t>
    </r>
    <r>
      <rPr>
        <b/>
        <i/>
        <sz val="12"/>
        <color indexed="8"/>
        <rFont val="Arial Unicode MS"/>
      </rPr>
      <t xml:space="preserve"> (CCT / Cláusula Décima Primeira)</t>
    </r>
  </si>
  <si>
    <t xml:space="preserve">Adicional Noturno  </t>
  </si>
  <si>
    <t xml:space="preserve">Adicional de Hora Noturna Reduzida </t>
  </si>
  <si>
    <t>Total da Remuneração</t>
  </si>
  <si>
    <t xml:space="preserve">  </t>
  </si>
  <si>
    <t>Nota 1: O Módulo 1 refere-se ao valor mensal devido ao empregado pela prestação do serviço no período de 12 meses.</t>
  </si>
  <si>
    <t>MÓDULO 02 - ENCARGOS E BENEFÍCIOS ANUAIS, MENSAIS E DIÁRIOS</t>
  </si>
  <si>
    <t>Submódulo 2.1 - 13° (décimo terceiro) Salário, Férias e Adicional de Férias</t>
  </si>
  <si>
    <t>13º Salário, Férias e Adicional de Férias</t>
  </si>
  <si>
    <t>%</t>
  </si>
  <si>
    <t xml:space="preserve">13º Salário                                                                                </t>
  </si>
  <si>
    <t xml:space="preserve">Férias e Adicional de Férias                                 </t>
  </si>
  <si>
    <t>Subtotal</t>
  </si>
  <si>
    <t>Incidência do submódulo 2.2 sobre 13º Salário, Férias e Adicional de Férias</t>
  </si>
  <si>
    <t>Submódulo 2.2 -Encargos Previdenciários (GPS), Fundo de Garantia por Tempo de Serviço (FGTS) e outras contribuições.</t>
  </si>
  <si>
    <r>
      <rPr>
        <sz val="14"/>
        <color indexed="8"/>
        <rFont val="Arial Unicode MS"/>
        <family val="2"/>
      </rPr>
      <t xml:space="preserve">Seguro acidente do trabalho    </t>
    </r>
    <r>
      <rPr>
        <b/>
        <i/>
        <sz val="14"/>
        <color indexed="8"/>
        <rFont val="Arial Unicode MS"/>
        <family val="2"/>
      </rPr>
      <t xml:space="preserve"> </t>
    </r>
  </si>
  <si>
    <t>SENAC ou SENAI</t>
  </si>
  <si>
    <t>TOTAL</t>
  </si>
  <si>
    <t>Submódulo 2.3 - Benefícios Mensais e Diários</t>
  </si>
  <si>
    <t>Transporte (CLÁUSULA DÉCIMA QUINTA - VALE-TRANSPORTE)</t>
  </si>
  <si>
    <t>(21*11)-(F37*6)</t>
  </si>
  <si>
    <r>
      <t xml:space="preserve">Auxílio Alimentação </t>
    </r>
    <r>
      <rPr>
        <b/>
        <i/>
        <sz val="12"/>
        <color indexed="8"/>
        <rFont val="Arial Unicode MS"/>
      </rPr>
      <t>(CLÁUSULA DÉCIMA QUARTA ) R$ 42,20 x 21 dias</t>
    </r>
  </si>
  <si>
    <t>b.1</t>
  </si>
  <si>
    <t>Desconto do Auxílio Alimentação</t>
  </si>
  <si>
    <t>b.2</t>
  </si>
  <si>
    <t>Auxílio Alimentação Descontado</t>
  </si>
  <si>
    <t>ASSISTÊNCIA ODONTOLÓGICA (CLÁUSULA DÉCIMA SÉTIMA)</t>
  </si>
  <si>
    <t>ASSISTÊNCIA FUNERAL (CLÁUSULA DÉCIMA OITAVA)</t>
  </si>
  <si>
    <t>PLANO AMBULATORIAL (CLÁUSULA DÉCIMA SEXTA)</t>
  </si>
  <si>
    <t>Total de Benefícios mensais e diários</t>
  </si>
  <si>
    <t>Afastamento maternidade</t>
  </si>
  <si>
    <t>MÓDULO 03 - PROVISÃO PARA RESCISÃO</t>
  </si>
  <si>
    <t>Provisão para rescisão</t>
  </si>
  <si>
    <r>
      <t xml:space="preserve">Aviso prévio indenizado      </t>
    </r>
    <r>
      <rPr>
        <b/>
        <i/>
        <sz val="12"/>
        <color indexed="8"/>
        <rFont val="Arial Unicode MS"/>
      </rPr>
      <t xml:space="preserve">   </t>
    </r>
  </si>
  <si>
    <t>Incidência do FGTS sobre Aviso prévio indenizado</t>
  </si>
  <si>
    <r>
      <t>Multa do FGTS e contribuição social sobre o aviso prévio indenizado (Rescisão sem Justa Causa)</t>
    </r>
    <r>
      <rPr>
        <i/>
        <sz val="14"/>
        <color indexed="8"/>
        <rFont val="Arial Unicode MS"/>
        <family val="2"/>
      </rPr>
      <t xml:space="preserve"> </t>
    </r>
    <r>
      <rPr>
        <i/>
        <sz val="12"/>
        <color indexed="8"/>
        <rFont val="Arial Unicode MS"/>
      </rPr>
      <t/>
    </r>
  </si>
  <si>
    <t xml:space="preserve">Aviso prévio trabalhado                                                                              </t>
  </si>
  <si>
    <t>Incidência de GPS, FGTS e outras contribuições sobre o Aviso Prévio Trabalhado</t>
  </si>
  <si>
    <r>
      <t xml:space="preserve">Multa do FGTS e contribuição social sobre aviso prévio trabalhado </t>
    </r>
    <r>
      <rPr>
        <b/>
        <i/>
        <sz val="14"/>
        <color indexed="8"/>
        <rFont val="Arial Unicode MS"/>
        <family val="2"/>
      </rPr>
      <t/>
    </r>
  </si>
  <si>
    <t>MÓDULO 04 - CUSTO DE REPOSIÇÃO DO PROFISSIONAL AUSENTE</t>
  </si>
  <si>
    <t>Submódulo 4.1 - Substituto nas Ausências Legais</t>
  </si>
  <si>
    <t>Substituto nas Ausências legais</t>
  </si>
  <si>
    <r>
      <t xml:space="preserve">Substituto na cobertura de Férias                                                        </t>
    </r>
    <r>
      <rPr>
        <b/>
        <i/>
        <sz val="14"/>
        <color indexed="8"/>
        <rFont val="Arial Unicode MS"/>
        <family val="2"/>
      </rPr>
      <t xml:space="preserve"> </t>
    </r>
  </si>
  <si>
    <r>
      <t xml:space="preserve">Substituto na cobertura de Ausências legais </t>
    </r>
    <r>
      <rPr>
        <b/>
        <sz val="14"/>
        <color indexed="8"/>
        <rFont val="Arial Unicode MS"/>
        <family val="2"/>
      </rPr>
      <t xml:space="preserve">                                              </t>
    </r>
  </si>
  <si>
    <r>
      <t>Substituto na cobertura de Licença-Paternidade</t>
    </r>
    <r>
      <rPr>
        <b/>
        <i/>
        <sz val="14"/>
        <color indexed="8"/>
        <rFont val="Arial Unicode MS"/>
        <family val="2"/>
      </rPr>
      <t xml:space="preserve">                                  </t>
    </r>
  </si>
  <si>
    <t xml:space="preserve">Substituto na cobertura de Aus. por acidente de trabalho               </t>
  </si>
  <si>
    <r>
      <t>Substituto na cobertura de Afastamento Maternidade</t>
    </r>
    <r>
      <rPr>
        <b/>
        <sz val="14"/>
        <color indexed="8"/>
        <rFont val="Arial Unicode MS"/>
        <family val="2"/>
      </rPr>
      <t xml:space="preserve">              </t>
    </r>
  </si>
  <si>
    <r>
      <t xml:space="preserve">Substituto na cobertura de Ausência por Doença                                     </t>
    </r>
    <r>
      <rPr>
        <i/>
        <sz val="14"/>
        <color indexed="8"/>
        <rFont val="Arial Unicode MS"/>
        <family val="2"/>
      </rPr>
      <t xml:space="preserve">  </t>
    </r>
  </si>
  <si>
    <t xml:space="preserve">4.2 </t>
  </si>
  <si>
    <t>Substituto na cobertura de intervalo para repouso ou alimentação</t>
  </si>
  <si>
    <t>Quadro - Resumo do Módulo 4 - Custo de Reposição do Profissional Ausente</t>
  </si>
  <si>
    <t>4.</t>
  </si>
  <si>
    <t xml:space="preserve"> Substituto nas Ausências legais</t>
  </si>
  <si>
    <t>Encargos previdenciários e FGTS</t>
  </si>
  <si>
    <t xml:space="preserve"> Substituto na Intrajornada</t>
  </si>
  <si>
    <t>MÓDULO 05 - INSUMOS DIVERSOS</t>
  </si>
  <si>
    <t>5.</t>
  </si>
  <si>
    <t xml:space="preserve">Uniformes </t>
  </si>
  <si>
    <t>Depreciação /Equipamentos</t>
  </si>
  <si>
    <t>Nota: Valores mensais por empregado.</t>
  </si>
  <si>
    <t>MÓDULO 6 - CUSTOS INDIRETOS, TRIBUTOS E LUCRO</t>
  </si>
  <si>
    <t>6.</t>
  </si>
  <si>
    <t>Custos Indiretos (Conforme caderno de logística 2019)</t>
  </si>
  <si>
    <t>Lucro (Conforme caderno de logística 2019)</t>
  </si>
  <si>
    <t>C.1</t>
  </si>
  <si>
    <t>PIS</t>
  </si>
  <si>
    <t>C.2</t>
  </si>
  <si>
    <t>COFINS</t>
  </si>
  <si>
    <t>C.3</t>
  </si>
  <si>
    <t>ISS</t>
  </si>
  <si>
    <t>C.4</t>
  </si>
  <si>
    <t>INSS Patronal</t>
  </si>
  <si>
    <t>TOTAL DO BDI</t>
  </si>
  <si>
    <t>Os percentuais dos tributos foram cotados com supedâneo no Art. 3º, § 4º e § 5º  da Instrução Normativa  IN RFB nº 1234, de 11 de janeiro de 2012.</t>
  </si>
  <si>
    <t>Módulo 1 – Composição da Remuneração</t>
  </si>
  <si>
    <t>Módulo 2 – Encargos e Benefícios Anuais, Mensais e Diários</t>
  </si>
  <si>
    <t>Módulo 3 – Provisão para rescisão</t>
  </si>
  <si>
    <t>Módulo 4 – Custo de Reposição do profissional ausente</t>
  </si>
  <si>
    <t>Módulo 5 – Insumos Diversos</t>
  </si>
  <si>
    <t>Subtotal ( A + B + C + D + E)</t>
  </si>
  <si>
    <t>Valor Total por Empregado</t>
  </si>
  <si>
    <t>3. QUADRO-RESUMO DO VALOR MENSAL DOS SERVIÇOS</t>
  </si>
  <si>
    <t>Valor proposto por empregado</t>
  </si>
  <si>
    <t>Valor total do serviço</t>
  </si>
  <si>
    <t>(A)</t>
  </si>
  <si>
    <t>(B)</t>
  </si>
  <si>
    <t>(C)</t>
  </si>
  <si>
    <t>(D) = (B x C)</t>
  </si>
  <si>
    <t>(F) = (D x E)</t>
  </si>
  <si>
    <t xml:space="preserve">Serviço </t>
  </si>
  <si>
    <r>
      <t xml:space="preserve">(1+A)x (1+B) </t>
    </r>
    <r>
      <rPr>
        <sz val="16"/>
        <color indexed="8"/>
        <rFont val="Arial Unicode MS"/>
        <family val="2"/>
      </rPr>
      <t xml:space="preserve"> -1 </t>
    </r>
  </si>
  <si>
    <t xml:space="preserve">              1-C</t>
  </si>
  <si>
    <t>A - Taxa de Administração / Custos Indiretos</t>
  </si>
  <si>
    <t>BONIFICAÇÕES</t>
  </si>
  <si>
    <t>B - Taxa de Lucro</t>
  </si>
  <si>
    <t>DESPESAS INDIRETAS</t>
  </si>
  <si>
    <t>C - Tributos</t>
  </si>
  <si>
    <t>IMPOSTOS</t>
  </si>
  <si>
    <t xml:space="preserve">QUADRO DE RESUMO - VALORES MENSAL E ANUAL - CENÁRIO MÁXIMO </t>
  </si>
  <si>
    <t xml:space="preserve">Tipo de serviço
(A)
</t>
  </si>
  <si>
    <t xml:space="preserve">Valor proposto por posto
(B)
</t>
  </si>
  <si>
    <t xml:space="preserve">Qtde
de postos
(C)
</t>
  </si>
  <si>
    <t xml:space="preserve">Valor mensal do serviço (D)
(D) = (B x C)
</t>
  </si>
  <si>
    <t xml:space="preserve">Valor anual do serviço (E)
(E) = (D x 12)
</t>
  </si>
  <si>
    <t>Copeira</t>
  </si>
  <si>
    <t>Garçom</t>
  </si>
  <si>
    <t>Carregador/estiva</t>
  </si>
  <si>
    <t>Encarregado-Geral</t>
  </si>
  <si>
    <t xml:space="preserve">VALOR ANUAL ESTIMADO DOS INSUMOS </t>
  </si>
  <si>
    <t xml:space="preserve">VALOR ANUAL  ESTIMADO (SERVIÇO+INSUMOS)  - CENÁRIO MÁXIMO </t>
  </si>
  <si>
    <t xml:space="preserve">VALOR MENSAL  ESTIMADO DOS  SERVIÇOS </t>
  </si>
  <si>
    <t xml:space="preserve">VALOR MENSAL  ESTIMADO DOS INSUMOS </t>
  </si>
  <si>
    <t xml:space="preserve">VALOR MENSAL   ESTIMADO (SERVIÇO+INSUMOS)  - CENÁRIO MÁXIMO </t>
  </si>
  <si>
    <t xml:space="preserve">GARÇOM   </t>
  </si>
  <si>
    <t>GARÇOM 44 HORAS SEMANAIS</t>
  </si>
  <si>
    <t>5134-05</t>
  </si>
  <si>
    <t>Lavador de veículos 44 HORAS SEMANAIS</t>
  </si>
  <si>
    <t xml:space="preserve">Férias e Adicional de Férias                                </t>
  </si>
  <si>
    <t xml:space="preserve">               1-C</t>
  </si>
  <si>
    <t xml:space="preserve">CARREGADOR </t>
  </si>
  <si>
    <t>CARREGADOR/ESTIVA - 44 HORAS SEMANAIS</t>
  </si>
  <si>
    <t xml:space="preserve">             1-C</t>
  </si>
  <si>
    <t xml:space="preserve">SEAC/DF/ DF000015/2022   </t>
  </si>
  <si>
    <t>SUPERVISÃO</t>
  </si>
  <si>
    <t>APOIO</t>
  </si>
  <si>
    <t xml:space="preserve">ENCARREGADO - GERAL </t>
  </si>
  <si>
    <t>5142-25</t>
  </si>
  <si>
    <t>ENCARREGADO DE LIMPEZA</t>
  </si>
  <si>
    <t>01 de janeiro de 2022</t>
  </si>
  <si>
    <t>Adicional de periculosidade</t>
  </si>
  <si>
    <t xml:space="preserve">Férias e Adicional de Férias                                  </t>
  </si>
  <si>
    <t>Outros (Especificar)</t>
  </si>
  <si>
    <t>Quadro - Resumo do Módulo 2 -Encargos e Benefícios Anuais, Mensais e Diários</t>
  </si>
  <si>
    <t xml:space="preserve">Aviso prévio trabalhado                                                                          </t>
  </si>
  <si>
    <r>
      <t xml:space="preserve">Substituto na cobertura de Férias (8,33%+(2,77%)/12=0,93                    </t>
    </r>
    <r>
      <rPr>
        <b/>
        <i/>
        <sz val="14"/>
        <color indexed="8"/>
        <rFont val="Arial Unicode MS"/>
        <family val="2"/>
      </rPr>
      <t xml:space="preserve"> </t>
    </r>
  </si>
  <si>
    <t xml:space="preserve"> Mão de obra vinculada à execução contratual (valor por empregado)</t>
  </si>
  <si>
    <t xml:space="preserve">                1-C</t>
  </si>
  <si>
    <t xml:space="preserve">ANEXO III LOTE  1 - ORÇAMENTO E DEPRECIAÇAO  RESIDUAL DOS  EQUIPAMENTOS </t>
  </si>
  <si>
    <t>CONTA CONTÁBIL</t>
  </si>
  <si>
    <t>QTD.</t>
  </si>
  <si>
    <t xml:space="preserve">VALOR UNITÁRIO ESTIMADO </t>
  </si>
  <si>
    <t>VALOR TOTAL MENSAL</t>
  </si>
  <si>
    <t>VALOR RESIDUAL DO BEM AO FINAL DO PERÍODO (10%)</t>
  </si>
  <si>
    <t>VIDA ÚTIL DO EQUIPAMENTO                                                   (10 ANOS)</t>
  </si>
  <si>
    <t>VALOR DO BEM DEPRECIADO  AO MÊS</t>
  </si>
  <si>
    <t>MEMÓRIA DE CÁLCULO DO VALOR DO BEM DEPRECIADO AO MÊS</t>
  </si>
  <si>
    <t>C = A x B</t>
  </si>
  <si>
    <t>F = (C x D) / E</t>
  </si>
  <si>
    <t>G = F</t>
  </si>
  <si>
    <t>14212.38.00</t>
  </si>
  <si>
    <t xml:space="preserve">carrinho para servir cha/café,  em aço,  rodas solidas,  tres prateleiras ajustaveis, cobertura  em polipropileno </t>
  </si>
  <si>
    <t>(F6 x 0,9) / H6</t>
  </si>
  <si>
    <t>Carrinho em aço, para transporte de garrafão de água de 20 (vinte) litros, capacidade  para 4 (quatro)  garrafões, equipados com 2 rodas pneumáticas reforçadas, medidas: 1300X800MM, incluindo  manutenção  corretiva e preventiva.</t>
  </si>
  <si>
    <t>(F7 x 0,9) / H7</t>
  </si>
  <si>
    <r>
      <t xml:space="preserve">Carrinho </t>
    </r>
    <r>
      <rPr>
        <sz val="10"/>
        <color indexed="10"/>
        <rFont val="Arial"/>
        <family val="2"/>
      </rPr>
      <t xml:space="preserve">inteiriço </t>
    </r>
    <r>
      <rPr>
        <sz val="10"/>
        <color indexed="8"/>
        <rFont val="Arial"/>
        <family val="2"/>
      </rPr>
      <t xml:space="preserve"> em aço,  para transporte de cargas, tipo armazem, capacidade minima de carga de 120 quilos, em aço tubular, pintura epóx padrao cinza, rodas macicas de 12", dimensoes minimas  (a x l x c) cm  1.300x230x360 incluindo manutençao preventiva e corretiva.</t>
    </r>
  </si>
  <si>
    <t>(F8 x 0,9) / H8</t>
  </si>
  <si>
    <t>Maquina  para café  expresso elétrica, 220 volts, para uso exclusivo de café em grãos,  Recipiente de grão de 350 gramas, removível;  Reservatório de água 1,7litros, removível; Reservatório de borras de café de 15 borras, removível; • Potência: 1.250 W;  Pressão: 15 bar;  Moinho Ajustável e removível;  Função Aroma Vaporizador, com saida de água quente;
Bandeja de resíduos removível;  Ajuste de quantidade de café; Opção dose dupla. Incluindo  manutenção corretiva e preventiva e fornecimento  todo material  necessário para uso e limpeza,</t>
  </si>
  <si>
    <t>(F9 x 0,9) / H9</t>
  </si>
  <si>
    <t>-</t>
  </si>
  <si>
    <t>Valor da depreciação mensal por empregado (36 funcionários)</t>
  </si>
  <si>
    <t xml:space="preserve">0,9 = Significa o valor líquido do equipamento ao final da sua  vida útil, deduzido os desgastes esperados do bem (depreciação / amortizaçaõ ou exaustão acumulada) = (90%), logo, o valor residual do ativo ao final do período será de 10% em relação ao seu valor bruto (100%- 10% = 90%) </t>
  </si>
  <si>
    <t xml:space="preserve">OBS. 1 - Para o cálculo do  valor do bem depreciado ao mês, considerou-se a vida útil do bem móvel durável de 10 anos e valor residual ao final do período de 10%.                                                                                                                                           O Parâmetro de referência utilizado p/ aferir a depreciação mensal linear das ferramentas / equipamentos listados acima foi embasado no Manual Siafi do Ministério da Fazenda. Secretaria do Tesouro Nacional - Reavaliação, Redução a Valor Recuperável, Depreciação, Amortização e Exaustão na Administração Direta da União, Autarquia e Fundação. Data do acesso ao documento: 26/02/2015 ÀS 10:33 HORAS. http://manualsiafi.tesouro.fazenda.gov.br/pdf/020000/020300/020330. </t>
  </si>
  <si>
    <t>OBS. 2 - As ferramentas e equipamentos listados acima deverão ser fornecidos, a qualquer tempo pela contratada, em perfeito estado de conservação, quando necessário para a execução de serviços de manutenção preventiva e corretiva das instalações prediais, inclusive, a mesma deverá arcar com qualquer custo adicional referente à frete, mobilização, controle, manutenção, carga e descarga, armazenagem e guarda dos mesmos, não devendo este ônus recair à Contratante.</t>
  </si>
  <si>
    <t xml:space="preserve">PESQUISA REALIZADA  EM  COMERCIO </t>
  </si>
  <si>
    <t xml:space="preserve">VALOR ESTIMADO UNITARIO </t>
  </si>
  <si>
    <t xml:space="preserve">PLANILHA COM OS CUSTOS DO UNIFORME </t>
  </si>
  <si>
    <t xml:space="preserve">Garçom (masculino ou feminino) </t>
  </si>
  <si>
    <t>Descrição do Uniforme</t>
  </si>
  <si>
    <t>Quant. de uniformes fornecidos por semestre             (A)</t>
  </si>
  <si>
    <t>Quant. de uniformes fornecidos em um ano   (B)</t>
  </si>
  <si>
    <t xml:space="preserve">Painel de Preços/Art. 5º, item III, conforme IN 65/2021 </t>
  </si>
  <si>
    <t>Painel de Preços/Art. 5º, item III, conforme IN 65/2021</t>
  </si>
  <si>
    <t>Média (C)</t>
  </si>
  <si>
    <t>Custo Anual  do uniforme                        (BxC)</t>
  </si>
  <si>
    <t>Custo Mensal do Uniforme                    (BxC) / 12</t>
  </si>
  <si>
    <t xml:space="preserve">cinto preto, de couro, com fivela cromada discreta (masculino ou feminino) </t>
  </si>
  <si>
    <t xml:space="preserve">Par de meias social, cor preta, tamanho único (masculino ou feminino) </t>
  </si>
  <si>
    <t xml:space="preserve">Gravata Slim, Preta com acabamento de primeira linha (masculino ou feminino) </t>
  </si>
  <si>
    <t xml:space="preserve">Para de sapatos tipo social, na cor preta, 100% couro (masculino ou feminino) </t>
  </si>
  <si>
    <t xml:space="preserve">Crachá de identificação modelo padrão da empresa </t>
  </si>
  <si>
    <t>Total Anual do Uniforme de Garçom</t>
  </si>
  <si>
    <t>PLANILHA COM OS CUSTOS DO UNIFORME / COPEIRA</t>
  </si>
  <si>
    <t>Custo Anual  do uniforme                       (BxC)</t>
  </si>
  <si>
    <t>Custo Mensal do Uniforme                 (BxC) / 12</t>
  </si>
  <si>
    <t>Calça com elástico em tecido oxford (de primeira linha)</t>
  </si>
  <si>
    <t>Blusa Social, manga curta</t>
  </si>
  <si>
    <t xml:space="preserve">Avental de tecido preto com ajustes no pescoço e na cintura </t>
  </si>
  <si>
    <t>Sapato feminino 100% couro, com solado antiderrapante (de primeira linha</t>
  </si>
  <si>
    <t>Touca para Prender cabelos, confeccionada em filó</t>
  </si>
  <si>
    <t xml:space="preserve">Meia preta </t>
  </si>
  <si>
    <t>Total Anual do Uniforme de Copeiragem</t>
  </si>
  <si>
    <t>PLANILHA COM OS CUSTOS DO UNIFORME / CARREGADOR</t>
  </si>
  <si>
    <t>Carregador</t>
  </si>
  <si>
    <t>Custo Mensal do Uniforme                  (BxC) / 12</t>
  </si>
  <si>
    <t>Calça Jeans Azul Escuro</t>
  </si>
  <si>
    <t>Camiseta Polo Cinza Malha de algodão</t>
  </si>
  <si>
    <t>Bota ou Tenis cano médio</t>
  </si>
  <si>
    <t>luva tipo vaqueta</t>
  </si>
  <si>
    <t>Total Anual do Uniforme de Carregador</t>
  </si>
  <si>
    <t>PLANILHA COM OS CUSTOS DO UNIFORME / Encarregado Geral</t>
  </si>
  <si>
    <t xml:space="preserve">Encarregado Geral (masculino ou feminino) </t>
  </si>
  <si>
    <t>Custo Anual  do uniforme por Servente                         (BxC)</t>
  </si>
  <si>
    <t>Custo Mensal do Uniforme por Servente                    (BxC) / 12</t>
  </si>
  <si>
    <t>TERNO (paletó e calça) social cor preta, em tecido microfibra, com
acabamento de primeira linha (modelo masculino ou feminino)</t>
  </si>
  <si>
    <t xml:space="preserve">Camisa azul clara em tecido misto 60% algodão, 40% poliester, manga longa (modelo masculino ou feminino) </t>
  </si>
  <si>
    <t>Cinto preto, de couro, com fivela cromada, discreta.</t>
  </si>
  <si>
    <t xml:space="preserve">Par de sapatos tipo social, na cor preta, 100% couro, com cadarço como
solado antiderrapante, com palmilha acolchoada, antiodor (modelo masculino ou feminino) </t>
  </si>
  <si>
    <t xml:space="preserve">Par de meias, social, na cor preta, 100% algodão, tamanho único (modelo masculino ou feminino) </t>
  </si>
  <si>
    <t>Total Anual do Uniforme de Enc. Geral</t>
  </si>
  <si>
    <t xml:space="preserve">ITEM </t>
  </si>
  <si>
    <t xml:space="preserve">                    MATERIAIS </t>
  </si>
  <si>
    <t>UNIDADE DE MEDIDA</t>
  </si>
  <si>
    <t>MATERIAL MENSAL</t>
  </si>
  <si>
    <t>MATERIAL ANUAL</t>
  </si>
  <si>
    <t xml:space="preserve">Valor UNITÁRIO ACEITAVEL </t>
  </si>
  <si>
    <t>BDI (14,16%)</t>
  </si>
  <si>
    <t>VALOR MEDIO ACEITÁVEL  COM BDI</t>
  </si>
  <si>
    <t xml:space="preserve">VALOR MENSAL ESTIMADO </t>
  </si>
  <si>
    <t xml:space="preserve">VALOR ANUAL ESTIMADO </t>
  </si>
  <si>
    <t xml:space="preserve">Açúcar cristal, composto de sacarose de cana-de-açúcar. Acondicionada em embalagem plástica resistente de 5 Kg. Com  prazo de validade  mínima  de 6 meses a partir data de entrega
</t>
  </si>
  <si>
    <t>pct</t>
  </si>
  <si>
    <t>Adoçante em frasco de  100ml, com ou sem aspartame</t>
  </si>
  <si>
    <t>Café categoria qualidade Superior, torrado e moído, em pó homogêneo, constituído de grãos tipo 6 COB (Classificação Oficial Brasileira. Gosto predominante a café arábica, admitindo-se café robusta (conilon), com classificação de bebida dura. Acondicionado
em embalagem aluminizada, fechada hermeticamente (à vácuo, tipo tijolinhos) com validade mínima de 6 meses contados da data de entrega. A serem entregues em pacotes de 500 (quinhentos) gramas.</t>
  </si>
  <si>
    <t>quilos</t>
  </si>
  <si>
    <t>Café torrado em grão superior</t>
  </si>
  <si>
    <t xml:space="preserve">Chá para alimentação,  caixa do 10 (dez)  sachês, sabores: hortelã, verde, camomila, maçã com canela, erva cidreira, morango, mate  tradicional </t>
  </si>
  <si>
    <t>caixa</t>
  </si>
  <si>
    <t>Luva de borracha para lidar com alimentos -  caixa com 100 unidades - sem talco</t>
  </si>
  <si>
    <t xml:space="preserve">Porta sabão e esponja </t>
  </si>
  <si>
    <t>Pano de prato</t>
  </si>
  <si>
    <t>Açucareiro em inox , com pá e tampa articulada cap.  300gr.</t>
  </si>
  <si>
    <t>Caneco (leiteira)  em aluminio, com borda e bico, com alça em madeira ou plastico, com capacidade de 2,5 e 3 litros</t>
  </si>
  <si>
    <t xml:space="preserve">Coador para máquina de café (conforme  tamanhos das maquinas instaladas) </t>
  </si>
  <si>
    <t xml:space="preserve">coletor duplo de  copo descartável (agua e café), capacidade 100 copos </t>
  </si>
  <si>
    <t>Colher de bambu 50 cm, para caldeirão</t>
  </si>
  <si>
    <t>Copo descartável, poliestireno não tóxico, de 200 ml, na cor branca, corpo frisado, bordas arredondadas, peso mínimo de 2,2 gramas de acordo com a NBR 14856. Acondicionado em sacos plásticos, lacrados contendo 100 unidades cada um.</t>
  </si>
  <si>
    <t>Copo descartável, poliestireno não tóxico, de 50ml, não tóxico, na cor branca, corpo frisado, bordas arredondadas, peso mínimo de 2,2gr, de acordo com a NBR 14856. Acondicionado em sacos plásticos, lacrados contendo 100 unidades cada um.</t>
  </si>
  <si>
    <t>UNID</t>
  </si>
  <si>
    <t>Copo meio cristal liso para água, transparente, cilíndrico, com aproximadamente 14 cm de altura, 7 cm de diâmetro de boca, com capacidade para aproximadamente 360 ml, fundo reforçado.</t>
  </si>
  <si>
    <t>Forro emborrachado na cor branca, para bandejas redondas de 35 cm de diametro.</t>
  </si>
  <si>
    <t>Forro dos carrinhos RETANGULAR</t>
  </si>
  <si>
    <t>Garrafa térmica de mesa,  revestimento externo em inox, com ampola de vidro, com capacidade para 1,8  litro, sistema de pressão (bomba) anti pingo, conservação de liquidos frios e quentes, com garantia de conservação de temperatura de 6 horas.</t>
  </si>
  <si>
    <t>Garrafa térmica para eventos no auditório, com capacidade de 2,5 litros, revestida em inox escovado, com ampola de vidro, sistema de pressão (bomba) anti pingos, garantia de conservação de temperatura de 12 horas.</t>
  </si>
  <si>
    <t xml:space="preserve">Jarra em inox com tampa articulada 2 litros e alça. </t>
  </si>
  <si>
    <t xml:space="preserve">Pote guarda mantimentos em alumínio  cap. 4,5 litros </t>
  </si>
  <si>
    <t>Apoio para copo em aço inox, kit 6 peças</t>
  </si>
  <si>
    <t>Xícara com pires, para café, com capacidade de 50 ml, em porcelana de 1ª linha branca.</t>
  </si>
  <si>
    <t>Xícara com pires, para chá, com capacidade de 200 ml, em porcelana de 1ª linha branca.</t>
  </si>
  <si>
    <t xml:space="preserve">Jarra de Vidro </t>
  </si>
  <si>
    <t xml:space="preserve"> CUSTOS INDIRETOS, TRIBUTOS E LUCRO</t>
  </si>
  <si>
    <t>* ISS</t>
  </si>
  <si>
    <t xml:space="preserve">OBS:   </t>
  </si>
  <si>
    <t xml:space="preserve">*  NÃO FOI COTADO ISS POR SE TRATAR DE  MATERIAL </t>
  </si>
  <si>
    <t xml:space="preserve">VALOR ANUAL ESTIMADO DOS  SERVIÇOS </t>
  </si>
  <si>
    <t>Servente</t>
  </si>
  <si>
    <t>Jauzeiro</t>
  </si>
  <si>
    <t>Encarregado</t>
  </si>
  <si>
    <t xml:space="preserve">VALOR MENSAL ESTIMADO DOS  SERVIÇOS </t>
  </si>
  <si>
    <t xml:space="preserve">VALOR MENSALESTIMADO DOS INSUMOS </t>
  </si>
  <si>
    <t xml:space="preserve">VALOR MENSAL ESTIMADO (SERVIÇO+INSUMOS)  - CENÁRIO MÁXIMO </t>
  </si>
  <si>
    <t>DIA 06/09/2023 às 10:00 HORAS</t>
  </si>
  <si>
    <t>DF000012/2024</t>
  </si>
  <si>
    <t>METRO QUADRADO</t>
  </si>
  <si>
    <t>4101-05</t>
  </si>
  <si>
    <t>Transporte - VALE-TRANSPORTE)</t>
  </si>
  <si>
    <r>
      <t>Auxílio Alimentação</t>
    </r>
    <r>
      <rPr>
        <b/>
        <i/>
        <sz val="12"/>
        <color indexed="8"/>
        <rFont val="Arial Unicode MS"/>
      </rPr>
      <t xml:space="preserve"> R$ 42,20 x 22 dias</t>
    </r>
  </si>
  <si>
    <t>ASSISTÊNCIA ODONTOLÓGICA</t>
  </si>
  <si>
    <t>ASSISTÊNCIA FUNERAL</t>
  </si>
  <si>
    <t>item 3.1 do anexo VI-B da IN nº 05/2017</t>
  </si>
  <si>
    <t>ÁREA INTERNA  - PISOS  ACARPETADOS - PISOS FRIOS</t>
  </si>
  <si>
    <t xml:space="preserve">PRODUTIVIDADE </t>
  </si>
  <si>
    <t>Mão de Obra</t>
  </si>
  <si>
    <t>(A) PRODUTIVIDADE (1/M²)</t>
  </si>
  <si>
    <t>(B) PREÇO HOMEM-MÊS (R$)</t>
  </si>
  <si>
    <t>(C) SUBTOTAL (R$/M²)</t>
  </si>
  <si>
    <t>800 M²</t>
  </si>
  <si>
    <t xml:space="preserve">ÁREA INTERNA  - SAGUÃO - HALL </t>
  </si>
  <si>
    <t>1.000 M²</t>
  </si>
  <si>
    <t>ÁREA INTERNA -    BANHEIROS</t>
  </si>
  <si>
    <t>200 M²</t>
  </si>
  <si>
    <t>item 3.2 do anexo VI-B da IN nº 05/2017</t>
  </si>
  <si>
    <t>ÁREA EXTERNA - PISOS,  PATIOS E ÁREA VERDE COM ALTA FREQUENCIA</t>
  </si>
  <si>
    <t>1800 M²</t>
  </si>
  <si>
    <t>item 3.3 do anexo VI-B da IN nº 05/2017</t>
  </si>
  <si>
    <t>ESQUADRIA EXTERNA</t>
  </si>
  <si>
    <t>(B) FREQUÊNCIA NO MÊS (HORAS)</t>
  </si>
  <si>
    <t>(C.) JORNADA DE
TRABALHONO MÊS (HORAS)</t>
  </si>
  <si>
    <t>(D)
(AxBxC)</t>
  </si>
  <si>
    <t>(E)
PREÇO
HOMEMMÊS
(R$)</t>
  </si>
  <si>
    <t>(F)
SUBTOTAL
(R$/M²)</t>
  </si>
  <si>
    <t>item 3.4 do anexo VI-B da IN nº 05/2017</t>
  </si>
  <si>
    <t xml:space="preserve">FACHADA ENVIDRAÇADA COM EXPOSIÇAO DE RISCO </t>
  </si>
  <si>
    <t>VALOR ESTIMADO DOS SERVIÇOS</t>
  </si>
  <si>
    <t>TIPO DE ÁREA</t>
  </si>
  <si>
    <r>
      <t>PREÇO MENSAL UNITÁRIO POR M</t>
    </r>
    <r>
      <rPr>
        <b/>
        <vertAlign val="superscript"/>
        <sz val="10"/>
        <rFont val="Calibri"/>
        <family val="2"/>
      </rPr>
      <t>2</t>
    </r>
  </si>
  <si>
    <t>EXTENSÃO DAS ÁREAS DA FUNASA-PRESI</t>
  </si>
  <si>
    <t>VALOR MENSAL DO SERVIÇO</t>
  </si>
  <si>
    <t>TOTAIS</t>
  </si>
  <si>
    <t>I - ÁREA INTERNA  - PISOS  ACARPETADOS - PISOS FRIOS</t>
  </si>
  <si>
    <r>
      <t>M</t>
    </r>
    <r>
      <rPr>
        <b/>
        <vertAlign val="superscript"/>
        <sz val="10"/>
        <rFont val="Calibri"/>
        <family val="2"/>
      </rPr>
      <t>2</t>
    </r>
  </si>
  <si>
    <t xml:space="preserve">II -  ÁREA INTERNA  - SAGUÃO - HALL </t>
  </si>
  <si>
    <t>M²</t>
  </si>
  <si>
    <t xml:space="preserve"> III - ÁREA INTERNA  - BANHEIROS</t>
  </si>
  <si>
    <t>IV -  ÁREA EXTERNA - PISOS,  PATIOS E ÁREA VERDE COM ALTA FREQUENCIA</t>
  </si>
  <si>
    <t xml:space="preserve">V - Esquadrias Externas - Face Interna/Externa - sem exposição de riscos </t>
  </si>
  <si>
    <t xml:space="preserve">VI - Fachadas Envidraçadas - Face Externa - com exposição de riscos </t>
  </si>
  <si>
    <t>TOTAL MENSAL DO SERVIÇO</t>
  </si>
  <si>
    <r>
      <t>TOTAL MENSAL DOS INSUMOS</t>
    </r>
    <r>
      <rPr>
        <b/>
        <i/>
        <sz val="10"/>
        <color indexed="10"/>
        <rFont val="Calibri"/>
        <family val="2"/>
      </rPr>
      <t xml:space="preserve"> </t>
    </r>
  </si>
  <si>
    <t xml:space="preserve">VALOR MÁXIMO MENSAL (SERVIÇO+INSUMOS) </t>
  </si>
  <si>
    <t>VALOR  MÁXIMO INSUMOS  PARA 12 MESES</t>
  </si>
  <si>
    <t>VALOR  MÁXIMO SERVIÇO   PARA 12 MESES</t>
  </si>
  <si>
    <t>VALOR GLOBAL MÁXIMO SERVIÇOS + INSUMOS  PARA 12 MESES</t>
  </si>
  <si>
    <t xml:space="preserve">SEAC/DF/ DF000012/2024  </t>
  </si>
  <si>
    <t>5143-20</t>
  </si>
  <si>
    <t xml:space="preserve">Férias e Adicional de Férias                             </t>
  </si>
  <si>
    <t>Transporte - VALE-TRANSPORTE) 22 dias</t>
  </si>
  <si>
    <r>
      <t xml:space="preserve">Auxílio Alimentação </t>
    </r>
    <r>
      <rPr>
        <b/>
        <i/>
        <sz val="12"/>
        <color indexed="8"/>
        <rFont val="Arial"/>
        <family val="2"/>
      </rPr>
      <t>R$ 42,20 x 22 dias</t>
    </r>
  </si>
  <si>
    <t xml:space="preserve">ASSISTÊNCIA ODONTOLÓGICA </t>
  </si>
  <si>
    <t xml:space="preserve">Transporte  - VALE-TRANSPORTE) 22 dias </t>
  </si>
  <si>
    <r>
      <t xml:space="preserve">Auxílio Alimentação </t>
    </r>
    <r>
      <rPr>
        <b/>
        <sz val="12"/>
        <color indexed="8"/>
        <rFont val="Calibri"/>
        <family val="2"/>
      </rPr>
      <t xml:space="preserve">R$ 42,20 x 22 dias </t>
    </r>
  </si>
  <si>
    <t>Camiseta em forma de "T" malha fria, com gola sanfonada, de mangas curtas, com emblema de empresa no lado esquerdo superior. (Unid.)</t>
  </si>
  <si>
    <t>PRODUTIVIDADE  DEFINIDA PARA A PRESTAÇAO DOS SERVIÇOS COM   BASE NA INSTRUÇAO NORMATIVA 5/2017 -  ANEXO VI-B SERVIÇO DE LIMPEZA E CONSERVAÇÃO</t>
  </si>
  <si>
    <t>Touca de filó com aba na cor preta, para uso dentro das copas. (Unid.)</t>
  </si>
  <si>
    <t>TIPOS DE ÁREAS</t>
  </si>
  <si>
    <r>
      <t>METRAGEM POR ÁREA (M</t>
    </r>
    <r>
      <rPr>
        <b/>
        <vertAlign val="superscript"/>
        <sz val="12"/>
        <rFont val="Times New Roman"/>
        <family val="1"/>
      </rPr>
      <t>2</t>
    </r>
    <r>
      <rPr>
        <b/>
        <sz val="12"/>
        <rFont val="Times New Roman"/>
        <family val="1"/>
      </rPr>
      <t>)</t>
    </r>
  </si>
  <si>
    <t xml:space="preserve">PERIODICIDADE P/ REALIZAR A LIMPEZA (DIAS ÚTEIS) </t>
  </si>
  <si>
    <r>
      <t>PRODUTIVIDADE  PRE-ESTABELECIDA A SER COTADA POR SERVENTE (M</t>
    </r>
    <r>
      <rPr>
        <b/>
        <vertAlign val="superscript"/>
        <sz val="12"/>
        <rFont val="Times New Roman"/>
        <family val="1"/>
      </rPr>
      <t>2</t>
    </r>
    <r>
      <rPr>
        <b/>
        <sz val="12"/>
        <rFont val="Times New Roman"/>
        <family val="1"/>
      </rPr>
      <t>)</t>
    </r>
  </si>
  <si>
    <t>QUANT. ESTIMADA DE SERVENTES P/ REALIZAR O SERVIÇO</t>
  </si>
  <si>
    <r>
      <t>VALOR DO M</t>
    </r>
    <r>
      <rPr>
        <b/>
        <vertAlign val="superscript"/>
        <sz val="12"/>
        <rFont val="Times New Roman"/>
        <family val="1"/>
      </rPr>
      <t>2</t>
    </r>
    <r>
      <rPr>
        <b/>
        <sz val="12"/>
        <rFont val="Times New Roman"/>
        <family val="1"/>
      </rPr>
      <t xml:space="preserve"> SERVENTE</t>
    </r>
  </si>
  <si>
    <t>Meia social 3/4, cor natural (Par).</t>
  </si>
  <si>
    <r>
      <t xml:space="preserve">Áreas Internas  -  SAGUÃO E HALL até 250 </t>
    </r>
    <r>
      <rPr>
        <i/>
        <sz val="16"/>
        <rFont val="Times New Roman"/>
        <family val="1"/>
      </rPr>
      <t>M²</t>
    </r>
  </si>
  <si>
    <r>
      <t xml:space="preserve">Áreas Internas- PISOS  ACARPETADOS - PISOS FRIOS </t>
    </r>
    <r>
      <rPr>
        <b/>
        <i/>
        <sz val="12"/>
        <rFont val="Times New Roman"/>
        <family val="1"/>
      </rPr>
      <t>800MT²</t>
    </r>
  </si>
  <si>
    <r>
      <t xml:space="preserve">Áreas Internas  -  BANHEIROS  </t>
    </r>
    <r>
      <rPr>
        <b/>
        <i/>
        <sz val="12"/>
        <rFont val="Times New Roman"/>
        <family val="1"/>
      </rPr>
      <t>40MT²</t>
    </r>
  </si>
  <si>
    <t>Calçado em couro preto, tipo mocassim, fechado, salto até 3 cm ou sapatilha em couro, antiderrapantes (Par).</t>
  </si>
  <si>
    <r>
      <t xml:space="preserve">Áreas Externas PISOS,  PATIOS E ÁREA VERDE COM ALTA FREQUENCIA -  </t>
    </r>
    <r>
      <rPr>
        <b/>
        <i/>
        <sz val="12"/>
        <rFont val="Times New Roman"/>
        <family val="1"/>
      </rPr>
      <t>200 MT²</t>
    </r>
  </si>
  <si>
    <t>Jaqueta ou Casaco (Unid.)</t>
  </si>
  <si>
    <r>
      <t xml:space="preserve">Esquadrias  - FACE INTERNA/EXTERNA                           </t>
    </r>
    <r>
      <rPr>
        <b/>
        <i/>
        <sz val="12"/>
        <rFont val="Times New Roman"/>
        <family val="1"/>
      </rPr>
      <t xml:space="preserve"> 300 MT² sem exposição a
situação de risco</t>
    </r>
  </si>
  <si>
    <r>
      <t xml:space="preserve">Fachada Envidraçada - FACE EXTERNA                           </t>
    </r>
    <r>
      <rPr>
        <b/>
        <i/>
        <sz val="14"/>
        <rFont val="Times New Roman"/>
        <family val="1"/>
      </rPr>
      <t>130 MT² com exposiçao a situaçao de risco</t>
    </r>
  </si>
  <si>
    <t xml:space="preserve">ÁREA TOTAL PRESI e SIA </t>
  </si>
  <si>
    <t xml:space="preserve">QUANT. DE SERVENTES  QUE DEVERÃO SER DISPONIBILIZADOS PARA  EXECUTAR O SERVIÇO </t>
  </si>
  <si>
    <t xml:space="preserve">QUANT. DE ENCARREGADO   QUE DEVERÁ  SER DISPONIBILIZADO PARA  EXECUTAR O SERVIÇO </t>
  </si>
  <si>
    <t>Aspirador de pó inox 20 litros 220 volts potência 1200</t>
  </si>
  <si>
    <t>Carrinhos funcional para limpeza de polipropileno completo com bolsa amarela e capacidade de 200 litros com tampa, três prateleiras, porta rodo e vassoura</t>
  </si>
  <si>
    <t>Escada de 5 degraus</t>
  </si>
  <si>
    <t>Máquina lavadora de Alta Pressão - Potência elétrica: mínima de 2500 w .Voltagem: 220 V. Cabo elétrico tamanho mínimo de 10m.</t>
  </si>
  <si>
    <t>Maquina enceradeira industrial 410mm</t>
  </si>
  <si>
    <t>Maquina enceradeira industrial 510mm</t>
  </si>
  <si>
    <t>Nebulizador atomizador frio eletrico guarany 220 v (Sanitização) ou similar</t>
  </si>
  <si>
    <t>Placas sinalizadoras</t>
  </si>
  <si>
    <t>Valor da depreciação mensal por empregado (24  funcionários)</t>
  </si>
  <si>
    <t xml:space="preserve">PLANILHA COM OS CUSTOS DO UNIFORME / SERVENTE DE LIMPEZA </t>
  </si>
  <si>
    <t>Calça comprida cor e padrão da empresa</t>
  </si>
  <si>
    <t>Camisa para uniforme cor e padrão da empresa</t>
  </si>
  <si>
    <t>Meia em algodão (Par)</t>
  </si>
  <si>
    <t>Sapato Botina de segurança cor preto modelo padrão da empresa</t>
  </si>
  <si>
    <t>Total Anual do Uniforme de Servente</t>
  </si>
  <si>
    <t>PLANILHA COM OS CUSTOS DO UNIFORME / ENCARREGADO DE LIMPEZA</t>
  </si>
  <si>
    <t>Encarregado-Geral e de Limpeza</t>
  </si>
  <si>
    <t xml:space="preserve">Calça social cor e modelo padrão da empresa </t>
  </si>
  <si>
    <t xml:space="preserve">Camisa social cor e modelo padrão da empresa </t>
  </si>
  <si>
    <t xml:space="preserve">cinto em couro cor preto  </t>
  </si>
  <si>
    <t>sapato social em couro cor preto</t>
  </si>
  <si>
    <t>Meia social cor preta</t>
  </si>
  <si>
    <t xml:space="preserve">DESCRIÇAO </t>
  </si>
  <si>
    <t xml:space="preserve">QUANTIDADE DE MATERIAL MENSAL </t>
  </si>
  <si>
    <t xml:space="preserve">QUANT. MATERIAL ANUAL </t>
  </si>
  <si>
    <t xml:space="preserve">VALOR  UNITÁRIO MEDIO ACEITÁVEL </t>
  </si>
  <si>
    <t xml:space="preserve">BDI (12,29%) </t>
  </si>
  <si>
    <t xml:space="preserve">VALOR UNITÁRIO  MEDIO ACEITAVEL COM BDI </t>
  </si>
  <si>
    <t xml:space="preserve">VALOR  ANUAL ESTIMADO </t>
  </si>
  <si>
    <t>Adesivo em gel para vaso, embalagem com 3 um. (DESODORIZADOR SANITÁRIO VÁRIAS FRAGRÂNCIAS)</t>
  </si>
  <si>
    <t>Água sanitária, galão com 5 litros</t>
  </si>
  <si>
    <t>Álcool gel 70% Galão com 5 litros</t>
  </si>
  <si>
    <t>Álcool liquido 70%, embalagem com 5 litro</t>
  </si>
  <si>
    <t xml:space="preserve">Balde de plástico de 15 litros com Alça Cores Sortidas </t>
  </si>
  <si>
    <t xml:space="preserve">Balde de plástico de 20 litros com Alça Cores Sortidas </t>
  </si>
  <si>
    <t>Cera liquida incolor que dá brilho e forma uma camada protetora para vários pisos Galão com 5 litros</t>
  </si>
  <si>
    <t>Desentupidor de vaso sanitário Cabo Plástico 60CM Único</t>
  </si>
  <si>
    <t>Desinfetante germicida e bactericida concentrado (galão de 5 litros)</t>
  </si>
  <si>
    <t>Desinfetante hospitalar Assert HC200 ou similar para (sanitização) (galão de 5 litros)</t>
  </si>
  <si>
    <t>Desodorizador de ambiente 360 ml aerosol (várias fragrâncias)</t>
  </si>
  <si>
    <t>Detergente liquido alta concentração para  diluir  (galão de 5 litros)</t>
  </si>
  <si>
    <t>Detergente  liquido frasco com 500ml</t>
  </si>
  <si>
    <t>Disco preto para enceradeira 410 mm (unidade)</t>
  </si>
  <si>
    <t>Disco preto para enceradeira 510 mm  (unidade)</t>
  </si>
  <si>
    <t>Escova uso geral base de plástico ou madeira  (unidade)</t>
  </si>
  <si>
    <t>Escova sanitária com suporte (basa)</t>
  </si>
  <si>
    <t xml:space="preserve">Esponja dupla face 1 unidade </t>
  </si>
  <si>
    <t>Extensão 50 metros (fio de extenção elétrica com 50 metros 220v)</t>
  </si>
  <si>
    <t>Fibra Sintética Verde 102MM X 260MM - Limpeza Pesada (unidade)</t>
  </si>
  <si>
    <t>Flanela de limpeza cor branca, tamanho 50x50</t>
  </si>
  <si>
    <t>Hipermeabilizante  para piso paviflex (galão de 5 litros)</t>
  </si>
  <si>
    <t>Kit Macacão de Segurança (TNT Tyvek EPI impermeavél G) para sanitização</t>
  </si>
  <si>
    <t>Limpador De Pedras 5L (marmore e granitos) galão de 5 litros</t>
  </si>
  <si>
    <t>Limpa vidros para remover manchas de vidros, fórmicas, espelhos e superfícies impermeáveis (galão de 5 litros)</t>
  </si>
  <si>
    <t>Limpador multiuso (500 ml)</t>
  </si>
  <si>
    <t>Luva de borracha forrada de verniz tamanhos P, M, G caixa com 100 unidades</t>
  </si>
  <si>
    <t>Luva Refil Para Rodo Limpa Vidros Combinado 40Cm</t>
  </si>
  <si>
    <t>Mangueira Flex para jardim reforçada,3 camadas (100 metros) M²</t>
  </si>
  <si>
    <t>desdorizador/limpador de ambiente e pisos em geral concentrado/aromatizante (galão de 5 litros)</t>
  </si>
  <si>
    <t>Óleo de peroba frasco de 200 ml</t>
  </si>
  <si>
    <t>Pá coletora de lixo de material plástico com cabo de alumínio revestido de plástico com 90cm (26 x 25 x 90 centímetros)</t>
  </si>
  <si>
    <t>Lã de aço  (pacote com 8 unidades )</t>
  </si>
  <si>
    <t>Pano de chão alvejado (50x70 cm)</t>
  </si>
  <si>
    <t>Pano multiuso, rolo 30cmx 300m</t>
  </si>
  <si>
    <t>Papel higiênico folha dupla rolo grande extramamente macio picotado 0,10x200mt (caixa com 8)</t>
  </si>
  <si>
    <t>Papel toalha interfolhado tamanho 20x23 cm com 1000 folhas simples de alta qualidade (pacote)</t>
  </si>
  <si>
    <t>Pretinho para pneu concentrado (galão de 5 litros)</t>
  </si>
  <si>
    <t xml:space="preserve">Pulverizador borrifador manual Spray de ( 500ml) - material plástico </t>
  </si>
  <si>
    <t>Rodo com cabo de alumínio  40cm com cabo de 150 cm</t>
  </si>
  <si>
    <t>Rodo com cabo de aluminio  60cm com cabo de 150 cm</t>
  </si>
  <si>
    <t>Sabão em barra embalagem com 5 unidade</t>
  </si>
  <si>
    <t>Sabão em pó  pacote  com 500G</t>
  </si>
  <si>
    <t>Sabonete liquido perolado e concentrado aroma erva doce/lavanda (galão 5 litros) ótima qualidade</t>
  </si>
  <si>
    <t>Saco p/ lixo cor preta 100 litros plástico super reforçado (pacote com 100 unidades)</t>
  </si>
  <si>
    <t>Saco p/ lixo cor preta 60 litros plástico super reforçado (pacote com 100 unidades)</t>
  </si>
  <si>
    <t>Saco p/ lixo cor preta 40 litros plástico super reforçado (pacote com 100 unidades)</t>
  </si>
  <si>
    <t>Mop Rodo Limpa Vidros Extensível Flash Limp Com Cabo 1,60m</t>
  </si>
  <si>
    <t>Conjunto Suporte para fibra com o cabo flexivel</t>
  </si>
  <si>
    <t>Tela perfumada para mictorios (várias fragrâncias)</t>
  </si>
  <si>
    <t>Vassoura tipo noviça de naylon uso internos/externos</t>
  </si>
  <si>
    <t>Detergente de louças neutro líquido em embalagem de 500ml</t>
  </si>
  <si>
    <t xml:space="preserve">VALOR  ESTIMADO </t>
  </si>
  <si>
    <t>Servente - Limpeza</t>
  </si>
  <si>
    <t>Jauzeiro - Limpeza</t>
  </si>
  <si>
    <t>Encarredo - Limpeza</t>
  </si>
  <si>
    <t>Garçon</t>
  </si>
  <si>
    <t>Carregador/Estiva</t>
  </si>
  <si>
    <t>Encarregado - Copeiragem e Carregador</t>
  </si>
  <si>
    <t>ÁREA UTILIZADA COM REFERÊNCIA (m²)</t>
  </si>
  <si>
    <t>TOTAL DOS POSTOS FIXOS POR UNIDADE DE ÁREA (R$/m²)</t>
  </si>
  <si>
    <t>VALOR MENSAL DOS POSTOS DE SERVIÇO</t>
  </si>
  <si>
    <t>QUANTIDADE DE POSTOS</t>
  </si>
  <si>
    <t>TOTALIZAÇÃO DOS SERVIÇOS POR DEMANDA</t>
  </si>
  <si>
    <t>VALOR MENSAL DE LOCAÇÃO</t>
  </si>
  <si>
    <t>ÁREA DO IMÓVEL (m²)</t>
  </si>
  <si>
    <t>SUBTOTAL DOS SERVIÇOS DE FACILITIES (SERVIÇOS FIXOS + SERVIÇOS POR DEMANDA) POR UNIDADE DE ÁREA (R$/m²)</t>
  </si>
  <si>
    <t>SUBTOTAL DA LOCAÇÃO POR UNIDADE DE ÁREA (R$/m²)</t>
  </si>
  <si>
    <t>TOTAL LOCAÇÃO + FACILITIES POR UNIDADE DE ÁREA (R$/m²)</t>
  </si>
  <si>
    <t>QUANT. DE POSTOS</t>
  </si>
  <si>
    <t>EMPREGADOS POR POSTOS</t>
  </si>
  <si>
    <t>VALOR POR POSTO</t>
  </si>
  <si>
    <t xml:space="preserve">TOTAL 
MENSAL DO
 POSTO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</si>
</sst>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R$&quot;\ #,##0.00;[Red]\-&quot;R$&quot;\ #,##0.00"/>
    <numFmt numFmtId="44" formatCode="_-&quot;R$&quot;\ * #,##0.00_-;\-&quot;R$&quot;\ * #,##0.00_-;_-&quot;R$&quot;\ * &quot;-&quot;??_-;_-@_-"/>
    <numFmt numFmtId="43" formatCode="_-* #,##0.00_-;\-* #,##0.00_-;_-* &quot;-&quot;??_-;_-@_-"/>
    <numFmt numFmtId="164" formatCode="0.00000%"/>
    <numFmt numFmtId="165" formatCode="00"/>
    <numFmt numFmtId="166" formatCode="_(* #,##0_);_(* \(#,##0\);_(* &quot;-&quot;??_);_(@_)"/>
    <numFmt numFmtId="167" formatCode="&quot;R$&quot;\ #,##0.00;[Red]&quot;R$&quot;\ #,##0.00"/>
    <numFmt numFmtId="168" formatCode="&quot;R$&quot;#,##0.00;[Red]&quot;R$&quot;#,##0.00"/>
    <numFmt numFmtId="169" formatCode="#,##0.00;[Red]#,##0.00"/>
    <numFmt numFmtId="170" formatCode="_-&quot;R$&quot;* #,##0.00_-;\-&quot;R$&quot;* #,##0.00_-;_-&quot;R$&quot;* &quot;-&quot;??_-;_-@_-"/>
    <numFmt numFmtId="171" formatCode="_(&quot;R$ &quot;* #,##0.00_);_(&quot;R$ &quot;* \(#,##0.00\);_(&quot;R$ &quot;* &quot;-&quot;??_);_(@_)"/>
    <numFmt numFmtId="172" formatCode="_-* #,##0_-;\-* #,##0_-;_-* &quot;-&quot;??_-;_-@_-"/>
    <numFmt numFmtId="173" formatCode="&quot;R$&quot;\ #,##0.00"/>
    <numFmt numFmtId="174" formatCode="0;[Red]0"/>
    <numFmt numFmtId="175" formatCode="0.00;[Red]0.00"/>
  </numFmts>
  <fonts count="166">
    <font>
      <sz val="11"/>
      <color theme="1"/>
      <name val="Aptos Narrow"/>
      <family val="2"/>
      <scheme val="minor"/>
    </font>
    <font>
      <sz val="11"/>
      <color theme="1"/>
      <name val="Aptos Narrow"/>
      <family val="2"/>
      <scheme val="minor"/>
    </font>
    <font>
      <b/>
      <sz val="11"/>
      <color theme="1"/>
      <name val="Aptos Narrow"/>
      <family val="2"/>
      <scheme val="minor"/>
    </font>
    <font>
      <sz val="11"/>
      <color theme="1"/>
      <name val="Calibri"/>
      <family val="2"/>
    </font>
    <font>
      <sz val="12"/>
      <color theme="1"/>
      <name val="Calibri"/>
      <family val="2"/>
    </font>
    <font>
      <sz val="10"/>
      <color theme="1"/>
      <name val="Calibri"/>
      <family val="2"/>
    </font>
    <font>
      <sz val="10"/>
      <color theme="1"/>
      <name val="Aptos Narrow"/>
      <family val="2"/>
      <scheme val="minor"/>
    </font>
    <font>
      <sz val="8"/>
      <name val="Aptos Narrow"/>
      <family val="2"/>
      <scheme val="minor"/>
    </font>
    <font>
      <b/>
      <sz val="12"/>
      <color theme="1"/>
      <name val="Calibri"/>
      <family val="2"/>
    </font>
    <font>
      <sz val="8"/>
      <color theme="1"/>
      <name val="Calibri"/>
      <family val="2"/>
    </font>
    <font>
      <sz val="8"/>
      <color rgb="FFC00000"/>
      <name val="Calibri"/>
      <family val="2"/>
    </font>
    <font>
      <b/>
      <sz val="10"/>
      <color theme="1"/>
      <name val="Calibri"/>
      <family val="2"/>
    </font>
    <font>
      <sz val="10"/>
      <color theme="5" tint="-0.249977111117893"/>
      <name val="Calibri"/>
      <family val="2"/>
    </font>
    <font>
      <sz val="8"/>
      <color theme="5" tint="-0.249977111117893"/>
      <name val="Calibri"/>
      <family val="2"/>
    </font>
    <font>
      <b/>
      <sz val="8"/>
      <color theme="1"/>
      <name val="Calibri"/>
      <family val="2"/>
    </font>
    <font>
      <b/>
      <sz val="11"/>
      <color theme="1"/>
      <name val="Calibri"/>
      <family val="2"/>
    </font>
    <font>
      <sz val="8"/>
      <name val="Calibri"/>
      <family val="2"/>
    </font>
    <font>
      <sz val="8"/>
      <color rgb="FFFF0000"/>
      <name val="Calibri"/>
      <family val="2"/>
    </font>
    <font>
      <sz val="10"/>
      <color rgb="FFFF0000"/>
      <name val="Calibri"/>
      <family val="2"/>
    </font>
    <font>
      <sz val="11"/>
      <color rgb="FFC00000"/>
      <name val="Calibri"/>
      <family val="2"/>
    </font>
    <font>
      <b/>
      <sz val="10"/>
      <color rgb="FFFF0000"/>
      <name val="Calibri"/>
      <family val="2"/>
    </font>
    <font>
      <sz val="10"/>
      <color rgb="FFFF0000"/>
      <name val="Aptos Narrow"/>
      <family val="2"/>
      <scheme val="minor"/>
    </font>
    <font>
      <b/>
      <sz val="12"/>
      <color theme="1"/>
      <name val="Aptos Narrow"/>
      <family val="2"/>
      <scheme val="minor"/>
    </font>
    <font>
      <b/>
      <sz val="10"/>
      <color theme="1"/>
      <name val="Aptos Narrow"/>
      <family val="2"/>
      <scheme val="minor"/>
    </font>
    <font>
      <sz val="8"/>
      <color theme="1"/>
      <name val="Aptos Narrow"/>
      <family val="2"/>
      <scheme val="minor"/>
    </font>
    <font>
      <sz val="8"/>
      <color rgb="FFC00000"/>
      <name val="Aptos Narrow"/>
      <family val="2"/>
      <scheme val="minor"/>
    </font>
    <font>
      <sz val="8"/>
      <color rgb="FF000000"/>
      <name val="Aptos Narrow"/>
      <family val="2"/>
      <scheme val="minor"/>
    </font>
    <font>
      <b/>
      <sz val="12"/>
      <name val="Calibri"/>
      <family val="2"/>
    </font>
    <font>
      <sz val="8"/>
      <color rgb="FF000000"/>
      <name val="Calibri"/>
      <family val="2"/>
    </font>
    <font>
      <b/>
      <sz val="12"/>
      <color rgb="FF000000"/>
      <name val="Calibri"/>
      <family val="2"/>
    </font>
    <font>
      <b/>
      <sz val="8"/>
      <color rgb="FF000000"/>
      <name val="Calibri"/>
      <family val="2"/>
    </font>
    <font>
      <sz val="10"/>
      <color rgb="FF000000"/>
      <name val="Aptos Narrow"/>
      <family val="2"/>
      <scheme val="minor"/>
    </font>
    <font>
      <sz val="10"/>
      <color theme="1"/>
      <name val="Cambria"/>
      <family val="1"/>
    </font>
    <font>
      <b/>
      <sz val="10"/>
      <color theme="1"/>
      <name val="Cambria"/>
      <family val="1"/>
    </font>
    <font>
      <b/>
      <sz val="10"/>
      <name val="Cambria"/>
      <family val="1"/>
    </font>
    <font>
      <sz val="10"/>
      <name val="Cambria"/>
      <family val="1"/>
    </font>
    <font>
      <b/>
      <i/>
      <sz val="10"/>
      <color theme="1"/>
      <name val="Arial"/>
      <family val="2"/>
    </font>
    <font>
      <i/>
      <sz val="10"/>
      <color theme="1"/>
      <name val="Cambria"/>
      <family val="1"/>
    </font>
    <font>
      <i/>
      <sz val="10"/>
      <color rgb="FFFF0000"/>
      <name val="Cambria"/>
      <family val="1"/>
    </font>
    <font>
      <b/>
      <i/>
      <sz val="10"/>
      <color theme="1"/>
      <name val="Cambria"/>
      <family val="1"/>
    </font>
    <font>
      <sz val="10"/>
      <color rgb="FFFF0000"/>
      <name val="Cambria"/>
      <family val="1"/>
    </font>
    <font>
      <b/>
      <sz val="10"/>
      <color rgb="FFFF0000"/>
      <name val="Cambria"/>
      <family val="1"/>
    </font>
    <font>
      <b/>
      <sz val="10"/>
      <color indexed="8"/>
      <name val="Cambria"/>
      <family val="1"/>
    </font>
    <font>
      <sz val="10"/>
      <color indexed="8"/>
      <name val="Cambria"/>
      <family val="1"/>
    </font>
    <font>
      <b/>
      <sz val="10"/>
      <color rgb="FF000000"/>
      <name val="Cambria"/>
      <family val="1"/>
    </font>
    <font>
      <sz val="10"/>
      <color rgb="FF000000"/>
      <name val="Cambria"/>
      <family val="1"/>
    </font>
    <font>
      <b/>
      <sz val="10"/>
      <color theme="0"/>
      <name val="Cambria"/>
      <family val="1"/>
    </font>
    <font>
      <sz val="10"/>
      <name val="Calibri"/>
      <family val="2"/>
    </font>
    <font>
      <b/>
      <sz val="10"/>
      <name val="Calibri"/>
      <family val="2"/>
    </font>
    <font>
      <sz val="10"/>
      <name val="Arial"/>
      <family val="2"/>
    </font>
    <font>
      <b/>
      <sz val="22"/>
      <name val="Arial Unicode MS"/>
      <family val="2"/>
    </font>
    <font>
      <sz val="11"/>
      <color theme="1"/>
      <name val="Arial Unicode MS"/>
      <family val="2"/>
    </font>
    <font>
      <sz val="14"/>
      <color theme="1"/>
      <name val="Arial Unicode MS"/>
      <family val="2"/>
    </font>
    <font>
      <sz val="16"/>
      <color theme="1"/>
      <name val="Arial Unicode MS"/>
      <family val="2"/>
    </font>
    <font>
      <b/>
      <sz val="16"/>
      <color theme="1"/>
      <name val="Arial Unicode MS"/>
      <family val="2"/>
    </font>
    <font>
      <b/>
      <sz val="16"/>
      <color theme="1"/>
      <name val="Arial Unicode MS"/>
    </font>
    <font>
      <sz val="11"/>
      <color theme="1"/>
      <name val="Arial Unicode MS"/>
    </font>
    <font>
      <sz val="14"/>
      <color indexed="8"/>
      <name val="Arial Unicode MS"/>
    </font>
    <font>
      <sz val="11"/>
      <color indexed="8"/>
      <name val="Arial Unicode MS"/>
      <family val="2"/>
    </font>
    <font>
      <b/>
      <sz val="14"/>
      <color theme="1"/>
      <name val="Arial Unicode MS"/>
    </font>
    <font>
      <sz val="13"/>
      <color theme="1"/>
      <name val="Arial Unicode MS"/>
      <family val="2"/>
    </font>
    <font>
      <b/>
      <sz val="14"/>
      <color theme="1"/>
      <name val="Arial Unicode MS"/>
      <family val="2"/>
    </font>
    <font>
      <b/>
      <sz val="11"/>
      <color theme="1"/>
      <name val="Arial Unicode MS"/>
      <family val="2"/>
    </font>
    <font>
      <b/>
      <sz val="18"/>
      <color theme="1"/>
      <name val="Arial Unicode MS"/>
      <family val="2"/>
    </font>
    <font>
      <sz val="14"/>
      <color theme="1"/>
      <name val="Aptos Narrow"/>
      <family val="2"/>
      <scheme val="minor"/>
    </font>
    <font>
      <b/>
      <sz val="20"/>
      <color theme="1"/>
      <name val="Aptos Narrow"/>
      <family val="2"/>
      <scheme val="minor"/>
    </font>
    <font>
      <b/>
      <i/>
      <sz val="12"/>
      <color indexed="8"/>
      <name val="Arial Unicode MS"/>
    </font>
    <font>
      <b/>
      <i/>
      <sz val="12"/>
      <color theme="1"/>
      <name val="Arial Unicode MS"/>
    </font>
    <font>
      <b/>
      <i/>
      <sz val="11"/>
      <color theme="1"/>
      <name val="Arial Unicode MS"/>
    </font>
    <font>
      <sz val="11"/>
      <color rgb="FFFF0000"/>
      <name val="Arial Unicode MS"/>
      <family val="2"/>
    </font>
    <font>
      <sz val="14"/>
      <color indexed="8"/>
      <name val="Arial Unicode MS"/>
      <family val="2"/>
    </font>
    <font>
      <b/>
      <i/>
      <sz val="14"/>
      <color indexed="8"/>
      <name val="Arial Unicode MS"/>
      <family val="2"/>
    </font>
    <font>
      <i/>
      <sz val="14"/>
      <color theme="1"/>
      <name val="Arial Unicode MS"/>
      <family val="2"/>
    </font>
    <font>
      <sz val="14"/>
      <color rgb="FFFF0000"/>
      <name val="Arial Unicode MS"/>
      <family val="2"/>
    </font>
    <font>
      <b/>
      <sz val="16"/>
      <name val="Arial Unicode MS"/>
    </font>
    <font>
      <sz val="14"/>
      <name val="Arial Unicode MS"/>
    </font>
    <font>
      <sz val="14"/>
      <color rgb="FF000000"/>
      <name val="Arial Unicode MS"/>
    </font>
    <font>
      <sz val="14"/>
      <color theme="1"/>
      <name val="Arial Unicode MS"/>
    </font>
    <font>
      <i/>
      <sz val="14"/>
      <color indexed="8"/>
      <name val="Arial Unicode MS"/>
      <family val="2"/>
    </font>
    <font>
      <i/>
      <sz val="12"/>
      <color indexed="8"/>
      <name val="Arial Unicode MS"/>
    </font>
    <font>
      <sz val="14"/>
      <color rgb="FF000000"/>
      <name val="Arial Unicode MS"/>
      <family val="2"/>
    </font>
    <font>
      <b/>
      <sz val="14"/>
      <color indexed="8"/>
      <name val="Arial Unicode MS"/>
      <family val="2"/>
    </font>
    <font>
      <b/>
      <sz val="16"/>
      <color theme="1"/>
      <name val="Aptos Narrow"/>
      <family val="2"/>
      <scheme val="minor"/>
    </font>
    <font>
      <sz val="12"/>
      <color theme="1"/>
      <name val="Arial Unicode MS"/>
      <family val="2"/>
    </font>
    <font>
      <b/>
      <sz val="20"/>
      <color theme="1"/>
      <name val="Arial Unicode MS"/>
      <family val="2"/>
    </font>
    <font>
      <b/>
      <sz val="16"/>
      <color rgb="FF000000"/>
      <name val="Arial Unicode MS"/>
      <family val="2"/>
    </font>
    <font>
      <b/>
      <sz val="12"/>
      <color theme="1"/>
      <name val="Arial Unicode MS"/>
      <family val="2"/>
    </font>
    <font>
      <i/>
      <sz val="14"/>
      <color theme="1"/>
      <name val="Aptos Narrow"/>
      <family val="2"/>
      <scheme val="minor"/>
    </font>
    <font>
      <b/>
      <sz val="14"/>
      <color rgb="FF000000"/>
      <name val="Arial Unicode MS"/>
      <family val="2"/>
    </font>
    <font>
      <b/>
      <sz val="12"/>
      <color rgb="FFFF0000"/>
      <name val="Arial Unicode MS"/>
      <family val="2"/>
    </font>
    <font>
      <b/>
      <sz val="12"/>
      <color rgb="FF000000"/>
      <name val="Arial Unicode MS"/>
      <family val="2"/>
    </font>
    <font>
      <sz val="12"/>
      <color rgb="FF000000"/>
      <name val="Arial Unicode MS"/>
      <family val="2"/>
    </font>
    <font>
      <u/>
      <sz val="16"/>
      <color theme="1"/>
      <name val="Arial Unicode MS"/>
      <family val="2"/>
    </font>
    <font>
      <sz val="16"/>
      <color indexed="8"/>
      <name val="Arial Unicode MS"/>
      <family val="2"/>
    </font>
    <font>
      <b/>
      <sz val="11"/>
      <color theme="1"/>
      <name val="Arial Unicode MS"/>
    </font>
    <font>
      <b/>
      <sz val="10"/>
      <name val="Arial"/>
      <family val="2"/>
    </font>
    <font>
      <b/>
      <sz val="14"/>
      <name val="Arial Unicode MS"/>
    </font>
    <font>
      <sz val="11"/>
      <name val="Arial Unicode MS"/>
    </font>
    <font>
      <sz val="16"/>
      <name val="Arial Unicode MS"/>
    </font>
    <font>
      <b/>
      <sz val="14"/>
      <color theme="1"/>
      <name val="Aptos Narrow"/>
      <family val="2"/>
      <scheme val="minor"/>
    </font>
    <font>
      <i/>
      <sz val="10"/>
      <color theme="1"/>
      <name val="Arial Unicode MS"/>
      <family val="2"/>
    </font>
    <font>
      <u/>
      <sz val="11"/>
      <color theme="1"/>
      <name val="Arial Unicode MS"/>
      <family val="2"/>
    </font>
    <font>
      <b/>
      <sz val="20"/>
      <color theme="1"/>
      <name val="Arial Unicode MS"/>
    </font>
    <font>
      <b/>
      <sz val="18"/>
      <name val="Aptos Narrow"/>
      <family val="2"/>
      <scheme val="minor"/>
    </font>
    <font>
      <sz val="11"/>
      <name val="Aptos Narrow"/>
      <family val="2"/>
      <scheme val="minor"/>
    </font>
    <font>
      <b/>
      <sz val="11"/>
      <name val="Aptos Narrow"/>
      <family val="2"/>
      <scheme val="minor"/>
    </font>
    <font>
      <b/>
      <sz val="14"/>
      <name val="Aptos Narrow"/>
      <family val="2"/>
      <scheme val="minor"/>
    </font>
    <font>
      <b/>
      <sz val="12"/>
      <name val="Aptos Narrow"/>
      <family val="2"/>
      <scheme val="minor"/>
    </font>
    <font>
      <sz val="14"/>
      <name val="Aptos Narrow"/>
      <family val="2"/>
      <scheme val="minor"/>
    </font>
    <font>
      <sz val="10"/>
      <color rgb="FF000000"/>
      <name val="Arial"/>
      <family val="2"/>
    </font>
    <font>
      <sz val="10"/>
      <color indexed="10"/>
      <name val="Arial"/>
      <family val="2"/>
    </font>
    <font>
      <sz val="10"/>
      <color indexed="8"/>
      <name val="Arial"/>
      <family val="2"/>
    </font>
    <font>
      <b/>
      <sz val="13"/>
      <name val="Aptos Narrow"/>
      <family val="2"/>
      <scheme val="minor"/>
    </font>
    <font>
      <b/>
      <sz val="16"/>
      <name val="Aptos Narrow"/>
      <family val="2"/>
      <scheme val="minor"/>
    </font>
    <font>
      <b/>
      <sz val="10"/>
      <name val="Times New Roman"/>
      <family val="1"/>
    </font>
    <font>
      <sz val="10"/>
      <color theme="1"/>
      <name val="Times New Roman"/>
      <family val="1"/>
    </font>
    <font>
      <b/>
      <sz val="12"/>
      <name val="Times New Roman"/>
      <family val="1"/>
    </font>
    <font>
      <b/>
      <sz val="12"/>
      <color theme="1"/>
      <name val="Times New Roman"/>
      <family val="1"/>
    </font>
    <font>
      <b/>
      <sz val="18"/>
      <color theme="1"/>
      <name val="Aptos Narrow"/>
      <family val="2"/>
      <scheme val="minor"/>
    </font>
    <font>
      <b/>
      <sz val="20"/>
      <name val="Times New Roman"/>
      <family val="1"/>
    </font>
    <font>
      <sz val="14"/>
      <name val="Times New Roman"/>
      <family val="1"/>
    </font>
    <font>
      <sz val="12"/>
      <name val="Times New Roman"/>
      <family val="1"/>
    </font>
    <font>
      <b/>
      <sz val="14"/>
      <name val="Times New Roman"/>
      <family val="1"/>
    </font>
    <font>
      <sz val="9"/>
      <color theme="1"/>
      <name val="Aptos Narrow"/>
      <family val="2"/>
      <scheme val="minor"/>
    </font>
    <font>
      <b/>
      <sz val="18"/>
      <name val="Times New Roman"/>
      <family val="1"/>
    </font>
    <font>
      <b/>
      <sz val="12"/>
      <color rgb="FF000000"/>
      <name val="Aptos Narrow"/>
      <family val="2"/>
      <scheme val="minor"/>
    </font>
    <font>
      <sz val="12"/>
      <color theme="1"/>
      <name val="Aptos Narrow"/>
      <family val="2"/>
      <scheme val="minor"/>
    </font>
    <font>
      <b/>
      <sz val="14"/>
      <color indexed="10"/>
      <name val="Arial Unicode MS"/>
    </font>
    <font>
      <b/>
      <sz val="10"/>
      <name val="Aptos Narrow"/>
      <family val="2"/>
      <scheme val="minor"/>
    </font>
    <font>
      <b/>
      <vertAlign val="superscript"/>
      <sz val="10"/>
      <name val="Calibri"/>
      <family val="2"/>
    </font>
    <font>
      <b/>
      <i/>
      <sz val="10"/>
      <color indexed="10"/>
      <name val="Calibri"/>
      <family val="2"/>
    </font>
    <font>
      <sz val="12"/>
      <color theme="1"/>
      <name val="Arial"/>
      <family val="2"/>
    </font>
    <font>
      <b/>
      <i/>
      <sz val="12"/>
      <color indexed="8"/>
      <name val="Arial"/>
      <family val="2"/>
    </font>
    <font>
      <sz val="14"/>
      <name val="Arial Unicode MS"/>
      <family val="2"/>
    </font>
    <font>
      <b/>
      <sz val="12"/>
      <color indexed="8"/>
      <name val="Calibri"/>
      <family val="2"/>
    </font>
    <font>
      <sz val="9"/>
      <name val="Times New Roman"/>
      <family val="1"/>
    </font>
    <font>
      <b/>
      <vertAlign val="superscript"/>
      <sz val="12"/>
      <name val="Times New Roman"/>
      <family val="1"/>
    </font>
    <font>
      <sz val="16"/>
      <name val="Times New Roman"/>
      <family val="1"/>
    </font>
    <font>
      <i/>
      <sz val="16"/>
      <name val="Times New Roman"/>
      <family val="1"/>
    </font>
    <font>
      <b/>
      <sz val="16"/>
      <name val="Times New Roman"/>
      <family val="1"/>
    </font>
    <font>
      <b/>
      <i/>
      <sz val="12"/>
      <name val="Times New Roman"/>
      <family val="1"/>
    </font>
    <font>
      <b/>
      <i/>
      <sz val="14"/>
      <name val="Times New Roman"/>
      <family val="1"/>
    </font>
    <font>
      <sz val="12"/>
      <color rgb="FF000000"/>
      <name val="Arial"/>
      <family val="2"/>
    </font>
    <font>
      <b/>
      <sz val="14"/>
      <name val="Arial"/>
      <family val="2"/>
    </font>
    <font>
      <b/>
      <sz val="16"/>
      <name val="Arial"/>
      <family val="2"/>
    </font>
    <font>
      <sz val="14"/>
      <name val="Arial"/>
      <family val="2"/>
    </font>
    <font>
      <b/>
      <sz val="18"/>
      <name val="Arial"/>
      <family val="2"/>
    </font>
    <font>
      <b/>
      <sz val="26"/>
      <name val="Arial"/>
      <family val="2"/>
    </font>
    <font>
      <b/>
      <sz val="9"/>
      <color indexed="81"/>
      <name val="Segoe UI"/>
      <family val="2"/>
    </font>
    <font>
      <sz val="9"/>
      <color indexed="81"/>
      <name val="Segoe UI"/>
      <family val="2"/>
    </font>
    <font>
      <sz val="12"/>
      <color indexed="81"/>
      <name val="Segoe UI"/>
      <family val="2"/>
    </font>
    <font>
      <b/>
      <sz val="9"/>
      <color indexed="81"/>
      <name val="Tahoma"/>
      <family val="2"/>
    </font>
    <font>
      <sz val="9"/>
      <color indexed="81"/>
      <name val="Tahoma"/>
      <family val="2"/>
    </font>
    <font>
      <b/>
      <sz val="12"/>
      <color indexed="81"/>
      <name val="Tahoma"/>
      <family val="2"/>
    </font>
    <font>
      <b/>
      <sz val="12"/>
      <color indexed="81"/>
      <name val="Segoe UI"/>
      <family val="2"/>
    </font>
    <font>
      <sz val="12"/>
      <name val="Aptos Narrow"/>
      <family val="2"/>
      <scheme val="minor"/>
    </font>
    <font>
      <b/>
      <sz val="14"/>
      <color rgb="FF000000"/>
      <name val="Arial Unicode MS"/>
    </font>
    <font>
      <b/>
      <sz val="11"/>
      <name val="Calibri"/>
      <family val="2"/>
    </font>
    <font>
      <sz val="11"/>
      <name val="Calibri"/>
      <family val="2"/>
    </font>
    <font>
      <b/>
      <sz val="14"/>
      <name val="Calibri"/>
      <family val="2"/>
    </font>
    <font>
      <b/>
      <sz val="9"/>
      <color theme="1"/>
      <name val="Arial"/>
      <family val="2"/>
    </font>
    <font>
      <b/>
      <sz val="8"/>
      <color theme="1"/>
      <name val="Arial"/>
      <family val="2"/>
    </font>
    <font>
      <sz val="9"/>
      <color theme="1"/>
      <name val="Arial"/>
      <family val="2"/>
    </font>
    <font>
      <sz val="9"/>
      <name val="Arial"/>
      <family val="2"/>
    </font>
    <font>
      <b/>
      <sz val="9"/>
      <color theme="1"/>
      <name val="Calibri"/>
      <family val="2"/>
    </font>
    <font>
      <b/>
      <sz val="9"/>
      <color theme="1"/>
      <name val="Aptos Narrow"/>
      <family val="2"/>
      <scheme val="minor"/>
    </font>
  </fonts>
  <fills count="33">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2"/>
        <bgColor indexed="64"/>
      </patternFill>
    </fill>
    <fill>
      <patternFill patternType="solid">
        <fgColor theme="9"/>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solid">
        <fgColor indexed="9"/>
        <bgColor indexed="26"/>
      </patternFill>
    </fill>
    <fill>
      <patternFill patternType="solid">
        <fgColor theme="7" tint="0.39997558519241921"/>
        <bgColor indexed="26"/>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theme="0" tint="-0.14999847407452621"/>
      </patternFill>
    </fill>
    <fill>
      <patternFill patternType="solid">
        <fgColor theme="2" tint="-9.9978637043366805E-2"/>
        <bgColor indexed="64"/>
      </patternFill>
    </fill>
    <fill>
      <patternFill patternType="solid">
        <fgColor theme="2" tint="-9.9978637043366805E-2"/>
        <bgColor rgb="FFFFFF00"/>
      </patternFill>
    </fill>
    <fill>
      <patternFill patternType="solid">
        <fgColor theme="4" tint="0.59999389629810485"/>
        <bgColor rgb="FFFCC79B"/>
      </patternFill>
    </fill>
    <fill>
      <patternFill patternType="solid">
        <fgColor theme="3" tint="0.749992370372631"/>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right style="medium">
        <color indexed="64"/>
      </right>
      <top/>
      <bottom/>
      <diagonal/>
    </border>
    <border>
      <left style="medium">
        <color indexed="64"/>
      </left>
      <right/>
      <top/>
      <bottom style="thin">
        <color rgb="FF000000"/>
      </bottom>
      <diagonal/>
    </border>
    <border>
      <left/>
      <right style="medium">
        <color indexed="64"/>
      </right>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bottom/>
      <diagonal/>
    </border>
    <border>
      <left style="thin">
        <color rgb="FF000000"/>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right/>
      <top style="double">
        <color indexed="64"/>
      </top>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 fillId="0" borderId="0"/>
    <xf numFmtId="44" fontId="49" fillId="0" borderId="0" applyFont="0" applyFill="0" applyBorder="0" applyAlignment="0" applyProtection="0"/>
    <xf numFmtId="9" fontId="49" fillId="0" borderId="0" applyFont="0" applyFill="0" applyBorder="0" applyAlignment="0" applyProtection="0"/>
  </cellStyleXfs>
  <cellXfs count="1452">
    <xf numFmtId="0" fontId="0" fillId="0" borderId="0" xfId="0"/>
    <xf numFmtId="0" fontId="3" fillId="0" borderId="0" xfId="0" applyFont="1"/>
    <xf numFmtId="0" fontId="5" fillId="0" borderId="1" xfId="0" applyFont="1" applyBorder="1"/>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horizontal="left" wrapText="1"/>
    </xf>
    <xf numFmtId="0" fontId="5" fillId="0" borderId="1" xfId="0" applyFont="1" applyBorder="1" applyAlignment="1">
      <alignment horizontal="left"/>
    </xf>
    <xf numFmtId="44" fontId="5" fillId="0" borderId="1" xfId="2" applyFont="1" applyBorder="1"/>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1" xfId="0" applyFont="1" applyFill="1" applyBorder="1" applyAlignment="1">
      <alignment horizontal="center" vertical="center"/>
    </xf>
    <xf numFmtId="0" fontId="11" fillId="3" borderId="31" xfId="0" applyFont="1" applyFill="1" applyBorder="1" applyAlignment="1">
      <alignment horizontal="center" wrapText="1"/>
    </xf>
    <xf numFmtId="0" fontId="11" fillId="3" borderId="3" xfId="0" applyFont="1" applyFill="1" applyBorder="1" applyAlignment="1">
      <alignment wrapText="1"/>
    </xf>
    <xf numFmtId="0" fontId="11" fillId="3" borderId="3" xfId="0" applyFont="1" applyFill="1" applyBorder="1" applyAlignment="1">
      <alignment horizontal="center" vertical="center"/>
    </xf>
    <xf numFmtId="43" fontId="11" fillId="3" borderId="32" xfId="3" applyFont="1" applyFill="1" applyBorder="1" applyAlignment="1">
      <alignment horizontal="center" vertical="center"/>
    </xf>
    <xf numFmtId="0" fontId="5" fillId="5" borderId="1" xfId="0" applyFont="1" applyFill="1" applyBorder="1" applyAlignment="1">
      <alignment horizontal="center" vertical="center"/>
    </xf>
    <xf numFmtId="0" fontId="0" fillId="5" borderId="1" xfId="0" applyFill="1" applyBorder="1" applyAlignment="1">
      <alignment horizontal="center" vertical="center" wrapText="1"/>
    </xf>
    <xf numFmtId="0" fontId="5" fillId="5" borderId="1" xfId="0" applyFont="1" applyFill="1" applyBorder="1"/>
    <xf numFmtId="0" fontId="19" fillId="6" borderId="26" xfId="0" applyFont="1" applyFill="1" applyBorder="1" applyAlignment="1">
      <alignment wrapText="1"/>
    </xf>
    <xf numFmtId="0" fontId="19" fillId="6" borderId="27" xfId="0" applyFont="1" applyFill="1" applyBorder="1" applyAlignment="1">
      <alignment wrapText="1"/>
    </xf>
    <xf numFmtId="0" fontId="19" fillId="6" borderId="27" xfId="0" applyFont="1" applyFill="1" applyBorder="1" applyAlignment="1">
      <alignment horizontal="center" wrapText="1"/>
    </xf>
    <xf numFmtId="0" fontId="19" fillId="6" borderId="25" xfId="0" applyFont="1" applyFill="1" applyBorder="1" applyAlignment="1">
      <alignment horizontal="center" vertical="center" wrapText="1"/>
    </xf>
    <xf numFmtId="0" fontId="19" fillId="6" borderId="37" xfId="0" applyFont="1" applyFill="1" applyBorder="1" applyAlignment="1">
      <alignment horizontal="center" vertical="center" wrapText="1"/>
    </xf>
    <xf numFmtId="0" fontId="19" fillId="6" borderId="28" xfId="0" applyFont="1" applyFill="1" applyBorder="1" applyAlignment="1">
      <alignment horizontal="center" vertical="center" wrapText="1"/>
    </xf>
    <xf numFmtId="0" fontId="5" fillId="6" borderId="36"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11" fillId="0" borderId="16" xfId="0" applyFont="1" applyBorder="1" applyAlignment="1">
      <alignment horizontal="center" vertical="center" wrapText="1"/>
    </xf>
    <xf numFmtId="0" fontId="11" fillId="0" borderId="7" xfId="0" applyFont="1" applyBorder="1" applyAlignment="1">
      <alignment wrapText="1"/>
    </xf>
    <xf numFmtId="0" fontId="11" fillId="0" borderId="7"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38" xfId="0" applyFont="1" applyBorder="1" applyAlignment="1">
      <alignment horizontal="center" vertical="center" wrapText="1"/>
    </xf>
    <xf numFmtId="43" fontId="11" fillId="0" borderId="17" xfId="1" applyFont="1" applyFill="1" applyBorder="1" applyAlignment="1">
      <alignment horizontal="center" vertical="center" wrapText="1"/>
    </xf>
    <xf numFmtId="0" fontId="5" fillId="0" borderId="1" xfId="0" applyFont="1" applyBorder="1" applyAlignment="1">
      <alignment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43" fontId="5" fillId="0" borderId="36" xfId="1" applyFont="1" applyFill="1" applyBorder="1" applyAlignment="1">
      <alignment horizontal="center" vertical="center" wrapText="1"/>
    </xf>
    <xf numFmtId="43" fontId="5" fillId="0" borderId="22" xfId="1"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1" xfId="0" applyFont="1" applyBorder="1" applyAlignment="1">
      <alignment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43" fontId="11" fillId="0" borderId="36" xfId="1" applyFont="1" applyFill="1" applyBorder="1" applyAlignment="1">
      <alignment horizontal="center" vertical="center" wrapText="1"/>
    </xf>
    <xf numFmtId="0" fontId="11" fillId="0" borderId="39" xfId="0" applyFont="1" applyBorder="1" applyAlignment="1">
      <alignment horizontal="center" vertical="center" wrapText="1"/>
    </xf>
    <xf numFmtId="0" fontId="11" fillId="0" borderId="5" xfId="0" applyFont="1" applyBorder="1" applyAlignment="1">
      <alignment wrapText="1"/>
    </xf>
    <xf numFmtId="0" fontId="11" fillId="0" borderId="5" xfId="0" applyFont="1" applyBorder="1" applyAlignment="1">
      <alignment horizontal="center" vertical="center" wrapText="1"/>
    </xf>
    <xf numFmtId="0" fontId="11" fillId="0" borderId="40" xfId="0" applyFont="1" applyBorder="1" applyAlignment="1">
      <alignment horizontal="center" vertical="center" wrapText="1"/>
    </xf>
    <xf numFmtId="0" fontId="9" fillId="5" borderId="2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5" borderId="28" xfId="0" applyFont="1" applyFill="1" applyBorder="1" applyAlignment="1">
      <alignment horizontal="center" vertical="center" wrapText="1"/>
    </xf>
    <xf numFmtId="10" fontId="10" fillId="5" borderId="12" xfId="0" applyNumberFormat="1" applyFont="1" applyFill="1" applyBorder="1" applyAlignment="1">
      <alignment horizontal="center" vertical="center"/>
    </xf>
    <xf numFmtId="0" fontId="3" fillId="5" borderId="12" xfId="0" applyFont="1" applyFill="1" applyBorder="1" applyAlignment="1">
      <alignment horizontal="center"/>
    </xf>
    <xf numFmtId="0" fontId="9" fillId="5" borderId="12" xfId="0" applyFont="1" applyFill="1" applyBorder="1" applyAlignment="1">
      <alignment horizontal="center" vertical="center"/>
    </xf>
    <xf numFmtId="0" fontId="5" fillId="0" borderId="21" xfId="0" applyFont="1" applyBorder="1" applyAlignment="1">
      <alignment horizontal="center" vertical="center" wrapText="1"/>
    </xf>
    <xf numFmtId="0" fontId="9" fillId="0" borderId="21" xfId="0" applyFont="1" applyBorder="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xf>
    <xf numFmtId="43" fontId="9" fillId="0" borderId="1" xfId="3" applyFont="1" applyFill="1" applyBorder="1" applyAlignment="1">
      <alignment horizontal="center" vertical="center"/>
    </xf>
    <xf numFmtId="43" fontId="9" fillId="0" borderId="22" xfId="3" applyFont="1" applyFill="1" applyBorder="1" applyAlignment="1">
      <alignment horizontal="center" vertical="center"/>
    </xf>
    <xf numFmtId="0" fontId="9" fillId="0" borderId="1" xfId="0" applyFont="1" applyBorder="1" applyAlignment="1">
      <alignment horizontal="justify" vertical="center" wrapText="1"/>
    </xf>
    <xf numFmtId="3" fontId="9" fillId="0" borderId="1" xfId="0" applyNumberFormat="1" applyFont="1" applyBorder="1" applyAlignment="1">
      <alignment horizontal="center" vertical="center"/>
    </xf>
    <xf numFmtId="0" fontId="9" fillId="0" borderId="1" xfId="0" applyFont="1" applyBorder="1" applyAlignment="1">
      <alignment horizontal="justify" vertical="distributed" wrapText="1"/>
    </xf>
    <xf numFmtId="43" fontId="9" fillId="0" borderId="1" xfId="3" applyFont="1" applyFill="1" applyBorder="1" applyAlignment="1">
      <alignment vertical="center"/>
    </xf>
    <xf numFmtId="0" fontId="16" fillId="0" borderId="1" xfId="0" applyFont="1" applyBorder="1" applyAlignment="1">
      <alignment horizontal="left" vertical="center" wrapText="1"/>
    </xf>
    <xf numFmtId="0" fontId="9" fillId="0" borderId="21" xfId="0" applyFont="1" applyBorder="1" applyAlignment="1">
      <alignment horizontal="center" vertical="center" wrapText="1"/>
    </xf>
    <xf numFmtId="0" fontId="9" fillId="0" borderId="1" xfId="0" applyFont="1" applyBorder="1" applyAlignment="1">
      <alignment horizontal="center" vertical="center" wrapText="1"/>
    </xf>
    <xf numFmtId="10" fontId="14" fillId="5" borderId="13" xfId="0" applyNumberFormat="1" applyFont="1" applyFill="1" applyBorder="1" applyAlignment="1">
      <alignment horizontal="center" vertical="center"/>
    </xf>
    <xf numFmtId="0" fontId="5" fillId="0" borderId="5"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xf numFmtId="44" fontId="5" fillId="0" borderId="5" xfId="2" applyFont="1" applyBorder="1"/>
    <xf numFmtId="43" fontId="8" fillId="9" borderId="33" xfId="3" applyFont="1" applyFill="1" applyBorder="1" applyAlignment="1">
      <alignment horizontal="right" vertical="center"/>
    </xf>
    <xf numFmtId="43" fontId="8" fillId="9" borderId="34" xfId="3" applyFont="1" applyFill="1" applyBorder="1" applyAlignment="1">
      <alignment horizontal="right" vertical="center"/>
    </xf>
    <xf numFmtId="10" fontId="10" fillId="4" borderId="12" xfId="0" applyNumberFormat="1" applyFont="1" applyFill="1" applyBorder="1" applyAlignment="1">
      <alignment horizontal="center" vertical="center"/>
    </xf>
    <xf numFmtId="10" fontId="9" fillId="4" borderId="35" xfId="0" applyNumberFormat="1" applyFont="1" applyFill="1" applyBorder="1" applyAlignment="1">
      <alignment horizontal="center" vertical="center"/>
    </xf>
    <xf numFmtId="44" fontId="15" fillId="9" borderId="28" xfId="2" applyFont="1" applyFill="1" applyBorder="1" applyAlignment="1"/>
    <xf numFmtId="10" fontId="9" fillId="4" borderId="13" xfId="0" applyNumberFormat="1" applyFont="1" applyFill="1" applyBorder="1" applyAlignment="1">
      <alignment horizontal="center" vertical="center"/>
    </xf>
    <xf numFmtId="0" fontId="9" fillId="0" borderId="16" xfId="0" applyFont="1" applyBorder="1" applyAlignment="1">
      <alignment horizontal="center"/>
    </xf>
    <xf numFmtId="0" fontId="9" fillId="0" borderId="7" xfId="0" applyFont="1" applyBorder="1" applyAlignment="1">
      <alignment horizontal="left" vertical="center" wrapText="1"/>
    </xf>
    <xf numFmtId="0" fontId="9" fillId="0" borderId="7" xfId="0" applyFont="1" applyBorder="1" applyAlignment="1">
      <alignment horizontal="center" vertical="center"/>
    </xf>
    <xf numFmtId="49" fontId="9" fillId="0" borderId="7" xfId="0" applyNumberFormat="1" applyFont="1" applyBorder="1" applyAlignment="1">
      <alignment horizontal="center" vertical="center"/>
    </xf>
    <xf numFmtId="43" fontId="9" fillId="0" borderId="7" xfId="3" applyFont="1" applyFill="1" applyBorder="1" applyAlignment="1">
      <alignment horizontal="center" vertical="center"/>
    </xf>
    <xf numFmtId="43" fontId="9" fillId="0" borderId="17" xfId="3" applyFont="1" applyFill="1" applyBorder="1" applyAlignment="1">
      <alignment horizontal="center" vertical="center"/>
    </xf>
    <xf numFmtId="0" fontId="11" fillId="3" borderId="11" xfId="0" applyFont="1" applyFill="1" applyBorder="1" applyAlignment="1">
      <alignment horizontal="center" wrapText="1"/>
    </xf>
    <xf numFmtId="0" fontId="11" fillId="3" borderId="12" xfId="0" applyFont="1" applyFill="1" applyBorder="1" applyAlignment="1">
      <alignment wrapText="1"/>
    </xf>
    <xf numFmtId="0" fontId="11" fillId="3" borderId="12" xfId="0" applyFont="1" applyFill="1" applyBorder="1"/>
    <xf numFmtId="0" fontId="3" fillId="3" borderId="12" xfId="0" applyFont="1" applyFill="1" applyBorder="1"/>
    <xf numFmtId="0" fontId="11" fillId="3" borderId="12" xfId="0" applyFont="1" applyFill="1" applyBorder="1" applyAlignment="1">
      <alignment horizontal="right" vertical="center"/>
    </xf>
    <xf numFmtId="43" fontId="11" fillId="3" borderId="13" xfId="3" applyFont="1" applyFill="1" applyBorder="1"/>
    <xf numFmtId="0" fontId="20" fillId="5" borderId="12" xfId="0" applyFont="1" applyFill="1" applyBorder="1" applyAlignment="1">
      <alignment horizontal="right" vertical="center" wrapText="1"/>
    </xf>
    <xf numFmtId="10" fontId="14" fillId="5" borderId="12" xfId="0" applyNumberFormat="1" applyFont="1" applyFill="1" applyBorder="1" applyAlignment="1">
      <alignment horizontal="center" vertical="center"/>
    </xf>
    <xf numFmtId="43" fontId="11" fillId="0" borderId="44" xfId="1" applyFont="1" applyFill="1" applyBorder="1" applyAlignment="1">
      <alignment horizontal="center" vertical="center" wrapText="1"/>
    </xf>
    <xf numFmtId="43" fontId="5" fillId="0" borderId="45" xfId="1" applyFont="1" applyFill="1" applyBorder="1" applyAlignment="1">
      <alignment horizontal="center" vertical="center" wrapText="1"/>
    </xf>
    <xf numFmtId="0" fontId="11" fillId="5" borderId="11" xfId="0" applyFont="1" applyFill="1" applyBorder="1" applyAlignment="1">
      <alignment horizontal="center" vertical="center" wrapText="1"/>
    </xf>
    <xf numFmtId="43" fontId="11" fillId="5" borderId="13" xfId="0" applyNumberFormat="1" applyFont="1" applyFill="1" applyBorder="1" applyAlignment="1">
      <alignment wrapText="1"/>
    </xf>
    <xf numFmtId="0" fontId="11" fillId="3" borderId="11" xfId="0" applyFont="1" applyFill="1" applyBorder="1" applyAlignment="1">
      <alignment horizontal="center" vertical="center" wrapText="1"/>
    </xf>
    <xf numFmtId="43" fontId="11" fillId="3" borderId="13" xfId="0" applyNumberFormat="1" applyFont="1" applyFill="1" applyBorder="1" applyAlignment="1">
      <alignment wrapText="1"/>
    </xf>
    <xf numFmtId="44" fontId="15" fillId="3" borderId="10" xfId="2" applyFont="1" applyFill="1" applyBorder="1"/>
    <xf numFmtId="44" fontId="15" fillId="4" borderId="13" xfId="0" applyNumberFormat="1" applyFont="1" applyFill="1" applyBorder="1"/>
    <xf numFmtId="0" fontId="24" fillId="13" borderId="21" xfId="0" applyFont="1" applyFill="1" applyBorder="1" applyAlignment="1">
      <alignment horizontal="center" vertical="center" wrapText="1"/>
    </xf>
    <xf numFmtId="0" fontId="24" fillId="13" borderId="32" xfId="0" applyFont="1" applyFill="1" applyBorder="1" applyAlignment="1">
      <alignment horizontal="center" vertical="center" wrapText="1"/>
    </xf>
    <xf numFmtId="0" fontId="24" fillId="13" borderId="4" xfId="0" applyFont="1" applyFill="1" applyBorder="1" applyAlignment="1">
      <alignment horizontal="center" vertical="center" wrapText="1"/>
    </xf>
    <xf numFmtId="0" fontId="24" fillId="13" borderId="22" xfId="0" applyFont="1" applyFill="1" applyBorder="1" applyAlignment="1">
      <alignment horizontal="center" vertical="center" wrapText="1"/>
    </xf>
    <xf numFmtId="0" fontId="25" fillId="12" borderId="25" xfId="0" applyFont="1" applyFill="1" applyBorder="1" applyAlignment="1">
      <alignment horizontal="center" vertical="center" wrapText="1"/>
    </xf>
    <xf numFmtId="0" fontId="25" fillId="13" borderId="26" xfId="0" applyFont="1" applyFill="1" applyBorder="1" applyAlignment="1">
      <alignment horizontal="center" vertical="center" wrapText="1"/>
    </xf>
    <xf numFmtId="0" fontId="25" fillId="13" borderId="28"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3" borderId="22" xfId="0" applyFont="1" applyFill="1" applyBorder="1" applyAlignment="1">
      <alignment horizontal="center" vertical="center" wrapText="1"/>
    </xf>
    <xf numFmtId="0" fontId="9" fillId="13" borderId="21" xfId="0" applyFont="1" applyFill="1" applyBorder="1" applyAlignment="1">
      <alignment horizontal="center" vertical="center" wrapText="1"/>
    </xf>
    <xf numFmtId="0" fontId="9" fillId="13" borderId="32" xfId="0" applyFont="1" applyFill="1" applyBorder="1" applyAlignment="1">
      <alignment horizontal="center" vertical="center" wrapText="1"/>
    </xf>
    <xf numFmtId="0" fontId="10" fillId="12" borderId="25" xfId="0" applyFont="1" applyFill="1" applyBorder="1" applyAlignment="1">
      <alignment horizontal="center" vertical="center" wrapText="1"/>
    </xf>
    <xf numFmtId="0" fontId="10" fillId="13" borderId="51" xfId="0" applyFont="1" applyFill="1" applyBorder="1" applyAlignment="1">
      <alignment horizontal="center" vertical="center" wrapText="1"/>
    </xf>
    <xf numFmtId="0" fontId="10" fillId="13" borderId="28"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1" xfId="0" applyFont="1" applyFill="1" applyBorder="1" applyAlignment="1">
      <alignment vertical="center" wrapText="1"/>
    </xf>
    <xf numFmtId="44" fontId="8" fillId="10" borderId="12" xfId="2" applyFont="1" applyFill="1" applyBorder="1" applyAlignment="1">
      <alignment horizontal="center" vertical="center" wrapText="1"/>
    </xf>
    <xf numFmtId="44" fontId="15" fillId="10" borderId="10" xfId="2" applyFont="1" applyFill="1" applyBorder="1" applyAlignment="1">
      <alignment horizontal="center" vertical="center" wrapText="1"/>
    </xf>
    <xf numFmtId="0" fontId="15" fillId="14" borderId="9" xfId="0" applyFont="1" applyFill="1" applyBorder="1" applyAlignment="1">
      <alignment horizontal="center" vertical="center" wrapText="1"/>
    </xf>
    <xf numFmtId="44" fontId="9" fillId="4" borderId="1" xfId="2" applyFont="1" applyFill="1" applyBorder="1" applyAlignment="1">
      <alignment horizontal="center"/>
    </xf>
    <xf numFmtId="44" fontId="28" fillId="0" borderId="1" xfId="2" applyFont="1" applyBorder="1" applyAlignment="1">
      <alignment horizontal="center" vertical="center" wrapText="1"/>
    </xf>
    <xf numFmtId="44" fontId="8" fillId="14" borderId="46" xfId="2" applyFont="1" applyFill="1" applyBorder="1" applyAlignment="1">
      <alignment horizontal="center" vertical="center"/>
    </xf>
    <xf numFmtId="0" fontId="24" fillId="4" borderId="1" xfId="0" applyFont="1" applyFill="1" applyBorder="1" applyAlignment="1">
      <alignment horizontal="center" vertical="center"/>
    </xf>
    <xf numFmtId="43" fontId="24" fillId="4" borderId="22" xfId="1" applyFont="1" applyFill="1" applyBorder="1" applyAlignment="1">
      <alignment horizontal="center"/>
    </xf>
    <xf numFmtId="0" fontId="24" fillId="4" borderId="5" xfId="0" applyFont="1" applyFill="1" applyBorder="1" applyAlignment="1">
      <alignment horizontal="center" vertical="center"/>
    </xf>
    <xf numFmtId="43" fontId="24" fillId="4" borderId="45" xfId="1" applyFont="1" applyFill="1" applyBorder="1" applyAlignment="1">
      <alignment horizontal="center"/>
    </xf>
    <xf numFmtId="44" fontId="14" fillId="0" borderId="1" xfId="2" applyFont="1" applyBorder="1" applyAlignment="1">
      <alignment horizontal="center" vertical="center" wrapText="1"/>
    </xf>
    <xf numFmtId="44" fontId="14" fillId="0" borderId="22" xfId="2" applyFont="1" applyFill="1" applyBorder="1" applyAlignment="1">
      <alignment horizontal="center" vertical="center" wrapText="1"/>
    </xf>
    <xf numFmtId="44" fontId="2" fillId="4" borderId="11" xfId="2" applyFont="1" applyFill="1" applyBorder="1" applyAlignment="1">
      <alignment horizontal="center" vertical="center" wrapText="1"/>
    </xf>
    <xf numFmtId="44" fontId="2" fillId="4" borderId="46" xfId="2" applyFont="1" applyFill="1" applyBorder="1" applyAlignment="1">
      <alignment horizontal="center" vertical="center"/>
    </xf>
    <xf numFmtId="0" fontId="29" fillId="14" borderId="12" xfId="0" applyFont="1" applyFill="1" applyBorder="1" applyAlignment="1">
      <alignment horizontal="center" vertical="center" wrapText="1"/>
    </xf>
    <xf numFmtId="44" fontId="2" fillId="14" borderId="46" xfId="2" applyFont="1" applyFill="1" applyBorder="1" applyAlignment="1">
      <alignment horizontal="center" vertical="center"/>
    </xf>
    <xf numFmtId="0" fontId="24" fillId="4" borderId="1" xfId="0" applyFont="1" applyFill="1" applyBorder="1" applyAlignment="1">
      <alignment horizontal="left" vertical="center"/>
    </xf>
    <xf numFmtId="0" fontId="24" fillId="4" borderId="5" xfId="0" applyFont="1" applyFill="1" applyBorder="1" applyAlignment="1">
      <alignment horizontal="left" vertical="center"/>
    </xf>
    <xf numFmtId="0" fontId="28" fillId="0" borderId="57" xfId="0" applyFont="1" applyBorder="1" applyAlignment="1">
      <alignment horizontal="left" vertical="center" wrapText="1"/>
    </xf>
    <xf numFmtId="0" fontId="28" fillId="0" borderId="56" xfId="0" applyFont="1" applyBorder="1" applyAlignment="1">
      <alignment horizontal="left" vertical="center" wrapText="1"/>
    </xf>
    <xf numFmtId="0" fontId="28" fillId="0" borderId="64" xfId="0" applyFont="1" applyBorder="1" applyAlignment="1">
      <alignment horizontal="left" vertical="center" wrapText="1"/>
    </xf>
    <xf numFmtId="0" fontId="0" fillId="0" borderId="57" xfId="0" applyBorder="1" applyAlignment="1">
      <alignment vertical="center" wrapText="1"/>
    </xf>
    <xf numFmtId="0" fontId="28" fillId="0" borderId="55" xfId="0" applyFont="1" applyBorder="1" applyAlignment="1">
      <alignment horizontal="left" vertical="center" wrapText="1"/>
    </xf>
    <xf numFmtId="0" fontId="28" fillId="0" borderId="66" xfId="0" applyFont="1" applyBorder="1" applyAlignment="1">
      <alignment horizontal="left" vertical="center" wrapText="1"/>
    </xf>
    <xf numFmtId="0" fontId="28" fillId="0" borderId="60" xfId="0" applyFont="1" applyBorder="1" applyAlignment="1">
      <alignment horizontal="left" vertical="center" wrapText="1"/>
    </xf>
    <xf numFmtId="0" fontId="28" fillId="0" borderId="63" xfId="0" applyFont="1" applyBorder="1" applyAlignment="1">
      <alignment horizontal="left" vertical="center" wrapText="1"/>
    </xf>
    <xf numFmtId="0" fontId="26" fillId="4" borderId="26" xfId="0" applyFont="1" applyFill="1" applyBorder="1" applyAlignment="1">
      <alignment horizontal="center" vertical="center" wrapText="1"/>
    </xf>
    <xf numFmtId="0" fontId="26" fillId="4" borderId="27" xfId="0" applyFont="1" applyFill="1" applyBorder="1" applyAlignment="1">
      <alignment horizontal="center" vertical="center" wrapText="1"/>
    </xf>
    <xf numFmtId="0" fontId="30" fillId="3" borderId="71" xfId="0" applyFont="1" applyFill="1" applyBorder="1" applyAlignment="1">
      <alignment horizontal="center" vertical="center" wrapText="1"/>
    </xf>
    <xf numFmtId="0" fontId="30" fillId="3" borderId="57" xfId="0" applyFont="1" applyFill="1" applyBorder="1" applyAlignment="1">
      <alignment horizontal="center" vertical="center" wrapText="1"/>
    </xf>
    <xf numFmtId="0" fontId="30" fillId="3" borderId="72" xfId="0" applyFont="1" applyFill="1" applyBorder="1" applyAlignment="1">
      <alignment horizontal="center" vertical="center" wrapText="1"/>
    </xf>
    <xf numFmtId="43" fontId="0" fillId="0" borderId="0" xfId="0" applyNumberFormat="1"/>
    <xf numFmtId="0" fontId="31" fillId="4" borderId="27" xfId="0" applyFont="1" applyFill="1" applyBorder="1" applyAlignment="1">
      <alignment horizontal="center" vertical="center" wrapText="1"/>
    </xf>
    <xf numFmtId="43" fontId="24" fillId="4" borderId="24" xfId="1" applyFont="1" applyFill="1" applyBorder="1" applyAlignment="1">
      <alignment horizontal="center" vertical="center"/>
    </xf>
    <xf numFmtId="43" fontId="24" fillId="4" borderId="86" xfId="1" applyFont="1" applyFill="1" applyBorder="1" applyAlignment="1">
      <alignment horizontal="center" vertical="center"/>
    </xf>
    <xf numFmtId="0" fontId="26" fillId="6" borderId="23" xfId="0" applyFont="1" applyFill="1" applyBorder="1" applyAlignment="1">
      <alignment horizontal="center" vertical="center" wrapText="1"/>
    </xf>
    <xf numFmtId="44" fontId="26" fillId="6" borderId="86" xfId="2" applyFont="1" applyFill="1" applyBorder="1" applyAlignment="1">
      <alignment horizontal="center" vertical="center" wrapText="1"/>
    </xf>
    <xf numFmtId="0" fontId="24" fillId="13"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4" fillId="6" borderId="22" xfId="0" applyFont="1" applyFill="1" applyBorder="1" applyAlignment="1">
      <alignment horizontal="center" vertical="center" wrapText="1"/>
    </xf>
    <xf numFmtId="0" fontId="25" fillId="6" borderId="22" xfId="0" applyFont="1" applyFill="1" applyBorder="1" applyAlignment="1">
      <alignment horizontal="center" vertical="center" wrapText="1"/>
    </xf>
    <xf numFmtId="0" fontId="9" fillId="0" borderId="21" xfId="0" applyFont="1" applyBorder="1" applyAlignment="1">
      <alignment horizontal="center" vertical="center"/>
    </xf>
    <xf numFmtId="0" fontId="9" fillId="0" borderId="1" xfId="3" applyNumberFormat="1" applyFont="1" applyFill="1" applyBorder="1" applyAlignment="1">
      <alignment horizontal="center" vertical="center"/>
    </xf>
    <xf numFmtId="0" fontId="25" fillId="13" borderId="51" xfId="0" applyFont="1" applyFill="1" applyBorder="1" applyAlignment="1">
      <alignment horizontal="center" vertical="center" wrapText="1"/>
    </xf>
    <xf numFmtId="0" fontId="24" fillId="4" borderId="21" xfId="0" applyFont="1" applyFill="1" applyBorder="1" applyAlignment="1">
      <alignment horizontal="center" vertical="center"/>
    </xf>
    <xf numFmtId="0" fontId="24" fillId="4" borderId="1" xfId="0" applyFont="1" applyFill="1" applyBorder="1" applyAlignment="1">
      <alignment wrapText="1"/>
    </xf>
    <xf numFmtId="0" fontId="24" fillId="4" borderId="1" xfId="0" applyFont="1" applyFill="1" applyBorder="1" applyAlignment="1">
      <alignment horizontal="center"/>
    </xf>
    <xf numFmtId="43" fontId="24" fillId="4" borderId="4" xfId="1" applyFont="1" applyFill="1" applyBorder="1" applyAlignment="1">
      <alignment horizontal="center"/>
    </xf>
    <xf numFmtId="0" fontId="24" fillId="4" borderId="5" xfId="0" applyFont="1" applyFill="1" applyBorder="1" applyAlignment="1">
      <alignment wrapText="1"/>
    </xf>
    <xf numFmtId="0" fontId="24" fillId="4" borderId="5" xfId="0" applyFont="1" applyFill="1" applyBorder="1" applyAlignment="1">
      <alignment horizontal="center"/>
    </xf>
    <xf numFmtId="43" fontId="24" fillId="4" borderId="43" xfId="1" applyFont="1" applyFill="1" applyBorder="1" applyAlignment="1">
      <alignment horizontal="center"/>
    </xf>
    <xf numFmtId="0" fontId="25" fillId="12" borderId="40" xfId="0" applyFont="1" applyFill="1" applyBorder="1" applyAlignment="1">
      <alignment horizontal="center" vertical="center" wrapText="1"/>
    </xf>
    <xf numFmtId="43" fontId="24" fillId="4" borderId="88" xfId="1" applyFont="1" applyFill="1" applyBorder="1" applyAlignment="1">
      <alignment horizontal="center"/>
    </xf>
    <xf numFmtId="43" fontId="24" fillId="16" borderId="88" xfId="1" applyFont="1" applyFill="1" applyBorder="1" applyAlignment="1">
      <alignment horizontal="center"/>
    </xf>
    <xf numFmtId="43" fontId="24" fillId="16" borderId="22" xfId="1" applyFont="1" applyFill="1" applyBorder="1" applyAlignment="1">
      <alignment horizontal="center"/>
    </xf>
    <xf numFmtId="0" fontId="23" fillId="4" borderId="11" xfId="0" applyFont="1" applyFill="1" applyBorder="1" applyAlignment="1">
      <alignment horizontal="center" vertical="center" wrapText="1"/>
    </xf>
    <xf numFmtId="44" fontId="23" fillId="4" borderId="13" xfId="2" applyFont="1" applyFill="1" applyBorder="1" applyAlignment="1">
      <alignment horizontal="center" vertical="center"/>
    </xf>
    <xf numFmtId="0" fontId="26" fillId="4" borderId="1" xfId="0" applyFont="1" applyFill="1" applyBorder="1" applyAlignment="1">
      <alignment horizontal="center" vertical="center" wrapText="1"/>
    </xf>
    <xf numFmtId="0" fontId="26" fillId="4" borderId="1" xfId="0" applyFont="1" applyFill="1" applyBorder="1" applyAlignment="1">
      <alignment vertical="center" wrapText="1"/>
    </xf>
    <xf numFmtId="44" fontId="26" fillId="0" borderId="1" xfId="2" applyFont="1" applyBorder="1" applyAlignment="1">
      <alignment horizontal="center" vertical="center" wrapText="1"/>
    </xf>
    <xf numFmtId="0" fontId="9" fillId="4" borderId="1" xfId="0" applyFont="1" applyFill="1" applyBorder="1" applyAlignment="1">
      <alignment horizontal="left" vertical="center"/>
    </xf>
    <xf numFmtId="0" fontId="28" fillId="4" borderId="1" xfId="0" applyFont="1" applyFill="1" applyBorder="1" applyAlignment="1">
      <alignment horizontal="left" vertical="center" wrapText="1"/>
    </xf>
    <xf numFmtId="44" fontId="11" fillId="10" borderId="25" xfId="2" applyFont="1" applyFill="1" applyBorder="1" applyAlignment="1">
      <alignment horizontal="center" vertical="center" wrapText="1"/>
    </xf>
    <xf numFmtId="44" fontId="11" fillId="10" borderId="87" xfId="2" applyFont="1" applyFill="1" applyBorder="1" applyAlignment="1">
      <alignment horizontal="right"/>
    </xf>
    <xf numFmtId="43" fontId="24" fillId="4" borderId="1" xfId="1" applyFont="1" applyFill="1" applyBorder="1" applyAlignment="1">
      <alignment horizontal="center" vertical="center"/>
    </xf>
    <xf numFmtId="44" fontId="24" fillId="4" borderId="1" xfId="2" applyFont="1" applyFill="1" applyBorder="1" applyAlignment="1">
      <alignment horizontal="center" vertical="center"/>
    </xf>
    <xf numFmtId="44" fontId="26" fillId="6" borderId="1" xfId="2" applyFont="1" applyFill="1" applyBorder="1" applyAlignment="1">
      <alignment horizontal="center" vertical="center" wrapText="1"/>
    </xf>
    <xf numFmtId="0" fontId="26" fillId="4" borderId="7" xfId="0" applyFont="1" applyFill="1" applyBorder="1" applyAlignment="1">
      <alignment horizontal="center" vertical="center" wrapText="1"/>
    </xf>
    <xf numFmtId="0" fontId="25" fillId="12" borderId="1" xfId="0" applyFont="1" applyFill="1" applyBorder="1" applyAlignment="1">
      <alignment horizontal="center" vertical="center" wrapText="1"/>
    </xf>
    <xf numFmtId="43" fontId="24" fillId="4" borderId="16" xfId="1" applyFont="1" applyFill="1" applyBorder="1" applyAlignment="1">
      <alignment horizontal="center" vertical="center"/>
    </xf>
    <xf numFmtId="43" fontId="24" fillId="4" borderId="17" xfId="1" applyFont="1" applyFill="1" applyBorder="1" applyAlignment="1">
      <alignment horizontal="center" vertical="center"/>
    </xf>
    <xf numFmtId="43" fontId="24" fillId="4" borderId="21" xfId="1" applyFont="1" applyFill="1" applyBorder="1" applyAlignment="1">
      <alignment horizontal="center" vertical="center"/>
    </xf>
    <xf numFmtId="43" fontId="24" fillId="4" borderId="22" xfId="1" applyFont="1" applyFill="1" applyBorder="1" applyAlignment="1">
      <alignment horizontal="center" vertical="center"/>
    </xf>
    <xf numFmtId="43" fontId="24" fillId="4" borderId="39" xfId="1" applyFont="1" applyFill="1" applyBorder="1" applyAlignment="1">
      <alignment horizontal="center" vertical="center"/>
    </xf>
    <xf numFmtId="43" fontId="24" fillId="4" borderId="45" xfId="1" applyFont="1" applyFill="1" applyBorder="1" applyAlignment="1">
      <alignment horizontal="center" vertical="center"/>
    </xf>
    <xf numFmtId="0" fontId="28" fillId="4" borderId="1" xfId="0" applyFont="1" applyFill="1" applyBorder="1" applyAlignment="1">
      <alignment vertical="center"/>
    </xf>
    <xf numFmtId="0" fontId="32" fillId="18" borderId="0" xfId="0" applyFont="1" applyFill="1"/>
    <xf numFmtId="0" fontId="33" fillId="19" borderId="1" xfId="0" applyFont="1" applyFill="1" applyBorder="1" applyAlignment="1">
      <alignment horizontal="center" vertical="center"/>
    </xf>
    <xf numFmtId="0" fontId="33" fillId="19" borderId="1" xfId="0" applyFont="1" applyFill="1" applyBorder="1" applyAlignment="1">
      <alignment horizontal="center" vertical="center" wrapText="1"/>
    </xf>
    <xf numFmtId="0" fontId="33" fillId="18" borderId="1" xfId="0" applyFont="1" applyFill="1" applyBorder="1" applyAlignment="1">
      <alignment horizontal="center" vertical="center"/>
    </xf>
    <xf numFmtId="0" fontId="34" fillId="18" borderId="1" xfId="0" applyFont="1" applyFill="1" applyBorder="1" applyAlignment="1">
      <alignment horizontal="center" vertical="center" wrapText="1"/>
    </xf>
    <xf numFmtId="44" fontId="33" fillId="20" borderId="1" xfId="2" applyFont="1" applyFill="1" applyBorder="1" applyAlignment="1">
      <alignment horizontal="center" vertical="center"/>
    </xf>
    <xf numFmtId="0" fontId="32" fillId="18" borderId="1" xfId="0" applyFont="1" applyFill="1" applyBorder="1" applyAlignment="1">
      <alignment horizontal="center" vertical="center"/>
    </xf>
    <xf numFmtId="44" fontId="32" fillId="20" borderId="1" xfId="2" applyFont="1" applyFill="1" applyBorder="1" applyAlignment="1">
      <alignment horizontal="center" vertical="center"/>
    </xf>
    <xf numFmtId="44" fontId="32" fillId="18" borderId="1" xfId="2" applyFont="1" applyFill="1" applyBorder="1" applyAlignment="1">
      <alignment horizontal="center" vertical="center"/>
    </xf>
    <xf numFmtId="44" fontId="33" fillId="18" borderId="1" xfId="2" applyFont="1" applyFill="1" applyBorder="1" applyAlignment="1">
      <alignment horizontal="right" vertical="center"/>
    </xf>
    <xf numFmtId="44" fontId="33" fillId="21" borderId="1" xfId="2" applyFont="1" applyFill="1" applyBorder="1" applyAlignment="1">
      <alignment horizontal="right" vertical="center"/>
    </xf>
    <xf numFmtId="0" fontId="32" fillId="0" borderId="0" xfId="0" applyFont="1"/>
    <xf numFmtId="0" fontId="34" fillId="0" borderId="1" xfId="0" applyFont="1" applyBorder="1" applyAlignment="1">
      <alignment horizontal="center" vertical="center"/>
    </xf>
    <xf numFmtId="0" fontId="35" fillId="18" borderId="1" xfId="0" applyFont="1" applyFill="1" applyBorder="1" applyAlignment="1">
      <alignment horizontal="center" vertical="center" wrapText="1"/>
    </xf>
    <xf numFmtId="0" fontId="35" fillId="18" borderId="1" xfId="0" applyFont="1" applyFill="1" applyBorder="1" applyAlignment="1">
      <alignment horizontal="left"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10" fontId="32" fillId="0" borderId="1" xfId="4" applyNumberFormat="1" applyFont="1" applyBorder="1" applyAlignment="1">
      <alignment horizontal="center"/>
    </xf>
    <xf numFmtId="44" fontId="32" fillId="0" borderId="1" xfId="2" applyFont="1" applyBorder="1" applyAlignment="1">
      <alignment vertical="center" wrapText="1"/>
    </xf>
    <xf numFmtId="44" fontId="32" fillId="0" borderId="1" xfId="2" applyFont="1" applyBorder="1" applyAlignment="1"/>
    <xf numFmtId="0" fontId="32" fillId="0" borderId="1" xfId="0" applyFont="1" applyBorder="1"/>
    <xf numFmtId="44" fontId="33" fillId="0" borderId="1" xfId="2" applyFont="1" applyBorder="1" applyAlignment="1">
      <alignment vertical="center" wrapText="1"/>
    </xf>
    <xf numFmtId="10" fontId="32" fillId="0" borderId="1" xfId="0" applyNumberFormat="1" applyFont="1" applyBorder="1" applyAlignment="1">
      <alignment horizontal="center" vertical="center" wrapText="1"/>
    </xf>
    <xf numFmtId="44" fontId="32" fillId="0" borderId="1" xfId="2" applyFont="1" applyBorder="1" applyAlignment="1">
      <alignment horizontal="center" vertical="center" wrapText="1"/>
    </xf>
    <xf numFmtId="10" fontId="33" fillId="0" borderId="1" xfId="0" applyNumberFormat="1" applyFont="1" applyBorder="1" applyAlignment="1">
      <alignment horizontal="center" vertical="center" wrapText="1"/>
    </xf>
    <xf numFmtId="44" fontId="33" fillId="0" borderId="1" xfId="2" applyFont="1" applyBorder="1" applyAlignment="1">
      <alignment horizontal="center" vertical="center" wrapText="1"/>
    </xf>
    <xf numFmtId="10" fontId="32" fillId="18" borderId="1" xfId="0" applyNumberFormat="1" applyFont="1" applyFill="1" applyBorder="1" applyAlignment="1">
      <alignment horizontal="center" vertical="center" wrapText="1"/>
    </xf>
    <xf numFmtId="44" fontId="32" fillId="18" borderId="1" xfId="2" applyFont="1" applyFill="1" applyBorder="1" applyAlignment="1">
      <alignment horizontal="center" vertical="center" wrapText="1"/>
    </xf>
    <xf numFmtId="10" fontId="35" fillId="18" borderId="1" xfId="0" applyNumberFormat="1" applyFont="1" applyFill="1" applyBorder="1" applyAlignment="1">
      <alignment horizontal="center" vertical="center" wrapText="1"/>
    </xf>
    <xf numFmtId="44" fontId="35" fillId="0" borderId="1" xfId="2" applyFont="1" applyBorder="1" applyAlignment="1">
      <alignment horizontal="center" vertical="center" wrapText="1"/>
    </xf>
    <xf numFmtId="44" fontId="37" fillId="0" borderId="1" xfId="2" applyFont="1" applyBorder="1" applyAlignment="1">
      <alignment horizontal="right" vertical="center"/>
    </xf>
    <xf numFmtId="44" fontId="38" fillId="0" borderId="0" xfId="0" applyNumberFormat="1" applyFont="1"/>
    <xf numFmtId="44" fontId="33" fillId="20" borderId="1" xfId="2" applyFont="1" applyFill="1" applyBorder="1" applyAlignment="1">
      <alignment horizontal="center" vertical="center" wrapText="1"/>
    </xf>
    <xf numFmtId="44" fontId="40" fillId="0" borderId="1" xfId="2" applyFont="1" applyBorder="1" applyAlignment="1">
      <alignment horizontal="center" vertical="center" wrapText="1"/>
    </xf>
    <xf numFmtId="44" fontId="32" fillId="0" borderId="0" xfId="0" applyNumberFormat="1" applyFont="1"/>
    <xf numFmtId="0" fontId="33" fillId="0" borderId="0" xfId="0" applyFont="1"/>
    <xf numFmtId="10" fontId="32" fillId="0" borderId="1" xfId="0" applyNumberFormat="1" applyFont="1" applyBorder="1" applyAlignment="1">
      <alignment horizontal="center"/>
    </xf>
    <xf numFmtId="10" fontId="32" fillId="0" borderId="1" xfId="0" applyNumberFormat="1" applyFont="1" applyBorder="1" applyAlignment="1">
      <alignment horizontal="center" vertical="center"/>
    </xf>
    <xf numFmtId="10" fontId="32" fillId="18" borderId="1" xfId="0" applyNumberFormat="1" applyFont="1" applyFill="1" applyBorder="1" applyAlignment="1">
      <alignment horizontal="center"/>
    </xf>
    <xf numFmtId="10" fontId="33" fillId="0" borderId="1" xfId="0" applyNumberFormat="1" applyFont="1" applyBorder="1" applyAlignment="1">
      <alignment horizontal="center"/>
    </xf>
    <xf numFmtId="164" fontId="32" fillId="18" borderId="1" xfId="0" applyNumberFormat="1" applyFont="1" applyFill="1" applyBorder="1" applyAlignment="1">
      <alignment horizontal="center" vertical="center" wrapText="1"/>
    </xf>
    <xf numFmtId="0" fontId="42" fillId="0" borderId="1" xfId="0" applyFont="1" applyBorder="1" applyAlignment="1">
      <alignment horizontal="center" vertical="center" wrapText="1"/>
    </xf>
    <xf numFmtId="10" fontId="42" fillId="0" borderId="1" xfId="4" applyNumberFormat="1" applyFont="1" applyBorder="1" applyAlignment="1">
      <alignment horizontal="center" vertical="center" wrapText="1"/>
    </xf>
    <xf numFmtId="44" fontId="42" fillId="0" borderId="1" xfId="2" applyFont="1" applyBorder="1" applyAlignment="1">
      <alignment horizontal="center" vertical="center" wrapText="1"/>
    </xf>
    <xf numFmtId="0" fontId="42" fillId="0" borderId="0" xfId="0" applyFont="1"/>
    <xf numFmtId="44" fontId="33" fillId="21" borderId="1" xfId="2" applyFont="1" applyFill="1" applyBorder="1" applyAlignment="1">
      <alignment vertical="center" wrapText="1"/>
    </xf>
    <xf numFmtId="0" fontId="42" fillId="18" borderId="1" xfId="0" applyFont="1" applyFill="1" applyBorder="1" applyAlignment="1">
      <alignment horizontal="center" vertical="center" wrapText="1"/>
    </xf>
    <xf numFmtId="0" fontId="43" fillId="18" borderId="1" xfId="0" applyFont="1" applyFill="1" applyBorder="1" applyAlignment="1">
      <alignment horizontal="center" vertical="center" wrapText="1"/>
    </xf>
    <xf numFmtId="44" fontId="43" fillId="18" borderId="1" xfId="2" applyFont="1" applyFill="1" applyBorder="1" applyAlignment="1">
      <alignment horizontal="center" vertical="center" wrapText="1"/>
    </xf>
    <xf numFmtId="44" fontId="42" fillId="18" borderId="1" xfId="2" applyFont="1" applyFill="1" applyBorder="1" applyAlignment="1">
      <alignment horizontal="center" vertical="top" wrapText="1"/>
    </xf>
    <xf numFmtId="0" fontId="33" fillId="19" borderId="1" xfId="0" applyFont="1" applyFill="1" applyBorder="1" applyAlignment="1">
      <alignment horizontal="center"/>
    </xf>
    <xf numFmtId="0" fontId="32" fillId="18" borderId="1" xfId="0" applyFont="1" applyFill="1" applyBorder="1" applyAlignment="1">
      <alignment horizontal="center"/>
    </xf>
    <xf numFmtId="44" fontId="32" fillId="18" borderId="1" xfId="2" applyFont="1" applyFill="1" applyBorder="1"/>
    <xf numFmtId="0" fontId="33" fillId="18" borderId="1" xfId="0" applyFont="1" applyFill="1" applyBorder="1" applyAlignment="1">
      <alignment horizontal="center"/>
    </xf>
    <xf numFmtId="44" fontId="33" fillId="18" borderId="1" xfId="2" applyFont="1" applyFill="1" applyBorder="1"/>
    <xf numFmtId="0" fontId="32" fillId="0" borderId="67" xfId="0" applyFont="1" applyBorder="1" applyAlignment="1">
      <alignment horizontal="center"/>
    </xf>
    <xf numFmtId="0" fontId="32" fillId="0" borderId="68" xfId="0" applyFont="1" applyBorder="1" applyAlignment="1">
      <alignment horizontal="center"/>
    </xf>
    <xf numFmtId="0" fontId="32" fillId="0" borderId="69" xfId="0" applyFont="1" applyBorder="1" applyAlignment="1">
      <alignment horizontal="center"/>
    </xf>
    <xf numFmtId="10" fontId="33" fillId="0" borderId="90" xfId="0" applyNumberFormat="1" applyFont="1" applyBorder="1" applyAlignment="1">
      <alignment horizontal="center" vertical="center" wrapText="1"/>
    </xf>
    <xf numFmtId="0" fontId="34" fillId="0" borderId="41" xfId="0" applyFont="1" applyBorder="1" applyAlignment="1">
      <alignment vertical="center" wrapText="1"/>
    </xf>
    <xf numFmtId="165" fontId="34" fillId="0" borderId="19" xfId="0" applyNumberFormat="1" applyFont="1" applyBorder="1" applyAlignment="1">
      <alignment horizontal="center" vertical="center"/>
    </xf>
    <xf numFmtId="0" fontId="34" fillId="0" borderId="0" xfId="0" applyFont="1" applyAlignment="1">
      <alignment horizontal="center" vertical="center"/>
    </xf>
    <xf numFmtId="10" fontId="33" fillId="0" borderId="77" xfId="4" applyNumberFormat="1" applyFont="1" applyBorder="1" applyAlignment="1">
      <alignment horizontal="center" vertical="center"/>
    </xf>
    <xf numFmtId="10" fontId="33" fillId="0" borderId="91" xfId="0" applyNumberFormat="1" applyFont="1" applyBorder="1" applyAlignment="1">
      <alignment vertical="center" wrapText="1"/>
    </xf>
    <xf numFmtId="0" fontId="34" fillId="0" borderId="41" xfId="0" applyFont="1" applyBorder="1" applyAlignment="1">
      <alignment vertical="center"/>
    </xf>
    <xf numFmtId="0" fontId="34" fillId="0" borderId="89" xfId="0" applyFont="1" applyBorder="1" applyAlignment="1">
      <alignment horizontal="center" vertical="center"/>
    </xf>
    <xf numFmtId="0" fontId="34" fillId="0" borderId="77" xfId="0" applyFont="1" applyBorder="1" applyAlignment="1">
      <alignment horizontal="center" vertical="center"/>
    </xf>
    <xf numFmtId="0" fontId="33" fillId="0" borderId="91" xfId="0" applyFont="1" applyBorder="1" applyAlignment="1">
      <alignment horizontal="center" vertical="center"/>
    </xf>
    <xf numFmtId="0" fontId="32" fillId="0" borderId="52" xfId="0" applyFont="1" applyBorder="1" applyAlignment="1">
      <alignment horizontal="center"/>
    </xf>
    <xf numFmtId="0" fontId="32" fillId="0" borderId="53" xfId="0" applyFont="1" applyBorder="1" applyAlignment="1">
      <alignment horizontal="center"/>
    </xf>
    <xf numFmtId="0" fontId="32" fillId="0" borderId="70" xfId="0" applyFont="1" applyBorder="1" applyAlignment="1">
      <alignment horizontal="center"/>
    </xf>
    <xf numFmtId="0" fontId="32" fillId="0" borderId="77" xfId="0" applyFont="1" applyBorder="1"/>
    <xf numFmtId="0" fontId="32" fillId="0" borderId="67" xfId="0" applyFont="1" applyBorder="1" applyAlignment="1">
      <alignment vertical="center"/>
    </xf>
    <xf numFmtId="0" fontId="32" fillId="0" borderId="68" xfId="0" applyFont="1" applyBorder="1" applyAlignment="1">
      <alignment vertical="center"/>
    </xf>
    <xf numFmtId="0" fontId="32" fillId="0" borderId="69" xfId="0" applyFont="1" applyBorder="1" applyAlignment="1">
      <alignment vertical="center"/>
    </xf>
    <xf numFmtId="0" fontId="32" fillId="0" borderId="41" xfId="0" applyFont="1" applyBorder="1" applyAlignment="1">
      <alignment vertical="center"/>
    </xf>
    <xf numFmtId="0" fontId="32" fillId="0" borderId="0" xfId="0" applyFont="1" applyAlignment="1">
      <alignment vertical="center"/>
    </xf>
    <xf numFmtId="0" fontId="32" fillId="0" borderId="77" xfId="0" applyFont="1" applyBorder="1" applyAlignment="1">
      <alignment vertical="center"/>
    </xf>
    <xf numFmtId="10" fontId="33" fillId="0" borderId="91" xfId="0" applyNumberFormat="1" applyFont="1" applyBorder="1" applyAlignment="1">
      <alignment horizontal="center" vertical="center"/>
    </xf>
    <xf numFmtId="10" fontId="33" fillId="0" borderId="91" xfId="0" applyNumberFormat="1" applyFont="1" applyBorder="1" applyAlignment="1">
      <alignment vertical="center"/>
    </xf>
    <xf numFmtId="0" fontId="34" fillId="0" borderId="41" xfId="0" applyFont="1" applyBorder="1" applyAlignment="1">
      <alignment horizontal="right" vertical="center"/>
    </xf>
    <xf numFmtId="0" fontId="35" fillId="0" borderId="0" xfId="0" applyFont="1" applyAlignment="1">
      <alignment vertical="center"/>
    </xf>
    <xf numFmtId="0" fontId="34" fillId="0" borderId="0" xfId="0" applyFont="1" applyAlignment="1">
      <alignment vertical="center"/>
    </xf>
    <xf numFmtId="10" fontId="32" fillId="0" borderId="77" xfId="0" applyNumberFormat="1" applyFont="1" applyBorder="1" applyAlignment="1">
      <alignment vertical="center"/>
    </xf>
    <xf numFmtId="0" fontId="34" fillId="0" borderId="52" xfId="0" applyFont="1" applyBorder="1" applyAlignment="1">
      <alignment horizontal="right" vertical="center"/>
    </xf>
    <xf numFmtId="0" fontId="35" fillId="0" borderId="53" xfId="0" applyFont="1" applyBorder="1" applyAlignment="1">
      <alignment vertical="center"/>
    </xf>
    <xf numFmtId="0" fontId="34" fillId="0" borderId="53" xfId="0" applyFont="1" applyBorder="1" applyAlignment="1">
      <alignment vertical="center"/>
    </xf>
    <xf numFmtId="0" fontId="32" fillId="0" borderId="53" xfId="0" applyFont="1" applyBorder="1" applyAlignment="1">
      <alignment vertical="center"/>
    </xf>
    <xf numFmtId="10" fontId="32" fillId="0" borderId="70" xfId="0" applyNumberFormat="1" applyFont="1" applyBorder="1" applyAlignment="1">
      <alignment vertical="center"/>
    </xf>
    <xf numFmtId="0" fontId="33" fillId="0" borderId="92" xfId="0" applyFont="1" applyBorder="1" applyAlignment="1">
      <alignment horizontal="center" vertical="center"/>
    </xf>
    <xf numFmtId="0" fontId="38" fillId="0" borderId="0" xfId="0" applyFont="1"/>
    <xf numFmtId="43" fontId="33" fillId="0" borderId="1" xfId="1" applyFont="1" applyBorder="1" applyAlignment="1">
      <alignment horizontal="center" vertical="center" wrapText="1"/>
    </xf>
    <xf numFmtId="43" fontId="38" fillId="0" borderId="0" xfId="0" applyNumberFormat="1" applyFont="1"/>
    <xf numFmtId="43" fontId="32" fillId="0" borderId="0" xfId="0" applyNumberFormat="1" applyFont="1"/>
    <xf numFmtId="10" fontId="33" fillId="0" borderId="1" xfId="4" applyNumberFormat="1" applyFont="1" applyBorder="1" applyAlignment="1">
      <alignment horizontal="center" vertical="center" wrapText="1"/>
    </xf>
    <xf numFmtId="0" fontId="33" fillId="24" borderId="1" xfId="0" applyFont="1" applyFill="1" applyBorder="1" applyAlignment="1">
      <alignment horizontal="center" vertical="center" wrapText="1"/>
    </xf>
    <xf numFmtId="0" fontId="35" fillId="18" borderId="1" xfId="1" applyNumberFormat="1" applyFont="1" applyFill="1" applyBorder="1" applyAlignment="1">
      <alignment horizontal="center" vertical="center" wrapText="1"/>
    </xf>
    <xf numFmtId="44" fontId="35" fillId="18" borderId="1" xfId="2" applyFont="1" applyFill="1" applyBorder="1" applyAlignment="1">
      <alignment horizontal="center" vertical="center" wrapText="1"/>
    </xf>
    <xf numFmtId="44" fontId="32" fillId="18" borderId="1" xfId="2" applyFont="1" applyFill="1" applyBorder="1" applyAlignment="1">
      <alignment vertical="center"/>
    </xf>
    <xf numFmtId="44" fontId="33" fillId="18" borderId="1" xfId="2" applyFont="1" applyFill="1" applyBorder="1" applyAlignment="1">
      <alignment horizontal="center" vertical="center"/>
    </xf>
    <xf numFmtId="0" fontId="32" fillId="18" borderId="0" xfId="0" applyFont="1" applyFill="1" applyAlignment="1">
      <alignment horizontal="justify" vertical="center" wrapText="1"/>
    </xf>
    <xf numFmtId="0" fontId="33" fillId="18" borderId="0" xfId="0" applyFont="1" applyFill="1" applyAlignment="1">
      <alignment horizontal="justify" vertical="center" wrapText="1"/>
    </xf>
    <xf numFmtId="43" fontId="34" fillId="24" borderId="1" xfId="1" applyFont="1" applyFill="1" applyBorder="1" applyAlignment="1">
      <alignment horizontal="center" vertical="center" wrapText="1"/>
    </xf>
    <xf numFmtId="0" fontId="44" fillId="24" borderId="1" xfId="0" applyFont="1" applyFill="1" applyBorder="1" applyAlignment="1">
      <alignment horizontal="justify" vertical="center" wrapText="1"/>
    </xf>
    <xf numFmtId="0" fontId="44" fillId="24" borderId="1" xfId="0" applyFont="1" applyFill="1" applyBorder="1" applyAlignment="1">
      <alignment horizontal="center" vertical="center" wrapText="1"/>
    </xf>
    <xf numFmtId="44" fontId="34" fillId="24" borderId="1" xfId="2" applyFont="1" applyFill="1" applyBorder="1" applyAlignment="1">
      <alignment horizontal="justify" vertical="center" wrapText="1"/>
    </xf>
    <xf numFmtId="44" fontId="32" fillId="24" borderId="1" xfId="2" applyFont="1" applyFill="1" applyBorder="1" applyAlignment="1">
      <alignment horizontal="justify" vertical="center" wrapText="1"/>
    </xf>
    <xf numFmtId="0" fontId="34" fillId="18" borderId="0" xfId="0" applyFont="1" applyFill="1" applyAlignment="1">
      <alignment horizontal="justify" vertical="center" wrapText="1"/>
    </xf>
    <xf numFmtId="166" fontId="33" fillId="18" borderId="1" xfId="1" applyNumberFormat="1" applyFont="1" applyFill="1" applyBorder="1" applyAlignment="1">
      <alignment horizontal="center" vertical="center" wrapText="1"/>
    </xf>
    <xf numFmtId="0" fontId="45" fillId="18" borderId="1" xfId="0" applyFont="1" applyFill="1" applyBorder="1" applyAlignment="1">
      <alignment horizontal="justify" vertical="center" wrapText="1"/>
    </xf>
    <xf numFmtId="0" fontId="45" fillId="18" borderId="1" xfId="0" applyFont="1" applyFill="1" applyBorder="1" applyAlignment="1">
      <alignment horizontal="center" vertical="center" wrapText="1"/>
    </xf>
    <xf numFmtId="44" fontId="32" fillId="18" borderId="1" xfId="2" applyFont="1" applyFill="1" applyBorder="1" applyAlignment="1">
      <alignment horizontal="justify" vertical="center" wrapText="1"/>
    </xf>
    <xf numFmtId="44" fontId="33" fillId="18" borderId="1" xfId="2" applyFont="1" applyFill="1" applyBorder="1" applyAlignment="1">
      <alignment horizontal="justify" vertical="center" wrapText="1"/>
    </xf>
    <xf numFmtId="0" fontId="35" fillId="18" borderId="0" xfId="0" applyFont="1" applyFill="1" applyAlignment="1">
      <alignment horizontal="justify" vertical="center" wrapText="1"/>
    </xf>
    <xf numFmtId="44" fontId="33" fillId="21" borderId="1" xfId="2" applyFont="1" applyFill="1" applyBorder="1" applyAlignment="1">
      <alignment horizontal="justify" vertical="center" wrapText="1"/>
    </xf>
    <xf numFmtId="0" fontId="44" fillId="18" borderId="1" xfId="0" applyFont="1" applyFill="1" applyBorder="1" applyAlignment="1">
      <alignment horizontal="center" vertical="center" wrapText="1"/>
    </xf>
    <xf numFmtId="43" fontId="34" fillId="18" borderId="0" xfId="0" applyNumberFormat="1" applyFont="1" applyFill="1" applyAlignment="1">
      <alignment horizontal="justify" vertical="center" wrapText="1"/>
    </xf>
    <xf numFmtId="43" fontId="32" fillId="18" borderId="0" xfId="1" applyFont="1" applyFill="1" applyAlignment="1">
      <alignment horizontal="center" vertical="center" wrapText="1"/>
    </xf>
    <xf numFmtId="0" fontId="32" fillId="18" borderId="0" xfId="0" applyFont="1" applyFill="1" applyAlignment="1">
      <alignment horizontal="center" vertical="center" wrapText="1"/>
    </xf>
    <xf numFmtId="44" fontId="32" fillId="18" borderId="0" xfId="2" applyFont="1" applyFill="1" applyAlignment="1">
      <alignment horizontal="justify" vertical="center" wrapText="1"/>
    </xf>
    <xf numFmtId="164" fontId="32" fillId="0" borderId="0" xfId="0" applyNumberFormat="1" applyFont="1"/>
    <xf numFmtId="0" fontId="47" fillId="18" borderId="21" xfId="0" applyFont="1" applyFill="1" applyBorder="1" applyAlignment="1" applyProtection="1">
      <alignment horizontal="justify" vertical="center" wrapText="1"/>
      <protection locked="0"/>
    </xf>
    <xf numFmtId="0" fontId="47" fillId="18" borderId="1" xfId="1" applyNumberFormat="1" applyFont="1" applyFill="1" applyBorder="1" applyAlignment="1">
      <alignment horizontal="center" vertical="center" wrapText="1"/>
    </xf>
    <xf numFmtId="44" fontId="47" fillId="18" borderId="1" xfId="2" applyFont="1" applyFill="1" applyBorder="1" applyAlignment="1">
      <alignment horizontal="center" vertical="center" wrapText="1"/>
    </xf>
    <xf numFmtId="44" fontId="5" fillId="18" borderId="1" xfId="2" applyFont="1" applyFill="1" applyBorder="1" applyAlignment="1">
      <alignment vertical="center"/>
    </xf>
    <xf numFmtId="44" fontId="5" fillId="18" borderId="1" xfId="2" applyFont="1" applyFill="1" applyBorder="1" applyAlignment="1">
      <alignment horizontal="center" vertical="center"/>
    </xf>
    <xf numFmtId="0" fontId="47" fillId="18" borderId="1" xfId="0" applyFont="1" applyFill="1" applyBorder="1" applyAlignment="1">
      <alignment horizontal="left" vertical="center" wrapText="1"/>
    </xf>
    <xf numFmtId="44" fontId="11" fillId="18" borderId="1" xfId="2" applyFont="1" applyFill="1" applyBorder="1" applyAlignment="1">
      <alignment horizontal="center" vertical="center"/>
    </xf>
    <xf numFmtId="44" fontId="5" fillId="0" borderId="1" xfId="2"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5" xfId="0" applyFont="1" applyBorder="1" applyAlignment="1">
      <alignment vertical="center"/>
    </xf>
    <xf numFmtId="44" fontId="5" fillId="0" borderId="5" xfId="2" applyFont="1" applyBorder="1" applyAlignment="1">
      <alignment vertical="center"/>
    </xf>
    <xf numFmtId="44" fontId="0" fillId="0" borderId="0" xfId="0" applyNumberFormat="1"/>
    <xf numFmtId="0" fontId="3" fillId="0" borderId="1" xfId="0" applyFont="1" applyBorder="1" applyAlignment="1">
      <alignment horizontal="left" vertical="center"/>
    </xf>
    <xf numFmtId="44" fontId="3" fillId="0" borderId="1" xfId="2" applyFont="1" applyFill="1" applyBorder="1"/>
    <xf numFmtId="0" fontId="3" fillId="0" borderId="1" xfId="0" applyFont="1" applyBorder="1" applyAlignment="1">
      <alignment horizontal="center" vertical="center"/>
    </xf>
    <xf numFmtId="43" fontId="3" fillId="0" borderId="1" xfId="1" applyFont="1" applyFill="1" applyBorder="1" applyAlignment="1">
      <alignment horizontal="left" vertical="center"/>
    </xf>
    <xf numFmtId="1" fontId="5" fillId="0" borderId="1" xfId="0" applyNumberFormat="1" applyFont="1" applyBorder="1" applyAlignment="1">
      <alignment horizontal="center" vertical="center"/>
    </xf>
    <xf numFmtId="0" fontId="51" fillId="0" borderId="0" xfId="0" applyFont="1"/>
    <xf numFmtId="0" fontId="52" fillId="0" borderId="16" xfId="0" applyFont="1" applyBorder="1"/>
    <xf numFmtId="0" fontId="52" fillId="0" borderId="7" xfId="0" applyFont="1" applyBorder="1"/>
    <xf numFmtId="0" fontId="53" fillId="0" borderId="17" xfId="0" applyFont="1" applyBorder="1" applyAlignment="1">
      <alignment horizontal="right"/>
    </xf>
    <xf numFmtId="0" fontId="52" fillId="0" borderId="21" xfId="0" applyFont="1" applyBorder="1"/>
    <xf numFmtId="0" fontId="52" fillId="0" borderId="1" xfId="0" applyFont="1" applyBorder="1"/>
    <xf numFmtId="17" fontId="53" fillId="0" borderId="22" xfId="0" applyNumberFormat="1" applyFont="1" applyBorder="1" applyAlignment="1">
      <alignment horizontal="right"/>
    </xf>
    <xf numFmtId="17" fontId="52" fillId="0" borderId="22" xfId="0" applyNumberFormat="1" applyFont="1" applyBorder="1" applyAlignment="1">
      <alignment horizontal="right"/>
    </xf>
    <xf numFmtId="0" fontId="54" fillId="0" borderId="21" xfId="0" applyFont="1" applyBorder="1" applyAlignment="1">
      <alignment horizontal="center" vertical="center"/>
    </xf>
    <xf numFmtId="14" fontId="55" fillId="0" borderId="22" xfId="0" applyNumberFormat="1" applyFont="1" applyBorder="1" applyAlignment="1">
      <alignment vertical="center"/>
    </xf>
    <xf numFmtId="0" fontId="53" fillId="0" borderId="22" xfId="0" applyFont="1" applyBorder="1" applyAlignment="1">
      <alignment horizontal="right" vertical="center"/>
    </xf>
    <xf numFmtId="0" fontId="59" fillId="0" borderId="22" xfId="0" applyFont="1" applyBorder="1" applyAlignment="1">
      <alignment horizontal="right" vertical="center"/>
    </xf>
    <xf numFmtId="0" fontId="53" fillId="0" borderId="22" xfId="0" applyFont="1" applyBorder="1" applyAlignment="1">
      <alignment vertical="center"/>
    </xf>
    <xf numFmtId="0" fontId="54" fillId="0" borderId="42" xfId="0" applyFont="1" applyBorder="1" applyAlignment="1">
      <alignment horizontal="center" vertical="center"/>
    </xf>
    <xf numFmtId="0" fontId="53" fillId="0" borderId="94" xfId="0" applyFont="1" applyBorder="1" applyAlignment="1">
      <alignment vertical="center"/>
    </xf>
    <xf numFmtId="167" fontId="51" fillId="0" borderId="0" xfId="0" applyNumberFormat="1" applyFont="1"/>
    <xf numFmtId="0" fontId="51" fillId="0" borderId="90" xfId="0" applyFont="1" applyBorder="1" applyAlignment="1">
      <alignment horizontal="center"/>
    </xf>
    <xf numFmtId="0" fontId="51" fillId="0" borderId="91" xfId="0" applyFont="1" applyBorder="1" applyAlignment="1">
      <alignment horizontal="center"/>
    </xf>
    <xf numFmtId="0" fontId="51" fillId="0" borderId="38" xfId="0" applyFont="1" applyBorder="1" applyAlignment="1">
      <alignment horizontal="center"/>
    </xf>
    <xf numFmtId="168" fontId="67" fillId="0" borderId="91" xfId="0" applyNumberFormat="1" applyFont="1" applyBorder="1" applyAlignment="1">
      <alignment horizontal="center" vertical="center"/>
    </xf>
    <xf numFmtId="0" fontId="68" fillId="0" borderId="91" xfId="0" applyFont="1" applyBorder="1" applyAlignment="1">
      <alignment horizontal="center" vertical="center"/>
    </xf>
    <xf numFmtId="0" fontId="61" fillId="0" borderId="39" xfId="0" applyFont="1" applyBorder="1" applyAlignment="1">
      <alignment horizontal="center" vertical="center"/>
    </xf>
    <xf numFmtId="0" fontId="61" fillId="0" borderId="22" xfId="0" applyFont="1" applyBorder="1" applyAlignment="1">
      <alignment horizontal="center" vertical="center"/>
    </xf>
    <xf numFmtId="0" fontId="61" fillId="0" borderId="21" xfId="0" applyFont="1" applyBorder="1" applyAlignment="1">
      <alignment horizontal="center"/>
    </xf>
    <xf numFmtId="167" fontId="52" fillId="0" borderId="22" xfId="4" applyNumberFormat="1" applyFont="1" applyBorder="1" applyAlignment="1">
      <alignment vertical="center"/>
    </xf>
    <xf numFmtId="0" fontId="69" fillId="0" borderId="21" xfId="0" applyFont="1" applyBorder="1"/>
    <xf numFmtId="167" fontId="54" fillId="0" borderId="22" xfId="4" applyNumberFormat="1" applyFont="1" applyBorder="1" applyAlignment="1">
      <alignment vertical="center"/>
    </xf>
    <xf numFmtId="0" fontId="51" fillId="21" borderId="21" xfId="0" applyFont="1" applyFill="1" applyBorder="1"/>
    <xf numFmtId="167" fontId="52" fillId="21" borderId="22" xfId="4" applyNumberFormat="1" applyFont="1" applyFill="1" applyBorder="1" applyAlignment="1">
      <alignment vertical="center"/>
    </xf>
    <xf numFmtId="0" fontId="62" fillId="0" borderId="39" xfId="0" applyFont="1" applyBorder="1"/>
    <xf numFmtId="167" fontId="54" fillId="0" borderId="45" xfId="4" applyNumberFormat="1" applyFont="1" applyBorder="1" applyAlignment="1">
      <alignment vertical="center"/>
    </xf>
    <xf numFmtId="2" fontId="51" fillId="0" borderId="0" xfId="0" applyNumberFormat="1" applyFont="1"/>
    <xf numFmtId="0" fontId="51" fillId="18" borderId="0" xfId="0" applyFont="1" applyFill="1"/>
    <xf numFmtId="0" fontId="54" fillId="0" borderId="39" xfId="0" applyFont="1" applyBorder="1" applyAlignment="1">
      <alignment horizontal="center" vertical="center"/>
    </xf>
    <xf numFmtId="0" fontId="51" fillId="0" borderId="95" xfId="0" applyFont="1" applyBorder="1" applyAlignment="1">
      <alignment horizontal="center"/>
    </xf>
    <xf numFmtId="0" fontId="54" fillId="0" borderId="21" xfId="0" applyFont="1" applyBorder="1" applyAlignment="1">
      <alignment vertical="center"/>
    </xf>
    <xf numFmtId="167" fontId="72" fillId="0" borderId="95" xfId="0" applyNumberFormat="1" applyFont="1" applyBorder="1" applyAlignment="1">
      <alignment horizontal="center"/>
    </xf>
    <xf numFmtId="0" fontId="74" fillId="0" borderId="21" xfId="0" applyFont="1" applyBorder="1" applyAlignment="1">
      <alignment horizontal="center" vertical="center"/>
    </xf>
    <xf numFmtId="0" fontId="52" fillId="0" borderId="95" xfId="0" applyFont="1" applyBorder="1" applyAlignment="1">
      <alignment horizontal="center" wrapText="1"/>
    </xf>
    <xf numFmtId="0" fontId="62" fillId="0" borderId="21" xfId="0" applyFont="1" applyBorder="1"/>
    <xf numFmtId="0" fontId="59" fillId="0" borderId="21" xfId="0" applyFont="1" applyBorder="1" applyAlignment="1">
      <alignment horizontal="center" vertical="center"/>
    </xf>
    <xf numFmtId="167" fontId="77" fillId="0" borderId="22" xfId="2" applyNumberFormat="1" applyFont="1" applyBorder="1" applyAlignment="1">
      <alignment vertical="center"/>
    </xf>
    <xf numFmtId="44" fontId="77" fillId="0" borderId="22" xfId="2" applyFont="1" applyBorder="1" applyAlignment="1">
      <alignment vertical="center"/>
    </xf>
    <xf numFmtId="44" fontId="54" fillId="0" borderId="22" xfId="2" applyFont="1" applyBorder="1" applyAlignment="1"/>
    <xf numFmtId="0" fontId="54" fillId="0" borderId="1" xfId="0" applyFont="1" applyBorder="1" applyAlignment="1">
      <alignment horizontal="center" vertical="center"/>
    </xf>
    <xf numFmtId="0" fontId="54" fillId="0" borderId="22" xfId="0" applyFont="1" applyBorder="1" applyAlignment="1">
      <alignment horizontal="center" vertical="center"/>
    </xf>
    <xf numFmtId="0" fontId="53" fillId="0" borderId="0" xfId="0" applyFont="1"/>
    <xf numFmtId="0" fontId="61" fillId="0" borderId="21" xfId="0" applyFont="1" applyBorder="1" applyAlignment="1">
      <alignment horizontal="center" vertical="center"/>
    </xf>
    <xf numFmtId="10" fontId="52" fillId="0" borderId="1" xfId="0" applyNumberFormat="1" applyFont="1" applyBorder="1" applyAlignment="1">
      <alignment horizontal="center" vertical="center"/>
    </xf>
    <xf numFmtId="44" fontId="52" fillId="0" borderId="22" xfId="2" applyFont="1" applyBorder="1" applyAlignment="1">
      <alignment vertical="center"/>
    </xf>
    <xf numFmtId="10" fontId="52" fillId="0" borderId="1" xfId="4" applyNumberFormat="1" applyFont="1" applyBorder="1" applyAlignment="1">
      <alignment horizontal="center" vertical="center"/>
    </xf>
    <xf numFmtId="10" fontId="54" fillId="0" borderId="1" xfId="0" applyNumberFormat="1" applyFont="1" applyBorder="1" applyAlignment="1">
      <alignment horizontal="center" vertical="center"/>
    </xf>
    <xf numFmtId="44" fontId="54" fillId="0" borderId="22" xfId="2" applyFont="1" applyBorder="1" applyAlignment="1">
      <alignment vertical="center"/>
    </xf>
    <xf numFmtId="0" fontId="62" fillId="19" borderId="31" xfId="0" applyFont="1" applyFill="1" applyBorder="1" applyAlignment="1">
      <alignment horizontal="center"/>
    </xf>
    <xf numFmtId="0" fontId="62" fillId="19" borderId="3" xfId="0" applyFont="1" applyFill="1" applyBorder="1" applyAlignment="1">
      <alignment horizontal="center"/>
    </xf>
    <xf numFmtId="0" fontId="62" fillId="19" borderId="32" xfId="0" applyFont="1" applyFill="1" applyBorder="1" applyAlignment="1">
      <alignment horizontal="center"/>
    </xf>
    <xf numFmtId="0" fontId="54" fillId="0" borderId="16" xfId="0" applyFont="1" applyBorder="1" applyAlignment="1">
      <alignment horizontal="center" vertical="center"/>
    </xf>
    <xf numFmtId="0" fontId="54" fillId="0" borderId="22" xfId="0" applyFont="1" applyBorder="1" applyAlignment="1">
      <alignment horizontal="center"/>
    </xf>
    <xf numFmtId="0" fontId="61" fillId="0" borderId="31" xfId="0" applyFont="1" applyBorder="1" applyAlignment="1">
      <alignment horizontal="center" vertical="center"/>
    </xf>
    <xf numFmtId="167" fontId="80" fillId="0" borderId="22" xfId="2" applyNumberFormat="1" applyFont="1" applyBorder="1" applyAlignment="1">
      <alignment horizontal="right" vertical="center" wrapText="1"/>
    </xf>
    <xf numFmtId="0" fontId="51" fillId="0" borderId="39" xfId="0" applyFont="1" applyBorder="1"/>
    <xf numFmtId="167" fontId="54" fillId="0" borderId="94" xfId="4" applyNumberFormat="1" applyFont="1" applyBorder="1" applyAlignment="1">
      <alignment vertical="center"/>
    </xf>
    <xf numFmtId="44" fontId="68" fillId="0" borderId="95" xfId="2" applyFont="1" applyBorder="1" applyAlignment="1">
      <alignment horizontal="center" vertical="center"/>
    </xf>
    <xf numFmtId="44" fontId="51" fillId="0" borderId="95" xfId="2" applyFont="1" applyBorder="1" applyAlignment="1">
      <alignment horizontal="center"/>
    </xf>
    <xf numFmtId="0" fontId="83" fillId="0" borderId="0" xfId="0" applyFont="1"/>
    <xf numFmtId="44" fontId="52" fillId="0" borderId="95" xfId="2" applyFont="1" applyBorder="1" applyAlignment="1">
      <alignment horizontal="center" wrapText="1"/>
    </xf>
    <xf numFmtId="0" fontId="69" fillId="0" borderId="39" xfId="0" applyFont="1" applyBorder="1"/>
    <xf numFmtId="44" fontId="51" fillId="0" borderId="0" xfId="2" applyFont="1" applyBorder="1" applyAlignment="1"/>
    <xf numFmtId="167" fontId="52" fillId="0" borderId="22" xfId="2" applyNumberFormat="1" applyFont="1" applyBorder="1" applyAlignment="1">
      <alignment vertical="center"/>
    </xf>
    <xf numFmtId="167" fontId="54" fillId="0" borderId="22" xfId="2" applyNumberFormat="1" applyFont="1" applyBorder="1" applyAlignment="1">
      <alignment vertical="center"/>
    </xf>
    <xf numFmtId="0" fontId="51" fillId="0" borderId="77" xfId="0" applyFont="1" applyBorder="1"/>
    <xf numFmtId="0" fontId="61" fillId="0" borderId="18" xfId="0" applyFont="1" applyBorder="1" applyAlignment="1">
      <alignment horizontal="center" vertical="center"/>
    </xf>
    <xf numFmtId="0" fontId="86" fillId="0" borderId="21" xfId="0" applyFont="1" applyBorder="1" applyAlignment="1">
      <alignment horizontal="center" vertical="center"/>
    </xf>
    <xf numFmtId="0" fontId="62" fillId="0" borderId="21" xfId="0" applyFont="1" applyBorder="1" applyAlignment="1">
      <alignment horizontal="center" vertical="center"/>
    </xf>
    <xf numFmtId="0" fontId="80" fillId="0" borderId="1" xfId="0" applyFont="1" applyBorder="1" applyAlignment="1">
      <alignment vertical="top" wrapText="1"/>
    </xf>
    <xf numFmtId="0" fontId="51" fillId="0" borderId="21" xfId="0" applyFont="1" applyBorder="1"/>
    <xf numFmtId="44" fontId="83" fillId="0" borderId="0" xfId="2" applyFont="1" applyBorder="1" applyAlignment="1"/>
    <xf numFmtId="0" fontId="61" fillId="18" borderId="21" xfId="0" applyFont="1" applyFill="1" applyBorder="1" applyAlignment="1">
      <alignment horizontal="center" vertical="center"/>
    </xf>
    <xf numFmtId="167" fontId="52" fillId="18" borderId="22" xfId="2" applyNumberFormat="1" applyFont="1" applyFill="1" applyBorder="1" applyAlignment="1">
      <alignment vertical="center"/>
    </xf>
    <xf numFmtId="10" fontId="51" fillId="0" borderId="0" xfId="2" applyNumberFormat="1" applyFont="1" applyBorder="1" applyAlignment="1"/>
    <xf numFmtId="44" fontId="63" fillId="0" borderId="22" xfId="2" applyFont="1" applyBorder="1" applyAlignment="1">
      <alignment vertical="center"/>
    </xf>
    <xf numFmtId="0" fontId="80" fillId="0" borderId="1" xfId="0" applyFont="1" applyBorder="1" applyAlignment="1">
      <alignment horizontal="center" vertical="center" wrapText="1"/>
    </xf>
    <xf numFmtId="0" fontId="80" fillId="0" borderId="22" xfId="0" applyFont="1" applyBorder="1" applyAlignment="1">
      <alignment horizontal="center" vertical="center" wrapText="1"/>
    </xf>
    <xf numFmtId="0" fontId="90" fillId="0" borderId="21" xfId="0" applyFont="1" applyBorder="1" applyAlignment="1">
      <alignment horizontal="center" vertical="top" wrapText="1"/>
    </xf>
    <xf numFmtId="0" fontId="91" fillId="0" borderId="1" xfId="0" applyFont="1" applyBorder="1" applyAlignment="1">
      <alignment horizontal="center" vertical="center" wrapText="1"/>
    </xf>
    <xf numFmtId="0" fontId="85" fillId="0" borderId="1" xfId="0" applyFont="1" applyBorder="1" applyAlignment="1">
      <alignment horizontal="center" vertical="center" wrapText="1"/>
    </xf>
    <xf numFmtId="44" fontId="85" fillId="0" borderId="22" xfId="0" applyNumberFormat="1" applyFont="1" applyBorder="1" applyAlignment="1">
      <alignment horizontal="center" vertical="center" wrapText="1"/>
    </xf>
    <xf numFmtId="167" fontId="51" fillId="0" borderId="0" xfId="2" applyNumberFormat="1" applyFont="1" applyBorder="1" applyAlignment="1"/>
    <xf numFmtId="0" fontId="51" fillId="0" borderId="41" xfId="0" applyFont="1" applyBorder="1"/>
    <xf numFmtId="10" fontId="63" fillId="0" borderId="0" xfId="0" applyNumberFormat="1" applyFont="1" applyAlignment="1">
      <alignment horizontal="center"/>
    </xf>
    <xf numFmtId="0" fontId="53" fillId="0" borderId="52" xfId="0" applyFont="1" applyBorder="1"/>
    <xf numFmtId="0" fontId="53" fillId="0" borderId="70" xfId="0" applyFont="1" applyBorder="1"/>
    <xf numFmtId="0" fontId="94" fillId="0" borderId="0" xfId="0" applyFont="1" applyAlignment="1">
      <alignment horizontal="center" vertical="center"/>
    </xf>
    <xf numFmtId="0" fontId="51" fillId="0" borderId="0" xfId="0" applyFont="1" applyAlignment="1">
      <alignment horizontal="center" vertical="center"/>
    </xf>
    <xf numFmtId="0" fontId="51" fillId="0" borderId="0" xfId="0" applyFont="1" applyAlignment="1">
      <alignment horizontal="left"/>
    </xf>
    <xf numFmtId="0" fontId="95" fillId="19" borderId="1" xfId="0" applyFont="1" applyFill="1" applyBorder="1" applyAlignment="1">
      <alignment horizontal="center" vertical="center" wrapText="1"/>
    </xf>
    <xf numFmtId="44" fontId="1" fillId="18" borderId="1" xfId="2" applyFill="1" applyBorder="1" applyAlignment="1">
      <alignment horizontal="center" vertical="center" wrapText="1"/>
    </xf>
    <xf numFmtId="0" fontId="0" fillId="18" borderId="1" xfId="0" applyFill="1" applyBorder="1" applyAlignment="1">
      <alignment horizontal="center" vertical="center" wrapText="1"/>
    </xf>
    <xf numFmtId="44" fontId="0" fillId="18" borderId="1" xfId="0" applyNumberFormat="1" applyFill="1" applyBorder="1" applyAlignment="1">
      <alignment horizontal="center" vertical="center" wrapText="1"/>
    </xf>
    <xf numFmtId="0" fontId="97" fillId="0" borderId="95" xfId="0" applyFont="1" applyBorder="1" applyAlignment="1">
      <alignment horizontal="center"/>
    </xf>
    <xf numFmtId="0" fontId="97" fillId="0" borderId="0" xfId="0" applyFont="1"/>
    <xf numFmtId="0" fontId="98" fillId="0" borderId="21" xfId="0" applyFont="1" applyBorder="1" applyAlignment="1">
      <alignment horizontal="center" vertical="center"/>
    </xf>
    <xf numFmtId="0" fontId="100" fillId="0" borderId="0" xfId="0" applyFont="1"/>
    <xf numFmtId="167" fontId="94" fillId="0" borderId="0" xfId="0" applyNumberFormat="1" applyFont="1"/>
    <xf numFmtId="167" fontId="51" fillId="0" borderId="0" xfId="0" applyNumberFormat="1" applyFont="1" applyAlignment="1">
      <alignment horizontal="left"/>
    </xf>
    <xf numFmtId="167" fontId="101" fillId="0" borderId="0" xfId="0" applyNumberFormat="1" applyFont="1" applyAlignment="1">
      <alignment horizontal="left"/>
    </xf>
    <xf numFmtId="167" fontId="62" fillId="0" borderId="0" xfId="0" applyNumberFormat="1" applyFont="1" applyAlignment="1">
      <alignment horizontal="left"/>
    </xf>
    <xf numFmtId="167" fontId="97" fillId="0" borderId="0" xfId="0" applyNumberFormat="1" applyFont="1"/>
    <xf numFmtId="8" fontId="102" fillId="0" borderId="0" xfId="0" applyNumberFormat="1" applyFont="1" applyAlignment="1">
      <alignment horizontal="center" vertical="center"/>
    </xf>
    <xf numFmtId="0" fontId="62" fillId="0" borderId="0" xfId="0" applyFont="1" applyAlignment="1">
      <alignment horizontal="center"/>
    </xf>
    <xf numFmtId="0" fontId="104" fillId="0" borderId="0" xfId="0" applyFont="1"/>
    <xf numFmtId="0" fontId="99" fillId="10" borderId="1" xfId="0" applyFont="1" applyFill="1" applyBorder="1" applyAlignment="1">
      <alignment horizontal="center" vertical="center" wrapText="1"/>
    </xf>
    <xf numFmtId="0" fontId="106" fillId="10" borderId="1" xfId="0" applyFont="1" applyFill="1" applyBorder="1" applyAlignment="1">
      <alignment horizontal="center" vertical="center" wrapText="1"/>
    </xf>
    <xf numFmtId="0" fontId="107" fillId="10" borderId="1" xfId="0" applyFont="1" applyFill="1" applyBorder="1" applyAlignment="1">
      <alignment horizontal="center" vertical="center" wrapText="1"/>
    </xf>
    <xf numFmtId="44" fontId="99" fillId="10" borderId="1" xfId="6" applyFont="1" applyFill="1" applyBorder="1" applyAlignment="1">
      <alignment horizontal="center" vertical="center" wrapText="1"/>
    </xf>
    <xf numFmtId="0" fontId="2" fillId="10" borderId="1" xfId="0" applyFont="1" applyFill="1" applyBorder="1" applyAlignment="1">
      <alignment horizontal="center" vertical="center" wrapText="1"/>
    </xf>
    <xf numFmtId="0" fontId="108" fillId="0" borderId="1" xfId="0" applyFont="1" applyBorder="1" applyAlignment="1">
      <alignment horizontal="center" vertical="center"/>
    </xf>
    <xf numFmtId="44" fontId="108" fillId="0" borderId="1" xfId="6" applyFont="1" applyFill="1" applyBorder="1" applyAlignment="1">
      <alignment horizontal="center" vertical="center"/>
    </xf>
    <xf numFmtId="0" fontId="104" fillId="0" borderId="1" xfId="0" applyFont="1" applyBorder="1" applyAlignment="1">
      <alignment horizontal="left" vertical="center" wrapText="1"/>
    </xf>
    <xf numFmtId="0" fontId="105" fillId="0" borderId="1" xfId="0" applyFont="1" applyBorder="1" applyAlignment="1">
      <alignment horizontal="center" vertical="center" wrapText="1"/>
    </xf>
    <xf numFmtId="9" fontId="108" fillId="0" borderId="1" xfId="7" applyFont="1" applyFill="1" applyBorder="1" applyAlignment="1">
      <alignment horizontal="center" vertical="center"/>
    </xf>
    <xf numFmtId="44" fontId="108" fillId="0" borderId="1" xfId="0" applyNumberFormat="1" applyFont="1" applyBorder="1" applyAlignment="1">
      <alignment horizontal="center" vertical="center"/>
    </xf>
    <xf numFmtId="44" fontId="106" fillId="0" borderId="1" xfId="0" applyNumberFormat="1" applyFont="1" applyBorder="1" applyAlignment="1">
      <alignment horizontal="center" vertical="center"/>
    </xf>
    <xf numFmtId="0" fontId="109" fillId="0" borderId="1" xfId="0" applyFont="1" applyBorder="1" applyAlignment="1">
      <alignment horizontal="left" vertical="center" wrapText="1"/>
    </xf>
    <xf numFmtId="0" fontId="104" fillId="0" borderId="1" xfId="0" applyFont="1" applyBorder="1" applyAlignment="1">
      <alignment horizontal="center" vertical="center"/>
    </xf>
    <xf numFmtId="0" fontId="112" fillId="19" borderId="1" xfId="0" applyFont="1" applyFill="1" applyBorder="1" applyAlignment="1">
      <alignment horizontal="center" vertical="center"/>
    </xf>
    <xf numFmtId="44" fontId="113" fillId="19" borderId="1" xfId="6" applyFont="1" applyFill="1" applyBorder="1" applyAlignment="1">
      <alignment horizontal="center" vertical="center"/>
    </xf>
    <xf numFmtId="0" fontId="113" fillId="19" borderId="1" xfId="0" applyFont="1" applyFill="1" applyBorder="1" applyAlignment="1">
      <alignment horizontal="center" vertical="center"/>
    </xf>
    <xf numFmtId="44" fontId="113" fillId="19" borderId="1" xfId="0" applyNumberFormat="1" applyFont="1" applyFill="1" applyBorder="1" applyAlignment="1">
      <alignment horizontal="center" vertical="center"/>
    </xf>
    <xf numFmtId="44" fontId="103" fillId="19" borderId="1" xfId="0" applyNumberFormat="1" applyFont="1" applyFill="1" applyBorder="1" applyAlignment="1">
      <alignment horizontal="center" vertical="center"/>
    </xf>
    <xf numFmtId="0" fontId="114" fillId="21" borderId="99" xfId="0" applyFont="1" applyFill="1" applyBorder="1" applyAlignment="1">
      <alignment horizontal="center" vertical="center" wrapText="1"/>
    </xf>
    <xf numFmtId="0" fontId="114" fillId="21" borderId="99" xfId="0" applyFont="1" applyFill="1" applyBorder="1" applyAlignment="1">
      <alignment vertical="center" wrapText="1"/>
    </xf>
    <xf numFmtId="0" fontId="114" fillId="21" borderId="100" xfId="0" applyFont="1" applyFill="1" applyBorder="1" applyAlignment="1">
      <alignment horizontal="center" vertical="center" wrapText="1"/>
    </xf>
    <xf numFmtId="0" fontId="115" fillId="0" borderId="0" xfId="0" applyFont="1"/>
    <xf numFmtId="44" fontId="116" fillId="0" borderId="1" xfId="2" applyFont="1" applyFill="1" applyBorder="1" applyAlignment="1">
      <alignment horizontal="center" vertical="center" wrapText="1"/>
    </xf>
    <xf numFmtId="44" fontId="116" fillId="0" borderId="1" xfId="2" applyFont="1" applyFill="1" applyBorder="1" applyAlignment="1">
      <alignment vertical="center" wrapText="1"/>
    </xf>
    <xf numFmtId="44" fontId="116" fillId="0" borderId="102" xfId="2" applyFont="1" applyFill="1" applyBorder="1" applyAlignment="1">
      <alignment vertical="center" wrapText="1"/>
    </xf>
    <xf numFmtId="0" fontId="116" fillId="21" borderId="1" xfId="0" applyFont="1" applyFill="1" applyBorder="1" applyAlignment="1">
      <alignment horizontal="center" vertical="center" wrapText="1"/>
    </xf>
    <xf numFmtId="44" fontId="116" fillId="21" borderId="102" xfId="2" applyFont="1" applyFill="1" applyBorder="1" applyAlignment="1">
      <alignment horizontal="center" vertical="center" wrapText="1"/>
    </xf>
    <xf numFmtId="44" fontId="117" fillId="0" borderId="1" xfId="2" applyFont="1" applyFill="1" applyBorder="1" applyAlignment="1">
      <alignment horizontal="center" vertical="center"/>
    </xf>
    <xf numFmtId="44" fontId="117" fillId="0" borderId="1" xfId="2" applyFont="1" applyFill="1" applyBorder="1" applyAlignment="1">
      <alignment vertical="center"/>
    </xf>
    <xf numFmtId="44" fontId="117" fillId="0" borderId="102" xfId="2" applyFont="1" applyFill="1" applyBorder="1" applyAlignment="1">
      <alignment horizontal="center" vertical="center"/>
    </xf>
    <xf numFmtId="0" fontId="116" fillId="21" borderId="1" xfId="0" applyFont="1" applyFill="1" applyBorder="1" applyAlignment="1">
      <alignment vertical="center" wrapText="1"/>
    </xf>
    <xf numFmtId="0" fontId="116" fillId="21" borderId="102" xfId="0" applyFont="1" applyFill="1" applyBorder="1" applyAlignment="1">
      <alignment horizontal="center" vertical="center" wrapText="1"/>
    </xf>
    <xf numFmtId="44" fontId="116" fillId="0" borderId="1" xfId="2" applyFont="1" applyFill="1" applyBorder="1" applyAlignment="1">
      <alignment vertical="center"/>
    </xf>
    <xf numFmtId="44" fontId="116" fillId="0" borderId="104" xfId="2" applyFont="1" applyFill="1" applyBorder="1" applyAlignment="1">
      <alignment horizontal="center" vertical="center" wrapText="1"/>
    </xf>
    <xf numFmtId="44" fontId="116" fillId="0" borderId="104" xfId="2" applyFont="1" applyFill="1" applyBorder="1" applyAlignment="1">
      <alignment vertical="center"/>
    </xf>
    <xf numFmtId="44" fontId="117" fillId="0" borderId="105" xfId="2" applyFont="1" applyFill="1" applyBorder="1" applyAlignment="1">
      <alignment horizontal="center" vertical="center"/>
    </xf>
    <xf numFmtId="0" fontId="116" fillId="10" borderId="21" xfId="0" applyFont="1" applyFill="1" applyBorder="1" applyAlignment="1">
      <alignment horizontal="center" vertical="center"/>
    </xf>
    <xf numFmtId="10" fontId="116" fillId="10" borderId="1" xfId="0" applyNumberFormat="1" applyFont="1" applyFill="1" applyBorder="1" applyAlignment="1">
      <alignment horizontal="center" vertical="center" wrapText="1"/>
    </xf>
    <xf numFmtId="10" fontId="116" fillId="10" borderId="22" xfId="0" applyNumberFormat="1" applyFont="1" applyFill="1" applyBorder="1" applyAlignment="1">
      <alignment horizontal="center" vertical="center" wrapText="1"/>
    </xf>
    <xf numFmtId="0" fontId="120" fillId="18" borderId="21" xfId="0" applyFont="1" applyFill="1" applyBorder="1" applyAlignment="1" applyProtection="1">
      <alignment horizontal="justify" vertical="center" wrapText="1"/>
      <protection locked="0"/>
    </xf>
    <xf numFmtId="0" fontId="121" fillId="18" borderId="1" xfId="1" applyNumberFormat="1" applyFont="1" applyFill="1" applyBorder="1" applyAlignment="1" applyProtection="1">
      <alignment horizontal="center" vertical="center"/>
      <protection locked="0"/>
    </xf>
    <xf numFmtId="44" fontId="121" fillId="18" borderId="1" xfId="2" applyFont="1" applyFill="1" applyBorder="1" applyAlignment="1" applyProtection="1">
      <alignment horizontal="center" vertical="center"/>
      <protection locked="0"/>
    </xf>
    <xf numFmtId="167" fontId="121" fillId="18" borderId="1" xfId="1" applyNumberFormat="1" applyFont="1" applyFill="1" applyBorder="1" applyAlignment="1" applyProtection="1">
      <alignment horizontal="center" vertical="center"/>
    </xf>
    <xf numFmtId="167" fontId="121" fillId="18" borderId="22" xfId="1" applyNumberFormat="1" applyFont="1" applyFill="1" applyBorder="1" applyAlignment="1" applyProtection="1">
      <alignment horizontal="center" vertical="center"/>
    </xf>
    <xf numFmtId="0" fontId="122" fillId="18" borderId="1" xfId="0" applyFont="1" applyFill="1" applyBorder="1" applyAlignment="1">
      <alignment horizontal="left" vertical="center"/>
    </xf>
    <xf numFmtId="44" fontId="122" fillId="18" borderId="1" xfId="2" applyFont="1" applyFill="1" applyBorder="1" applyAlignment="1" applyProtection="1">
      <alignment horizontal="center" vertical="center"/>
    </xf>
    <xf numFmtId="44" fontId="122" fillId="18" borderId="22" xfId="2" applyFont="1" applyFill="1" applyBorder="1" applyAlignment="1" applyProtection="1">
      <alignment horizontal="center" vertical="center"/>
    </xf>
    <xf numFmtId="0" fontId="120" fillId="18" borderId="21" xfId="0" applyFont="1" applyFill="1" applyBorder="1" applyAlignment="1" applyProtection="1">
      <alignment horizontal="center" vertical="center" wrapText="1"/>
      <protection locked="0"/>
    </xf>
    <xf numFmtId="0" fontId="122" fillId="0" borderId="1" xfId="0" applyFont="1" applyBorder="1" applyAlignment="1">
      <alignment horizontal="left" vertical="center"/>
    </xf>
    <xf numFmtId="167" fontId="122" fillId="0" borderId="1" xfId="2" applyNumberFormat="1" applyFont="1" applyFill="1" applyBorder="1" applyAlignment="1" applyProtection="1">
      <alignment horizontal="center" vertical="center"/>
    </xf>
    <xf numFmtId="167" fontId="122" fillId="0" borderId="22" xfId="2" applyNumberFormat="1" applyFont="1" applyFill="1" applyBorder="1" applyAlignment="1" applyProtection="1">
      <alignment horizontal="center" vertical="center"/>
    </xf>
    <xf numFmtId="0" fontId="22" fillId="29" borderId="0" xfId="0" applyFont="1" applyFill="1" applyAlignment="1">
      <alignment vertical="center"/>
    </xf>
    <xf numFmtId="0" fontId="22" fillId="29" borderId="5" xfId="0" applyFont="1" applyFill="1" applyBorder="1" applyAlignment="1">
      <alignment horizontal="center" vertical="center" wrapText="1"/>
    </xf>
    <xf numFmtId="172" fontId="22" fillId="29" borderId="5" xfId="1" applyNumberFormat="1" applyFont="1" applyFill="1" applyBorder="1" applyAlignment="1">
      <alignment horizontal="center" vertical="center" wrapText="1"/>
    </xf>
    <xf numFmtId="0" fontId="125" fillId="30" borderId="48" xfId="0" applyFont="1" applyFill="1" applyBorder="1" applyAlignment="1">
      <alignment horizontal="center" vertical="center" wrapText="1"/>
    </xf>
    <xf numFmtId="0" fontId="0" fillId="18" borderId="0" xfId="0" applyFill="1"/>
    <xf numFmtId="0" fontId="0" fillId="10" borderId="1" xfId="0" applyFill="1" applyBorder="1" applyAlignment="1">
      <alignment vertical="center"/>
    </xf>
    <xf numFmtId="0" fontId="126" fillId="10" borderId="1" xfId="0" applyFont="1" applyFill="1" applyBorder="1" applyAlignment="1">
      <alignment vertical="center" wrapText="1"/>
    </xf>
    <xf numFmtId="0" fontId="126" fillId="10" borderId="1" xfId="0" applyFont="1" applyFill="1" applyBorder="1" applyAlignment="1">
      <alignment vertical="center"/>
    </xf>
    <xf numFmtId="172" fontId="126" fillId="10" borderId="1" xfId="1" applyNumberFormat="1" applyFont="1" applyFill="1" applyBorder="1" applyAlignment="1">
      <alignment vertical="center"/>
    </xf>
    <xf numFmtId="172" fontId="126" fillId="10" borderId="1" xfId="0" applyNumberFormat="1" applyFont="1" applyFill="1" applyBorder="1" applyAlignment="1">
      <alignment vertical="center"/>
    </xf>
    <xf numFmtId="44" fontId="126" fillId="10" borderId="1" xfId="2" applyFont="1" applyFill="1" applyBorder="1"/>
    <xf numFmtId="44" fontId="47" fillId="31" borderId="1" xfId="2" applyFont="1" applyFill="1" applyBorder="1" applyAlignment="1">
      <alignment vertical="center"/>
    </xf>
    <xf numFmtId="44" fontId="0" fillId="18" borderId="0" xfId="0" applyNumberFormat="1" applyFill="1"/>
    <xf numFmtId="0" fontId="0" fillId="18" borderId="1" xfId="0" applyFill="1" applyBorder="1" applyAlignment="1">
      <alignment vertical="center" wrapText="1"/>
    </xf>
    <xf numFmtId="0" fontId="126" fillId="18" borderId="1" xfId="0" applyFont="1" applyFill="1" applyBorder="1" applyAlignment="1">
      <alignment vertical="center" wrapText="1"/>
    </xf>
    <xf numFmtId="0" fontId="126" fillId="18" borderId="1" xfId="0" applyFont="1" applyFill="1" applyBorder="1" applyAlignment="1">
      <alignment vertical="center"/>
    </xf>
    <xf numFmtId="172" fontId="126" fillId="18" borderId="1" xfId="1" applyNumberFormat="1" applyFont="1" applyFill="1" applyBorder="1" applyAlignment="1">
      <alignment vertical="center"/>
    </xf>
    <xf numFmtId="172" fontId="126" fillId="18" borderId="1" xfId="0" applyNumberFormat="1" applyFont="1" applyFill="1" applyBorder="1" applyAlignment="1">
      <alignment vertical="center"/>
    </xf>
    <xf numFmtId="44" fontId="126" fillId="18" borderId="1" xfId="2" applyFont="1" applyFill="1" applyBorder="1"/>
    <xf numFmtId="0" fontId="0" fillId="18" borderId="1" xfId="0" applyFill="1" applyBorder="1" applyAlignment="1">
      <alignment vertical="center"/>
    </xf>
    <xf numFmtId="0" fontId="0" fillId="18" borderId="0" xfId="0" applyFill="1" applyAlignment="1">
      <alignment wrapText="1"/>
    </xf>
    <xf numFmtId="172" fontId="1" fillId="18" borderId="0" xfId="1" applyNumberFormat="1" applyFont="1" applyFill="1"/>
    <xf numFmtId="172" fontId="0" fillId="18" borderId="0" xfId="0" applyNumberFormat="1" applyFill="1"/>
    <xf numFmtId="44" fontId="2" fillId="18" borderId="0" xfId="0" applyNumberFormat="1" applyFont="1" applyFill="1"/>
    <xf numFmtId="0" fontId="65" fillId="25" borderId="11" xfId="0" applyFont="1" applyFill="1" applyBorder="1" applyAlignment="1">
      <alignment vertical="center"/>
    </xf>
    <xf numFmtId="0" fontId="65" fillId="25" borderId="12" xfId="0" applyFont="1" applyFill="1" applyBorder="1" applyAlignment="1">
      <alignment vertical="center"/>
    </xf>
    <xf numFmtId="0" fontId="65" fillId="18" borderId="0" xfId="0" applyFont="1" applyFill="1" applyAlignment="1">
      <alignment vertical="center"/>
    </xf>
    <xf numFmtId="0" fontId="61" fillId="0" borderId="15" xfId="0" applyFont="1" applyBorder="1"/>
    <xf numFmtId="0" fontId="61" fillId="0" borderId="19" xfId="0" applyFont="1" applyBorder="1"/>
    <xf numFmtId="0" fontId="61" fillId="0" borderId="88" xfId="0" applyFont="1" applyBorder="1"/>
    <xf numFmtId="0" fontId="61" fillId="18" borderId="0" xfId="0" applyFont="1" applyFill="1"/>
    <xf numFmtId="0" fontId="70" fillId="0" borderId="2" xfId="0" applyFont="1" applyBorder="1" applyAlignment="1">
      <alignment vertical="center" wrapText="1"/>
    </xf>
    <xf numFmtId="0" fontId="80" fillId="0" borderId="3" xfId="0" applyFont="1" applyBorder="1" applyAlignment="1">
      <alignment vertical="center" wrapText="1"/>
    </xf>
    <xf numFmtId="0" fontId="80" fillId="0" borderId="4" xfId="0" applyFont="1" applyBorder="1" applyAlignment="1">
      <alignment vertical="center" wrapText="1"/>
    </xf>
    <xf numFmtId="10" fontId="52" fillId="0" borderId="2" xfId="4" applyNumberFormat="1" applyFont="1" applyBorder="1" applyAlignment="1">
      <alignment vertical="center"/>
    </xf>
    <xf numFmtId="10" fontId="52" fillId="0" borderId="3" xfId="4" applyNumberFormat="1" applyFont="1" applyBorder="1" applyAlignment="1">
      <alignment vertical="center"/>
    </xf>
    <xf numFmtId="44" fontId="52" fillId="0" borderId="0" xfId="2" applyFont="1" applyBorder="1" applyAlignment="1">
      <alignment vertical="center"/>
    </xf>
    <xf numFmtId="0" fontId="88" fillId="0" borderId="2" xfId="0" applyFont="1" applyBorder="1" applyAlignment="1">
      <alignment vertical="center" wrapText="1"/>
    </xf>
    <xf numFmtId="0" fontId="88" fillId="0" borderId="3" xfId="0" applyFont="1" applyBorder="1" applyAlignment="1">
      <alignment vertical="center" wrapText="1"/>
    </xf>
    <xf numFmtId="0" fontId="88" fillId="0" borderId="4" xfId="0" applyFont="1" applyBorder="1" applyAlignment="1">
      <alignment vertical="center" wrapText="1"/>
    </xf>
    <xf numFmtId="10" fontId="59" fillId="0" borderId="2" xfId="4" applyNumberFormat="1" applyFont="1" applyBorder="1" applyAlignment="1">
      <alignment vertical="center"/>
    </xf>
    <xf numFmtId="10" fontId="59" fillId="0" borderId="3" xfId="4" applyNumberFormat="1" applyFont="1" applyBorder="1" applyAlignment="1">
      <alignment vertical="center"/>
    </xf>
    <xf numFmtId="44" fontId="61" fillId="0" borderId="0" xfId="2" applyFont="1" applyBorder="1" applyAlignment="1">
      <alignment vertical="center"/>
    </xf>
    <xf numFmtId="0" fontId="80" fillId="0" borderId="2" xfId="0" applyFont="1" applyBorder="1" applyAlignment="1">
      <alignment vertical="top" wrapText="1"/>
    </xf>
    <xf numFmtId="0" fontId="80" fillId="0" borderId="3" xfId="0" applyFont="1" applyBorder="1" applyAlignment="1">
      <alignment vertical="top" wrapText="1"/>
    </xf>
    <xf numFmtId="0" fontId="80" fillId="0" borderId="4" xfId="0" applyFont="1" applyBorder="1" applyAlignment="1">
      <alignment vertical="top" wrapText="1"/>
    </xf>
    <xf numFmtId="44" fontId="52" fillId="0" borderId="0" xfId="2" applyFont="1" applyBorder="1" applyAlignment="1"/>
    <xf numFmtId="0" fontId="80" fillId="0" borderId="2" xfId="0" applyFont="1" applyBorder="1" applyAlignment="1">
      <alignment vertical="center" wrapText="1"/>
    </xf>
    <xf numFmtId="10" fontId="52" fillId="0" borderId="2" xfId="4" applyNumberFormat="1" applyFont="1" applyBorder="1" applyAlignment="1"/>
    <xf numFmtId="10" fontId="52" fillId="0" borderId="3" xfId="4" applyNumberFormat="1" applyFont="1" applyBorder="1" applyAlignment="1"/>
    <xf numFmtId="10" fontId="51" fillId="0" borderId="2" xfId="4" applyNumberFormat="1" applyFont="1" applyBorder="1" applyAlignment="1"/>
    <xf numFmtId="10" fontId="51" fillId="0" borderId="3" xfId="4" applyNumberFormat="1" applyFont="1" applyBorder="1" applyAlignment="1"/>
    <xf numFmtId="0" fontId="54" fillId="0" borderId="31" xfId="0" applyFont="1" applyBorder="1"/>
    <xf numFmtId="0" fontId="54" fillId="0" borderId="3" xfId="0" applyFont="1" applyBorder="1"/>
    <xf numFmtId="0" fontId="54" fillId="0" borderId="4" xfId="0" applyFont="1" applyBorder="1"/>
    <xf numFmtId="10" fontId="54" fillId="0" borderId="2" xfId="4" applyNumberFormat="1" applyFont="1" applyBorder="1" applyAlignment="1"/>
    <xf numFmtId="10" fontId="54" fillId="0" borderId="3" xfId="4" applyNumberFormat="1" applyFont="1" applyBorder="1" applyAlignment="1"/>
    <xf numFmtId="44" fontId="54" fillId="0" borderId="0" xfId="2" applyFont="1" applyBorder="1" applyAlignment="1"/>
    <xf numFmtId="0" fontId="54" fillId="0" borderId="90" xfId="0" applyFont="1" applyBorder="1" applyAlignment="1">
      <alignment vertical="center"/>
    </xf>
    <xf numFmtId="0" fontId="92" fillId="0" borderId="67" xfId="0" applyFont="1" applyBorder="1"/>
    <xf numFmtId="0" fontId="92" fillId="0" borderId="69" xfId="0" applyFont="1" applyBorder="1"/>
    <xf numFmtId="10" fontId="63" fillId="0" borderId="41" xfId="0" applyNumberFormat="1" applyFont="1" applyBorder="1"/>
    <xf numFmtId="10" fontId="63" fillId="0" borderId="0" xfId="0" applyNumberFormat="1" applyFont="1"/>
    <xf numFmtId="170" fontId="61" fillId="0" borderId="0" xfId="0" applyNumberFormat="1" applyFont="1" applyAlignment="1">
      <alignment vertical="center"/>
    </xf>
    <xf numFmtId="170" fontId="51" fillId="0" borderId="0" xfId="0" applyNumberFormat="1" applyFont="1" applyAlignment="1">
      <alignment vertical="center"/>
    </xf>
    <xf numFmtId="0" fontId="54" fillId="0" borderId="92" xfId="0" applyFont="1" applyBorder="1" applyAlignment="1">
      <alignment vertical="center"/>
    </xf>
    <xf numFmtId="0" fontId="99" fillId="0" borderId="0" xfId="0" applyFont="1" applyAlignment="1">
      <alignment vertical="center"/>
    </xf>
    <xf numFmtId="0" fontId="0" fillId="0" borderId="0" xfId="0" applyAlignment="1">
      <alignment vertical="center"/>
    </xf>
    <xf numFmtId="0" fontId="51" fillId="0" borderId="0" xfId="0" applyFont="1" applyAlignment="1">
      <alignment horizontal="left" vertical="center"/>
    </xf>
    <xf numFmtId="0" fontId="2" fillId="18" borderId="0" xfId="0" applyFont="1" applyFill="1"/>
    <xf numFmtId="0" fontId="2" fillId="18" borderId="0" xfId="0" applyFont="1" applyFill="1" applyAlignment="1">
      <alignment wrapText="1"/>
    </xf>
    <xf numFmtId="172" fontId="2" fillId="18" borderId="0" xfId="1" applyNumberFormat="1" applyFont="1" applyFill="1"/>
    <xf numFmtId="44" fontId="51" fillId="0" borderId="0" xfId="0" applyNumberFormat="1" applyFont="1"/>
    <xf numFmtId="0" fontId="23" fillId="25" borderId="1" xfId="0" applyFont="1" applyFill="1" applyBorder="1" applyAlignment="1">
      <alignment horizontal="center"/>
    </xf>
    <xf numFmtId="0" fontId="6" fillId="0" borderId="0" xfId="0" applyFont="1"/>
    <xf numFmtId="0" fontId="0" fillId="0" borderId="93" xfId="0" applyBorder="1" applyAlignment="1">
      <alignment wrapText="1"/>
    </xf>
    <xf numFmtId="0" fontId="0" fillId="0" borderId="0" xfId="0" applyAlignment="1">
      <alignment wrapText="1"/>
    </xf>
    <xf numFmtId="0" fontId="23" fillId="25" borderId="1" xfId="0" applyFont="1" applyFill="1" applyBorder="1"/>
    <xf numFmtId="0" fontId="6" fillId="0" borderId="1" xfId="0" applyFont="1" applyBorder="1"/>
    <xf numFmtId="44" fontId="6" fillId="0" borderId="1" xfId="0" applyNumberFormat="1" applyFont="1" applyBorder="1"/>
    <xf numFmtId="44" fontId="23" fillId="25" borderId="1" xfId="0" applyNumberFormat="1" applyFont="1" applyFill="1" applyBorder="1"/>
    <xf numFmtId="0" fontId="23" fillId="25" borderId="1" xfId="0" applyFont="1" applyFill="1" applyBorder="1" applyAlignment="1">
      <alignment horizontal="center" vertical="center"/>
    </xf>
    <xf numFmtId="0" fontId="23" fillId="25" borderId="1" xfId="0" applyFont="1" applyFill="1" applyBorder="1" applyAlignment="1">
      <alignment horizontal="center" vertical="center" wrapText="1"/>
    </xf>
    <xf numFmtId="2" fontId="6" fillId="0" borderId="1" xfId="0" applyNumberFormat="1" applyFont="1" applyBorder="1"/>
    <xf numFmtId="44" fontId="6" fillId="0" borderId="0" xfId="0" applyNumberFormat="1" applyFont="1"/>
    <xf numFmtId="0" fontId="128" fillId="25" borderId="29" xfId="0" applyFont="1" applyFill="1" applyBorder="1" applyAlignment="1">
      <alignment vertical="center"/>
    </xf>
    <xf numFmtId="0" fontId="128" fillId="25" borderId="97" xfId="0" applyFont="1" applyFill="1" applyBorder="1" applyAlignment="1">
      <alignment vertical="center"/>
    </xf>
    <xf numFmtId="0" fontId="128" fillId="25" borderId="30" xfId="0" applyFont="1" applyFill="1" applyBorder="1" applyAlignment="1">
      <alignment vertical="center"/>
    </xf>
    <xf numFmtId="0" fontId="128" fillId="0" borderId="1" xfId="0" applyFont="1" applyBorder="1" applyAlignment="1">
      <alignment vertical="center" wrapText="1"/>
    </xf>
    <xf numFmtId="0" fontId="128" fillId="15" borderId="22" xfId="0" applyFont="1" applyFill="1" applyBorder="1" applyAlignment="1">
      <alignment horizontal="center" vertical="center"/>
    </xf>
    <xf numFmtId="44" fontId="128" fillId="0" borderId="1" xfId="0" applyNumberFormat="1" applyFont="1" applyBorder="1" applyAlignment="1">
      <alignment vertical="center"/>
    </xf>
    <xf numFmtId="3" fontId="128" fillId="0" borderId="1" xfId="0" applyNumberFormat="1" applyFont="1" applyBorder="1" applyAlignment="1">
      <alignment vertical="center"/>
    </xf>
    <xf numFmtId="4" fontId="128" fillId="0" borderId="1" xfId="0" applyNumberFormat="1" applyFont="1" applyBorder="1" applyAlignment="1">
      <alignment horizontal="center" vertical="center"/>
    </xf>
    <xf numFmtId="173" fontId="128" fillId="15" borderId="22" xfId="0" applyNumberFormat="1" applyFont="1" applyFill="1" applyBorder="1" applyAlignment="1">
      <alignment vertical="center"/>
    </xf>
    <xf numFmtId="3" fontId="128" fillId="0" borderId="2" xfId="0" applyNumberFormat="1" applyFont="1" applyBorder="1" applyAlignment="1">
      <alignment vertical="center"/>
    </xf>
    <xf numFmtId="44" fontId="128" fillId="0" borderId="5" xfId="0" applyNumberFormat="1" applyFont="1" applyBorder="1" applyAlignment="1">
      <alignment vertical="center"/>
    </xf>
    <xf numFmtId="3" fontId="128" fillId="0" borderId="5" xfId="0" applyNumberFormat="1" applyFont="1" applyBorder="1" applyAlignment="1">
      <alignment vertical="center"/>
    </xf>
    <xf numFmtId="4" fontId="128" fillId="0" borderId="5" xfId="0" applyNumberFormat="1" applyFont="1" applyBorder="1" applyAlignment="1">
      <alignment horizontal="center" vertical="center"/>
    </xf>
    <xf numFmtId="173" fontId="128" fillId="15" borderId="45" xfId="0" applyNumberFormat="1" applyFont="1" applyFill="1" applyBorder="1" applyAlignment="1">
      <alignment vertical="center"/>
    </xf>
    <xf numFmtId="173" fontId="128" fillId="15" borderId="50" xfId="2" applyNumberFormat="1" applyFont="1" applyFill="1" applyBorder="1" applyAlignment="1" applyProtection="1">
      <alignment vertical="center"/>
    </xf>
    <xf numFmtId="173" fontId="0" fillId="0" borderId="0" xfId="0" applyNumberFormat="1"/>
    <xf numFmtId="44" fontId="128" fillId="15" borderId="22" xfId="2" applyFont="1" applyFill="1" applyBorder="1" applyAlignment="1" applyProtection="1">
      <alignment vertical="center"/>
    </xf>
    <xf numFmtId="173" fontId="128" fillId="15" borderId="22" xfId="2" applyNumberFormat="1" applyFont="1" applyFill="1" applyBorder="1" applyAlignment="1" applyProtection="1">
      <alignment vertical="center"/>
    </xf>
    <xf numFmtId="44" fontId="128" fillId="15" borderId="28" xfId="2" applyFont="1" applyFill="1" applyBorder="1" applyAlignment="1" applyProtection="1">
      <alignment vertical="center"/>
    </xf>
    <xf numFmtId="44" fontId="1" fillId="0" borderId="0" xfId="2" applyFont="1"/>
    <xf numFmtId="4" fontId="0" fillId="0" borderId="0" xfId="0" applyNumberFormat="1"/>
    <xf numFmtId="3" fontId="0" fillId="0" borderId="0" xfId="0" applyNumberFormat="1"/>
    <xf numFmtId="43" fontId="1" fillId="0" borderId="0" xfId="1" applyFont="1" applyAlignment="1">
      <alignment horizontal="right"/>
    </xf>
    <xf numFmtId="10" fontId="0" fillId="0" borderId="0" xfId="0" applyNumberFormat="1" applyAlignment="1">
      <alignment horizontal="right"/>
    </xf>
    <xf numFmtId="0" fontId="2" fillId="0" borderId="0" xfId="0" applyFont="1"/>
    <xf numFmtId="4" fontId="2" fillId="0" borderId="0" xfId="0" applyNumberFormat="1" applyFont="1"/>
    <xf numFmtId="43" fontId="2" fillId="0" borderId="0" xfId="0" applyNumberFormat="1" applyFont="1"/>
    <xf numFmtId="165" fontId="0" fillId="0" borderId="0" xfId="0" applyNumberFormat="1"/>
    <xf numFmtId="0" fontId="120" fillId="0" borderId="21" xfId="0" applyFont="1" applyBorder="1" applyAlignment="1" applyProtection="1">
      <alignment horizontal="justify" vertical="center" wrapText="1"/>
      <protection locked="0"/>
    </xf>
    <xf numFmtId="167" fontId="121" fillId="0" borderId="1" xfId="1" applyNumberFormat="1" applyFont="1" applyFill="1" applyBorder="1" applyAlignment="1" applyProtection="1">
      <alignment horizontal="center" vertical="center"/>
      <protection locked="0"/>
    </xf>
    <xf numFmtId="0" fontId="121" fillId="0" borderId="2" xfId="1" applyNumberFormat="1" applyFont="1" applyFill="1" applyBorder="1" applyAlignment="1" applyProtection="1">
      <alignment horizontal="center" vertical="center"/>
      <protection locked="0"/>
    </xf>
    <xf numFmtId="0" fontId="135" fillId="0" borderId="0" xfId="0" applyFont="1" applyAlignment="1">
      <alignment vertical="center"/>
    </xf>
    <xf numFmtId="0" fontId="116" fillId="10" borderId="1" xfId="0" applyFont="1" applyFill="1" applyBorder="1" applyAlignment="1">
      <alignment horizontal="center" vertical="center" wrapText="1"/>
    </xf>
    <xf numFmtId="0" fontId="135" fillId="0" borderId="0" xfId="0" applyFont="1" applyAlignment="1">
      <alignment vertical="top"/>
    </xf>
    <xf numFmtId="0" fontId="137" fillId="0" borderId="21" xfId="0" applyFont="1" applyBorder="1" applyAlignment="1" applyProtection="1">
      <alignment horizontal="justify" vertical="center" wrapText="1"/>
      <protection locked="0"/>
    </xf>
    <xf numFmtId="4" fontId="120" fillId="0" borderId="1" xfId="1" applyNumberFormat="1" applyFont="1" applyFill="1" applyBorder="1" applyAlignment="1" applyProtection="1">
      <alignment horizontal="center" vertical="center"/>
      <protection locked="0"/>
    </xf>
    <xf numFmtId="0" fontId="120" fillId="0" borderId="1" xfId="1" applyNumberFormat="1" applyFont="1" applyFill="1" applyBorder="1" applyAlignment="1" applyProtection="1">
      <alignment horizontal="center" vertical="center"/>
      <protection locked="0"/>
    </xf>
    <xf numFmtId="1" fontId="124" fillId="0" borderId="1" xfId="1" applyNumberFormat="1" applyFont="1" applyFill="1" applyBorder="1" applyAlignment="1" applyProtection="1">
      <alignment horizontal="center" vertical="center"/>
    </xf>
    <xf numFmtId="169" fontId="139" fillId="0" borderId="22" xfId="1" applyNumberFormat="1" applyFont="1" applyFill="1" applyBorder="1" applyAlignment="1" applyProtection="1">
      <alignment horizontal="center" vertical="center"/>
    </xf>
    <xf numFmtId="0" fontId="121" fillId="0" borderId="0" xfId="0" applyFont="1" applyAlignment="1">
      <alignment vertical="top"/>
    </xf>
    <xf numFmtId="3" fontId="120" fillId="0" borderId="1" xfId="1" applyNumberFormat="1" applyFont="1" applyFill="1" applyBorder="1" applyAlignment="1" applyProtection="1">
      <alignment horizontal="center" vertical="center"/>
      <protection locked="0"/>
    </xf>
    <xf numFmtId="0" fontId="137" fillId="0" borderId="39" xfId="0" applyFont="1" applyBorder="1" applyAlignment="1" applyProtection="1">
      <alignment horizontal="justify" vertical="center" wrapText="1"/>
      <protection locked="0"/>
    </xf>
    <xf numFmtId="3" fontId="120" fillId="0" borderId="5" xfId="1" applyNumberFormat="1" applyFont="1" applyFill="1" applyBorder="1" applyAlignment="1" applyProtection="1">
      <alignment horizontal="center" vertical="center"/>
      <protection locked="0"/>
    </xf>
    <xf numFmtId="0" fontId="120" fillId="0" borderId="5" xfId="1" applyNumberFormat="1" applyFont="1" applyFill="1" applyBorder="1" applyAlignment="1" applyProtection="1">
      <alignment horizontal="center" vertical="center"/>
      <protection locked="0"/>
    </xf>
    <xf numFmtId="169" fontId="139" fillId="0" borderId="45" xfId="1" applyNumberFormat="1" applyFont="1" applyFill="1" applyBorder="1" applyAlignment="1" applyProtection="1">
      <alignment horizontal="center" vertical="center"/>
    </xf>
    <xf numFmtId="0" fontId="135" fillId="0" borderId="0" xfId="0" applyFont="1" applyAlignment="1">
      <alignment vertical="center" wrapText="1"/>
    </xf>
    <xf numFmtId="0" fontId="137" fillId="0" borderId="16" xfId="0" applyFont="1" applyBorder="1" applyAlignment="1" applyProtection="1">
      <alignment horizontal="justify" vertical="center" wrapText="1"/>
      <protection locked="0"/>
    </xf>
    <xf numFmtId="3" fontId="120" fillId="0" borderId="7" xfId="1" applyNumberFormat="1" applyFont="1" applyFill="1" applyBorder="1" applyAlignment="1" applyProtection="1">
      <alignment horizontal="center" vertical="center" wrapText="1"/>
      <protection locked="0"/>
    </xf>
    <xf numFmtId="0" fontId="120" fillId="0" borderId="7" xfId="1" applyNumberFormat="1" applyFont="1" applyFill="1" applyBorder="1" applyAlignment="1" applyProtection="1">
      <alignment horizontal="center" vertical="center"/>
      <protection locked="0"/>
    </xf>
    <xf numFmtId="169" fontId="139" fillId="0" borderId="17" xfId="1" applyNumberFormat="1" applyFont="1" applyFill="1" applyBorder="1" applyAlignment="1" applyProtection="1">
      <alignment horizontal="center" vertical="center"/>
    </xf>
    <xf numFmtId="3" fontId="120" fillId="0" borderId="1" xfId="1" applyNumberFormat="1" applyFont="1" applyFill="1" applyBorder="1" applyAlignment="1" applyProtection="1">
      <alignment horizontal="center" vertical="center" wrapText="1"/>
      <protection locked="0"/>
    </xf>
    <xf numFmtId="4" fontId="142" fillId="0" borderId="0" xfId="0" applyNumberFormat="1" applyFont="1" applyAlignment="1">
      <alignment horizontal="justify"/>
    </xf>
    <xf numFmtId="0" fontId="122" fillId="0" borderId="0" xfId="0" applyFont="1" applyAlignment="1">
      <alignment horizontal="left" vertical="center"/>
    </xf>
    <xf numFmtId="0" fontId="142" fillId="0" borderId="0" xfId="0" applyFont="1" applyAlignment="1">
      <alignment horizontal="justify" wrapText="1"/>
    </xf>
    <xf numFmtId="0" fontId="143" fillId="0" borderId="54" xfId="0" applyFont="1" applyBorder="1" applyAlignment="1" applyProtection="1">
      <alignment horizontal="justify" vertical="center" wrapText="1"/>
      <protection locked="0"/>
    </xf>
    <xf numFmtId="3" fontId="144" fillId="0" borderId="106" xfId="1" applyNumberFormat="1" applyFont="1" applyFill="1" applyBorder="1" applyAlignment="1" applyProtection="1">
      <alignment horizontal="center" vertical="center"/>
      <protection locked="0"/>
    </xf>
    <xf numFmtId="0" fontId="145" fillId="0" borderId="106" xfId="1" applyNumberFormat="1" applyFont="1" applyFill="1" applyBorder="1" applyAlignment="1" applyProtection="1">
      <alignment horizontal="center" vertical="center"/>
      <protection locked="0"/>
    </xf>
    <xf numFmtId="174" fontId="146" fillId="0" borderId="50" xfId="1" applyNumberFormat="1" applyFont="1" applyFill="1" applyBorder="1" applyAlignment="1" applyProtection="1">
      <alignment horizontal="center" vertical="center"/>
    </xf>
    <xf numFmtId="175" fontId="139" fillId="18" borderId="0" xfId="1" applyNumberFormat="1" applyFont="1" applyFill="1" applyBorder="1" applyAlignment="1" applyProtection="1">
      <alignment vertical="center"/>
    </xf>
    <xf numFmtId="0" fontId="142" fillId="0" borderId="0" xfId="0" applyFont="1" applyAlignment="1">
      <alignment horizontal="justify"/>
    </xf>
    <xf numFmtId="174" fontId="147" fillId="26" borderId="28" xfId="1" applyNumberFormat="1" applyFont="1" applyFill="1" applyBorder="1" applyAlignment="1" applyProtection="1">
      <alignment horizontal="center" vertical="center"/>
    </xf>
    <xf numFmtId="44" fontId="22" fillId="10" borderId="1" xfId="6" applyFont="1" applyFill="1" applyBorder="1" applyAlignment="1">
      <alignment horizontal="center" vertical="center" wrapText="1"/>
    </xf>
    <xf numFmtId="0" fontId="22" fillId="10" borderId="1" xfId="0" applyFont="1" applyFill="1" applyBorder="1" applyAlignment="1">
      <alignment horizontal="center" vertical="center" wrapText="1"/>
    </xf>
    <xf numFmtId="0" fontId="126" fillId="0" borderId="1" xfId="0" applyFont="1" applyBorder="1" applyAlignment="1">
      <alignment horizontal="center"/>
    </xf>
    <xf numFmtId="0" fontId="126" fillId="18" borderId="1" xfId="0" applyFont="1" applyFill="1" applyBorder="1" applyAlignment="1">
      <alignment horizontal="justify" vertical="distributed"/>
    </xf>
    <xf numFmtId="0" fontId="107" fillId="0" borderId="1" xfId="0" applyFont="1" applyBorder="1" applyAlignment="1">
      <alignment horizontal="center" vertical="center" wrapText="1"/>
    </xf>
    <xf numFmtId="44" fontId="22" fillId="0" borderId="1" xfId="0" applyNumberFormat="1" applyFont="1" applyBorder="1" applyAlignment="1">
      <alignment vertical="center"/>
    </xf>
    <xf numFmtId="44" fontId="155" fillId="0" borderId="1" xfId="6" applyFont="1" applyFill="1" applyBorder="1" applyAlignment="1">
      <alignment horizontal="center" vertical="center"/>
    </xf>
    <xf numFmtId="9" fontId="155" fillId="0" borderId="1" xfId="7" applyFont="1" applyFill="1" applyBorder="1" applyAlignment="1">
      <alignment horizontal="center" vertical="center"/>
    </xf>
    <xf numFmtId="0" fontId="155" fillId="0" borderId="1" xfId="0" applyFont="1" applyBorder="1" applyAlignment="1">
      <alignment horizontal="center" vertical="center"/>
    </xf>
    <xf numFmtId="44" fontId="155" fillId="0" borderId="1" xfId="0" applyNumberFormat="1" applyFont="1" applyBorder="1" applyAlignment="1">
      <alignment horizontal="center" vertical="center"/>
    </xf>
    <xf numFmtId="0" fontId="126" fillId="0" borderId="1" xfId="0" applyFont="1" applyBorder="1" applyAlignment="1">
      <alignment horizontal="center" vertical="center"/>
    </xf>
    <xf numFmtId="0" fontId="126" fillId="0" borderId="5" xfId="0" applyFont="1" applyBorder="1" applyAlignment="1">
      <alignment horizontal="center"/>
    </xf>
    <xf numFmtId="0" fontId="126" fillId="18" borderId="5" xfId="0" applyFont="1" applyFill="1" applyBorder="1" applyAlignment="1">
      <alignment horizontal="justify" vertical="distributed"/>
    </xf>
    <xf numFmtId="0" fontId="126" fillId="0" borderId="5" xfId="0" applyFont="1" applyBorder="1" applyAlignment="1">
      <alignment horizontal="center" vertical="center"/>
    </xf>
    <xf numFmtId="44" fontId="113" fillId="19" borderId="107" xfId="6" applyFont="1" applyFill="1" applyBorder="1" applyAlignment="1">
      <alignment horizontal="center" vertical="center"/>
    </xf>
    <xf numFmtId="44" fontId="113" fillId="19" borderId="107" xfId="0" applyNumberFormat="1" applyFont="1" applyFill="1" applyBorder="1" applyAlignment="1">
      <alignment horizontal="center" vertical="center"/>
    </xf>
    <xf numFmtId="44" fontId="82" fillId="28" borderId="13" xfId="0" applyNumberFormat="1" applyFont="1" applyFill="1" applyBorder="1" applyAlignment="1">
      <alignment vertical="center" wrapText="1"/>
    </xf>
    <xf numFmtId="44" fontId="103" fillId="18" borderId="0" xfId="0" applyNumberFormat="1" applyFont="1" applyFill="1" applyAlignment="1">
      <alignment horizontal="center" vertical="center"/>
    </xf>
    <xf numFmtId="167" fontId="122" fillId="18" borderId="1" xfId="2" applyNumberFormat="1" applyFont="1" applyFill="1" applyBorder="1" applyAlignment="1" applyProtection="1">
      <alignment horizontal="center" vertical="center"/>
    </xf>
    <xf numFmtId="167" fontId="122" fillId="18" borderId="22" xfId="2" applyNumberFormat="1" applyFont="1" applyFill="1" applyBorder="1" applyAlignment="1" applyProtection="1">
      <alignment horizontal="center" vertical="center"/>
    </xf>
    <xf numFmtId="0" fontId="29" fillId="30" borderId="108" xfId="0" applyFont="1" applyFill="1" applyBorder="1" applyAlignment="1">
      <alignment horizontal="center" vertical="center" wrapText="1"/>
    </xf>
    <xf numFmtId="0" fontId="8" fillId="29" borderId="108" xfId="0" applyFont="1" applyFill="1" applyBorder="1" applyAlignment="1">
      <alignment horizontal="center" vertical="center" wrapText="1"/>
    </xf>
    <xf numFmtId="44" fontId="29" fillId="30" borderId="108" xfId="2" applyFont="1" applyFill="1" applyBorder="1" applyAlignment="1">
      <alignment horizontal="center" vertical="center" wrapText="1"/>
    </xf>
    <xf numFmtId="44" fontId="29" fillId="30" borderId="108" xfId="2" applyFont="1" applyFill="1" applyBorder="1" applyAlignment="1">
      <alignment horizontal="left" vertical="center" wrapText="1"/>
    </xf>
    <xf numFmtId="44" fontId="8" fillId="29" borderId="108" xfId="2" applyFont="1" applyFill="1" applyBorder="1" applyAlignment="1">
      <alignment horizontal="center" vertical="center"/>
    </xf>
    <xf numFmtId="0" fontId="8" fillId="10" borderId="109" xfId="0" applyFont="1" applyFill="1" applyBorder="1" applyAlignment="1">
      <alignment vertical="center"/>
    </xf>
    <xf numFmtId="0" fontId="4" fillId="10" borderId="109" xfId="0" applyFont="1" applyFill="1" applyBorder="1" applyAlignment="1">
      <alignment vertical="center" wrapText="1"/>
    </xf>
    <xf numFmtId="0" fontId="4" fillId="10" borderId="109" xfId="0" applyFont="1" applyFill="1" applyBorder="1" applyAlignment="1">
      <alignment vertical="center"/>
    </xf>
    <xf numFmtId="44" fontId="4" fillId="10" borderId="109" xfId="2" applyFont="1" applyFill="1" applyBorder="1" applyAlignment="1">
      <alignment horizontal="center" vertical="center"/>
    </xf>
    <xf numFmtId="44" fontId="4" fillId="10" borderId="109" xfId="2" applyFont="1" applyFill="1" applyBorder="1"/>
    <xf numFmtId="44" fontId="4" fillId="10" borderId="109" xfId="2" applyFont="1" applyFill="1" applyBorder="1" applyAlignment="1">
      <alignment vertical="center"/>
    </xf>
    <xf numFmtId="0" fontId="8" fillId="18" borderId="110" xfId="0" applyFont="1" applyFill="1" applyBorder="1" applyAlignment="1">
      <alignment vertical="center"/>
    </xf>
    <xf numFmtId="0" fontId="4" fillId="18" borderId="110" xfId="0" applyFont="1" applyFill="1" applyBorder="1" applyAlignment="1">
      <alignment vertical="center" wrapText="1"/>
    </xf>
    <xf numFmtId="0" fontId="4" fillId="18" borderId="110" xfId="0" applyFont="1" applyFill="1" applyBorder="1" applyAlignment="1">
      <alignment vertical="center"/>
    </xf>
    <xf numFmtId="44" fontId="4" fillId="18" borderId="110" xfId="2" applyFont="1" applyFill="1" applyBorder="1" applyAlignment="1">
      <alignment horizontal="center" vertical="center"/>
    </xf>
    <xf numFmtId="0" fontId="8" fillId="10" borderId="110" xfId="0" applyFont="1" applyFill="1" applyBorder="1" applyAlignment="1">
      <alignment vertical="center"/>
    </xf>
    <xf numFmtId="0" fontId="4" fillId="10" borderId="110" xfId="0" applyFont="1" applyFill="1" applyBorder="1" applyAlignment="1">
      <alignment vertical="center" wrapText="1"/>
    </xf>
    <xf numFmtId="0" fontId="4" fillId="10" borderId="110" xfId="0" applyFont="1" applyFill="1" applyBorder="1" applyAlignment="1">
      <alignment vertical="center"/>
    </xf>
    <xf numFmtId="44" fontId="4" fillId="10" borderId="110" xfId="2" applyFont="1" applyFill="1" applyBorder="1" applyAlignment="1">
      <alignment horizontal="center" vertical="center"/>
    </xf>
    <xf numFmtId="172" fontId="4" fillId="18" borderId="110" xfId="1" applyNumberFormat="1" applyFont="1" applyFill="1" applyBorder="1" applyAlignment="1">
      <alignment vertical="center"/>
    </xf>
    <xf numFmtId="1" fontId="4" fillId="10" borderId="110" xfId="0" applyNumberFormat="1" applyFont="1" applyFill="1" applyBorder="1" applyAlignment="1">
      <alignment vertical="center"/>
    </xf>
    <xf numFmtId="44" fontId="2" fillId="0" borderId="111" xfId="2" applyFont="1" applyBorder="1" applyAlignment="1">
      <alignment horizontal="right"/>
    </xf>
    <xf numFmtId="44" fontId="2" fillId="0" borderId="0" xfId="2" applyFont="1"/>
    <xf numFmtId="0" fontId="65" fillId="18" borderId="68" xfId="0" applyFont="1" applyFill="1" applyBorder="1" applyAlignment="1">
      <alignment vertical="center"/>
    </xf>
    <xf numFmtId="44" fontId="65" fillId="25" borderId="12" xfId="0" applyNumberFormat="1" applyFont="1" applyFill="1" applyBorder="1" applyAlignment="1">
      <alignment vertical="center"/>
    </xf>
    <xf numFmtId="44" fontId="65" fillId="18" borderId="68" xfId="0" applyNumberFormat="1" applyFont="1" applyFill="1" applyBorder="1" applyAlignment="1">
      <alignment vertical="center"/>
    </xf>
    <xf numFmtId="0" fontId="61" fillId="0" borderId="0" xfId="0" applyFont="1"/>
    <xf numFmtId="44" fontId="61" fillId="0" borderId="19" xfId="0" applyNumberFormat="1" applyFont="1" applyBorder="1"/>
    <xf numFmtId="44" fontId="61" fillId="0" borderId="0" xfId="0" applyNumberFormat="1" applyFont="1"/>
    <xf numFmtId="10" fontId="52" fillId="0" borderId="0" xfId="4" applyNumberFormat="1" applyFont="1" applyBorder="1" applyAlignment="1">
      <alignment vertical="center"/>
    </xf>
    <xf numFmtId="44" fontId="80" fillId="0" borderId="3" xfId="0" applyNumberFormat="1" applyFont="1" applyBorder="1" applyAlignment="1">
      <alignment vertical="center" wrapText="1"/>
    </xf>
    <xf numFmtId="10" fontId="61" fillId="0" borderId="0" xfId="4" applyNumberFormat="1" applyFont="1" applyBorder="1" applyAlignment="1">
      <alignment vertical="center"/>
    </xf>
    <xf numFmtId="10" fontId="61" fillId="0" borderId="2" xfId="4" applyNumberFormat="1" applyFont="1" applyBorder="1" applyAlignment="1">
      <alignment vertical="center"/>
    </xf>
    <xf numFmtId="44" fontId="88" fillId="0" borderId="3" xfId="0" applyNumberFormat="1" applyFont="1" applyBorder="1" applyAlignment="1">
      <alignment vertical="center" wrapText="1"/>
    </xf>
    <xf numFmtId="10" fontId="52" fillId="0" borderId="0" xfId="4" applyNumberFormat="1" applyFont="1" applyBorder="1" applyAlignment="1"/>
    <xf numFmtId="44" fontId="80" fillId="0" borderId="3" xfId="0" applyNumberFormat="1" applyFont="1" applyBorder="1" applyAlignment="1">
      <alignment vertical="top" wrapText="1"/>
    </xf>
    <xf numFmtId="0" fontId="156" fillId="0" borderId="2" xfId="0" applyFont="1" applyBorder="1" applyAlignment="1">
      <alignment vertical="center" wrapText="1"/>
    </xf>
    <xf numFmtId="10" fontId="51" fillId="0" borderId="0" xfId="4" applyNumberFormat="1" applyFont="1" applyBorder="1" applyAlignment="1"/>
    <xf numFmtId="10" fontId="54" fillId="0" borderId="0" xfId="4" applyNumberFormat="1" applyFont="1" applyBorder="1" applyAlignment="1"/>
    <xf numFmtId="44" fontId="54" fillId="0" borderId="3" xfId="0" applyNumberFormat="1" applyFont="1" applyBorder="1"/>
    <xf numFmtId="44" fontId="51" fillId="0" borderId="0" xfId="4" applyNumberFormat="1" applyFont="1" applyBorder="1"/>
    <xf numFmtId="44" fontId="51" fillId="0" borderId="0" xfId="0" applyNumberFormat="1" applyFont="1" applyAlignment="1">
      <alignment horizontal="left"/>
    </xf>
    <xf numFmtId="43" fontId="0" fillId="0" borderId="1" xfId="1" applyFont="1" applyBorder="1" applyAlignment="1">
      <alignment vertical="center"/>
    </xf>
    <xf numFmtId="44" fontId="3" fillId="0" borderId="1" xfId="2" applyFont="1" applyFill="1" applyBorder="1" applyAlignment="1">
      <alignment vertical="center"/>
    </xf>
    <xf numFmtId="43" fontId="3" fillId="0" borderId="1" xfId="1" applyFont="1" applyBorder="1" applyAlignment="1">
      <alignment vertical="center"/>
    </xf>
    <xf numFmtId="2" fontId="15" fillId="0" borderId="1" xfId="0" applyNumberFormat="1" applyFont="1" applyBorder="1" applyAlignment="1">
      <alignment vertical="center"/>
    </xf>
    <xf numFmtId="43" fontId="5" fillId="0" borderId="1" xfId="1" applyFont="1" applyBorder="1" applyAlignment="1">
      <alignment vertical="center"/>
    </xf>
    <xf numFmtId="43" fontId="5" fillId="0" borderId="5" xfId="1" applyFont="1" applyBorder="1" applyAlignment="1">
      <alignment vertical="center"/>
    </xf>
    <xf numFmtId="0" fontId="5" fillId="24" borderId="7" xfId="0" applyFont="1" applyFill="1" applyBorder="1" applyAlignment="1">
      <alignment horizontal="center" vertical="center" wrapText="1"/>
    </xf>
    <xf numFmtId="0" fontId="5" fillId="24" borderId="48" xfId="0" applyFont="1" applyFill="1" applyBorder="1" applyAlignment="1">
      <alignment horizontal="center" vertical="center" wrapText="1"/>
    </xf>
    <xf numFmtId="0" fontId="6" fillId="24" borderId="7" xfId="0" applyFont="1" applyFill="1" applyBorder="1" applyAlignment="1">
      <alignment horizontal="center" vertical="center" wrapText="1"/>
    </xf>
    <xf numFmtId="0" fontId="157" fillId="0" borderId="1" xfId="0" applyFont="1" applyBorder="1" applyAlignment="1">
      <alignment vertical="center"/>
    </xf>
    <xf numFmtId="0" fontId="158" fillId="0" borderId="1" xfId="0" applyFont="1" applyBorder="1" applyAlignment="1">
      <alignment vertical="center"/>
    </xf>
    <xf numFmtId="0" fontId="104" fillId="0" borderId="1" xfId="0" applyFont="1" applyBorder="1" applyAlignment="1">
      <alignment vertical="center"/>
    </xf>
    <xf numFmtId="44" fontId="105" fillId="0" borderId="1" xfId="0" applyNumberFormat="1" applyFont="1" applyBorder="1" applyAlignment="1">
      <alignment vertical="center"/>
    </xf>
    <xf numFmtId="44" fontId="106" fillId="32" borderId="1" xfId="0" applyNumberFormat="1" applyFont="1" applyFill="1" applyBorder="1" applyAlignment="1">
      <alignment vertical="center"/>
    </xf>
    <xf numFmtId="0" fontId="2" fillId="0" borderId="1" xfId="2" applyNumberFormat="1" applyFont="1" applyBorder="1" applyAlignment="1">
      <alignment vertical="center"/>
    </xf>
    <xf numFmtId="0" fontId="161" fillId="24" borderId="1" xfId="0" applyFont="1" applyFill="1" applyBorder="1" applyAlignment="1">
      <alignment horizontal="center" vertical="center"/>
    </xf>
    <xf numFmtId="0" fontId="161" fillId="24" borderId="1" xfId="0" applyFont="1" applyFill="1" applyBorder="1" applyAlignment="1">
      <alignment horizontal="center" vertical="center" wrapText="1"/>
    </xf>
    <xf numFmtId="0" fontId="162" fillId="18" borderId="1" xfId="0" applyFont="1" applyFill="1" applyBorder="1" applyAlignment="1">
      <alignment horizontal="center" vertical="center"/>
    </xf>
    <xf numFmtId="0" fontId="163" fillId="18" borderId="1" xfId="0" applyFont="1" applyFill="1" applyBorder="1" applyAlignment="1">
      <alignment horizontal="left" vertical="center" wrapText="1"/>
    </xf>
    <xf numFmtId="43" fontId="162" fillId="0" borderId="1" xfId="1" applyFont="1" applyFill="1" applyBorder="1" applyAlignment="1">
      <alignment horizontal="center" vertical="center"/>
    </xf>
    <xf numFmtId="0" fontId="160" fillId="18" borderId="1" xfId="0" applyFont="1" applyFill="1" applyBorder="1" applyAlignment="1">
      <alignment horizontal="center" vertical="center"/>
    </xf>
    <xf numFmtId="43" fontId="123" fillId="0" borderId="1" xfId="1" applyFont="1" applyBorder="1" applyAlignment="1">
      <alignment vertical="center"/>
    </xf>
    <xf numFmtId="44" fontId="165" fillId="0" borderId="1" xfId="0" applyNumberFormat="1" applyFont="1" applyBorder="1" applyAlignment="1">
      <alignment vertical="center"/>
    </xf>
    <xf numFmtId="2" fontId="164" fillId="0" borderId="2" xfId="0" applyNumberFormat="1" applyFont="1" applyBorder="1" applyAlignment="1">
      <alignment vertical="center"/>
    </xf>
    <xf numFmtId="2" fontId="164" fillId="0" borderId="4" xfId="0" applyNumberFormat="1" applyFont="1" applyBorder="1" applyAlignment="1">
      <alignment vertical="center"/>
    </xf>
    <xf numFmtId="43" fontId="164" fillId="0" borderId="2" xfId="1" applyFont="1" applyBorder="1" applyAlignment="1">
      <alignment vertical="center"/>
    </xf>
    <xf numFmtId="43" fontId="164" fillId="0" borderId="4" xfId="1" applyFont="1" applyBorder="1" applyAlignment="1">
      <alignment vertical="center"/>
    </xf>
    <xf numFmtId="0" fontId="164" fillId="0" borderId="1" xfId="0" applyFont="1" applyBorder="1" applyAlignment="1">
      <alignment vertical="center"/>
    </xf>
    <xf numFmtId="0" fontId="160" fillId="18" borderId="2" xfId="0" applyFont="1" applyFill="1" applyBorder="1" applyAlignment="1">
      <alignment vertical="center"/>
    </xf>
    <xf numFmtId="0" fontId="160" fillId="18" borderId="3" xfId="0" applyFont="1" applyFill="1" applyBorder="1" applyAlignment="1">
      <alignment vertical="center"/>
    </xf>
    <xf numFmtId="0" fontId="160" fillId="18" borderId="4" xfId="0" applyFont="1" applyFill="1" applyBorder="1" applyAlignment="1">
      <alignment vertical="center"/>
    </xf>
    <xf numFmtId="0" fontId="160" fillId="18" borderId="1" xfId="0" applyFont="1" applyFill="1" applyBorder="1" applyAlignment="1">
      <alignment vertical="center"/>
    </xf>
    <xf numFmtId="43" fontId="162" fillId="18" borderId="1" xfId="1" applyFont="1" applyFill="1" applyBorder="1" applyAlignment="1">
      <alignment horizontal="center" vertical="center"/>
    </xf>
    <xf numFmtId="43" fontId="162" fillId="18" borderId="1" xfId="1" applyFont="1" applyFill="1" applyBorder="1" applyAlignment="1">
      <alignment horizontal="right" vertical="center"/>
    </xf>
    <xf numFmtId="43" fontId="105" fillId="0" borderId="1" xfId="1" applyFont="1" applyFill="1" applyBorder="1" applyAlignment="1">
      <alignment vertical="center"/>
    </xf>
    <xf numFmtId="0" fontId="4" fillId="19" borderId="52" xfId="0" applyFont="1" applyFill="1" applyBorder="1" applyAlignment="1">
      <alignment horizontal="center" vertical="center" wrapText="1"/>
    </xf>
    <xf numFmtId="0" fontId="4" fillId="19" borderId="53" xfId="0" applyFont="1" applyFill="1" applyBorder="1" applyAlignment="1">
      <alignment horizontal="center" vertical="center" wrapText="1"/>
    </xf>
    <xf numFmtId="0" fontId="15" fillId="0" borderId="1" xfId="0" applyFont="1" applyBorder="1" applyAlignment="1">
      <alignment horizontal="left" vertical="center"/>
    </xf>
    <xf numFmtId="0" fontId="159" fillId="32" borderId="2" xfId="0" applyFont="1" applyFill="1" applyBorder="1" applyAlignment="1">
      <alignment horizontal="left" vertical="center"/>
    </xf>
    <xf numFmtId="0" fontId="159" fillId="32" borderId="3" xfId="0" applyFont="1" applyFill="1" applyBorder="1" applyAlignment="1">
      <alignment horizontal="left" vertical="center"/>
    </xf>
    <xf numFmtId="0" fontId="159" fillId="32" borderId="4" xfId="0" applyFont="1" applyFill="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5" fillId="4" borderId="11" xfId="0" applyFont="1" applyFill="1" applyBorder="1" applyAlignment="1">
      <alignment horizontal="right" vertical="center"/>
    </xf>
    <xf numFmtId="0" fontId="2" fillId="4" borderId="35" xfId="0" applyFont="1" applyFill="1" applyBorder="1" applyAlignment="1">
      <alignment horizontal="right" vertical="center"/>
    </xf>
    <xf numFmtId="0" fontId="15" fillId="11" borderId="11" xfId="0" applyFont="1" applyFill="1" applyBorder="1" applyAlignment="1">
      <alignment horizontal="center" vertical="center"/>
    </xf>
    <xf numFmtId="0" fontId="2" fillId="11" borderId="12" xfId="0" applyFont="1" applyFill="1" applyBorder="1" applyAlignment="1">
      <alignment horizontal="center" vertical="center"/>
    </xf>
    <xf numFmtId="0" fontId="15" fillId="3" borderId="10" xfId="0" applyFont="1" applyFill="1" applyBorder="1" applyAlignment="1">
      <alignment horizontal="right" vertical="center"/>
    </xf>
    <xf numFmtId="0" fontId="15" fillId="3" borderId="35" xfId="0" applyFont="1" applyFill="1" applyBorder="1" applyAlignment="1">
      <alignment horizontal="right" vertical="center"/>
    </xf>
    <xf numFmtId="0" fontId="5" fillId="5" borderId="2"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5" fillId="3" borderId="6" xfId="0" applyFont="1" applyFill="1" applyBorder="1" applyAlignment="1">
      <alignment horizontal="center" vertical="center" wrapText="1"/>
    </xf>
    <xf numFmtId="0" fontId="0" fillId="3" borderId="6" xfId="0" applyFill="1" applyBorder="1"/>
    <xf numFmtId="0" fontId="0" fillId="3" borderId="7" xfId="0" applyFill="1" applyBorder="1"/>
    <xf numFmtId="0" fontId="5" fillId="3"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0" xfId="0" applyFont="1" applyFill="1" applyAlignment="1">
      <alignment horizontal="center" vertical="center" wrapText="1"/>
    </xf>
    <xf numFmtId="0" fontId="0" fillId="0" borderId="0" xfId="0"/>
    <xf numFmtId="10" fontId="20" fillId="5" borderId="12" xfId="0" applyNumberFormat="1" applyFont="1" applyFill="1" applyBorder="1" applyAlignment="1">
      <alignment horizontal="right" vertical="center"/>
    </xf>
    <xf numFmtId="0" fontId="21" fillId="0" borderId="12" xfId="0" applyFont="1" applyBorder="1" applyAlignment="1">
      <alignment horizontal="right"/>
    </xf>
    <xf numFmtId="0" fontId="3" fillId="6" borderId="11" xfId="0" applyFont="1" applyFill="1" applyBorder="1" applyAlignment="1">
      <alignment horizontal="center" wrapText="1"/>
    </xf>
    <xf numFmtId="0" fontId="0" fillId="6" borderId="12" xfId="0" applyFill="1" applyBorder="1" applyAlignment="1">
      <alignment wrapText="1"/>
    </xf>
    <xf numFmtId="43" fontId="14" fillId="3" borderId="3" xfId="3" applyFont="1" applyFill="1" applyBorder="1" applyAlignment="1">
      <alignment horizontal="right" vertical="center"/>
    </xf>
    <xf numFmtId="43" fontId="8" fillId="8" borderId="11" xfId="1" applyFont="1" applyFill="1" applyBorder="1" applyAlignment="1">
      <alignment horizontal="center"/>
    </xf>
    <xf numFmtId="43" fontId="8" fillId="8" borderId="12" xfId="1" applyFont="1" applyFill="1" applyBorder="1" applyAlignment="1">
      <alignment horizontal="center"/>
    </xf>
    <xf numFmtId="0" fontId="0" fillId="0" borderId="12" xfId="0" applyBorder="1"/>
    <xf numFmtId="0" fontId="0" fillId="0" borderId="13" xfId="0" applyBorder="1"/>
    <xf numFmtId="0" fontId="3" fillId="6" borderId="11" xfId="0" applyFont="1" applyFill="1" applyBorder="1" applyAlignment="1">
      <alignment horizontal="center"/>
    </xf>
    <xf numFmtId="0" fontId="0" fillId="6" borderId="12" xfId="0" applyFill="1" applyBorder="1" applyAlignment="1">
      <alignment horizontal="center"/>
    </xf>
    <xf numFmtId="43" fontId="8" fillId="9" borderId="42" xfId="3" applyFont="1" applyFill="1" applyBorder="1" applyAlignment="1">
      <alignment horizontal="right" vertical="center"/>
    </xf>
    <xf numFmtId="0" fontId="0" fillId="0" borderId="43" xfId="0" applyBorder="1"/>
    <xf numFmtId="0" fontId="11" fillId="5" borderId="18"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0" fillId="0" borderId="24" xfId="0" applyBorder="1" applyAlignment="1">
      <alignment vertical="center" wrapText="1"/>
    </xf>
    <xf numFmtId="0" fontId="11" fillId="5" borderId="15"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6" fillId="0" borderId="24" xfId="0" applyFont="1" applyBorder="1" applyAlignment="1">
      <alignment vertical="center" wrapText="1"/>
    </xf>
    <xf numFmtId="0" fontId="3" fillId="5" borderId="14" xfId="0" applyFont="1" applyFill="1" applyBorder="1" applyAlignment="1">
      <alignment horizontal="center" vertical="center" wrapText="1"/>
    </xf>
    <xf numFmtId="0" fontId="0" fillId="0" borderId="23" xfId="0" applyBorder="1" applyAlignment="1">
      <alignment horizontal="center" vertical="center" wrapText="1"/>
    </xf>
    <xf numFmtId="0" fontId="3" fillId="5" borderId="6" xfId="0" applyFont="1" applyFill="1" applyBorder="1" applyAlignment="1">
      <alignment horizontal="center" vertical="center" wrapText="1"/>
    </xf>
    <xf numFmtId="0" fontId="11" fillId="6" borderId="29" xfId="0" applyFont="1" applyFill="1" applyBorder="1" applyAlignment="1">
      <alignment horizontal="center" vertical="center" wrapText="1"/>
    </xf>
    <xf numFmtId="0" fontId="11" fillId="6" borderId="30" xfId="0" applyFont="1" applyFill="1" applyBorder="1" applyAlignment="1">
      <alignment horizontal="center" vertical="center"/>
    </xf>
    <xf numFmtId="0" fontId="15" fillId="7" borderId="11" xfId="0" applyFont="1" applyFill="1" applyBorder="1" applyAlignment="1">
      <alignment horizontal="center"/>
    </xf>
    <xf numFmtId="0" fontId="15" fillId="7" borderId="12" xfId="0" applyFont="1" applyFill="1" applyBorder="1" applyAlignment="1">
      <alignment horizontal="center"/>
    </xf>
    <xf numFmtId="0" fontId="11" fillId="10" borderId="8"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6" borderId="29" xfId="0" applyFont="1" applyFill="1" applyBorder="1" applyAlignment="1">
      <alignment horizontal="center" wrapText="1"/>
    </xf>
    <xf numFmtId="0" fontId="11" fillId="6" borderId="30" xfId="0" applyFont="1" applyFill="1" applyBorder="1" applyAlignment="1">
      <alignment horizontal="center"/>
    </xf>
    <xf numFmtId="0" fontId="8" fillId="5" borderId="11" xfId="0" applyFont="1" applyFill="1" applyBorder="1" applyAlignment="1">
      <alignment horizontal="center" vertical="center"/>
    </xf>
    <xf numFmtId="0" fontId="8" fillId="5" borderId="12" xfId="0" applyFont="1" applyFill="1" applyBorder="1" applyAlignment="1">
      <alignment horizontal="center" vertical="center"/>
    </xf>
    <xf numFmtId="0" fontId="11" fillId="12" borderId="29" xfId="0" applyFont="1" applyFill="1" applyBorder="1" applyAlignment="1">
      <alignment horizontal="center" vertical="center"/>
    </xf>
    <xf numFmtId="0" fontId="11" fillId="12" borderId="30" xfId="0" applyFont="1" applyFill="1" applyBorder="1" applyAlignment="1">
      <alignment horizontal="center" vertical="center"/>
    </xf>
    <xf numFmtId="0" fontId="27" fillId="8" borderId="11" xfId="0" applyFont="1" applyFill="1" applyBorder="1" applyAlignment="1">
      <alignment horizontal="center"/>
    </xf>
    <xf numFmtId="0" fontId="27" fillId="8" borderId="12" xfId="0" applyFont="1" applyFill="1" applyBorder="1" applyAlignment="1">
      <alignment horizontal="center"/>
    </xf>
    <xf numFmtId="0" fontId="3" fillId="0" borderId="12" xfId="0" applyFont="1" applyBorder="1"/>
    <xf numFmtId="0" fontId="3" fillId="0" borderId="13" xfId="0" applyFont="1" applyBorder="1"/>
    <xf numFmtId="0" fontId="11" fillId="12" borderId="47" xfId="0" applyFont="1" applyFill="1" applyBorder="1" applyAlignment="1">
      <alignment horizontal="center" vertical="center" wrapText="1"/>
    </xf>
    <xf numFmtId="0" fontId="11" fillId="12" borderId="14" xfId="0" applyFont="1" applyFill="1" applyBorder="1" applyAlignment="1">
      <alignment horizontal="center" vertical="center" wrapText="1"/>
    </xf>
    <xf numFmtId="0" fontId="11" fillId="12" borderId="23" xfId="0" applyFont="1" applyFill="1" applyBorder="1" applyAlignment="1">
      <alignment horizontal="center" vertical="center" wrapText="1"/>
    </xf>
    <xf numFmtId="0" fontId="11" fillId="12" borderId="48"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11" fillId="12" borderId="15" xfId="0" applyFont="1" applyFill="1" applyBorder="1" applyAlignment="1">
      <alignment horizontal="center" vertical="center" wrapText="1"/>
    </xf>
    <xf numFmtId="0" fontId="11" fillId="12" borderId="2" xfId="0" applyFont="1" applyFill="1" applyBorder="1" applyAlignment="1">
      <alignment horizontal="center" vertical="center" wrapText="1"/>
    </xf>
    <xf numFmtId="0" fontId="11" fillId="12" borderId="49" xfId="0" applyFont="1" applyFill="1" applyBorder="1" applyAlignment="1">
      <alignment horizontal="center" vertical="center"/>
    </xf>
    <xf numFmtId="0" fontId="11" fillId="12" borderId="50" xfId="0" applyFont="1" applyFill="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35" xfId="0" applyFont="1" applyBorder="1" applyAlignment="1">
      <alignment horizontal="center" vertical="center"/>
    </xf>
    <xf numFmtId="0" fontId="23" fillId="12" borderId="29" xfId="0" applyFont="1" applyFill="1" applyBorder="1" applyAlignment="1">
      <alignment horizontal="center" vertical="center" wrapText="1"/>
    </xf>
    <xf numFmtId="0" fontId="23" fillId="12" borderId="30" xfId="0" applyFont="1" applyFill="1" applyBorder="1" applyAlignment="1">
      <alignment horizontal="center" vertical="center"/>
    </xf>
    <xf numFmtId="0" fontId="22" fillId="14" borderId="11" xfId="0" applyFont="1" applyFill="1" applyBorder="1" applyAlignment="1">
      <alignment horizontal="center"/>
    </xf>
    <xf numFmtId="0" fontId="22" fillId="14" borderId="12" xfId="0" applyFont="1" applyFill="1" applyBorder="1" applyAlignment="1">
      <alignment horizontal="center"/>
    </xf>
    <xf numFmtId="0" fontId="0" fillId="14" borderId="12" xfId="0" applyFill="1" applyBorder="1"/>
    <xf numFmtId="0" fontId="0" fillId="14" borderId="13" xfId="0" applyFill="1" applyBorder="1"/>
    <xf numFmtId="0" fontId="23" fillId="12" borderId="47" xfId="0" applyFont="1" applyFill="1" applyBorder="1" applyAlignment="1">
      <alignment horizontal="center" vertical="center" wrapText="1"/>
    </xf>
    <xf numFmtId="0" fontId="23" fillId="12" borderId="14" xfId="0" applyFont="1" applyFill="1" applyBorder="1" applyAlignment="1">
      <alignment horizontal="center" vertical="center" wrapText="1"/>
    </xf>
    <xf numFmtId="0" fontId="23" fillId="12" borderId="23" xfId="0" applyFont="1" applyFill="1" applyBorder="1" applyAlignment="1">
      <alignment horizontal="center" vertical="center" wrapText="1"/>
    </xf>
    <xf numFmtId="0" fontId="23" fillId="12" borderId="48"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23" fillId="12" borderId="24" xfId="0" applyFont="1" applyFill="1" applyBorder="1" applyAlignment="1">
      <alignment horizontal="center" vertical="center" wrapText="1"/>
    </xf>
    <xf numFmtId="0" fontId="23" fillId="12" borderId="15"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3" fillId="12" borderId="54" xfId="0" applyFont="1" applyFill="1" applyBorder="1" applyAlignment="1">
      <alignment horizontal="center" vertical="center" wrapText="1"/>
    </xf>
    <xf numFmtId="0" fontId="23" fillId="12" borderId="50" xfId="0" applyFont="1" applyFill="1" applyBorder="1" applyAlignment="1">
      <alignment horizontal="center" vertical="center"/>
    </xf>
    <xf numFmtId="0" fontId="30" fillId="0" borderId="73" xfId="0" applyFont="1" applyBorder="1" applyAlignment="1">
      <alignment horizontal="left" vertical="center" wrapText="1"/>
    </xf>
    <xf numFmtId="0" fontId="0" fillId="0" borderId="74" xfId="0" applyBorder="1" applyAlignment="1">
      <alignment vertical="center" wrapText="1"/>
    </xf>
    <xf numFmtId="0" fontId="0" fillId="0" borderId="75" xfId="0" applyBorder="1" applyAlignment="1">
      <alignment vertical="center" wrapText="1"/>
    </xf>
    <xf numFmtId="0" fontId="0" fillId="0" borderId="71" xfId="0" applyBorder="1" applyAlignment="1">
      <alignment vertical="center" wrapText="1"/>
    </xf>
    <xf numFmtId="0" fontId="30" fillId="0" borderId="21" xfId="0" applyFont="1" applyBorder="1" applyAlignment="1">
      <alignment horizontal="left" vertical="center" wrapText="1"/>
    </xf>
    <xf numFmtId="0" fontId="0" fillId="0" borderId="21" xfId="0" applyBorder="1" applyAlignment="1">
      <alignment vertical="center" wrapText="1"/>
    </xf>
    <xf numFmtId="0" fontId="28" fillId="0" borderId="78" xfId="0" applyFont="1" applyBorder="1" applyAlignment="1">
      <alignment horizontal="left" vertical="center" wrapText="1"/>
    </xf>
    <xf numFmtId="0" fontId="0" fillId="0" borderId="62" xfId="0" applyBorder="1" applyAlignment="1">
      <alignment horizontal="left" vertical="center" wrapText="1"/>
    </xf>
    <xf numFmtId="0" fontId="0" fillId="0" borderId="79" xfId="0" applyBorder="1" applyAlignment="1">
      <alignment horizontal="left" vertical="center" wrapText="1"/>
    </xf>
    <xf numFmtId="0" fontId="28" fillId="0" borderId="58" xfId="0" applyFont="1" applyBorder="1" applyAlignment="1">
      <alignment horizontal="center" vertical="center" wrapText="1"/>
    </xf>
    <xf numFmtId="0" fontId="0" fillId="0" borderId="81" xfId="0" applyBorder="1" applyAlignment="1">
      <alignment horizontal="center" vertical="center" wrapText="1"/>
    </xf>
    <xf numFmtId="0" fontId="0" fillId="0" borderId="84" xfId="0" applyBorder="1" applyAlignment="1">
      <alignment horizontal="center" vertical="center" wrapText="1"/>
    </xf>
    <xf numFmtId="0" fontId="0" fillId="0" borderId="77" xfId="0" applyBorder="1" applyAlignment="1">
      <alignment horizontal="center" vertical="center" wrapText="1"/>
    </xf>
    <xf numFmtId="0" fontId="0" fillId="0" borderId="61" xfId="0" applyBorder="1" applyAlignment="1">
      <alignment horizontal="center" vertical="center" wrapText="1"/>
    </xf>
    <xf numFmtId="0" fontId="0" fillId="0" borderId="79" xfId="0" applyBorder="1" applyAlignment="1">
      <alignment horizontal="center" vertical="center" wrapText="1"/>
    </xf>
    <xf numFmtId="0" fontId="28" fillId="0" borderId="82" xfId="0" applyFont="1" applyBorder="1" applyAlignment="1">
      <alignment horizontal="left" vertical="center" wrapText="1"/>
    </xf>
    <xf numFmtId="0" fontId="0" fillId="0" borderId="65" xfId="0" applyBorder="1" applyAlignment="1">
      <alignment horizontal="left" vertical="center" wrapText="1"/>
    </xf>
    <xf numFmtId="0" fontId="0" fillId="0" borderId="83" xfId="0" applyBorder="1" applyAlignment="1">
      <alignment horizontal="left" vertical="center" wrapText="1"/>
    </xf>
    <xf numFmtId="0" fontId="28" fillId="0" borderId="80" xfId="0" applyFont="1" applyBorder="1" applyAlignment="1">
      <alignment horizontal="center" vertical="center" wrapText="1"/>
    </xf>
    <xf numFmtId="0" fontId="0" fillId="0" borderId="59"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78" xfId="0" applyBorder="1" applyAlignment="1">
      <alignment horizontal="center" vertical="center" wrapText="1"/>
    </xf>
    <xf numFmtId="0" fontId="0" fillId="0" borderId="62" xfId="0" applyBorder="1" applyAlignment="1">
      <alignment horizontal="center" vertical="center" wrapText="1"/>
    </xf>
    <xf numFmtId="0" fontId="28" fillId="0" borderId="56" xfId="0" applyFont="1" applyBorder="1" applyAlignment="1">
      <alignment horizontal="left" vertical="center" wrapText="1"/>
    </xf>
    <xf numFmtId="0" fontId="28" fillId="0" borderId="76" xfId="0" applyFont="1" applyBorder="1" applyAlignment="1">
      <alignment horizontal="left" vertical="center" wrapText="1"/>
    </xf>
    <xf numFmtId="0" fontId="28" fillId="0" borderId="57" xfId="0" applyFont="1" applyBorder="1" applyAlignment="1">
      <alignment horizontal="left" vertical="center" wrapText="1"/>
    </xf>
    <xf numFmtId="0" fontId="22" fillId="3" borderId="11" xfId="0" applyFont="1" applyFill="1" applyBorder="1" applyAlignment="1">
      <alignment horizontal="center"/>
    </xf>
    <xf numFmtId="0" fontId="22" fillId="3" borderId="12" xfId="0" applyFont="1" applyFill="1" applyBorder="1" applyAlignment="1">
      <alignment horizontal="center"/>
    </xf>
    <xf numFmtId="0" fontId="22" fillId="3" borderId="68" xfId="0" applyFont="1" applyFill="1" applyBorder="1" applyAlignment="1">
      <alignment horizontal="center"/>
    </xf>
    <xf numFmtId="0" fontId="23" fillId="12" borderId="1" xfId="0" applyFont="1" applyFill="1" applyBorder="1" applyAlignment="1">
      <alignment horizontal="center" vertical="center" wrapText="1"/>
    </xf>
    <xf numFmtId="0" fontId="23" fillId="12" borderId="49" xfId="0" applyFont="1" applyFill="1"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70" xfId="0" applyBorder="1" applyAlignment="1">
      <alignment horizontal="center" vertical="center" wrapText="1"/>
    </xf>
    <xf numFmtId="0" fontId="0" fillId="0" borderId="85" xfId="0" applyBorder="1" applyAlignment="1">
      <alignment horizontal="center" vertical="center" wrapText="1"/>
    </xf>
    <xf numFmtId="0" fontId="0" fillId="15" borderId="67" xfId="0" applyFill="1" applyBorder="1" applyAlignment="1">
      <alignment horizontal="center" vertical="center" wrapText="1"/>
    </xf>
    <xf numFmtId="0" fontId="0" fillId="15" borderId="68" xfId="0" applyFill="1" applyBorder="1" applyAlignment="1">
      <alignment horizontal="center" vertical="center" wrapText="1"/>
    </xf>
    <xf numFmtId="0" fontId="0" fillId="0" borderId="68" xfId="0" applyBorder="1"/>
    <xf numFmtId="0" fontId="0" fillId="0" borderId="69" xfId="0" applyBorder="1"/>
    <xf numFmtId="0" fontId="0" fillId="15" borderId="52" xfId="0" applyFill="1" applyBorder="1" applyAlignment="1">
      <alignment horizontal="center" vertical="center" wrapText="1"/>
    </xf>
    <xf numFmtId="0" fontId="0" fillId="15" borderId="53" xfId="0" applyFill="1" applyBorder="1" applyAlignment="1">
      <alignment horizontal="center" vertical="center" wrapText="1"/>
    </xf>
    <xf numFmtId="0" fontId="0" fillId="0" borderId="53" xfId="0" applyBorder="1"/>
    <xf numFmtId="0" fontId="0" fillId="0" borderId="70" xfId="0" applyBorder="1"/>
    <xf numFmtId="0" fontId="30" fillId="3" borderId="78" xfId="0" applyFont="1" applyFill="1" applyBorder="1" applyAlignment="1">
      <alignment horizontal="center" vertical="center" wrapText="1"/>
    </xf>
    <xf numFmtId="0" fontId="0" fillId="0" borderId="81" xfId="0" applyBorder="1" applyAlignment="1">
      <alignment vertical="center" wrapText="1"/>
    </xf>
    <xf numFmtId="0" fontId="0" fillId="0" borderId="84" xfId="0" applyBorder="1" applyAlignment="1">
      <alignment vertical="center" wrapText="1"/>
    </xf>
    <xf numFmtId="0" fontId="0" fillId="0" borderId="77" xfId="0" applyBorder="1" applyAlignment="1">
      <alignment vertical="center" wrapText="1"/>
    </xf>
    <xf numFmtId="0" fontId="0" fillId="0" borderId="61" xfId="0" applyBorder="1" applyAlignment="1">
      <alignment vertical="center" wrapText="1"/>
    </xf>
    <xf numFmtId="0" fontId="0" fillId="0" borderId="79" xfId="0" applyBorder="1" applyAlignment="1">
      <alignment vertical="center" wrapText="1"/>
    </xf>
    <xf numFmtId="0" fontId="30" fillId="0" borderId="80" xfId="0" applyFont="1" applyBorder="1" applyAlignment="1">
      <alignment horizontal="left" vertical="center" wrapText="1"/>
    </xf>
    <xf numFmtId="0" fontId="0" fillId="0" borderId="59" xfId="0" applyBorder="1" applyAlignment="1">
      <alignment horizontal="left" vertical="center" wrapText="1"/>
    </xf>
    <xf numFmtId="0" fontId="0" fillId="0" borderId="81" xfId="0" applyBorder="1" applyAlignment="1">
      <alignment horizontal="left" vertical="center" wrapText="1"/>
    </xf>
    <xf numFmtId="0" fontId="30" fillId="0" borderId="58" xfId="0" applyFont="1" applyBorder="1" applyAlignment="1">
      <alignment horizontal="center" vertical="center" wrapText="1"/>
    </xf>
    <xf numFmtId="0" fontId="23" fillId="4" borderId="11" xfId="0" applyFont="1" applyFill="1" applyBorder="1" applyAlignment="1">
      <alignment horizontal="center"/>
    </xf>
    <xf numFmtId="0" fontId="23" fillId="4" borderId="12" xfId="0" applyFont="1" applyFill="1" applyBorder="1" applyAlignment="1">
      <alignment horizontal="center"/>
    </xf>
    <xf numFmtId="0" fontId="23" fillId="4" borderId="70" xfId="0" applyFont="1" applyFill="1" applyBorder="1" applyAlignment="1">
      <alignment horizontal="center"/>
    </xf>
    <xf numFmtId="0" fontId="22" fillId="16" borderId="11" xfId="0" applyFont="1" applyFill="1" applyBorder="1" applyAlignment="1">
      <alignment horizontal="center"/>
    </xf>
    <xf numFmtId="0" fontId="22" fillId="16" borderId="12" xfId="0" applyFont="1" applyFill="1" applyBorder="1" applyAlignment="1">
      <alignment horizontal="center"/>
    </xf>
    <xf numFmtId="0" fontId="11" fillId="10" borderId="52" xfId="0" applyFont="1" applyFill="1" applyBorder="1" applyAlignment="1">
      <alignment horizontal="center" vertical="center"/>
    </xf>
    <xf numFmtId="0" fontId="11" fillId="10" borderId="53" xfId="0" applyFont="1" applyFill="1" applyBorder="1" applyAlignment="1">
      <alignment horizontal="center" vertical="center"/>
    </xf>
    <xf numFmtId="0" fontId="11" fillId="12" borderId="29" xfId="0" applyFont="1" applyFill="1" applyBorder="1" applyAlignment="1">
      <alignment horizontal="center" vertical="center" wrapText="1"/>
    </xf>
    <xf numFmtId="0" fontId="8" fillId="17" borderId="11" xfId="0" applyFont="1" applyFill="1" applyBorder="1" applyAlignment="1">
      <alignment horizontal="center"/>
    </xf>
    <xf numFmtId="0" fontId="8" fillId="17" borderId="12" xfId="0" applyFont="1" applyFill="1" applyBorder="1" applyAlignment="1">
      <alignment horizontal="center"/>
    </xf>
    <xf numFmtId="0" fontId="11" fillId="12" borderId="49" xfId="0" applyFont="1" applyFill="1" applyBorder="1" applyAlignment="1">
      <alignment horizontal="center" vertical="center" wrapText="1"/>
    </xf>
    <xf numFmtId="0" fontId="22" fillId="17" borderId="11" xfId="0" applyFont="1" applyFill="1" applyBorder="1" applyAlignment="1">
      <alignment horizontal="center"/>
    </xf>
    <xf numFmtId="0" fontId="22" fillId="17" borderId="12" xfId="0" applyFont="1" applyFill="1" applyBorder="1" applyAlignment="1">
      <alignment horizontal="center"/>
    </xf>
    <xf numFmtId="0" fontId="22" fillId="17" borderId="68" xfId="0" applyFont="1" applyFill="1" applyBorder="1" applyAlignment="1">
      <alignment horizontal="center"/>
    </xf>
    <xf numFmtId="0" fontId="22" fillId="6" borderId="11" xfId="0" applyFont="1" applyFill="1" applyBorder="1" applyAlignment="1">
      <alignment horizontal="center"/>
    </xf>
    <xf numFmtId="0" fontId="22" fillId="6" borderId="12" xfId="0" applyFont="1" applyFill="1" applyBorder="1" applyAlignment="1">
      <alignment horizontal="center"/>
    </xf>
    <xf numFmtId="0" fontId="22" fillId="6" borderId="68" xfId="0" applyFont="1" applyFill="1" applyBorder="1" applyAlignment="1">
      <alignment horizontal="center"/>
    </xf>
    <xf numFmtId="0" fontId="32" fillId="18" borderId="0" xfId="0" applyFont="1" applyFill="1" applyAlignment="1">
      <alignment horizontal="left"/>
    </xf>
    <xf numFmtId="0" fontId="32" fillId="18" borderId="89" xfId="0" applyFont="1" applyFill="1" applyBorder="1" applyAlignment="1">
      <alignment horizontal="center"/>
    </xf>
    <xf numFmtId="0" fontId="32" fillId="18" borderId="0" xfId="0" applyFont="1" applyFill="1" applyAlignment="1">
      <alignment horizontal="center"/>
    </xf>
    <xf numFmtId="0" fontId="33" fillId="18" borderId="0" xfId="0" applyFont="1" applyFill="1" applyAlignment="1">
      <alignment horizontal="center"/>
    </xf>
    <xf numFmtId="0" fontId="33" fillId="19" borderId="1" xfId="0" applyFont="1" applyFill="1" applyBorder="1" applyAlignment="1">
      <alignment horizontal="center" vertical="center"/>
    </xf>
    <xf numFmtId="0" fontId="33" fillId="18" borderId="1" xfId="0" applyFont="1" applyFill="1" applyBorder="1" applyAlignment="1">
      <alignment horizontal="center" vertical="center" wrapText="1"/>
    </xf>
    <xf numFmtId="0" fontId="33" fillId="18" borderId="2" xfId="0" applyFont="1" applyFill="1" applyBorder="1" applyAlignment="1">
      <alignment horizontal="center" vertical="center"/>
    </xf>
    <xf numFmtId="0" fontId="33" fillId="18" borderId="3" xfId="0" applyFont="1" applyFill="1" applyBorder="1" applyAlignment="1">
      <alignment horizontal="center" vertical="center"/>
    </xf>
    <xf numFmtId="0" fontId="33" fillId="18" borderId="4" xfId="0" applyFont="1" applyFill="1" applyBorder="1" applyAlignment="1">
      <alignment horizontal="center" vertical="center"/>
    </xf>
    <xf numFmtId="0" fontId="33" fillId="18" borderId="1" xfId="0" applyFont="1" applyFill="1" applyBorder="1" applyAlignment="1">
      <alignment horizontal="left" vertical="center"/>
    </xf>
    <xf numFmtId="0" fontId="33" fillId="18" borderId="1" xfId="0" applyFont="1" applyFill="1" applyBorder="1" applyAlignment="1">
      <alignment horizontal="center" vertical="center"/>
    </xf>
    <xf numFmtId="0" fontId="32" fillId="18" borderId="1" xfId="0" applyFont="1" applyFill="1" applyBorder="1" applyAlignment="1">
      <alignment horizontal="left"/>
    </xf>
    <xf numFmtId="0" fontId="33" fillId="18" borderId="1" xfId="0" applyFont="1" applyFill="1" applyBorder="1" applyAlignment="1">
      <alignment horizontal="left"/>
    </xf>
    <xf numFmtId="0" fontId="32" fillId="0" borderId="89" xfId="0" applyFont="1" applyBorder="1" applyAlignment="1">
      <alignment horizontal="center"/>
    </xf>
    <xf numFmtId="0" fontId="42" fillId="18" borderId="1" xfId="0" applyFont="1" applyFill="1" applyBorder="1" applyAlignment="1">
      <alignment horizontal="center" vertical="top" wrapText="1"/>
    </xf>
    <xf numFmtId="0" fontId="32" fillId="18" borderId="2" xfId="0" applyFont="1" applyFill="1" applyBorder="1" applyAlignment="1">
      <alignment horizontal="center"/>
    </xf>
    <xf numFmtId="0" fontId="32" fillId="18" borderId="3" xfId="0" applyFont="1" applyFill="1" applyBorder="1" applyAlignment="1">
      <alignment horizontal="center"/>
    </xf>
    <xf numFmtId="0" fontId="32" fillId="18" borderId="4" xfId="0" applyFont="1" applyFill="1" applyBorder="1" applyAlignment="1">
      <alignment horizontal="center"/>
    </xf>
    <xf numFmtId="0" fontId="41" fillId="19" borderId="1" xfId="0" applyFont="1" applyFill="1" applyBorder="1" applyAlignment="1">
      <alignment horizontal="center"/>
    </xf>
    <xf numFmtId="0" fontId="33" fillId="19" borderId="1" xfId="0" applyFont="1" applyFill="1" applyBorder="1" applyAlignment="1">
      <alignment horizontal="center"/>
    </xf>
    <xf numFmtId="0" fontId="32" fillId="0" borderId="1" xfId="0" applyFont="1" applyBorder="1" applyAlignment="1">
      <alignment horizontal="left" vertical="center" wrapText="1"/>
    </xf>
    <xf numFmtId="0" fontId="33" fillId="0" borderId="1" xfId="0" applyFont="1" applyBorder="1" applyAlignment="1">
      <alignment horizontal="center" vertical="center" wrapText="1"/>
    </xf>
    <xf numFmtId="0" fontId="32" fillId="0" borderId="2" xfId="0" applyFont="1" applyBorder="1" applyAlignment="1">
      <alignment horizontal="center"/>
    </xf>
    <xf numFmtId="0" fontId="32" fillId="0" borderId="3" xfId="0" applyFont="1" applyBorder="1" applyAlignment="1">
      <alignment horizontal="center"/>
    </xf>
    <xf numFmtId="0" fontId="32" fillId="0" borderId="4" xfId="0" applyFont="1" applyBorder="1" applyAlignment="1">
      <alignment horizontal="center"/>
    </xf>
    <xf numFmtId="0" fontId="33" fillId="12" borderId="1" xfId="0" applyFont="1" applyFill="1" applyBorder="1" applyAlignment="1">
      <alignment horizontal="center" vertical="center" wrapText="1"/>
    </xf>
    <xf numFmtId="0" fontId="42" fillId="18" borderId="1" xfId="0" applyFont="1" applyFill="1" applyBorder="1" applyAlignment="1">
      <alignment horizontal="center" vertical="center" wrapText="1"/>
    </xf>
    <xf numFmtId="0" fontId="43" fillId="18" borderId="1" xfId="0" applyFont="1" applyFill="1" applyBorder="1" applyAlignment="1">
      <alignment horizontal="center" vertical="top" wrapText="1"/>
    </xf>
    <xf numFmtId="0" fontId="33" fillId="0" borderId="1" xfId="0" applyFont="1" applyBorder="1" applyAlignment="1">
      <alignment horizontal="left" vertical="center" wrapText="1"/>
    </xf>
    <xf numFmtId="0" fontId="42" fillId="0" borderId="1" xfId="0" applyFont="1" applyBorder="1" applyAlignment="1">
      <alignment horizontal="left" vertical="center" wrapText="1"/>
    </xf>
    <xf numFmtId="0" fontId="32" fillId="0" borderId="1" xfId="0" applyFont="1" applyBorder="1" applyAlignment="1">
      <alignment horizontal="justify" vertical="center" wrapText="1"/>
    </xf>
    <xf numFmtId="0" fontId="33" fillId="20" borderId="1" xfId="0" applyFont="1" applyFill="1" applyBorder="1" applyAlignment="1">
      <alignmen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4" xfId="0" applyFont="1" applyBorder="1" applyAlignment="1">
      <alignment horizontal="left" vertical="center" wrapText="1"/>
    </xf>
    <xf numFmtId="0" fontId="33" fillId="0" borderId="2"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2" fillId="0" borderId="1" xfId="0" applyFont="1" applyBorder="1" applyAlignment="1">
      <alignment horizontal="center"/>
    </xf>
    <xf numFmtId="0" fontId="33" fillId="12" borderId="1" xfId="0" applyFont="1" applyFill="1" applyBorder="1" applyAlignment="1">
      <alignment horizontal="center" vertical="center"/>
    </xf>
    <xf numFmtId="0" fontId="33" fillId="13" borderId="1" xfId="0" applyFont="1" applyFill="1" applyBorder="1" applyAlignment="1">
      <alignment horizontal="center" vertical="center"/>
    </xf>
    <xf numFmtId="0" fontId="34" fillId="20" borderId="1" xfId="0" applyFont="1" applyFill="1" applyBorder="1" applyAlignment="1">
      <alignment horizontal="left" vertical="center" wrapText="1"/>
    </xf>
    <xf numFmtId="14" fontId="34" fillId="20" borderId="1" xfId="0" applyNumberFormat="1" applyFont="1" applyFill="1" applyBorder="1" applyAlignment="1">
      <alignment horizontal="center" vertical="center" wrapText="1"/>
    </xf>
    <xf numFmtId="0" fontId="34" fillId="0" borderId="2" xfId="0" applyFont="1" applyBorder="1" applyAlignment="1">
      <alignment horizontal="center" vertical="center"/>
    </xf>
    <xf numFmtId="0" fontId="34" fillId="0" borderId="3" xfId="0" applyFont="1" applyBorder="1" applyAlignment="1">
      <alignment horizontal="center" vertical="center"/>
    </xf>
    <xf numFmtId="0" fontId="34" fillId="0" borderId="4" xfId="0" applyFont="1" applyBorder="1" applyAlignment="1">
      <alignment horizontal="center" vertical="center"/>
    </xf>
    <xf numFmtId="0" fontId="35" fillId="18" borderId="1" xfId="0" applyFont="1" applyFill="1" applyBorder="1" applyAlignment="1">
      <alignment horizontal="left" vertical="center" wrapText="1"/>
    </xf>
    <xf numFmtId="43" fontId="34" fillId="18" borderId="1" xfId="1" applyFont="1" applyFill="1" applyBorder="1" applyAlignment="1">
      <alignment horizontal="center" vertical="center"/>
    </xf>
    <xf numFmtId="44" fontId="34" fillId="20" borderId="1" xfId="2" applyFont="1" applyFill="1" applyBorder="1" applyAlignment="1">
      <alignment horizontal="center" vertical="center"/>
    </xf>
    <xf numFmtId="0" fontId="34" fillId="18" borderId="1" xfId="0" applyFont="1" applyFill="1" applyBorder="1" applyAlignment="1">
      <alignment horizontal="center" vertical="center" wrapText="1"/>
    </xf>
    <xf numFmtId="0" fontId="35" fillId="18" borderId="1" xfId="0" applyFont="1" applyFill="1" applyBorder="1" applyAlignment="1">
      <alignment horizontal="center" vertical="center" wrapText="1"/>
    </xf>
    <xf numFmtId="0" fontId="32" fillId="22" borderId="1" xfId="0" applyFont="1" applyFill="1" applyBorder="1" applyAlignment="1">
      <alignment horizontal="left" vertical="center"/>
    </xf>
    <xf numFmtId="14" fontId="34" fillId="0" borderId="1" xfId="5" applyNumberFormat="1" applyFont="1" applyBorder="1" applyAlignment="1">
      <alignment horizontal="center" vertical="center"/>
    </xf>
    <xf numFmtId="0" fontId="34" fillId="22" borderId="1" xfId="0" applyFont="1" applyFill="1" applyBorder="1" applyAlignment="1" applyProtection="1">
      <alignment horizontal="center" vertical="center"/>
      <protection locked="0"/>
    </xf>
    <xf numFmtId="0" fontId="33" fillId="23" borderId="1" xfId="0" applyFont="1" applyFill="1" applyBorder="1" applyAlignment="1">
      <alignment horizontal="left" vertical="center"/>
    </xf>
    <xf numFmtId="0" fontId="34" fillId="23" borderId="1" xfId="0" applyFont="1" applyFill="1" applyBorder="1" applyAlignment="1" applyProtection="1">
      <alignment horizontal="center" vertical="center" wrapText="1"/>
      <protection locked="0"/>
    </xf>
    <xf numFmtId="0" fontId="34" fillId="23" borderId="1" xfId="0" applyFont="1" applyFill="1" applyBorder="1" applyAlignment="1" applyProtection="1">
      <alignment horizontal="center" vertical="center"/>
      <protection locked="0"/>
    </xf>
    <xf numFmtId="0" fontId="34" fillId="16" borderId="1" xfId="0" applyFont="1" applyFill="1" applyBorder="1" applyAlignment="1">
      <alignment horizontal="center" vertical="center"/>
    </xf>
    <xf numFmtId="0" fontId="34" fillId="22" borderId="1" xfId="0" applyFont="1" applyFill="1" applyBorder="1" applyAlignment="1" applyProtection="1">
      <alignment horizontal="left" vertical="center"/>
      <protection locked="0"/>
    </xf>
    <xf numFmtId="0" fontId="34" fillId="20" borderId="1" xfId="0" applyFont="1" applyFill="1" applyBorder="1" applyAlignment="1">
      <alignment vertical="center" wrapText="1"/>
    </xf>
    <xf numFmtId="0" fontId="34" fillId="20" borderId="1" xfId="0" applyFont="1" applyFill="1" applyBorder="1" applyAlignment="1">
      <alignment horizontal="center" vertical="center" wrapText="1"/>
    </xf>
    <xf numFmtId="0" fontId="35" fillId="18" borderId="1" xfId="0" applyFont="1" applyFill="1" applyBorder="1" applyAlignment="1">
      <alignment vertical="center" wrapText="1"/>
    </xf>
    <xf numFmtId="0" fontId="33" fillId="24" borderId="1" xfId="0" applyFont="1" applyFill="1" applyBorder="1" applyAlignment="1">
      <alignment horizontal="center" vertical="center"/>
    </xf>
    <xf numFmtId="0" fontId="32" fillId="18" borderId="1" xfId="0" applyFont="1" applyFill="1" applyBorder="1" applyAlignment="1">
      <alignment horizontal="center"/>
    </xf>
    <xf numFmtId="0" fontId="44" fillId="18" borderId="1" xfId="0" applyFont="1" applyFill="1" applyBorder="1" applyAlignment="1">
      <alignment horizontal="justify" vertical="center" wrapText="1"/>
    </xf>
    <xf numFmtId="43" fontId="33" fillId="18" borderId="1" xfId="1" applyFont="1" applyFill="1" applyBorder="1" applyAlignment="1">
      <alignment horizontal="justify" vertical="center" wrapText="1"/>
    </xf>
    <xf numFmtId="0" fontId="35" fillId="18" borderId="0" xfId="0" applyFont="1" applyFill="1" applyAlignment="1">
      <alignment horizontal="justify" vertical="center" wrapText="1"/>
    </xf>
    <xf numFmtId="0" fontId="44" fillId="18" borderId="2" xfId="0" applyFont="1" applyFill="1" applyBorder="1" applyAlignment="1">
      <alignment horizontal="justify" vertical="center" wrapText="1"/>
    </xf>
    <xf numFmtId="0" fontId="44" fillId="18" borderId="3" xfId="0" applyFont="1" applyFill="1" applyBorder="1" applyAlignment="1">
      <alignment horizontal="justify" vertical="center" wrapText="1"/>
    </xf>
    <xf numFmtId="0" fontId="44" fillId="18" borderId="4" xfId="0" applyFont="1" applyFill="1" applyBorder="1" applyAlignment="1">
      <alignment horizontal="justify" vertical="center" wrapText="1"/>
    </xf>
    <xf numFmtId="0" fontId="44" fillId="24" borderId="1" xfId="0" applyFont="1" applyFill="1" applyBorder="1" applyAlignment="1">
      <alignment horizontal="center" vertical="center" wrapText="1"/>
    </xf>
    <xf numFmtId="0" fontId="44" fillId="24" borderId="1" xfId="0" applyFont="1" applyFill="1" applyBorder="1" applyAlignment="1">
      <alignment horizontal="justify" vertical="center" wrapText="1"/>
    </xf>
    <xf numFmtId="44" fontId="34" fillId="24" borderId="1" xfId="2" applyFont="1" applyFill="1" applyBorder="1" applyAlignment="1">
      <alignment horizontal="justify" vertical="center" wrapText="1"/>
    </xf>
    <xf numFmtId="43" fontId="32" fillId="18" borderId="0" xfId="1" applyFont="1" applyFill="1" applyAlignment="1">
      <alignment horizontal="justify" vertical="center" wrapText="1"/>
    </xf>
    <xf numFmtId="43" fontId="33" fillId="18" borderId="0" xfId="1" applyFont="1" applyFill="1" applyAlignment="1">
      <alignment horizontal="justify" vertical="center" wrapText="1"/>
    </xf>
    <xf numFmtId="0" fontId="33" fillId="24" borderId="1" xfId="0" applyFont="1" applyFill="1" applyBorder="1" applyAlignment="1">
      <alignment horizontal="justify" vertical="center" wrapText="1"/>
    </xf>
    <xf numFmtId="0" fontId="46" fillId="16" borderId="1" xfId="0" applyFont="1" applyFill="1" applyBorder="1" applyAlignment="1">
      <alignment horizontal="center" vertical="center"/>
    </xf>
    <xf numFmtId="0" fontId="48" fillId="18" borderId="1" xfId="0" applyFont="1" applyFill="1" applyBorder="1" applyAlignment="1">
      <alignment horizontal="center" vertical="center" wrapText="1"/>
    </xf>
    <xf numFmtId="0" fontId="95" fillId="27" borderId="1" xfId="0" applyFont="1" applyFill="1" applyBorder="1" applyAlignment="1">
      <alignment horizontal="center" vertical="center" wrapText="1"/>
    </xf>
    <xf numFmtId="171" fontId="95" fillId="27" borderId="1" xfId="0" applyNumberFormat="1" applyFont="1" applyFill="1" applyBorder="1" applyAlignment="1">
      <alignment horizontal="center" vertical="center" wrapText="1"/>
    </xf>
    <xf numFmtId="0" fontId="95" fillId="26" borderId="1" xfId="0" applyFont="1" applyFill="1" applyBorder="1" applyAlignment="1">
      <alignment horizontal="center" vertical="center"/>
    </xf>
    <xf numFmtId="44" fontId="95" fillId="26" borderId="2" xfId="0" applyNumberFormat="1" applyFont="1" applyFill="1" applyBorder="1" applyAlignment="1">
      <alignment horizontal="center"/>
    </xf>
    <xf numFmtId="44" fontId="95" fillId="26" borderId="4" xfId="0" applyNumberFormat="1" applyFont="1" applyFill="1" applyBorder="1" applyAlignment="1">
      <alignment horizontal="center"/>
    </xf>
    <xf numFmtId="0" fontId="95" fillId="18" borderId="1" xfId="0" applyFont="1" applyFill="1" applyBorder="1" applyAlignment="1">
      <alignment horizontal="left" vertical="center" wrapText="1"/>
    </xf>
    <xf numFmtId="0" fontId="95" fillId="19" borderId="1" xfId="0" applyFont="1" applyFill="1" applyBorder="1" applyAlignment="1">
      <alignment horizontal="center" vertical="center" wrapText="1"/>
    </xf>
    <xf numFmtId="0" fontId="53" fillId="0" borderId="0" xfId="0" applyFont="1" applyAlignment="1">
      <alignment horizontal="left"/>
    </xf>
    <xf numFmtId="0" fontId="51" fillId="0" borderId="0" xfId="0" applyFont="1" applyAlignment="1">
      <alignment horizontal="center" vertical="center"/>
    </xf>
    <xf numFmtId="0" fontId="51" fillId="0" borderId="77" xfId="0" applyFont="1" applyBorder="1" applyAlignment="1">
      <alignment horizontal="center" vertical="center"/>
    </xf>
    <xf numFmtId="0" fontId="51" fillId="19" borderId="11" xfId="0" applyFont="1" applyFill="1" applyBorder="1" applyAlignment="1">
      <alignment horizontal="center"/>
    </xf>
    <xf numFmtId="0" fontId="51" fillId="19" borderId="12" xfId="0" applyFont="1" applyFill="1" applyBorder="1" applyAlignment="1">
      <alignment horizontal="center"/>
    </xf>
    <xf numFmtId="0" fontId="51" fillId="19" borderId="13" xfId="0" applyFont="1" applyFill="1" applyBorder="1" applyAlignment="1">
      <alignment horizontal="center"/>
    </xf>
    <xf numFmtId="0" fontId="54" fillId="0" borderId="90" xfId="0" applyFont="1" applyBorder="1" applyAlignment="1">
      <alignment horizontal="center" vertical="center"/>
    </xf>
    <xf numFmtId="0" fontId="54" fillId="0" borderId="92" xfId="0" applyFont="1" applyBorder="1" applyAlignment="1">
      <alignment horizontal="center" vertical="center"/>
    </xf>
    <xf numFmtId="0" fontId="92" fillId="0" borderId="67" xfId="0" applyFont="1" applyBorder="1" applyAlignment="1">
      <alignment horizontal="center"/>
    </xf>
    <xf numFmtId="0" fontId="92" fillId="0" borderId="69" xfId="0" applyFont="1" applyBorder="1" applyAlignment="1">
      <alignment horizontal="center"/>
    </xf>
    <xf numFmtId="170" fontId="61" fillId="0" borderId="0" xfId="0" applyNumberFormat="1" applyFont="1" applyAlignment="1">
      <alignment horizontal="center" vertical="center"/>
    </xf>
    <xf numFmtId="170" fontId="51" fillId="0" borderId="77" xfId="0" applyNumberFormat="1" applyFont="1" applyBorder="1" applyAlignment="1">
      <alignment horizontal="center" vertical="center"/>
    </xf>
    <xf numFmtId="0" fontId="0" fillId="0" borderId="77" xfId="0" applyBorder="1" applyAlignment="1">
      <alignment horizontal="center" vertical="center"/>
    </xf>
    <xf numFmtId="0" fontId="80" fillId="0" borderId="31" xfId="0" applyFont="1" applyBorder="1" applyAlignment="1">
      <alignment horizontal="center" vertical="center" wrapText="1"/>
    </xf>
    <xf numFmtId="0" fontId="80" fillId="0" borderId="4" xfId="0" applyFont="1" applyBorder="1" applyAlignment="1">
      <alignment horizontal="center" vertical="center" wrapText="1"/>
    </xf>
    <xf numFmtId="0" fontId="80" fillId="0" borderId="2" xfId="0" applyFont="1" applyBorder="1" applyAlignment="1">
      <alignment horizontal="center" vertical="center" wrapText="1"/>
    </xf>
    <xf numFmtId="44" fontId="85" fillId="0" borderId="2" xfId="0" applyNumberFormat="1" applyFont="1" applyBorder="1" applyAlignment="1">
      <alignment horizontal="center" vertical="center" wrapText="1"/>
    </xf>
    <xf numFmtId="0" fontId="85" fillId="0" borderId="4" xfId="0" applyFont="1" applyBorder="1" applyAlignment="1">
      <alignment horizontal="center" vertical="center" wrapText="1"/>
    </xf>
    <xf numFmtId="44" fontId="85" fillId="0" borderId="25" xfId="0" applyNumberFormat="1" applyFont="1" applyBorder="1" applyAlignment="1">
      <alignment horizontal="center" vertical="center" wrapText="1"/>
    </xf>
    <xf numFmtId="44" fontId="85" fillId="0" borderId="51" xfId="0" applyNumberFormat="1" applyFont="1" applyBorder="1" applyAlignment="1">
      <alignment horizontal="center" vertical="center" wrapText="1"/>
    </xf>
    <xf numFmtId="0" fontId="80" fillId="0" borderId="42" xfId="0" applyFont="1" applyBorder="1" applyAlignment="1">
      <alignment horizontal="center" vertical="center" wrapText="1"/>
    </xf>
    <xf numFmtId="0" fontId="80" fillId="0" borderId="43" xfId="0" applyFont="1" applyBorder="1" applyAlignment="1">
      <alignment horizontal="center" vertical="center" wrapText="1"/>
    </xf>
    <xf numFmtId="0" fontId="80" fillId="0" borderId="18" xfId="0" applyFont="1" applyBorder="1" applyAlignment="1">
      <alignment horizontal="center" vertical="center" wrapText="1"/>
    </xf>
    <xf numFmtId="0" fontId="80" fillId="0" borderId="88" xfId="0" applyFont="1" applyBorder="1" applyAlignment="1">
      <alignment horizontal="center" vertical="center" wrapText="1"/>
    </xf>
    <xf numFmtId="0" fontId="80" fillId="0" borderId="40" xfId="0" applyFont="1" applyBorder="1" applyAlignment="1">
      <alignment horizontal="center" vertical="center" wrapText="1"/>
    </xf>
    <xf numFmtId="0" fontId="80" fillId="0" borderId="15" xfId="0" applyFont="1" applyBorder="1" applyAlignment="1">
      <alignment horizontal="center" vertical="center" wrapText="1"/>
    </xf>
    <xf numFmtId="0" fontId="80" fillId="0" borderId="5" xfId="0" applyFont="1" applyBorder="1" applyAlignment="1">
      <alignment horizontal="center" vertical="center" wrapText="1"/>
    </xf>
    <xf numFmtId="0" fontId="80" fillId="0" borderId="7" xfId="0" applyFont="1" applyBorder="1" applyAlignment="1">
      <alignment horizontal="center" vertical="center" wrapText="1"/>
    </xf>
    <xf numFmtId="0" fontId="80" fillId="0" borderId="45" xfId="0" applyFont="1" applyBorder="1" applyAlignment="1">
      <alignment horizontal="center" vertical="center" wrapText="1"/>
    </xf>
    <xf numFmtId="0" fontId="80" fillId="0" borderId="17" xfId="0" applyFont="1" applyBorder="1" applyAlignment="1">
      <alignment horizontal="center" vertical="center" wrapText="1"/>
    </xf>
    <xf numFmtId="0" fontId="80" fillId="0" borderId="2" xfId="0" applyFont="1" applyBorder="1" applyAlignment="1">
      <alignment horizontal="left" vertical="center" wrapText="1"/>
    </xf>
    <xf numFmtId="0" fontId="80" fillId="0" borderId="3" xfId="0" applyFont="1" applyBorder="1" applyAlignment="1">
      <alignment horizontal="left" vertical="center" wrapText="1"/>
    </xf>
    <xf numFmtId="0" fontId="80" fillId="0" borderId="4" xfId="0" applyFont="1" applyBorder="1" applyAlignment="1">
      <alignment horizontal="left" vertical="center" wrapText="1"/>
    </xf>
    <xf numFmtId="0" fontId="85" fillId="0" borderId="2" xfId="0" applyFont="1" applyBorder="1" applyAlignment="1">
      <alignment horizontal="center" vertical="center" wrapText="1"/>
    </xf>
    <xf numFmtId="0" fontId="85" fillId="0" borderId="3" xfId="0" applyFont="1" applyBorder="1" applyAlignment="1">
      <alignment horizontal="center" vertical="center" wrapText="1"/>
    </xf>
    <xf numFmtId="0" fontId="63" fillId="0" borderId="31" xfId="0" applyFont="1" applyBorder="1" applyAlignment="1">
      <alignment horizontal="center" vertical="center"/>
    </xf>
    <xf numFmtId="0" fontId="63" fillId="0" borderId="3" xfId="0" applyFont="1" applyBorder="1" applyAlignment="1">
      <alignment horizontal="center" vertical="center"/>
    </xf>
    <xf numFmtId="0" fontId="63" fillId="0" borderId="4" xfId="0" applyFont="1" applyBorder="1" applyAlignment="1">
      <alignment horizontal="center" vertical="center"/>
    </xf>
    <xf numFmtId="0" fontId="51" fillId="19" borderId="31" xfId="0" applyFont="1" applyFill="1" applyBorder="1" applyAlignment="1">
      <alignment horizontal="center"/>
    </xf>
    <xf numFmtId="0" fontId="51" fillId="19" borderId="3" xfId="0" applyFont="1" applyFill="1" applyBorder="1" applyAlignment="1">
      <alignment horizontal="center"/>
    </xf>
    <xf numFmtId="0" fontId="51" fillId="19" borderId="32" xfId="0" applyFont="1" applyFill="1" applyBorder="1" applyAlignment="1">
      <alignment horizontal="center"/>
    </xf>
    <xf numFmtId="0" fontId="63" fillId="25" borderId="31" xfId="0" applyFont="1" applyFill="1" applyBorder="1" applyAlignment="1">
      <alignment horizontal="left" vertical="center"/>
    </xf>
    <xf numFmtId="0" fontId="63" fillId="25" borderId="3" xfId="0" applyFont="1" applyFill="1" applyBorder="1" applyAlignment="1">
      <alignment horizontal="left" vertical="center"/>
    </xf>
    <xf numFmtId="0" fontId="63" fillId="25" borderId="32" xfId="0" applyFont="1" applyFill="1" applyBorder="1" applyAlignment="1">
      <alignment horizontal="left" vertical="center"/>
    </xf>
    <xf numFmtId="0" fontId="89" fillId="0" borderId="31" xfId="0" applyFont="1" applyBorder="1" applyAlignment="1">
      <alignment horizontal="left"/>
    </xf>
    <xf numFmtId="0" fontId="89" fillId="0" borderId="3" xfId="0" applyFont="1" applyBorder="1" applyAlignment="1">
      <alignment horizontal="left"/>
    </xf>
    <xf numFmtId="0" fontId="89" fillId="0" borderId="32" xfId="0" applyFont="1" applyBorder="1" applyAlignment="1">
      <alignment horizontal="left"/>
    </xf>
    <xf numFmtId="0" fontId="80" fillId="18" borderId="2" xfId="0" applyFont="1" applyFill="1" applyBorder="1" applyAlignment="1">
      <alignment horizontal="left" vertical="center" wrapText="1"/>
    </xf>
    <xf numFmtId="0" fontId="80" fillId="18" borderId="3" xfId="0" applyFont="1" applyFill="1" applyBorder="1" applyAlignment="1">
      <alignment horizontal="left" vertical="center" wrapText="1"/>
    </xf>
    <xf numFmtId="0" fontId="80" fillId="18" borderId="4" xfId="0" applyFont="1" applyFill="1" applyBorder="1" applyAlignment="1">
      <alignment horizontal="left" vertical="center" wrapText="1"/>
    </xf>
    <xf numFmtId="0" fontId="80" fillId="0" borderId="2" xfId="0" applyFont="1" applyBorder="1" applyAlignment="1">
      <alignment horizontal="left" vertical="top" wrapText="1"/>
    </xf>
    <xf numFmtId="0" fontId="80" fillId="0" borderId="3" xfId="0" applyFont="1" applyBorder="1" applyAlignment="1">
      <alignment horizontal="left" vertical="top" wrapText="1"/>
    </xf>
    <xf numFmtId="0" fontId="80" fillId="0" borderId="4" xfId="0" applyFont="1" applyBorder="1" applyAlignment="1">
      <alignment horizontal="left" vertical="top" wrapText="1"/>
    </xf>
    <xf numFmtId="10" fontId="51" fillId="0" borderId="2" xfId="4" applyNumberFormat="1" applyFont="1" applyBorder="1" applyAlignment="1">
      <alignment horizontal="center"/>
    </xf>
    <xf numFmtId="10" fontId="51" fillId="0" borderId="4" xfId="4" applyNumberFormat="1" applyFont="1" applyBorder="1" applyAlignment="1">
      <alignment horizontal="center"/>
    </xf>
    <xf numFmtId="44" fontId="51" fillId="0" borderId="2" xfId="2" applyFont="1" applyBorder="1" applyAlignment="1">
      <alignment horizontal="center"/>
    </xf>
    <xf numFmtId="44" fontId="51" fillId="0" borderId="32" xfId="2" applyFont="1" applyBorder="1" applyAlignment="1">
      <alignment horizontal="center"/>
    </xf>
    <xf numFmtId="0" fontId="54" fillId="0" borderId="31" xfId="0" applyFont="1" applyBorder="1" applyAlignment="1">
      <alignment horizontal="center"/>
    </xf>
    <xf numFmtId="0" fontId="54" fillId="0" borderId="3" xfId="0" applyFont="1" applyBorder="1" applyAlignment="1">
      <alignment horizontal="center"/>
    </xf>
    <xf numFmtId="0" fontId="54" fillId="0" borderId="4" xfId="0" applyFont="1" applyBorder="1" applyAlignment="1">
      <alignment horizontal="center"/>
    </xf>
    <xf numFmtId="10" fontId="54" fillId="0" borderId="2" xfId="4" applyNumberFormat="1" applyFont="1" applyBorder="1" applyAlignment="1">
      <alignment horizontal="center"/>
    </xf>
    <xf numFmtId="10" fontId="54" fillId="0" borderId="4" xfId="4" applyNumberFormat="1" applyFont="1" applyBorder="1" applyAlignment="1">
      <alignment horizontal="center"/>
    </xf>
    <xf numFmtId="44" fontId="54" fillId="0" borderId="2" xfId="2" applyFont="1" applyBorder="1" applyAlignment="1">
      <alignment horizontal="center"/>
    </xf>
    <xf numFmtId="44" fontId="54" fillId="0" borderId="32" xfId="2" applyFont="1" applyBorder="1" applyAlignment="1">
      <alignment horizontal="center"/>
    </xf>
    <xf numFmtId="10" fontId="52" fillId="0" borderId="2" xfId="4" applyNumberFormat="1" applyFont="1" applyBorder="1" applyAlignment="1">
      <alignment horizontal="center" vertical="center"/>
    </xf>
    <xf numFmtId="10" fontId="52" fillId="0" borderId="4" xfId="4" applyNumberFormat="1" applyFont="1" applyBorder="1" applyAlignment="1">
      <alignment horizontal="center" vertical="center"/>
    </xf>
    <xf numFmtId="44" fontId="52" fillId="0" borderId="2" xfId="2" applyFont="1" applyBorder="1" applyAlignment="1">
      <alignment horizontal="center"/>
    </xf>
    <xf numFmtId="44" fontId="52" fillId="0" borderId="32" xfId="2" applyFont="1" applyBorder="1" applyAlignment="1">
      <alignment horizontal="center"/>
    </xf>
    <xf numFmtId="10" fontId="52" fillId="0" borderId="2" xfId="4" applyNumberFormat="1" applyFont="1" applyBorder="1" applyAlignment="1">
      <alignment horizontal="center"/>
    </xf>
    <xf numFmtId="10" fontId="52" fillId="0" borderId="4" xfId="4" applyNumberFormat="1" applyFont="1" applyBorder="1" applyAlignment="1">
      <alignment horizontal="center"/>
    </xf>
    <xf numFmtId="0" fontId="88" fillId="0" borderId="2" xfId="0" applyFont="1" applyBorder="1" applyAlignment="1">
      <alignment horizontal="left" vertical="center" wrapText="1"/>
    </xf>
    <xf numFmtId="0" fontId="88" fillId="0" borderId="3" xfId="0" applyFont="1" applyBorder="1" applyAlignment="1">
      <alignment horizontal="left" vertical="center" wrapText="1"/>
    </xf>
    <xf numFmtId="0" fontId="88" fillId="0" borderId="4" xfId="0" applyFont="1" applyBorder="1" applyAlignment="1">
      <alignment horizontal="left" vertical="center" wrapText="1"/>
    </xf>
    <xf numFmtId="10" fontId="59" fillId="0" borderId="2" xfId="4" applyNumberFormat="1" applyFont="1" applyBorder="1" applyAlignment="1">
      <alignment horizontal="center" vertical="center"/>
    </xf>
    <xf numFmtId="10" fontId="59" fillId="0" borderId="4" xfId="4" applyNumberFormat="1" applyFont="1" applyBorder="1" applyAlignment="1">
      <alignment horizontal="center" vertical="center"/>
    </xf>
    <xf numFmtId="44" fontId="61" fillId="0" borderId="2" xfId="2" applyFont="1" applyBorder="1" applyAlignment="1">
      <alignment horizontal="center" vertical="center"/>
    </xf>
    <xf numFmtId="44" fontId="61" fillId="0" borderId="32" xfId="2" applyFont="1" applyBorder="1" applyAlignment="1">
      <alignment horizontal="center" vertical="center"/>
    </xf>
    <xf numFmtId="0" fontId="70" fillId="0" borderId="2" xfId="0" applyFont="1" applyBorder="1" applyAlignment="1">
      <alignment horizontal="left" vertical="center" wrapText="1"/>
    </xf>
    <xf numFmtId="44" fontId="52" fillId="0" borderId="2" xfId="2" applyFont="1" applyBorder="1" applyAlignment="1">
      <alignment horizontal="center" vertical="center"/>
    </xf>
    <xf numFmtId="44" fontId="52" fillId="0" borderId="32" xfId="2" applyFont="1" applyBorder="1" applyAlignment="1">
      <alignment horizontal="center" vertical="center"/>
    </xf>
    <xf numFmtId="0" fontId="54" fillId="0" borderId="42" xfId="0" applyFont="1" applyBorder="1" applyAlignment="1">
      <alignment horizontal="center" vertical="center"/>
    </xf>
    <xf numFmtId="0" fontId="54" fillId="0" borderId="89" xfId="0" applyFont="1" applyBorder="1" applyAlignment="1">
      <alignment horizontal="center" vertical="center"/>
    </xf>
    <xf numFmtId="167" fontId="54" fillId="0" borderId="5" xfId="0" applyNumberFormat="1" applyFont="1" applyBorder="1" applyAlignment="1">
      <alignment horizontal="center" vertical="center"/>
    </xf>
    <xf numFmtId="0" fontId="87" fillId="0" borderId="42" xfId="0" applyFont="1" applyBorder="1" applyAlignment="1">
      <alignment horizontal="left"/>
    </xf>
    <xf numFmtId="0" fontId="87" fillId="0" borderId="89" xfId="0" applyFont="1" applyBorder="1" applyAlignment="1">
      <alignment horizontal="left"/>
    </xf>
    <xf numFmtId="0" fontId="87" fillId="0" borderId="43" xfId="0" applyFont="1" applyBorder="1" applyAlignment="1">
      <alignment horizontal="left"/>
    </xf>
    <xf numFmtId="0" fontId="65" fillId="25" borderId="11" xfId="0" applyFont="1" applyFill="1" applyBorder="1" applyAlignment="1">
      <alignment horizontal="left" vertical="center"/>
    </xf>
    <xf numFmtId="0" fontId="65" fillId="25" borderId="12" xfId="0" applyFont="1" applyFill="1" applyBorder="1" applyAlignment="1">
      <alignment horizontal="left" vertical="center"/>
    </xf>
    <xf numFmtId="0" fontId="65" fillId="25" borderId="13" xfId="0" applyFont="1" applyFill="1" applyBorder="1" applyAlignment="1">
      <alignment horizontal="left" vertical="center"/>
    </xf>
    <xf numFmtId="0" fontId="61" fillId="0" borderId="15" xfId="0" applyFont="1" applyBorder="1" applyAlignment="1">
      <alignment horizontal="center"/>
    </xf>
    <xf numFmtId="0" fontId="61" fillId="0" borderId="19" xfId="0" applyFont="1" applyBorder="1" applyAlignment="1">
      <alignment horizontal="center"/>
    </xf>
    <xf numFmtId="0" fontId="61" fillId="0" borderId="88" xfId="0" applyFont="1" applyBorder="1" applyAlignment="1">
      <alignment horizontal="center"/>
    </xf>
    <xf numFmtId="0" fontId="61" fillId="0" borderId="96" xfId="0" applyFont="1" applyBorder="1" applyAlignment="1">
      <alignment horizontal="center"/>
    </xf>
    <xf numFmtId="0" fontId="61" fillId="0" borderId="49" xfId="0" applyFont="1" applyBorder="1" applyAlignment="1">
      <alignment horizontal="center"/>
    </xf>
    <xf numFmtId="0" fontId="61" fillId="0" borderId="20" xfId="0" applyFont="1" applyBorder="1" applyAlignment="1">
      <alignment horizontal="center"/>
    </xf>
    <xf numFmtId="0" fontId="52" fillId="0" borderId="2" xfId="0" applyFont="1" applyBorder="1" applyAlignment="1">
      <alignment horizontal="left" vertical="center"/>
    </xf>
    <xf numFmtId="0" fontId="52" fillId="0" borderId="3" xfId="0" applyFont="1" applyBorder="1" applyAlignment="1">
      <alignment horizontal="left" vertical="center"/>
    </xf>
    <xf numFmtId="167" fontId="52" fillId="0" borderId="1" xfId="0" applyNumberFormat="1" applyFont="1" applyBorder="1" applyAlignment="1">
      <alignment horizontal="center" vertical="center"/>
    </xf>
    <xf numFmtId="0" fontId="52" fillId="0" borderId="93" xfId="0" applyFont="1" applyBorder="1" applyAlignment="1">
      <alignment horizontal="center" vertical="center" wrapText="1"/>
    </xf>
    <xf numFmtId="0" fontId="52" fillId="0" borderId="77" xfId="0" applyFont="1" applyBorder="1" applyAlignment="1">
      <alignment horizontal="center" vertical="center" wrapText="1"/>
    </xf>
    <xf numFmtId="0" fontId="52" fillId="0" borderId="1" xfId="0" applyFont="1" applyBorder="1" applyAlignment="1">
      <alignment horizontal="center" vertical="center"/>
    </xf>
    <xf numFmtId="0" fontId="54" fillId="0" borderId="31" xfId="0" applyFont="1" applyBorder="1" applyAlignment="1">
      <alignment horizontal="center" vertical="center"/>
    </xf>
    <xf numFmtId="0" fontId="54" fillId="0" borderId="3" xfId="0" applyFont="1" applyBorder="1" applyAlignment="1">
      <alignment horizontal="center" vertical="center"/>
    </xf>
    <xf numFmtId="0" fontId="54" fillId="0" borderId="4" xfId="0" applyFont="1" applyBorder="1" applyAlignment="1">
      <alignment horizontal="center" vertical="center"/>
    </xf>
    <xf numFmtId="0" fontId="51" fillId="19" borderId="42" xfId="0" applyFont="1" applyFill="1" applyBorder="1" applyAlignment="1">
      <alignment horizontal="center"/>
    </xf>
    <xf numFmtId="0" fontId="51" fillId="19" borderId="89" xfId="0" applyFont="1" applyFill="1" applyBorder="1" applyAlignment="1">
      <alignment horizontal="center"/>
    </xf>
    <xf numFmtId="0" fontId="61" fillId="0" borderId="15" xfId="0" applyFont="1" applyBorder="1" applyAlignment="1">
      <alignment horizontal="center" vertical="center"/>
    </xf>
    <xf numFmtId="0" fontId="61" fillId="0" borderId="19" xfId="0" applyFont="1" applyBorder="1" applyAlignment="1">
      <alignment horizontal="center" vertical="center"/>
    </xf>
    <xf numFmtId="0" fontId="61" fillId="0" borderId="7" xfId="0" applyFont="1" applyBorder="1" applyAlignment="1">
      <alignment horizontal="center" vertical="center"/>
    </xf>
    <xf numFmtId="0" fontId="54" fillId="0" borderId="40" xfId="0" applyFont="1" applyBorder="1" applyAlignment="1">
      <alignment horizontal="center"/>
    </xf>
    <xf numFmtId="0" fontId="54" fillId="0" borderId="89" xfId="0" applyFont="1" applyBorder="1" applyAlignment="1">
      <alignment horizontal="center"/>
    </xf>
    <xf numFmtId="0" fontId="54" fillId="0" borderId="43" xfId="0" applyFont="1" applyBorder="1" applyAlignment="1">
      <alignment horizontal="center"/>
    </xf>
    <xf numFmtId="44" fontId="54" fillId="0" borderId="40" xfId="2" applyFont="1" applyBorder="1" applyAlignment="1">
      <alignment horizontal="center"/>
    </xf>
    <xf numFmtId="44" fontId="54" fillId="0" borderId="89" xfId="2" applyFont="1" applyBorder="1" applyAlignment="1">
      <alignment horizontal="center"/>
    </xf>
    <xf numFmtId="44" fontId="54" fillId="0" borderId="43" xfId="2" applyFont="1" applyBorder="1" applyAlignment="1">
      <alignment horizontal="center"/>
    </xf>
    <xf numFmtId="0" fontId="84" fillId="25" borderId="18" xfId="0" applyFont="1" applyFill="1" applyBorder="1" applyAlignment="1">
      <alignment horizontal="left" vertical="center"/>
    </xf>
    <xf numFmtId="0" fontId="84" fillId="25" borderId="19" xfId="0" applyFont="1" applyFill="1" applyBorder="1" applyAlignment="1">
      <alignment horizontal="left" vertical="center"/>
    </xf>
    <xf numFmtId="0" fontId="84" fillId="25" borderId="20" xfId="0" applyFont="1" applyFill="1" applyBorder="1" applyAlignment="1">
      <alignment horizontal="left" vertical="center"/>
    </xf>
    <xf numFmtId="0" fontId="0" fillId="0" borderId="0" xfId="0" applyAlignment="1">
      <alignment horizontal="justify" vertical="center" wrapText="1"/>
    </xf>
    <xf numFmtId="0" fontId="85" fillId="0" borderId="2" xfId="0" applyFont="1" applyBorder="1" applyAlignment="1">
      <alignment horizontal="left" vertical="center" wrapText="1"/>
    </xf>
    <xf numFmtId="0" fontId="85" fillId="0" borderId="3" xfId="0" applyFont="1" applyBorder="1" applyAlignment="1">
      <alignment horizontal="left" vertical="center" wrapText="1"/>
    </xf>
    <xf numFmtId="0" fontId="85" fillId="0" borderId="4" xfId="0" applyFont="1" applyBorder="1" applyAlignment="1">
      <alignment horizontal="left" vertical="center" wrapText="1"/>
    </xf>
    <xf numFmtId="0" fontId="52" fillId="0" borderId="4" xfId="0" applyFont="1" applyBorder="1" applyAlignment="1">
      <alignment horizontal="left" vertical="center"/>
    </xf>
    <xf numFmtId="0" fontId="82" fillId="0" borderId="18" xfId="0" applyFont="1" applyBorder="1" applyAlignment="1">
      <alignment horizontal="center" vertical="center"/>
    </xf>
    <xf numFmtId="0" fontId="82" fillId="0" borderId="19" xfId="0" applyFont="1" applyBorder="1" applyAlignment="1">
      <alignment horizontal="center" vertical="center"/>
    </xf>
    <xf numFmtId="0" fontId="82" fillId="0" borderId="88" xfId="0" applyFont="1" applyBorder="1" applyAlignment="1">
      <alignment horizontal="center" vertical="center"/>
    </xf>
    <xf numFmtId="0" fontId="54" fillId="0" borderId="15" xfId="0" applyFont="1" applyBorder="1" applyAlignment="1">
      <alignment horizontal="center"/>
    </xf>
    <xf numFmtId="0" fontId="54" fillId="0" borderId="19" xfId="0" applyFont="1" applyBorder="1" applyAlignment="1">
      <alignment horizontal="center"/>
    </xf>
    <xf numFmtId="0" fontId="54" fillId="0" borderId="88" xfId="0" applyFont="1" applyBorder="1" applyAlignment="1">
      <alignment horizontal="center"/>
    </xf>
    <xf numFmtId="44" fontId="52" fillId="0" borderId="2" xfId="2" applyFont="1" applyBorder="1" applyAlignment="1">
      <alignment horizontal="center" vertical="top" wrapText="1"/>
    </xf>
    <xf numFmtId="44" fontId="52" fillId="0" borderId="3" xfId="2" applyFont="1" applyBorder="1" applyAlignment="1">
      <alignment horizontal="center" vertical="top" wrapText="1"/>
    </xf>
    <xf numFmtId="44" fontId="52" fillId="0" borderId="4" xfId="2" applyFont="1" applyBorder="1" applyAlignment="1">
      <alignment horizontal="center" vertical="top" wrapText="1"/>
    </xf>
    <xf numFmtId="10" fontId="80" fillId="0" borderId="2" xfId="2" applyNumberFormat="1" applyFont="1" applyBorder="1" applyAlignment="1">
      <alignment horizontal="right" vertical="center" wrapText="1"/>
    </xf>
    <xf numFmtId="10" fontId="80" fillId="0" borderId="3" xfId="2" applyNumberFormat="1" applyFont="1" applyBorder="1" applyAlignment="1">
      <alignment horizontal="right" vertical="center" wrapText="1"/>
    </xf>
    <xf numFmtId="10" fontId="80" fillId="0" borderId="4" xfId="2" applyNumberFormat="1" applyFont="1" applyBorder="1" applyAlignment="1">
      <alignment horizontal="right" vertical="center" wrapText="1"/>
    </xf>
    <xf numFmtId="44" fontId="80" fillId="0" borderId="2" xfId="2" applyFont="1" applyBorder="1" applyAlignment="1">
      <alignment horizontal="center" vertical="center" wrapText="1"/>
    </xf>
    <xf numFmtId="44" fontId="80" fillId="0" borderId="3" xfId="2" applyFont="1" applyBorder="1" applyAlignment="1">
      <alignment horizontal="center" vertical="center" wrapText="1"/>
    </xf>
    <xf numFmtId="44" fontId="80" fillId="0" borderId="4" xfId="2" applyFont="1" applyBorder="1" applyAlignment="1">
      <alignment horizontal="center" vertical="center" wrapText="1"/>
    </xf>
    <xf numFmtId="0" fontId="54" fillId="0" borderId="40" xfId="0" applyFont="1" applyBorder="1" applyAlignment="1">
      <alignment horizontal="center" vertical="center"/>
    </xf>
    <xf numFmtId="0" fontId="54" fillId="0" borderId="43" xfId="0" applyFont="1" applyBorder="1" applyAlignment="1">
      <alignment horizontal="center" vertical="center"/>
    </xf>
    <xf numFmtId="10" fontId="54" fillId="0" borderId="40" xfId="2" applyNumberFormat="1" applyFont="1" applyBorder="1" applyAlignment="1">
      <alignment horizontal="right" vertical="center"/>
    </xf>
    <xf numFmtId="44" fontId="54" fillId="0" borderId="89" xfId="2" applyFont="1" applyBorder="1" applyAlignment="1">
      <alignment horizontal="right" vertical="center"/>
    </xf>
    <xf numFmtId="44" fontId="54" fillId="0" borderId="43" xfId="2" applyFont="1" applyBorder="1" applyAlignment="1">
      <alignment horizontal="right" vertical="center"/>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4" xfId="0" applyFont="1" applyBorder="1" applyAlignment="1">
      <alignment horizontal="left" vertical="center" wrapText="1"/>
    </xf>
    <xf numFmtId="0" fontId="54" fillId="0" borderId="2" xfId="0" applyFont="1" applyBorder="1" applyAlignment="1">
      <alignment horizontal="center" vertical="center"/>
    </xf>
    <xf numFmtId="0" fontId="54" fillId="0" borderId="2" xfId="0" applyFont="1" applyBorder="1" applyAlignment="1">
      <alignment horizontal="center"/>
    </xf>
    <xf numFmtId="10" fontId="52" fillId="0" borderId="2" xfId="4" applyNumberFormat="1" applyFont="1" applyBorder="1" applyAlignment="1">
      <alignment horizontal="right" vertical="center"/>
    </xf>
    <xf numFmtId="10" fontId="52" fillId="0" borderId="3" xfId="4" applyNumberFormat="1" applyFont="1" applyBorder="1" applyAlignment="1">
      <alignment horizontal="right" vertical="center"/>
    </xf>
    <xf numFmtId="10" fontId="52" fillId="0" borderId="4" xfId="4" applyNumberFormat="1" applyFont="1" applyBorder="1" applyAlignment="1">
      <alignment horizontal="right" vertical="center"/>
    </xf>
    <xf numFmtId="0" fontId="62" fillId="19" borderId="31" xfId="0" applyFont="1" applyFill="1" applyBorder="1" applyAlignment="1">
      <alignment horizontal="center"/>
    </xf>
    <xf numFmtId="0" fontId="62" fillId="19" borderId="3" xfId="0" applyFont="1" applyFill="1" applyBorder="1" applyAlignment="1">
      <alignment horizontal="center"/>
    </xf>
    <xf numFmtId="0" fontId="62" fillId="19" borderId="32" xfId="0" applyFont="1" applyFill="1" applyBorder="1" applyAlignment="1">
      <alignment horizontal="center"/>
    </xf>
    <xf numFmtId="0" fontId="65" fillId="25" borderId="31" xfId="0" applyFont="1" applyFill="1" applyBorder="1" applyAlignment="1">
      <alignment horizontal="left" vertical="center"/>
    </xf>
    <xf numFmtId="0" fontId="65" fillId="25" borderId="3" xfId="0" applyFont="1" applyFill="1" applyBorder="1" applyAlignment="1">
      <alignment horizontal="left" vertical="center"/>
    </xf>
    <xf numFmtId="0" fontId="65" fillId="25" borderId="32" xfId="0" applyFont="1" applyFill="1" applyBorder="1" applyAlignment="1">
      <alignment horizontal="left" vertical="center"/>
    </xf>
    <xf numFmtId="0" fontId="54" fillId="0" borderId="15" xfId="0" applyFont="1" applyBorder="1" applyAlignment="1">
      <alignment horizontal="left" vertical="center"/>
    </xf>
    <xf numFmtId="0" fontId="54" fillId="0" borderId="19" xfId="0" applyFont="1" applyBorder="1" applyAlignment="1">
      <alignment horizontal="left" vertical="center"/>
    </xf>
    <xf numFmtId="0" fontId="54" fillId="0" borderId="20" xfId="0" applyFont="1" applyBorder="1" applyAlignment="1">
      <alignment horizontal="left" vertical="center"/>
    </xf>
    <xf numFmtId="0" fontId="61" fillId="0" borderId="31" xfId="0" applyFont="1" applyBorder="1" applyAlignment="1">
      <alignment horizontal="left" vertical="center"/>
    </xf>
    <xf numFmtId="0" fontId="61" fillId="0" borderId="3" xfId="0" applyFont="1" applyBorder="1" applyAlignment="1">
      <alignment horizontal="left" vertical="center"/>
    </xf>
    <xf numFmtId="0" fontId="61" fillId="0" borderId="32" xfId="0" applyFont="1" applyBorder="1" applyAlignment="1">
      <alignment horizontal="left" vertical="center"/>
    </xf>
    <xf numFmtId="0" fontId="52" fillId="0" borderId="1" xfId="0" applyFont="1" applyBorder="1" applyAlignment="1">
      <alignment horizontal="justify" vertical="center" wrapText="1"/>
    </xf>
    <xf numFmtId="0" fontId="77" fillId="0" borderId="2" xfId="0" applyFont="1" applyBorder="1" applyAlignment="1">
      <alignment horizontal="left" vertical="center"/>
    </xf>
    <xf numFmtId="0" fontId="77" fillId="0" borderId="3" xfId="0" applyFont="1" applyBorder="1" applyAlignment="1">
      <alignment horizontal="left" vertical="center"/>
    </xf>
    <xf numFmtId="0" fontId="77" fillId="0" borderId="4" xfId="0" applyFont="1" applyBorder="1" applyAlignment="1">
      <alignment horizontal="left" vertical="center"/>
    </xf>
    <xf numFmtId="0" fontId="76" fillId="0" borderId="2" xfId="0" applyFont="1" applyBorder="1" applyAlignment="1">
      <alignment horizontal="left" vertical="center" wrapText="1"/>
    </xf>
    <xf numFmtId="0" fontId="76" fillId="0" borderId="3" xfId="0" applyFont="1" applyBorder="1" applyAlignment="1">
      <alignment horizontal="left" vertical="center" wrapText="1"/>
    </xf>
    <xf numFmtId="0" fontId="76" fillId="0" borderId="4" xfId="0" applyFont="1" applyBorder="1" applyAlignment="1">
      <alignment horizontal="left" vertical="center" wrapText="1"/>
    </xf>
    <xf numFmtId="0" fontId="54" fillId="0" borderId="2" xfId="0" applyFont="1" applyBorder="1" applyAlignment="1">
      <alignment horizontal="left" vertical="center"/>
    </xf>
    <xf numFmtId="0" fontId="54" fillId="0" borderId="3" xfId="0" applyFont="1" applyBorder="1" applyAlignment="1">
      <alignment horizontal="left" vertical="center"/>
    </xf>
    <xf numFmtId="44" fontId="52" fillId="0" borderId="3" xfId="2" applyFont="1" applyBorder="1" applyAlignment="1">
      <alignment horizontal="center" vertical="center"/>
    </xf>
    <xf numFmtId="44" fontId="52" fillId="0" borderId="4" xfId="2" applyFont="1" applyBorder="1" applyAlignment="1">
      <alignment horizontal="center" vertical="center"/>
    </xf>
    <xf numFmtId="0" fontId="54" fillId="0" borderId="4" xfId="0" applyFont="1" applyBorder="1" applyAlignment="1">
      <alignment horizontal="left" vertical="center"/>
    </xf>
    <xf numFmtId="167" fontId="54" fillId="0" borderId="2" xfId="2" applyNumberFormat="1" applyFont="1" applyBorder="1" applyAlignment="1">
      <alignment horizontal="right" vertical="center"/>
    </xf>
    <xf numFmtId="167" fontId="54" fillId="0" borderId="3" xfId="2" applyNumberFormat="1" applyFont="1" applyBorder="1" applyAlignment="1">
      <alignment horizontal="right" vertical="center"/>
    </xf>
    <xf numFmtId="167" fontId="54" fillId="0" borderId="4" xfId="2" applyNumberFormat="1" applyFont="1" applyBorder="1" applyAlignment="1">
      <alignment horizontal="right" vertical="center"/>
    </xf>
    <xf numFmtId="0" fontId="51" fillId="19" borderId="4" xfId="0" applyFont="1" applyFill="1" applyBorder="1" applyAlignment="1">
      <alignment horizontal="center"/>
    </xf>
    <xf numFmtId="0" fontId="70" fillId="0" borderId="2" xfId="0" applyFont="1" applyBorder="1" applyAlignment="1">
      <alignment horizontal="left" vertical="center"/>
    </xf>
    <xf numFmtId="0" fontId="75" fillId="0" borderId="2" xfId="0" applyFont="1" applyBorder="1" applyAlignment="1">
      <alignment horizontal="left" vertical="center"/>
    </xf>
    <xf numFmtId="0" fontId="75" fillId="0" borderId="3" xfId="0" applyFont="1" applyBorder="1" applyAlignment="1">
      <alignment horizontal="left" vertical="center"/>
    </xf>
    <xf numFmtId="0" fontId="75" fillId="0" borderId="4" xfId="0" applyFont="1" applyBorder="1" applyAlignment="1">
      <alignment horizontal="left" vertical="center"/>
    </xf>
    <xf numFmtId="44" fontId="75" fillId="0" borderId="2" xfId="2" applyFont="1" applyBorder="1" applyAlignment="1">
      <alignment horizontal="center" vertical="center"/>
    </xf>
    <xf numFmtId="44" fontId="75" fillId="0" borderId="3" xfId="2" applyFont="1" applyBorder="1" applyAlignment="1">
      <alignment horizontal="center" vertical="center"/>
    </xf>
    <xf numFmtId="44" fontId="75" fillId="0" borderId="4" xfId="2" applyFont="1" applyBorder="1" applyAlignment="1">
      <alignment horizontal="center" vertical="center"/>
    </xf>
    <xf numFmtId="44" fontId="73" fillId="0" borderId="2" xfId="2" applyFont="1" applyBorder="1" applyAlignment="1">
      <alignment horizontal="center" vertical="center"/>
    </xf>
    <xf numFmtId="44" fontId="73" fillId="0" borderId="3" xfId="2" applyFont="1" applyBorder="1" applyAlignment="1">
      <alignment horizontal="center" vertical="center"/>
    </xf>
    <xf numFmtId="44" fontId="73" fillId="0" borderId="4" xfId="2" applyFont="1" applyBorder="1" applyAlignment="1">
      <alignment horizontal="center" vertical="center"/>
    </xf>
    <xf numFmtId="44" fontId="59" fillId="0" borderId="2" xfId="2" applyFont="1" applyBorder="1" applyAlignment="1">
      <alignment horizontal="center" vertical="center"/>
    </xf>
    <xf numFmtId="44" fontId="59" fillId="0" borderId="3" xfId="2" applyFont="1" applyBorder="1" applyAlignment="1">
      <alignment horizontal="center" vertical="center"/>
    </xf>
    <xf numFmtId="44" fontId="59" fillId="0" borderId="4" xfId="2" applyFont="1" applyBorder="1" applyAlignment="1">
      <alignment horizontal="center" vertical="center"/>
    </xf>
    <xf numFmtId="0" fontId="54" fillId="18" borderId="18" xfId="0" applyFont="1" applyFill="1" applyBorder="1" applyAlignment="1">
      <alignment horizontal="left" vertical="center"/>
    </xf>
    <xf numFmtId="0" fontId="54" fillId="18" borderId="19" xfId="0" applyFont="1" applyFill="1" applyBorder="1" applyAlignment="1">
      <alignment horizontal="left" vertical="center"/>
    </xf>
    <xf numFmtId="0" fontId="54" fillId="18" borderId="88" xfId="0" applyFont="1" applyFill="1" applyBorder="1" applyAlignment="1">
      <alignment horizontal="left" vertical="center"/>
    </xf>
    <xf numFmtId="0" fontId="52" fillId="0" borderId="2" xfId="0" applyFont="1" applyBorder="1" applyAlignment="1">
      <alignment horizontal="justify" vertical="center" wrapText="1"/>
    </xf>
    <xf numFmtId="0" fontId="52" fillId="0" borderId="3" xfId="0" applyFont="1" applyBorder="1" applyAlignment="1">
      <alignment horizontal="justify" vertical="center" wrapText="1"/>
    </xf>
    <xf numFmtId="0" fontId="52" fillId="0" borderId="4" xfId="0" applyFont="1" applyBorder="1" applyAlignment="1">
      <alignment horizontal="justify" vertical="center" wrapText="1"/>
    </xf>
    <xf numFmtId="167" fontId="59" fillId="0" borderId="2" xfId="2" applyNumberFormat="1" applyFont="1" applyBorder="1" applyAlignment="1">
      <alignment horizontal="right" vertical="center"/>
    </xf>
    <xf numFmtId="167" fontId="59" fillId="0" borderId="3" xfId="2" applyNumberFormat="1" applyFont="1" applyBorder="1" applyAlignment="1">
      <alignment horizontal="right" vertical="center"/>
    </xf>
    <xf numFmtId="167" fontId="59" fillId="0" borderId="4" xfId="2" applyNumberFormat="1" applyFont="1" applyBorder="1" applyAlignment="1">
      <alignment horizontal="right" vertical="center"/>
    </xf>
    <xf numFmtId="0" fontId="52" fillId="0" borderId="2" xfId="0" applyFont="1" applyBorder="1" applyAlignment="1">
      <alignment horizontal="left"/>
    </xf>
    <xf numFmtId="0" fontId="52" fillId="0" borderId="3" xfId="0" applyFont="1" applyBorder="1" applyAlignment="1">
      <alignment horizontal="left"/>
    </xf>
    <xf numFmtId="0" fontId="52" fillId="0" borderId="4" xfId="0" applyFont="1" applyBorder="1" applyAlignment="1">
      <alignment horizontal="left"/>
    </xf>
    <xf numFmtId="0" fontId="54" fillId="0" borderId="40" xfId="0" applyFont="1" applyBorder="1" applyAlignment="1">
      <alignment horizontal="left"/>
    </xf>
    <xf numFmtId="0" fontId="54" fillId="0" borderId="89" xfId="0" applyFont="1" applyBorder="1" applyAlignment="1">
      <alignment horizontal="left"/>
    </xf>
    <xf numFmtId="0" fontId="54" fillId="0" borderId="43" xfId="0" applyFont="1" applyBorder="1" applyAlignment="1">
      <alignment horizontal="left"/>
    </xf>
    <xf numFmtId="10" fontId="54" fillId="0" borderId="25" xfId="0" applyNumberFormat="1" applyFont="1" applyBorder="1" applyAlignment="1">
      <alignment horizontal="center"/>
    </xf>
    <xf numFmtId="10" fontId="54" fillId="0" borderId="51" xfId="0" applyNumberFormat="1" applyFont="1" applyBorder="1" applyAlignment="1">
      <alignment horizontal="center"/>
    </xf>
    <xf numFmtId="44" fontId="54" fillId="0" borderId="94" xfId="2" applyFont="1" applyBorder="1" applyAlignment="1">
      <alignment horizontal="center"/>
    </xf>
    <xf numFmtId="0" fontId="70" fillId="0" borderId="2" xfId="0" applyFont="1" applyBorder="1" applyAlignment="1">
      <alignment horizontal="left"/>
    </xf>
    <xf numFmtId="0" fontId="54" fillId="0" borderId="18" xfId="0" applyFont="1" applyBorder="1" applyAlignment="1">
      <alignment horizontal="justify" vertical="center" wrapText="1"/>
    </xf>
    <xf numFmtId="0" fontId="54" fillId="0" borderId="19" xfId="0" applyFont="1" applyBorder="1" applyAlignment="1">
      <alignment horizontal="justify" vertical="center" wrapText="1"/>
    </xf>
    <xf numFmtId="0" fontId="54" fillId="0" borderId="20" xfId="0" applyFont="1" applyBorder="1" applyAlignment="1">
      <alignment horizontal="justify" vertical="center" wrapText="1"/>
    </xf>
    <xf numFmtId="0" fontId="54" fillId="0" borderId="32" xfId="0" applyFont="1" applyBorder="1" applyAlignment="1">
      <alignment horizontal="center"/>
    </xf>
    <xf numFmtId="0" fontId="54" fillId="0" borderId="2" xfId="0" applyFont="1" applyBorder="1" applyAlignment="1">
      <alignment horizontal="left"/>
    </xf>
    <xf numFmtId="0" fontId="54" fillId="0" borderId="3" xfId="0" applyFont="1" applyBorder="1" applyAlignment="1">
      <alignment horizontal="left"/>
    </xf>
    <xf numFmtId="0" fontId="54" fillId="0" borderId="4" xfId="0" applyFont="1" applyBorder="1" applyAlignment="1">
      <alignment horizontal="left"/>
    </xf>
    <xf numFmtId="10" fontId="54" fillId="0" borderId="2" xfId="2" applyNumberFormat="1" applyFont="1" applyBorder="1" applyAlignment="1">
      <alignment horizontal="right" vertical="center"/>
    </xf>
    <xf numFmtId="44" fontId="54" fillId="0" borderId="3" xfId="2" applyFont="1" applyBorder="1" applyAlignment="1">
      <alignment horizontal="right" vertical="center"/>
    </xf>
    <xf numFmtId="44" fontId="54" fillId="0" borderId="4" xfId="2" applyFont="1" applyBorder="1" applyAlignment="1">
      <alignment horizontal="right" vertical="center"/>
    </xf>
    <xf numFmtId="0" fontId="52" fillId="21" borderId="2" xfId="0" applyFont="1" applyFill="1" applyBorder="1" applyAlignment="1">
      <alignment horizontal="justify" vertical="center" wrapText="1"/>
    </xf>
    <xf numFmtId="0" fontId="52" fillId="21" borderId="3" xfId="0" applyFont="1" applyFill="1" applyBorder="1" applyAlignment="1">
      <alignment horizontal="justify" vertical="center" wrapText="1"/>
    </xf>
    <xf numFmtId="0" fontId="52" fillId="21" borderId="4" xfId="0" applyFont="1" applyFill="1" applyBorder="1" applyAlignment="1">
      <alignment horizontal="justify" vertical="center" wrapText="1"/>
    </xf>
    <xf numFmtId="10" fontId="52" fillId="21" borderId="2" xfId="2" applyNumberFormat="1" applyFont="1" applyFill="1" applyBorder="1" applyAlignment="1">
      <alignment horizontal="right" vertical="center"/>
    </xf>
    <xf numFmtId="10" fontId="52" fillId="21" borderId="3" xfId="2" applyNumberFormat="1" applyFont="1" applyFill="1" applyBorder="1" applyAlignment="1">
      <alignment horizontal="right" vertical="center"/>
    </xf>
    <xf numFmtId="10" fontId="52" fillId="21" borderId="4" xfId="2" applyNumberFormat="1" applyFont="1" applyFill="1" applyBorder="1" applyAlignment="1">
      <alignment horizontal="right" vertical="center"/>
    </xf>
    <xf numFmtId="0" fontId="54" fillId="0" borderId="40" xfId="0" applyFont="1" applyBorder="1" applyAlignment="1">
      <alignment horizontal="left" vertical="center"/>
    </xf>
    <xf numFmtId="0" fontId="54" fillId="0" borderId="89" xfId="0" applyFont="1" applyBorder="1" applyAlignment="1">
      <alignment horizontal="left" vertical="center"/>
    </xf>
    <xf numFmtId="0" fontId="54" fillId="0" borderId="43" xfId="0" applyFont="1" applyBorder="1" applyAlignment="1">
      <alignment horizontal="left" vertical="center"/>
    </xf>
    <xf numFmtId="0" fontId="61" fillId="0" borderId="2" xfId="0" applyFont="1" applyBorder="1" applyAlignment="1">
      <alignment horizontal="center" vertical="center"/>
    </xf>
    <xf numFmtId="0" fontId="61" fillId="0" borderId="3" xfId="0" applyFont="1" applyBorder="1" applyAlignment="1">
      <alignment horizontal="center" vertical="center"/>
    </xf>
    <xf numFmtId="0" fontId="61" fillId="0" borderId="4" xfId="0" applyFont="1" applyBorder="1" applyAlignment="1">
      <alignment horizontal="center" vertical="center"/>
    </xf>
    <xf numFmtId="0" fontId="64" fillId="0" borderId="41" xfId="0" applyFont="1" applyBorder="1" applyAlignment="1">
      <alignment horizontal="left"/>
    </xf>
    <xf numFmtId="0" fontId="64" fillId="0" borderId="0" xfId="0" applyFont="1" applyAlignment="1">
      <alignment horizontal="left"/>
    </xf>
    <xf numFmtId="0" fontId="64" fillId="0" borderId="77" xfId="0" applyFont="1" applyBorder="1" applyAlignment="1">
      <alignment horizontal="left"/>
    </xf>
    <xf numFmtId="0" fontId="64" fillId="0" borderId="41" xfId="0" applyFont="1" applyBorder="1" applyAlignment="1">
      <alignment horizontal="justify" vertical="justify" wrapText="1"/>
    </xf>
    <xf numFmtId="0" fontId="64" fillId="0" borderId="0" xfId="0" applyFont="1" applyAlignment="1">
      <alignment horizontal="justify" vertical="justify" wrapText="1"/>
    </xf>
    <xf numFmtId="0" fontId="64" fillId="0" borderId="77" xfId="0" applyFont="1" applyBorder="1" applyAlignment="1">
      <alignment horizontal="justify" vertical="justify" wrapText="1"/>
    </xf>
    <xf numFmtId="0" fontId="0" fillId="19" borderId="11" xfId="0" applyFill="1" applyBorder="1" applyAlignment="1">
      <alignment horizontal="center"/>
    </xf>
    <xf numFmtId="0" fontId="0" fillId="19" borderId="12" xfId="0" applyFill="1" applyBorder="1" applyAlignment="1">
      <alignment horizontal="center"/>
    </xf>
    <xf numFmtId="0" fontId="0" fillId="19" borderId="13" xfId="0" applyFill="1" applyBorder="1" applyAlignment="1">
      <alignment horizontal="center"/>
    </xf>
    <xf numFmtId="0" fontId="54" fillId="0" borderId="18" xfId="0" applyFont="1" applyBorder="1" applyAlignment="1">
      <alignment horizontal="left" vertical="center" wrapText="1"/>
    </xf>
    <xf numFmtId="0" fontId="54" fillId="0" borderId="19" xfId="0" applyFont="1" applyBorder="1" applyAlignment="1">
      <alignment horizontal="left" vertical="center" wrapText="1"/>
    </xf>
    <xf numFmtId="0" fontId="54" fillId="0" borderId="20" xfId="0" applyFont="1" applyBorder="1" applyAlignment="1">
      <alignment horizontal="left" vertical="center" wrapText="1"/>
    </xf>
    <xf numFmtId="167" fontId="55" fillId="0" borderId="91" xfId="0" applyNumberFormat="1" applyFont="1" applyBorder="1" applyAlignment="1">
      <alignment horizontal="center" vertical="center" wrapText="1"/>
    </xf>
    <xf numFmtId="0" fontId="55" fillId="0" borderId="91" xfId="0" applyFont="1" applyBorder="1" applyAlignment="1">
      <alignment horizontal="center" vertical="center" wrapText="1"/>
    </xf>
    <xf numFmtId="169" fontId="53" fillId="0" borderId="2" xfId="0" applyNumberFormat="1" applyFont="1" applyBorder="1" applyAlignment="1">
      <alignment horizontal="right" vertical="center"/>
    </xf>
    <xf numFmtId="169" fontId="53" fillId="0" borderId="3" xfId="0" applyNumberFormat="1" applyFont="1" applyBorder="1" applyAlignment="1">
      <alignment horizontal="right" vertical="center"/>
    </xf>
    <xf numFmtId="0" fontId="51" fillId="0" borderId="2" xfId="0" applyFont="1" applyBorder="1" applyAlignment="1">
      <alignment horizontal="center"/>
    </xf>
    <xf numFmtId="0" fontId="51" fillId="0" borderId="3" xfId="0" applyFont="1" applyBorder="1" applyAlignment="1">
      <alignment horizontal="center"/>
    </xf>
    <xf numFmtId="0" fontId="63" fillId="0" borderId="40" xfId="0" applyFont="1" applyBorder="1" applyAlignment="1">
      <alignment horizontal="left"/>
    </xf>
    <xf numFmtId="0" fontId="63" fillId="0" borderId="89" xfId="0" applyFont="1" applyBorder="1" applyAlignment="1">
      <alignment horizontal="left"/>
    </xf>
    <xf numFmtId="0" fontId="63" fillId="0" borderId="43" xfId="0" applyFont="1" applyBorder="1" applyAlignment="1">
      <alignment horizontal="left"/>
    </xf>
    <xf numFmtId="167" fontId="63" fillId="0" borderId="40" xfId="0" applyNumberFormat="1" applyFont="1" applyBorder="1" applyAlignment="1">
      <alignment horizontal="right"/>
    </xf>
    <xf numFmtId="167" fontId="63" fillId="0" borderId="89" xfId="0" applyNumberFormat="1" applyFont="1" applyBorder="1" applyAlignment="1">
      <alignment horizontal="right"/>
    </xf>
    <xf numFmtId="167" fontId="53" fillId="0" borderId="2" xfId="0" applyNumberFormat="1" applyFont="1" applyBorder="1" applyAlignment="1">
      <alignment horizontal="right" vertical="center"/>
    </xf>
    <xf numFmtId="167" fontId="53" fillId="0" borderId="3" xfId="0" applyNumberFormat="1" applyFont="1" applyBorder="1" applyAlignment="1">
      <alignment horizontal="right" vertical="center"/>
    </xf>
    <xf numFmtId="0" fontId="53" fillId="0" borderId="2" xfId="0" applyFont="1" applyBorder="1" applyAlignment="1">
      <alignment horizontal="center"/>
    </xf>
    <xf numFmtId="0" fontId="53" fillId="0" borderId="3" xfId="0" applyFont="1" applyBorder="1" applyAlignment="1">
      <alignment horizontal="center"/>
    </xf>
    <xf numFmtId="0" fontId="64" fillId="0" borderId="18" xfId="0" applyFont="1" applyBorder="1" applyAlignment="1">
      <alignment horizontal="left" vertical="center"/>
    </xf>
    <xf numFmtId="0" fontId="64" fillId="0" borderId="19" xfId="0" applyFont="1" applyBorder="1" applyAlignment="1">
      <alignment horizontal="left" vertical="center"/>
    </xf>
    <xf numFmtId="0" fontId="0" fillId="19" borderId="42" xfId="0" applyFill="1" applyBorder="1" applyAlignment="1">
      <alignment horizontal="center"/>
    </xf>
    <xf numFmtId="0" fontId="0" fillId="19" borderId="89" xfId="0" applyFill="1" applyBorder="1" applyAlignment="1">
      <alignment horizontal="center"/>
    </xf>
    <xf numFmtId="0" fontId="54" fillId="0" borderId="18" xfId="0" applyFont="1" applyBorder="1" applyAlignment="1">
      <alignment horizontal="center" vertical="center"/>
    </xf>
    <xf numFmtId="0" fontId="54" fillId="0" borderId="19" xfId="0" applyFont="1" applyBorder="1" applyAlignment="1">
      <alignment horizontal="center" vertical="center"/>
    </xf>
    <xf numFmtId="167" fontId="53" fillId="0" borderId="2" xfId="0" applyNumberFormat="1" applyFont="1" applyBorder="1" applyAlignment="1">
      <alignment horizontal="right"/>
    </xf>
    <xf numFmtId="167" fontId="53" fillId="0" borderId="3" xfId="0" applyNumberFormat="1" applyFont="1" applyBorder="1" applyAlignment="1">
      <alignment horizontal="right"/>
    </xf>
    <xf numFmtId="0" fontId="52" fillId="0" borderId="2" xfId="0" applyFont="1" applyBorder="1" applyAlignment="1">
      <alignment vertical="center"/>
    </xf>
    <xf numFmtId="0" fontId="52" fillId="0" borderId="3" xfId="0" applyFont="1" applyBorder="1" applyAlignment="1">
      <alignment vertical="center"/>
    </xf>
    <xf numFmtId="0" fontId="52" fillId="0" borderId="2" xfId="0" applyFont="1" applyBorder="1" applyAlignment="1">
      <alignment horizontal="right" vertical="center"/>
    </xf>
    <xf numFmtId="0" fontId="52" fillId="0" borderId="3" xfId="0" applyFont="1" applyBorder="1" applyAlignment="1">
      <alignment horizontal="right" vertical="center"/>
    </xf>
    <xf numFmtId="0" fontId="52" fillId="0" borderId="32" xfId="0" applyFont="1" applyBorder="1" applyAlignment="1">
      <alignment horizontal="right" vertical="center"/>
    </xf>
    <xf numFmtId="0" fontId="55" fillId="0" borderId="2" xfId="0" applyFont="1" applyBorder="1" applyAlignment="1">
      <alignment horizontal="right" vertical="center"/>
    </xf>
    <xf numFmtId="0" fontId="55" fillId="0" borderId="3" xfId="0" applyFont="1" applyBorder="1" applyAlignment="1">
      <alignment horizontal="right" vertical="center"/>
    </xf>
    <xf numFmtId="0" fontId="55" fillId="0" borderId="94" xfId="0" applyFont="1" applyBorder="1" applyAlignment="1">
      <alignment horizontal="right" vertical="center"/>
    </xf>
    <xf numFmtId="0" fontId="64" fillId="0" borderId="42" xfId="0" applyFont="1" applyBorder="1" applyAlignment="1">
      <alignment horizontal="left" vertical="center"/>
    </xf>
    <xf numFmtId="0" fontId="64" fillId="0" borderId="89" xfId="0" applyFont="1" applyBorder="1" applyAlignment="1">
      <alignment horizontal="left" vertical="center"/>
    </xf>
    <xf numFmtId="0" fontId="54" fillId="0" borderId="2" xfId="0" applyFont="1" applyBorder="1" applyAlignment="1">
      <alignment horizontal="right" vertical="center"/>
    </xf>
    <xf numFmtId="0" fontId="54" fillId="0" borderId="3" xfId="0" applyFont="1" applyBorder="1" applyAlignment="1">
      <alignment horizontal="right" vertical="center"/>
    </xf>
    <xf numFmtId="0" fontId="54" fillId="0" borderId="32" xfId="0" applyFont="1" applyBorder="1" applyAlignment="1">
      <alignment horizontal="right" vertical="center"/>
    </xf>
    <xf numFmtId="167" fontId="52" fillId="0" borderId="2" xfId="0" applyNumberFormat="1" applyFont="1" applyBorder="1" applyAlignment="1">
      <alignment horizontal="right" vertical="center"/>
    </xf>
    <xf numFmtId="167" fontId="52" fillId="0" borderId="3" xfId="0" applyNumberFormat="1" applyFont="1" applyBorder="1" applyAlignment="1">
      <alignment horizontal="right" vertical="center"/>
    </xf>
    <xf numFmtId="167" fontId="52" fillId="0" borderId="32" xfId="0" applyNumberFormat="1" applyFont="1" applyBorder="1" applyAlignment="1">
      <alignment horizontal="right" vertical="center"/>
    </xf>
    <xf numFmtId="0" fontId="61" fillId="18" borderId="31" xfId="0" applyFont="1" applyFill="1" applyBorder="1" applyAlignment="1">
      <alignment vertical="center"/>
    </xf>
    <xf numFmtId="0" fontId="61" fillId="18" borderId="3" xfId="0" applyFont="1" applyFill="1" applyBorder="1" applyAlignment="1">
      <alignment vertical="center"/>
    </xf>
    <xf numFmtId="0" fontId="62" fillId="18" borderId="3" xfId="0" applyFont="1" applyFill="1" applyBorder="1" applyAlignment="1">
      <alignment horizontal="right"/>
    </xf>
    <xf numFmtId="0" fontId="62" fillId="18" borderId="32" xfId="0" applyFont="1" applyFill="1" applyBorder="1" applyAlignment="1">
      <alignment horizontal="right"/>
    </xf>
    <xf numFmtId="0" fontId="63" fillId="18" borderId="31" xfId="0" applyFont="1" applyFill="1" applyBorder="1" applyAlignment="1">
      <alignment vertical="center"/>
    </xf>
    <xf numFmtId="0" fontId="63" fillId="18" borderId="3" xfId="0" applyFont="1" applyFill="1" applyBorder="1" applyAlignment="1">
      <alignment vertical="center"/>
    </xf>
    <xf numFmtId="0" fontId="59" fillId="0" borderId="31" xfId="0" applyFont="1" applyBorder="1" applyAlignment="1">
      <alignment vertical="center"/>
    </xf>
    <xf numFmtId="0" fontId="59" fillId="0" borderId="3" xfId="0" applyFont="1" applyBorder="1" applyAlignment="1">
      <alignment vertical="center"/>
    </xf>
    <xf numFmtId="0" fontId="51" fillId="0" borderId="2" xfId="0" applyFont="1" applyBorder="1" applyAlignment="1">
      <alignment horizontal="right"/>
    </xf>
    <xf numFmtId="0" fontId="51" fillId="0" borderId="3" xfId="0" applyFont="1" applyBorder="1" applyAlignment="1">
      <alignment horizontal="right"/>
    </xf>
    <xf numFmtId="0" fontId="51" fillId="0" borderId="32" xfId="0" applyFont="1" applyBorder="1" applyAlignment="1">
      <alignment horizontal="right"/>
    </xf>
    <xf numFmtId="0" fontId="53" fillId="0" borderId="31" xfId="0" applyFont="1" applyBorder="1" applyAlignment="1">
      <alignment horizontal="center" vertical="center"/>
    </xf>
    <xf numFmtId="0" fontId="53" fillId="0" borderId="3" xfId="0" applyFont="1" applyBorder="1" applyAlignment="1">
      <alignment horizontal="center" vertical="center"/>
    </xf>
    <xf numFmtId="0" fontId="53" fillId="0" borderId="4" xfId="0" applyFont="1" applyBorder="1" applyAlignment="1">
      <alignment horizontal="center" vertical="center"/>
    </xf>
    <xf numFmtId="0" fontId="53" fillId="0" borderId="2" xfId="0" applyFont="1" applyBorder="1" applyAlignment="1">
      <alignment horizontal="center" vertical="center"/>
    </xf>
    <xf numFmtId="0" fontId="53" fillId="0" borderId="32" xfId="0" applyFont="1" applyBorder="1" applyAlignment="1">
      <alignment horizontal="center" vertical="center"/>
    </xf>
    <xf numFmtId="0" fontId="56" fillId="0" borderId="2" xfId="0" applyFont="1" applyBorder="1" applyAlignment="1">
      <alignment horizontal="left" vertical="center"/>
    </xf>
    <xf numFmtId="0" fontId="51" fillId="0" borderId="3" xfId="0" applyFont="1" applyBorder="1" applyAlignment="1">
      <alignment horizontal="left" vertical="center"/>
    </xf>
    <xf numFmtId="0" fontId="51" fillId="0" borderId="4" xfId="0" applyFont="1" applyBorder="1" applyAlignment="1">
      <alignment horizontal="left" vertical="center"/>
    </xf>
    <xf numFmtId="0" fontId="52" fillId="0" borderId="89" xfId="0" applyFont="1" applyBorder="1" applyAlignment="1">
      <alignment horizontal="left" vertical="center"/>
    </xf>
    <xf numFmtId="0" fontId="50" fillId="18" borderId="11" xfId="0" applyFont="1" applyFill="1" applyBorder="1" applyAlignment="1">
      <alignment horizontal="center" vertical="center" wrapText="1"/>
    </xf>
    <xf numFmtId="0" fontId="50" fillId="18" borderId="12" xfId="0" applyFont="1" applyFill="1" applyBorder="1" applyAlignment="1">
      <alignment horizontal="center" vertical="center" wrapText="1"/>
    </xf>
    <xf numFmtId="0" fontId="50" fillId="18" borderId="13" xfId="0" applyFont="1" applyFill="1" applyBorder="1" applyAlignment="1">
      <alignment horizontal="center" vertical="center" wrapText="1"/>
    </xf>
    <xf numFmtId="0" fontId="52" fillId="0" borderId="93" xfId="0" applyFont="1" applyBorder="1" applyAlignment="1">
      <alignment horizontal="center"/>
    </xf>
    <xf numFmtId="0" fontId="52" fillId="0" borderId="0" xfId="0" applyFont="1" applyAlignment="1">
      <alignment horizontal="center"/>
    </xf>
    <xf numFmtId="0" fontId="52" fillId="0" borderId="41" xfId="0" applyFont="1" applyBorder="1" applyAlignment="1">
      <alignment horizontal="left"/>
    </xf>
    <xf numFmtId="0" fontId="52" fillId="0" borderId="0" xfId="0" applyFont="1" applyAlignment="1">
      <alignment horizontal="left"/>
    </xf>
    <xf numFmtId="0" fontId="52" fillId="19" borderId="11" xfId="0" applyFont="1" applyFill="1" applyBorder="1" applyAlignment="1">
      <alignment horizontal="center"/>
    </xf>
    <xf numFmtId="0" fontId="52" fillId="19" borderId="12" xfId="0" applyFont="1" applyFill="1" applyBorder="1" applyAlignment="1">
      <alignment horizontal="center"/>
    </xf>
    <xf numFmtId="0" fontId="52" fillId="19" borderId="70" xfId="0" applyFont="1" applyFill="1" applyBorder="1" applyAlignment="1">
      <alignment horizontal="center"/>
    </xf>
    <xf numFmtId="0" fontId="54" fillId="18" borderId="20" xfId="0" applyFont="1" applyFill="1" applyBorder="1" applyAlignment="1">
      <alignment horizontal="left" vertical="center"/>
    </xf>
    <xf numFmtId="0" fontId="52" fillId="0" borderId="31"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0" borderId="2" xfId="0" applyFont="1" applyBorder="1" applyAlignment="1">
      <alignment horizontal="center" vertical="center"/>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32" xfId="0" applyFont="1" applyBorder="1" applyAlignment="1">
      <alignment horizontal="center" vertical="center" wrapText="1"/>
    </xf>
    <xf numFmtId="0" fontId="53" fillId="0" borderId="52" xfId="0" applyFont="1" applyBorder="1" applyAlignment="1">
      <alignment horizontal="left"/>
    </xf>
    <xf numFmtId="0" fontId="53" fillId="0" borderId="70" xfId="0" applyFont="1" applyBorder="1" applyAlignment="1">
      <alignment horizontal="left"/>
    </xf>
    <xf numFmtId="44" fontId="96" fillId="0" borderId="2" xfId="2" applyFont="1" applyBorder="1" applyAlignment="1">
      <alignment horizontal="center" vertical="center"/>
    </xf>
    <xf numFmtId="44" fontId="96" fillId="0" borderId="3" xfId="2" applyFont="1" applyBorder="1" applyAlignment="1">
      <alignment horizontal="center" vertical="center"/>
    </xf>
    <xf numFmtId="44" fontId="96" fillId="0" borderId="4" xfId="2" applyFont="1" applyBorder="1" applyAlignment="1">
      <alignment horizontal="center" vertical="center"/>
    </xf>
    <xf numFmtId="0" fontId="99" fillId="0" borderId="0" xfId="0" applyFont="1" applyAlignment="1">
      <alignment horizontal="center" vertical="center"/>
    </xf>
    <xf numFmtId="10" fontId="54" fillId="0" borderId="40" xfId="0" applyNumberFormat="1" applyFont="1" applyBorder="1" applyAlignment="1">
      <alignment horizontal="center"/>
    </xf>
    <xf numFmtId="10" fontId="54" fillId="0" borderId="43" xfId="0" applyNumberFormat="1" applyFont="1" applyBorder="1" applyAlignment="1">
      <alignment horizontal="center"/>
    </xf>
    <xf numFmtId="0" fontId="54" fillId="0" borderId="31"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4" xfId="0" applyFont="1" applyBorder="1" applyAlignment="1">
      <alignment horizontal="center" vertical="center" wrapText="1"/>
    </xf>
    <xf numFmtId="0" fontId="82" fillId="19" borderId="11" xfId="0" applyFont="1" applyFill="1" applyBorder="1" applyAlignment="1">
      <alignment horizontal="center" vertical="center"/>
    </xf>
    <xf numFmtId="0" fontId="82" fillId="19" borderId="12" xfId="0" applyFont="1" applyFill="1" applyBorder="1" applyAlignment="1">
      <alignment horizontal="center" vertical="center"/>
    </xf>
    <xf numFmtId="0" fontId="82" fillId="19" borderId="13" xfId="0" applyFont="1" applyFill="1" applyBorder="1" applyAlignment="1">
      <alignment horizontal="center" vertical="center"/>
    </xf>
    <xf numFmtId="44" fontId="94" fillId="0" borderId="0" xfId="2" applyFont="1" applyBorder="1" applyAlignment="1">
      <alignment horizontal="right" vertical="center"/>
    </xf>
    <xf numFmtId="167" fontId="55" fillId="0" borderId="0" xfId="0" applyNumberFormat="1" applyFont="1" applyAlignment="1">
      <alignment horizontal="center" vertical="center"/>
    </xf>
    <xf numFmtId="0" fontId="54" fillId="18" borderId="29" xfId="0" applyFont="1" applyFill="1" applyBorder="1" applyAlignment="1">
      <alignment horizontal="left" vertical="center"/>
    </xf>
    <xf numFmtId="0" fontId="54" fillId="18" borderId="97" xfId="0" applyFont="1" applyFill="1" applyBorder="1" applyAlignment="1">
      <alignment horizontal="left" vertical="center"/>
    </xf>
    <xf numFmtId="0" fontId="54" fillId="18" borderId="49" xfId="0" applyFont="1" applyFill="1" applyBorder="1" applyAlignment="1">
      <alignment horizontal="left" vertical="center"/>
    </xf>
    <xf numFmtId="0" fontId="50" fillId="25" borderId="11" xfId="0" applyFont="1" applyFill="1" applyBorder="1" applyAlignment="1">
      <alignment horizontal="center" vertical="center" wrapText="1"/>
    </xf>
    <xf numFmtId="0" fontId="50" fillId="25" borderId="12" xfId="0" applyFont="1" applyFill="1" applyBorder="1" applyAlignment="1">
      <alignment horizontal="center" vertical="center" wrapText="1"/>
    </xf>
    <xf numFmtId="0" fontId="50" fillId="25" borderId="13" xfId="0" applyFont="1" applyFill="1" applyBorder="1" applyAlignment="1">
      <alignment horizontal="center" vertical="center" wrapText="1"/>
    </xf>
    <xf numFmtId="0" fontId="109" fillId="0" borderId="101" xfId="0" applyFont="1" applyBorder="1" applyAlignment="1">
      <alignment horizontal="left" vertical="center" wrapText="1"/>
    </xf>
    <xf numFmtId="0" fontId="109" fillId="0" borderId="1" xfId="0" applyFont="1" applyBorder="1" applyAlignment="1">
      <alignment horizontal="left" vertical="center" wrapText="1"/>
    </xf>
    <xf numFmtId="0" fontId="109" fillId="0" borderId="103" xfId="0" applyFont="1" applyBorder="1" applyAlignment="1">
      <alignment horizontal="left" vertical="center" wrapText="1"/>
    </xf>
    <xf numFmtId="0" fontId="109" fillId="0" borderId="104" xfId="0" applyFont="1" applyBorder="1" applyAlignment="1">
      <alignment horizontal="left" vertical="center" wrapText="1"/>
    </xf>
    <xf numFmtId="0" fontId="116" fillId="21" borderId="1" xfId="0" applyFont="1" applyFill="1" applyBorder="1" applyAlignment="1">
      <alignment horizontal="center" vertical="center" wrapText="1"/>
    </xf>
    <xf numFmtId="44" fontId="116" fillId="0" borderId="104" xfId="2" applyFont="1" applyFill="1" applyBorder="1" applyAlignment="1">
      <alignment horizontal="center" vertical="center" wrapText="1"/>
    </xf>
    <xf numFmtId="44" fontId="117" fillId="0" borderId="1" xfId="2" applyFont="1" applyFill="1" applyBorder="1" applyAlignment="1">
      <alignment horizontal="center" vertical="center"/>
    </xf>
    <xf numFmtId="44" fontId="116" fillId="0" borderId="1" xfId="2" applyFont="1" applyFill="1" applyBorder="1" applyAlignment="1">
      <alignment horizontal="center" vertical="center" wrapText="1"/>
    </xf>
    <xf numFmtId="0" fontId="104" fillId="0" borderId="98" xfId="0" applyFont="1" applyBorder="1" applyAlignment="1">
      <alignment horizontal="left" vertical="center" wrapText="1"/>
    </xf>
    <xf numFmtId="0" fontId="104" fillId="0" borderId="99" xfId="0" applyFont="1" applyBorder="1" applyAlignment="1">
      <alignment horizontal="left" vertical="center" wrapText="1"/>
    </xf>
    <xf numFmtId="0" fontId="104" fillId="0" borderId="101" xfId="0" applyFont="1" applyBorder="1" applyAlignment="1">
      <alignment horizontal="left" vertical="center" wrapText="1"/>
    </xf>
    <xf numFmtId="0" fontId="104" fillId="0" borderId="1" xfId="0" applyFont="1" applyBorder="1" applyAlignment="1">
      <alignment horizontal="left" vertical="center" wrapText="1"/>
    </xf>
    <xf numFmtId="0" fontId="114" fillId="21" borderId="99" xfId="0" applyFont="1" applyFill="1" applyBorder="1" applyAlignment="1">
      <alignment horizontal="center" vertical="center" wrapText="1"/>
    </xf>
    <xf numFmtId="0" fontId="103" fillId="0" borderId="1" xfId="0" applyFont="1" applyBorder="1" applyAlignment="1">
      <alignment horizontal="center" vertical="center"/>
    </xf>
    <xf numFmtId="0" fontId="105" fillId="10" borderId="1" xfId="0" applyFont="1" applyFill="1" applyBorder="1" applyAlignment="1">
      <alignment horizontal="center" vertical="center" wrapText="1"/>
    </xf>
    <xf numFmtId="0" fontId="99" fillId="10" borderId="1" xfId="0" applyFont="1" applyFill="1" applyBorder="1" applyAlignment="1">
      <alignment horizontal="center" vertical="center" wrapText="1"/>
    </xf>
    <xf numFmtId="0" fontId="106" fillId="10" borderId="1" xfId="0" applyFont="1" applyFill="1" applyBorder="1" applyAlignment="1">
      <alignment horizontal="center" vertical="center" wrapText="1"/>
    </xf>
    <xf numFmtId="0" fontId="82" fillId="28" borderId="1" xfId="0" applyFont="1" applyFill="1" applyBorder="1" applyAlignment="1">
      <alignment horizontal="center" vertical="center" wrapText="1"/>
    </xf>
    <xf numFmtId="44" fontId="106" fillId="19" borderId="1" xfId="0" applyNumberFormat="1" applyFont="1" applyFill="1" applyBorder="1" applyAlignment="1">
      <alignment horizontal="center" vertical="center"/>
    </xf>
    <xf numFmtId="0" fontId="0" fillId="0" borderId="1" xfId="0" applyBorder="1" applyAlignment="1">
      <alignment horizontal="center"/>
    </xf>
    <xf numFmtId="0" fontId="87" fillId="0" borderId="1" xfId="0" applyFont="1" applyBorder="1" applyAlignment="1">
      <alignment horizontal="justify" vertical="center" wrapText="1"/>
    </xf>
    <xf numFmtId="0" fontId="64" fillId="24" borderId="1" xfId="0" applyFont="1" applyFill="1" applyBorder="1" applyAlignment="1">
      <alignment horizontal="center"/>
    </xf>
    <xf numFmtId="0" fontId="0" fillId="0" borderId="0" xfId="0" applyAlignment="1">
      <alignment horizontal="center"/>
    </xf>
    <xf numFmtId="0" fontId="124" fillId="18" borderId="21" xfId="0" applyFont="1" applyFill="1" applyBorder="1" applyAlignment="1">
      <alignment horizontal="center" vertical="center"/>
    </xf>
    <xf numFmtId="0" fontId="124" fillId="18" borderId="1" xfId="0" applyFont="1" applyFill="1" applyBorder="1" applyAlignment="1">
      <alignment horizontal="center" vertical="center"/>
    </xf>
    <xf numFmtId="0" fontId="124" fillId="18" borderId="22" xfId="0" applyFont="1" applyFill="1" applyBorder="1" applyAlignment="1">
      <alignment horizontal="center" vertical="center"/>
    </xf>
    <xf numFmtId="0" fontId="122" fillId="0" borderId="21" xfId="0" applyFont="1" applyBorder="1" applyAlignment="1">
      <alignment horizontal="left" vertical="center"/>
    </xf>
    <xf numFmtId="0" fontId="122" fillId="0" borderId="1" xfId="0" applyFont="1" applyBorder="1" applyAlignment="1">
      <alignment horizontal="left" vertical="center"/>
    </xf>
    <xf numFmtId="0" fontId="123" fillId="0" borderId="0" xfId="0" applyFont="1" applyAlignment="1">
      <alignment horizontal="left" vertical="center"/>
    </xf>
    <xf numFmtId="0" fontId="118" fillId="0" borderId="54" xfId="0" applyFont="1" applyBorder="1" applyAlignment="1">
      <alignment horizontal="center" vertical="center"/>
    </xf>
    <xf numFmtId="0" fontId="118" fillId="0" borderId="106" xfId="0" applyFont="1" applyBorder="1" applyAlignment="1">
      <alignment horizontal="center" vertical="center"/>
    </xf>
    <xf numFmtId="0" fontId="118" fillId="0" borderId="50" xfId="0" applyFont="1" applyBorder="1" applyAlignment="1">
      <alignment horizontal="center" vertical="center"/>
    </xf>
    <xf numFmtId="0" fontId="119" fillId="18" borderId="21" xfId="0" applyFont="1" applyFill="1" applyBorder="1" applyAlignment="1">
      <alignment horizontal="center" vertical="center"/>
    </xf>
    <xf numFmtId="0" fontId="116" fillId="18" borderId="1" xfId="0" applyFont="1" applyFill="1" applyBorder="1" applyAlignment="1">
      <alignment horizontal="center" vertical="center"/>
    </xf>
    <xf numFmtId="0" fontId="116" fillId="18" borderId="22" xfId="0" applyFont="1" applyFill="1" applyBorder="1" applyAlignment="1">
      <alignment horizontal="center" vertical="center"/>
    </xf>
    <xf numFmtId="0" fontId="122" fillId="18" borderId="21" xfId="0" applyFont="1" applyFill="1" applyBorder="1" applyAlignment="1">
      <alignment horizontal="left" vertical="center"/>
    </xf>
    <xf numFmtId="0" fontId="122" fillId="18" borderId="1" xfId="0" applyFont="1" applyFill="1" applyBorder="1" applyAlignment="1">
      <alignment horizontal="left" vertical="center"/>
    </xf>
    <xf numFmtId="0" fontId="2" fillId="18" borderId="0" xfId="0" applyFont="1" applyFill="1" applyAlignment="1">
      <alignment horizontal="left" wrapText="1"/>
    </xf>
    <xf numFmtId="44" fontId="95" fillId="26" borderId="2" xfId="0" applyNumberFormat="1" applyFont="1" applyFill="1" applyBorder="1" applyAlignment="1">
      <alignment horizontal="center" vertical="center"/>
    </xf>
    <xf numFmtId="44" fontId="95" fillId="26" borderId="4" xfId="0" applyNumberFormat="1" applyFont="1" applyFill="1" applyBorder="1" applyAlignment="1">
      <alignment horizontal="center" vertical="center"/>
    </xf>
    <xf numFmtId="10" fontId="61" fillId="0" borderId="2" xfId="4" applyNumberFormat="1" applyFont="1" applyBorder="1" applyAlignment="1">
      <alignment horizontal="center" vertical="center"/>
    </xf>
    <xf numFmtId="10" fontId="61" fillId="0" borderId="4" xfId="4" applyNumberFormat="1" applyFont="1" applyBorder="1" applyAlignment="1">
      <alignment horizontal="center" vertical="center"/>
    </xf>
    <xf numFmtId="0" fontId="127" fillId="0" borderId="2" xfId="0" applyFont="1" applyBorder="1" applyAlignment="1">
      <alignment horizontal="left" vertical="center"/>
    </xf>
    <xf numFmtId="0" fontId="127" fillId="0" borderId="3" xfId="0" applyFont="1" applyBorder="1" applyAlignment="1">
      <alignment horizontal="left" vertical="center"/>
    </xf>
    <xf numFmtId="0" fontId="127" fillId="0" borderId="4" xfId="0" applyFont="1" applyBorder="1" applyAlignment="1">
      <alignment horizontal="left" vertical="center"/>
    </xf>
    <xf numFmtId="44" fontId="127" fillId="0" borderId="2" xfId="2" applyFont="1" applyBorder="1" applyAlignment="1">
      <alignment horizontal="center" vertical="center"/>
    </xf>
    <xf numFmtId="44" fontId="127" fillId="0" borderId="3" xfId="2" applyFont="1" applyBorder="1" applyAlignment="1">
      <alignment horizontal="center" vertical="center"/>
    </xf>
    <xf numFmtId="44" fontId="127" fillId="0" borderId="4" xfId="2" applyFont="1" applyBorder="1" applyAlignment="1">
      <alignment horizontal="center" vertical="center"/>
    </xf>
    <xf numFmtId="14" fontId="55" fillId="0" borderId="2" xfId="0" applyNumberFormat="1" applyFont="1" applyBorder="1" applyAlignment="1">
      <alignment horizontal="right" vertical="center"/>
    </xf>
    <xf numFmtId="0" fontId="128" fillId="24" borderId="33" xfId="0" applyFont="1" applyFill="1" applyBorder="1" applyAlignment="1">
      <alignment horizontal="right" vertical="center"/>
    </xf>
    <xf numFmtId="0" fontId="128" fillId="24" borderId="34" xfId="0" applyFont="1" applyFill="1" applyBorder="1" applyAlignment="1">
      <alignment horizontal="right" vertical="center"/>
    </xf>
    <xf numFmtId="0" fontId="128" fillId="0" borderId="31" xfId="0" applyFont="1" applyBorder="1" applyAlignment="1">
      <alignment horizontal="left" vertical="center"/>
    </xf>
    <xf numFmtId="0" fontId="128" fillId="0" borderId="3" xfId="0" applyFont="1" applyBorder="1" applyAlignment="1">
      <alignment horizontal="left" vertical="center"/>
    </xf>
    <xf numFmtId="0" fontId="128" fillId="0" borderId="4" xfId="0" applyFont="1" applyBorder="1" applyAlignment="1">
      <alignment horizontal="left" vertical="center"/>
    </xf>
    <xf numFmtId="44" fontId="128" fillId="0" borderId="2" xfId="2" applyFont="1" applyBorder="1" applyAlignment="1" applyProtection="1">
      <alignment horizontal="center" vertical="center"/>
    </xf>
    <xf numFmtId="44" fontId="128" fillId="0" borderId="4" xfId="2" applyFont="1" applyBorder="1" applyAlignment="1" applyProtection="1">
      <alignment horizontal="center" vertical="center"/>
    </xf>
    <xf numFmtId="0" fontId="128" fillId="0" borderId="33" xfId="0" applyFont="1" applyBorder="1" applyAlignment="1">
      <alignment horizontal="left" vertical="center"/>
    </xf>
    <xf numFmtId="0" fontId="128" fillId="0" borderId="34" xfId="0" applyFont="1" applyBorder="1" applyAlignment="1">
      <alignment horizontal="left" vertical="center"/>
    </xf>
    <xf numFmtId="0" fontId="128" fillId="0" borderId="51" xfId="0" applyFont="1" applyBorder="1" applyAlignment="1">
      <alignment horizontal="left" vertical="center"/>
    </xf>
    <xf numFmtId="0" fontId="128" fillId="24" borderId="29" xfId="0" applyFont="1" applyFill="1" applyBorder="1" applyAlignment="1">
      <alignment horizontal="right" vertical="center"/>
    </xf>
    <xf numFmtId="0" fontId="128" fillId="24" borderId="97" xfId="0" applyFont="1" applyFill="1" applyBorder="1" applyAlignment="1">
      <alignment horizontal="right" vertical="center"/>
    </xf>
    <xf numFmtId="0" fontId="128" fillId="24" borderId="31" xfId="0" applyFont="1" applyFill="1" applyBorder="1" applyAlignment="1">
      <alignment horizontal="right" vertical="center"/>
    </xf>
    <xf numFmtId="0" fontId="128" fillId="24" borderId="3" xfId="0" applyFont="1" applyFill="1" applyBorder="1" applyAlignment="1">
      <alignment horizontal="right" vertical="center"/>
    </xf>
    <xf numFmtId="0" fontId="128" fillId="0" borderId="31" xfId="0" applyFont="1" applyBorder="1" applyAlignment="1">
      <alignment horizontal="center" vertical="center"/>
    </xf>
    <xf numFmtId="0" fontId="128" fillId="0" borderId="3" xfId="0" applyFont="1" applyBorder="1" applyAlignment="1">
      <alignment horizontal="center" vertical="center"/>
    </xf>
    <xf numFmtId="0" fontId="128" fillId="0" borderId="4" xfId="0" applyFont="1" applyBorder="1" applyAlignment="1">
      <alignment horizontal="center" vertical="center"/>
    </xf>
    <xf numFmtId="0" fontId="128" fillId="0" borderId="2" xfId="0" applyFont="1" applyBorder="1" applyAlignment="1">
      <alignment horizontal="center" vertical="center" wrapText="1"/>
    </xf>
    <xf numFmtId="0" fontId="128" fillId="0" borderId="4" xfId="0" applyFont="1" applyBorder="1" applyAlignment="1">
      <alignment horizontal="center" vertical="center" wrapText="1"/>
    </xf>
    <xf numFmtId="0" fontId="23" fillId="25" borderId="1" xfId="0" applyFont="1" applyFill="1" applyBorder="1" applyAlignment="1">
      <alignment horizontal="center"/>
    </xf>
    <xf numFmtId="0" fontId="23" fillId="18" borderId="2" xfId="0" applyFont="1" applyFill="1" applyBorder="1" applyAlignment="1">
      <alignment horizontal="center"/>
    </xf>
    <xf numFmtId="0" fontId="23" fillId="18" borderId="3" xfId="0" applyFont="1" applyFill="1" applyBorder="1" applyAlignment="1">
      <alignment horizontal="center"/>
    </xf>
    <xf numFmtId="0" fontId="23" fillId="18" borderId="4" xfId="0" applyFont="1" applyFill="1" applyBorder="1" applyAlignment="1">
      <alignment horizontal="center"/>
    </xf>
    <xf numFmtId="0" fontId="23" fillId="21" borderId="1" xfId="0" applyFont="1" applyFill="1" applyBorder="1" applyAlignment="1">
      <alignment horizontal="center" vertical="center"/>
    </xf>
    <xf numFmtId="0" fontId="131" fillId="0" borderId="2" xfId="0" applyFont="1" applyBorder="1" applyAlignment="1">
      <alignment horizontal="left" vertical="center" wrapText="1"/>
    </xf>
    <xf numFmtId="0" fontId="131" fillId="0" borderId="3" xfId="0" applyFont="1" applyBorder="1" applyAlignment="1">
      <alignment horizontal="left" vertical="center" wrapText="1"/>
    </xf>
    <xf numFmtId="0" fontId="131" fillId="0" borderId="4" xfId="0" applyFont="1" applyBorder="1" applyAlignment="1">
      <alignment horizontal="left" vertical="center" wrapText="1"/>
    </xf>
    <xf numFmtId="44" fontId="133" fillId="0" borderId="2" xfId="2" applyFont="1" applyBorder="1" applyAlignment="1">
      <alignment horizontal="center" vertical="center"/>
    </xf>
    <xf numFmtId="44" fontId="133" fillId="0" borderId="3" xfId="2" applyFont="1" applyBorder="1" applyAlignment="1">
      <alignment horizontal="center" vertical="center"/>
    </xf>
    <xf numFmtId="44" fontId="133" fillId="0" borderId="4" xfId="2" applyFont="1" applyBorder="1" applyAlignment="1">
      <alignment horizontal="center" vertical="center"/>
    </xf>
    <xf numFmtId="0" fontId="126" fillId="0" borderId="2" xfId="0" applyFont="1" applyBorder="1" applyAlignment="1">
      <alignment horizontal="left" vertical="center" wrapText="1"/>
    </xf>
    <xf numFmtId="0" fontId="126" fillId="0" borderId="3" xfId="0" applyFont="1" applyBorder="1" applyAlignment="1">
      <alignment horizontal="left" vertical="center" wrapText="1"/>
    </xf>
    <xf numFmtId="0" fontId="126" fillId="0" borderId="4" xfId="0" applyFont="1" applyBorder="1" applyAlignment="1">
      <alignment horizontal="left" vertical="center" wrapText="1"/>
    </xf>
    <xf numFmtId="0" fontId="122" fillId="0" borderId="33" xfId="0" applyFont="1" applyBorder="1" applyAlignment="1">
      <alignment horizontal="left" vertical="center"/>
    </xf>
    <xf numFmtId="0" fontId="122" fillId="0" borderId="34" xfId="0" applyFont="1" applyBorder="1" applyAlignment="1">
      <alignment horizontal="left" vertical="center"/>
    </xf>
    <xf numFmtId="0" fontId="137" fillId="19" borderId="26" xfId="0" applyFont="1" applyFill="1" applyBorder="1" applyAlignment="1" applyProtection="1">
      <alignment horizontal="center" vertical="center" wrapText="1"/>
      <protection locked="0"/>
    </xf>
    <xf numFmtId="0" fontId="137" fillId="19" borderId="27" xfId="0" applyFont="1" applyFill="1" applyBorder="1" applyAlignment="1" applyProtection="1">
      <alignment horizontal="center" vertical="center" wrapText="1"/>
      <protection locked="0"/>
    </xf>
    <xf numFmtId="0" fontId="137" fillId="19" borderId="28" xfId="0" applyFont="1" applyFill="1" applyBorder="1" applyAlignment="1" applyProtection="1">
      <alignment horizontal="center" vertical="center" wrapText="1"/>
      <protection locked="0"/>
    </xf>
    <xf numFmtId="0" fontId="143" fillId="0" borderId="26" xfId="0" applyFont="1" applyBorder="1" applyAlignment="1">
      <alignment horizontal="left" vertical="center"/>
    </xf>
    <xf numFmtId="0" fontId="143" fillId="0" borderId="27" xfId="0" applyFont="1" applyBorder="1" applyAlignment="1">
      <alignment horizontal="left" vertical="center"/>
    </xf>
    <xf numFmtId="0" fontId="107" fillId="10" borderId="1" xfId="0" applyFont="1" applyFill="1" applyBorder="1" applyAlignment="1">
      <alignment horizontal="center" vertical="center" wrapText="1"/>
    </xf>
    <xf numFmtId="0" fontId="2" fillId="19" borderId="11"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13" xfId="0" applyFont="1" applyFill="1" applyBorder="1" applyAlignment="1">
      <alignment horizontal="center" vertical="center"/>
    </xf>
    <xf numFmtId="0" fontId="113" fillId="19" borderId="11" xfId="0" applyFont="1" applyFill="1" applyBorder="1" applyAlignment="1">
      <alignment horizontal="center" vertical="center"/>
    </xf>
    <xf numFmtId="0" fontId="113" fillId="19" borderId="13" xfId="0" applyFont="1" applyFill="1" applyBorder="1" applyAlignment="1">
      <alignment horizontal="center" vertical="center"/>
    </xf>
    <xf numFmtId="0" fontId="82" fillId="28" borderId="11" xfId="0" applyFont="1" applyFill="1" applyBorder="1" applyAlignment="1">
      <alignment horizontal="center" vertical="center" wrapText="1"/>
    </xf>
    <xf numFmtId="0" fontId="82" fillId="28" borderId="12" xfId="0" applyFont="1" applyFill="1" applyBorder="1" applyAlignment="1">
      <alignment horizontal="center" vertical="center" wrapText="1"/>
    </xf>
    <xf numFmtId="0" fontId="124" fillId="18" borderId="21" xfId="0" applyFont="1" applyFill="1" applyBorder="1" applyAlignment="1">
      <alignment horizontal="left" vertical="center"/>
    </xf>
    <xf numFmtId="0" fontId="124" fillId="18" borderId="1" xfId="0" applyFont="1" applyFill="1" applyBorder="1" applyAlignment="1">
      <alignment horizontal="left" vertical="center"/>
    </xf>
    <xf numFmtId="0" fontId="124" fillId="18" borderId="22" xfId="0" applyFont="1" applyFill="1" applyBorder="1" applyAlignment="1">
      <alignment horizontal="left" vertical="center"/>
    </xf>
    <xf numFmtId="0" fontId="53" fillId="0" borderId="52" xfId="0" applyFont="1" applyBorder="1"/>
    <xf numFmtId="0" fontId="53" fillId="0" borderId="70" xfId="0" applyFont="1" applyBorder="1"/>
  </cellXfs>
  <cellStyles count="8">
    <cellStyle name="Moeda" xfId="2" builtinId="4"/>
    <cellStyle name="Moeda 2" xfId="6" xr:uid="{8C21763D-7DDC-4492-98BD-658A66D6C39C}"/>
    <cellStyle name="Normal" xfId="0" builtinId="0"/>
    <cellStyle name="Normal 15" xfId="5" xr:uid="{E317D5B9-E049-4821-AA4A-0E4306AFD778}"/>
    <cellStyle name="Porcentagem" xfId="4" builtinId="5"/>
    <cellStyle name="Porcentagem 2" xfId="7" xr:uid="{A6B110C6-8C8D-4D92-AF36-58317412128F}"/>
    <cellStyle name="Vírgula" xfId="1" builtinId="3"/>
    <cellStyle name="Vírgula 2" xfId="3" xr:uid="{D7060D17-0D39-4277-B068-343D018D80CD}"/>
  </cellStyles>
  <dxfs count="19">
    <dxf>
      <font>
        <b/>
        <i val="0"/>
      </font>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sharedStrings" Target="sharedStrings.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975360</xdr:colOff>
      <xdr:row>8</xdr:row>
      <xdr:rowOff>114300</xdr:rowOff>
    </xdr:from>
    <xdr:to>
      <xdr:col>2</xdr:col>
      <xdr:colOff>297180</xdr:colOff>
      <xdr:row>9</xdr:row>
      <xdr:rowOff>276226</xdr:rowOff>
    </xdr:to>
    <xdr:sp macro="" textlink="">
      <xdr:nvSpPr>
        <xdr:cNvPr id="2" name="AutoShape 2" descr="data:image/png;base64,iVBORw0KGgoAAAANSUhEUgAAApAAAACzCAYAAAA+EizhAAAAAXNSR0IArs4c6QAAAARnQU1BAACxjwv8YQUAAAAJcEhZcwAADsMAAA7DAcdvqGQAAD48SURBVHhe7Zzhlew2rm4nFwfjWByKI3EY88NxOJZ5a4+97/suLsmiqqukajX2WlgtiSAIAhDE0/Y5//pP0zRN0zRN0xygD5BN0zRN0zTNIfoA2TRN0zRN0xxieoD817/+1dLS0tLS0tLS8oNlxvIA2TSfTtfpdXTsr6HjfoyO1zV03O/BKo/TkU5+8x3oOr2Ojv01dNyP0fG6ho77PVjlcTrSyW++A12n1/Gpsccv5M8///znyb04Eve//vrrf+KB/P777/+MfD74+oo8HonXb7/99r/ipRDHV4LNX3/99Z+746Rv+PxV8AVbj9jVg129HX755Zf/2a/Cs1dCnWH3q+/Is3aOxDZ5ld8zVj5NR57ZSNOcTdfpdXxi7G2myCs+rJ/IkbjzUfKg8qoD2VlceYB89YGxwhrm5Sj46OHpjz/++K8tfp7BlQfIVx8YK686iD1rpw+QTXMyXafX8Ymx9wDgz6QeSPKwYBPmGfgbj0/kiF/ozvTrbyfz0OTBBPHD5iHFZ6AN42ZM6xzvU3eE89Xjp/la+bsC3V1cc2R7VT8ZB34ixgjSd3Vy3PpTVnuzNmc6Mx/APShifiTztdJbsau3w+oAWX1K3Xyv+em1ZJ2rkwexjNdsfXhkh7mO+05Uch9f9fuVYHvGdGQ1qWk+ha7T6/jE2OMTDdUGm83aj8HoAAA2cJ/PGv3V4Nsu+eFy38Iz9gzuGfIwBMbFeOS8qqud/Jjlh7HqJ340navv+s31yN9H7OqBdkeHs1X9uC8PGVU3Y2Btupe675UPoC2k1midy7XruK5z8FV/0z/88Ln70rfUe8Su3g7pa6X6lLrG1his4uOYe605XPmwspP+mQNtJqn3Fb9fjT6NmI6sJjXNp9B1eh2fFvv6geTaJgv1g1Cbsh/LOu/TwL9d/BDVffncWOV9/cit4mrMiCUYU+c6nh83dSrmx3xkvlb+PmK01gx9S3Fvq/qpcagxzDHgvh4AZBSzxHElDzXc5zoZ07pOgi91zGdpc6Q3Y1dvB/aoL4q5rz7lQc86MZYZj1lNqYsNcwQ1p/LIDtc193kvuY9q44jfr0afRkxHVpOa5lPoOr2OT4t9/ZDUD6ZNmIYLjtOURRs2508k97RLfoCJgx/DKjyvcVLXmHDth9XDjB/EGtPRx20Ud6jP04+Vv49Ab5eZb7CqH4RrnkHGrI4B98aw1u1If4Tz1B3NS5/rOkmOOWdkc2Wjsqu3Qx4KK9Wn1K31N6opa6jqco1tqfqysmP8qoxym/v4it+vRp9GTEdWk5rmU/iEOs2X+yfxST1i1qgRG62N1zzRxLlnLjiufCrP+ub+2LcfHWOT1Dh5ry4fZz+s9YBRY+p4ftzUqfgeOTffq5W/jxitNaP6n9S4pK77NA41ZjkG3BvDGo9RzGYYF23VdTKmdZ0kDy95AKv7Sr1H7OrtkD5V6r5S1/gYy1VNVV1sGFeo+ZdHdrjOnMzI2FYbR/x+Nfo0YjqymnQmBq7KKyCpBP8rPJM8C3EkR4ugvuBHYJ4viC8h9r4T+PwMNQc7deAcX1yh0dRnlSONNzEvVR6tdwb48SnYJ2pceGaN1/xxjVjzfnh8p32n6ryrwZcd6j68z/0bG+NHLGaHBucZJ3CeutZr9pGs/Wo7qb2UNbj33eR65O8j0Ntl5L/UOuBa3bqvqpsxcMy91H2vfHAd53o/m5u6K59m1zW/OfaIXb0dsuYquWdjqW6NrfsZ1ZR2ZrorH1Z2Mmb6Yw6Skd4zfmc8XgG2ZkxHVpPOpAauvkDPUu0+S030UbJonsF4UDRHyTi+uujO4tnYMc+c7eagNuAzGOXlU3K1E7OzoLGP/DG3xsp7JONY+4F63F+R9xX4sou+K9kn2HeOZS80Hs7JcXtejmk3Y5qYn9QdsVp35e8KdHeZ+S+z+tE39zaqmToPW1LzNFsfMv5I2oH0sY5lfBHXcQ6kfQ9N2km9R+zq7aAfM/QX/1LXvdjr63ueezUv6oLPkNX6j+ww1/F8noxy8Izf3q9q6AjYmjEdWU06kxo4qEWsDlKTnAXgnPqy+pKv7CQ5/1GxZAMZMXohte8Ya4A2HYNsXI5V332OOA/y3vnpexag6yiZjyvBl6P48mUskqyD3Kt5GdVL6vnc/HHvteiDMnvZzUuOa7/6pWTNuS6yqgttHYF5zfm8O+7WJnUG1tusRj+drtNr6Ljfg1UepyOfkvz6sYT8GNdxPpJ+KG2EfFA9AHkYq/NWdiroefjwA898SN/8sKfvlXqwAOe5BnCt72k3D3ZQ9zmbB1y7hvtAB3LsUeyuBD+OkjGr89kTz9ABasA4GD9+rvSMj/ECxlzLudaMsddWMhpLW+7FXDBm3Wa+65pZ3/o7Wn+FPjTnckbcrTvFuvmOdJ1eQ8f9HqzyOB35lOT7cfMD6QfTj3V+uCE/ml4jtQFWuys7iR9ixvNe+1znwaHeV/IwIK49ato8V9AzHrlGHiKkzvOZe64HlYyHscoDBverfZ0FfjyDe1JqrHPcWJoX4wcjPZ+lXubZWIs5rD6AulXSNuibAulb6tf1VuuvcJ3mXDrux+h4XUPH/R6s8jgd+ZTk50dQycMR9x50wA+pH0x0c67PtesBkeuVHanP8wDph7jK6qCVBwsZra0ez3LcNXONtDmbB1y7Zw8q2APiZpzrGOTcK8GPZ6n5Ipfm071nHDJ+K71aWzDKiYxyKKPY60etOai2HVNyj1WwdwTmNOfTcT9Gx+saOu73YJXH6cinJH/0MU74aOdBxo9r1deO+6p2d+348WU87/34cj06CMyoH3xwbdeoB4wcHx0+sMl+VvOAa/dcDyqjA5FjkHavBD++insnLqs4ZPx24pW1k3l2rpgnayip64D6jNW1RvUE2sHH1XpHGK3T/A1x9t2yLl5Fx/0YPyVeo75zJV2n92CVx+nIpyT/0UtRx1cfcg9WUMdWdiro1YMX8yE/4Nji2gPbiNEHPw8qwr1rOodxDwMI13m4gNk8yLF6UMn9V5s1VleCH0fRf+PgPfvMvZk/45B5WemN4mPsQX30oMY+GY2lH3ltnhAY5dR8Z361kf7u4DrPoG/WlLgHn2fczoI1R7nYhbnGebTHr3JWPFjHGhHzw/5qHSc1j1dyJF6+C0rdfwUdc/1Vdusu3/kEX+uzFTM7rwLbr8B++qo4vxPq/WgfXb1HO7Am87/Ss1as8jgdeVXyv8roY1wxgEh94XMMMcg2OKR+yJFV4zDhiHMy+cx1/FFR8FKgl4xebOOAOIdn2agdT99n88Bn4Hzjg420k3tGjr4k7wJfnqHWRcY6n2d+al5mesY8Y5TjoC1l9vJXPxWeS9ab62jPeyXJ57n/Xaq9I6TPSdbzFdT34BP5StyPYCyyjus7MOPqPCa78fK9zb3V97bCGDpf5Ujd7ebgalZxO0L2sE9+L0d9fwe/rX6XP41VHqcjq0lN8yl0nV7Hs7G3YfrRzA9hPXjkB1x9fzrXayTJ5zb1tO+YBwA/AApz1Ff0C9yH4hqQHz0kGa19hGrvXbi//LC5L+JSxzMemSvJPzTkH07fDevtUP2VfJ714B4zh7Um0Bd1jYMxGNUdaB/JNUYHSPXqc/C5udNWtVN91w9Y7WsGel/FeBuLrMU6htS6ytjWsZyHJOYIqXEe5dBY1jn5bJRDZLS3md/OM5fMdb45qfvaydUKbMyYjqwmNc2n0HV6Hc/G3gYH/MzGmh8FsFGC82y0NnE+bn7gcszGazPGtvbrmB/L2ozR0+bIjn7mPPS0r542qn2uc/87MOcsWMu9QPq7E/OMT52XH+Z3wlqPWPmE3+4r6zE/5lDjMcp1net6VXdVJ3Xuamzlb+pap5kv7nn+aF8z0Pkq1hFrZX2BPrtO3YNz8R9yfua7zhvFTBtc1zF+Ql0PO9oc2TEPxtP4rvzWjnMh8+G4cK0Pz5L2KtOR1aSm+RS6Tq/j2dgzrzZPmh+smnnVzcaa87y2Ied9tV8be10DnKOgW+eN0HfE9fIa/Fjkeo9A/ywyHu6Zn8Deuc+41pjnXoF88Tx13w1rPaLuLSGP1lndE/e1lqXGJHWNnetlnIHrXCfrJH31OusQX12n2uHesUd25NG+ZuScZ8l33Bjo46jGMlcZB8g9eo3UfVSbec/1LIfVP+GZgm6d571+7PidPpsfawd8hqStZ8DGjOnIalLTfApdp9fxTOxtgLV5el8/CjQ/16mNMj8uOU+bVWi61X71Z7QG99jMD8TsYwGOYSvXq2vDys4M9M/C+OBnjY1xZiyvoe7VuSPdd8Naj9An6yCxzkb5494PdNYqVP3UrTHI2I7WQY9nzMuazeey6+8jO/JoXzNyzjPUGLluvU8/0ld+ulfI/YLvtsJzbVZxDa5nOawx1Bfs5tp5DdUO1zO/61zAN57hu+POr7aeARszpiOrSU3zKXSdXsczsbepVrHJ1Y+C+pCNEvxQQs7z2oacVPu1Iecaqw+E8/xYJDO/IK9Bm+jtgv6ZsJ55yI9RxqfGfLRv59a4vhvW2iH9lUf549598TzXqjFJ3RoD51oHXOc66DmeNTuqQ2rPdaod7h17ZEce7WtGznkG160ye7eAvTmecYDZHo0tAtVmwtgsh9rhefUtY+08rqHaWfmddsQ4sSbzuBau09YzpL3KdGQ1qWk+ha7T6zgae5tqbWjZAGvjzYaYekCjnX1MciwbcNWrDXnlC/ZmdvLjkT77XL20D1wfbfDaPgt9RvLDNfrwGfO67xzTnvPeDWvtoM+5R3NpvjK31o75q/FY5fqR7mpurdnV2Mrf1GUdrs2XscDPR77OQOcrMN+akfRLn/VltQcY1adjxMSxjJl7N55cG78al2ozdbU5smM8Z3bS78yZZD7yWl3XeRZszJiOrCY1zafQdXodR2NvY8zmBzY6xutHwMYL2RwhG2udB9wrrln1XNtxPwo+c02kfgRSd/ZcH7OJawd5prkz70yMEWLswX364TO2iHGrcUbcf+bqnbDWLuknYn0ljrnHzGGdn/FK3Rq7WncwqxPXUC/jns9hJyfqz+oZ1FVyXzPQexbXMz6ij+zBvbkvpOZrdwzJPaHr8/SB+1kOM9Y8Q7w3l+pmrPUj15n5XXMG6rJ++oCw7qiGj4CdGdOR1aSm+RS6Tq+jY/+/PwRn0XE/xk+OF4cHDxAeLvKg8k7eHXf3wwGqeR+rPE5HfvJL13wfuk6vo2P//yEWHCbPoON+jJ8cr/wDDvLV30Yd4d1x7wPkOazyOB2x4FpaWlpaWlpaWn6mzFgeIP/973+3tLS0tLS0tBySPkPcQ/oA2dLS0tLS0nKa9BniHtIHyJaWlpaWlpbTpM8Q95A+QLa0tLS0tLScJn2GuIf0AbKlpaWlpaXlNOkzxD2kD5AtLS0tLS0tp0mfIe4hfYBsaWlpaWlpOU36DHEP6QNkS0tLS0tLy2nSZ4h7SB8gW1paWlpaWk6TPkPcQ/oA2dLS0tLS0nKa9BniHtIHyJaWlpaWlpbTpM8Q95A+QLa0tLS0tLScJn2GuIf0AbKlpaWlpaXlNOkzxD2kD5AtLS0tLS0tp0mfIe4hfYBsaWlpaWlpOU36DHEP6QNkS0tLS0tLy2nSZ4h7SB8gW1paWlpaWk6TPkPcQ/oA2dLS0tLS0nKa9BniHvL0AbKlpaWlpaWlpeXnyozlAbJpPp2u0+vo2F9Dx/0YHa9r6Ljfg1UepyOd/OY78O46/f333/8rzf+le8Q1dNyP0fG6ho77PVjlcTryquT/9ttvQ1t//fXXf5/zcf7jjz+210MP/Xr9Cfzyyy/TwwbPGZcjezZWI/nzzz//0XoNv/76639z9ogj/r+Toz4Qr4xfCnFOcixzV6n5WemCsVvpUi+MZ36PrkMuH+lrE92jMK85n3fG/VFNfUe6Tq+h434PVnmcjrwq+X6w60HHjygfsCOHEfTQr9df4RV23MPsAMlYNucje/Yj/+rD4oifcoCseyQ3acvDF/n0MDeLS53L/exA5vrW28huHvwy50fWgZHtCuPorezMSF+a89iNO3ozqb3EGldmfWwEdTjqTVnH6Dwi10cqvjvKbs8e2WreT8f9HqzyOB15ZfKxVRsSzeWZj1aC3d0msuIVdrBBkxw1Xj7SjGUTPXIAO/MA+d3YjaH4EaoHKw9Sxphr83nkYwp+OMlbBVs55rrCtWvzc5Xz1Truc+W7Osgz7yLzmvPZjTt6o75Wa9BexL09aja3MqtT6jpriutVjWEja7W+F/roOtZuXXdE2mnOo+N+D1Z5nI68Mvk0gzw8AfZtUDYHyQ+bc9XNeXkNNjMk16Mx0bxy3HmjZ7k+MvpAJ/jIXGzVDza2WJvn6RP62LZRIrmXhPUZf9QstVNtub5j+KFN7wVdfAJ+pn+IPug/GK/U1YZg17Eao6+AvSOkr4m+uz/rwtgdgXnIqG6Mg7iuuo5Vf0YwnnOTzLdSwZfc51FGNpv3sxt39GY9hbxb1+Te98FewNiqJnyPlKzTUb/y2ahWtVXhmf6nv4LP+r1iZLt5Px33e7DK43Tklcm3Qdg88vAB9Z5rG4cfQu9n17WZjGzY0Li3UULq2ui85yf3M9C30Y6aHGPo1DW1W30coU9Vci1su3/13S8+cC/OF671Iz8m/GQMe96714yL+dWfmu+cp2+u91X0YRd9c4/Cs8yP+VCq/gxjnbaSmgtjbK5k9lx21zEHVTfrj5/m5wjMa85nN+7mdwS14PtK7q3vWT1VmIPt2mvAd6yC7SPvvf6P1jjCyJfm/XTc78Eqj9ORVycfezYPmlV+sHjuenktOXd2ndhwbJD8HH08Je1UXZitA+zDxpZNGZhjY37kg03XD37yqIGO5uZHIa+h+pn3qVvzlHtI/+v61V+uM37V7lfQh130tUrmRqpuxnAE4+qu6oVxcY6xktlz2Fmn4hxzxH55Zq6eyQfzmvPZjfusPniPsxZ8l6mJ0Xuwor7rgL2RHWos+84KfcK+76FrKbu1j25zPh33e7DK43Tk1cnnY+VHqr78Nguva/PhXv2cm9faQGyENqs8+IC6knZsrlUcT3jGviTXBObJIx+ySVZGTTpxbhV9I+4rP/M+dTNnkHtI/6vv6e/Id+yk3a+gD7voa+4x7yv4iqCzWit1ZraAfacd169593nGDXbXqaQ9bbCm+XkmH8xrzmc37ujNpNabdaBkr1rhvPp+j+Znb1mhTeyA72za9NmoL1fQa86n434PVnmcjrw6+fnCV9v5bDTuvNV1HoIg72tDq2uknVnzG+FHuQrP3e9IoPqgfm3sMGrSyWou1Ma9ilXq8jMPFhmb9L+uX/3l2vhCtfsV9GEXfa3x4FnGRHjmvmdraRN5tC/WRc9YoT+yq54xhCPrVHJd1xzJEY7qN69hN+7o5XtHHfMsa6pCnfv++q6vqO86sOZoLnU3escS7WV9W/e+M+J7+QjmNufTcb8HqzxOR96RfGwi+fGGepji2sZn0/N+dk0jsTlpz/vaaBwXxrRjA/Pe5rVqupI+VB75MGuSMGrSFWxnXNHXF5pxjlU/8z51+ZmNPPeQ/lffq7/VDmPG96vowy76mvHwGeIeuDYu7jvnJIypX6nree/+cyzhGWPGEI6so27uJ3Mg5mo09gjmNeezG3f06ntmXVkXFWvLeprpifWTdercCrZX77226vsws4et0btQGc1t3k/H/R6s8jgdeUfyRx9FoBHkejYMxDn5wR1da8M5iB/FPPhAXa+ukevn80ewhgexyiMfXHPUsEdNeoT+IuxJiEPeVz/zPnUzhpB7SP+r7yN/saNvsxg9gz7soq8ZD+Ce5+7XPSiZu6TqpTA2Ws/YITO7+mMMn1kndTKPiXZn4yuY15zPbtzRG/Wumm9qUD3r0XqiPlZYP9Yp7D5LRvWbjObSR3bqlrnN+XTc78Eqj9ORT0r+qHk0Dby7TvlIvfLA+07O9rU/ENewG3f0RgdI/wDjGDWjTQ+Q/Nw5nM0OhhwE8w9H2JrZ08aqdtNH8MA52l8l5zXn0XG/B6s8TkeuSr6NgaYCtXE0TdK18Te8L/nBPoOO/TXsxh292QGLwxzjHvzss8rO4RFWv1l0DaTWJmP+trGunZKHSg++ys7hEdBtzqfjfg9WeZyOXJn82lBGzalp4Mo6/el07K/hnXE/8w8hs/9c/Wq6Tq+h434PVnmcjnTym+9A1+l1dOyv4Q5x55cC+dvFd9J1eg0d93uwyuN0pJPffAe6Tq+jY38Nd4g7v330f1N6N12n19BxvwerPE5HmNTS0tKykuZ8RnloWUtzPh33e7DK4/IA2TSfTtfpdXTsr6HjfoyO1zV03O/BKo/TkU5+8x14d53y/2md9f9qfTe6R1xDx/0YHa9r6Ljfg1UepyOvTP7s3xTzn2Xgf6jm/4nZ+acj0GUO//9MXn8CHDTq3yx89m+U+89jzOa5d2UWg/pPXyj1n8AYPfsO4PcRatxSagxzbPW3U2uuHv1N1szJTNe6ybwfXSf/GZWZvjZ33r0K85rzeWfcH9XUd6Tr9Bo67vdglcfpyCuT78ewwmHLhnXlAfIVdtxjHiA5KGRD9uCwsw56Hh6cJ370HWftWeOvc8H5jEm9/y7UvT3CXNeDPvFLWx6+iO0ot0mdy/2sll3fWI/s5sHPHMORdWBku8I4ejvvXiV9ac5jN+7ozSTrCqxxhftdqMNqD7KO0XlEro9UfHeU3X41stW8n477PVjlcTryyuT74tcmw7Mjjaqi3asPkMxFaJiPPtjoHT2ojQ6Mux981mJuhec7Tf3TGe1thbmuefIgZYy5Jj7E+miN+uEc1RO2csx1hWvX5qf+jFit4z5XvquD7NZTwrzmfHbjjt6o19QatEdwb0+Yza3M6pS6zprielVj2Mhare+FPrqOtVvXHZF2mvPouN+DVR6nI69OPo0mP9o2gPyQZoOxySHZ8HJetcFP5yC5HrZtSgr6dY62cn2b6gwbn2uswB5+63s2ae5H822ewjrZbFfUueK+8QPSF/ab9nNfPM84Aj/zWY1XxjJz/AqweQTjXuOs/8bDD+ORWAvzEGspwR5j4rrqOlb9GcF4zk0y5koFX3KfRxnZbN7PbtzRy/6S5DtO7n0ffHcZW9WE75GSdVp7C/hsVKvaqvBs1pMAn/V7xch283467vdglcfpyKuTz8tvcwJe/GxQeW9Dsdnw3Pscq3rYt+HMbAj3Np+q66HL++rrjLQ5wo+6uA4wd7QG40h+CNynY9oYkWtUeM7evXaN2qxzX+7B2AD36XvaqutjexWjo6TtHcx19YFnWZ/uU9n1mThUW4njgl3uzYPMnsvuOuap6poXf2b+dmFecz67cTe/I6gF33Fyb33P6qnCHGxTX6yTdeo7VsH2zJ8R+j9a4wgjX5r303G/B6s8TkdenXybih+0bGBAA/MjlteQc2fXFT+MNp1skpBrVDtVd7VOUucl2tAfQZ/nyArGjRexS31szBq/cRjBc/3h2uZec5P74nldK+dCzq8xWfnzDEdtmYcqo/hV3VluJXOZ8UiIB+PinFld1Oews07FOdYw++UZ9zzHr6Mwrzmf3bjP6oN3M2vBd5KaGL0HK6yfrFPsjexQY9lXVugT9n0PXUvZrX10m/PpuN+DVR6nI+9IPk2FBpINQfiY+RHjGhEbR20m1Y4fScQPtY2N+7SZ61U7zq3i+Iy6hmhfXxJsMvaoGaa//MxGXP1PbMQV13VO+mCeJPfF8/pxqP7n/GpLX1/FUVuu7374mfcVfEfQWa2VOjNbYG2J69fc+bzWzO46lbSnDda0DqytIzCvOZ/duKM3k1pv1oFS3/EZzss6pb5G87OPrNAmdsB3Nm36bOcQiV5zPh33e7DK43TkHcmnIdhE6gcrn9VxmwWNZXZdG1m9r80r10g7UHV3Gc3Ttn5UmENjzPVHpL9c21yh+p/MDpC1yaPzjgNkjcnMn2c5astYpU/GP/csPHPPs7W0iZijGayLXtbayK56WTdH1qnkuq45kiMc1W9ew27c0cv3kjrmWdZUhTqnRtCr7/kIddMma47mUnejdyzRXta3de87I76Xj2Bucz4d93uwyuN05B3Jzw9gNjbgA2fTqA3DDx73OZbXCNc8g/oBxgbPJNdzLj/BQ473Nt5H1DWqT5VsgCN/nOc+jZn3wjznVtxLov3MQd6nPXXd16hpV1uM+6Go62M3Y/RV0vYOxi598Blizrl2H+555jdj6lfqejWXOZbwjDH05cg66uZ+RjVifmf1s4J5zfnsxh29fC/BurIuKtaW9TTTE+sn69S5FWxXfxJt1fdhZg9bo3ehMprbvJ+O+z1Y5XE68q7k+2Gr0DTyI8ZHGz0km142ttrk1ENsLh5k6sGlrqdf2sr18/mK0RppQ/FQwnU2Xu6d796U2ni5d2zVRFMvpdrLZ+xVPWzjk37hd12v2su4Q8bymYPKCmwewbhmnsBc6V/GAJnFuOqlMDZabyd3+mN9PLNO6szirt1n8sK85nx2445efc+h5psaVM96tJ6ojxXWj3UKu8+SUf0mo7n0lZ26ZW5zPh33e7DK43Tkk5Jvc2mayrvrgo9UHoY/mbN97XfyGnbjjt7oAOkfYByjZrTpAZKfO4ez2cGQg2D+4QhbM3vaWNVu+gh+E0b7q+S85jw67vdglcfpyJXJp1nsNp/mZ9NN6m/4COc7cwYd+2vYjTt6swMW/ZRxD34e0JTdfrv6zaJrILU2GfO3jXXtlDxUevBVdg6PgG5zPh33e7DK43Tk6uRn8+lCbGZ0bVxHx/4a3hn3M/8QMvvP1a+m6/QaOu73YJXH6Ugnv/kOdJ1eR8f+Gu4Qd35jmb9dfCddp9fQcb8HqzxOR5jU0tLSspLmfEZ5aFlLcz4d93uwyuPyANk0n07X6XV07K+h436Mjtc1dNzvwSqP05FOfvMd6Dq9jo79NXTcj9HxuoaO+z1Y5XE60slvvgNdp9fRsb+GjvsxOl7X0HG/B6s8Tkc6+c13oOv0Ojr219BxP0bH6xo67vdglcfpSCe/+Q50nV5Hx/4aOu7H6HhdQ8f9HqzyOB3p5Dffga7T6+jYX0PH/Rgdr2vouN+DVR6nI5385jvQdXodHftr6Lgfo+N1DR33e7DK43Skk998B7pOr6Njfw0d92N0vK6h434PVnmcjnTym+9A1+l1dOyvoeN+jI7XNXTc78Eqj9ORTn7zHeg6vY6O/TV03I/R8bqGjvs9WOVxOtLJb74DXafX0bG/ho77MTpe19BxvwerPE5HOvnNd6Dr9Dqujv3vv//+n99+++2fu59D1/wxro7XH3/88d9a/Wl8lzr95Zdf/rlqRqzyOB3pJtV8B7pOr+OVsf/111//a28kjFWqziM4aO7o//XXX9s2gYMBurMDAocHxl950N31rfmbV8ar1lHKKMdVZxfqZlT31pPy559//jMyJusZGdVpjn/nOq17rcJ44rurHDnkj+wl5OWRDjzqS9XHR/bewcgvmY6sJjXNp9B1eh2vjP3qAInkh200vvotwuyjPwI7q/EkP1izj4/j3/nD/N15ZbzI4+hgZy1kHVBL6PsbSGTnt10eEus69VCi3upQwTh6oI/eA/6kz4zPavko2DoT9zc6VNsDJGNnTrjP2MxAz7kzdnRqPeBj3uujoJ/3Z7FaczpyhaNNc5Su0+t4Zew9QNYGbhN1Le/Rp6H6QefZ7LcxznecJj3St0ErK9IvpH50/dgr+PkqsNfs88p4WW8j8kBg/jlAUCvWB89mdQrWMlLX4b7WEc9q7Un6IzzTrjWc8KzOeZZq+92sDpDAGPuDjKX7zdiMqO/87HCIXXvMo0Om/gjP9B8bNbc8q3PeDT7NmI6sJjXNp9B1eh2vjD2NG3uj5shz17KJ01iRZw5mo+bux8cx1xuRHxL1s9Hn4dHxZ/ycgb1mn1fGizzODhnUAPmG2QFyBXOcP1qHsfp+YHfmDzZq3ekXjOb6HqwOPrucXaf67gGswpjxY9/Gxpg/Aj1sZ24r9oaVDszijF/WinaSUU7fDX7MmI6sJjXNp9B1eh2vjD2NE3v1A2lDzibPvXKkmdrUkfpBd/3UmYFPfnhZv9rDhv7ynPFXNv2Vb83/5ZXxIo/mPvFAkHVADfAsDwW7jNbBVj1QUIuzA9Bo3Ty4sMaoLkfrPAN2zsS9jXxnn+lP9pVZ/GbYI+rhD1x/pQOOV8xJ5ikhn6P6eycjP2U6wqSWlpaWlbwKmuLIvpIHS5tryuhDWPGjgeRHw0MeP9P2Dn6YZgcEbe/4t4v+tezLqzDfIxnVQNXPOl7BvDwoWJf1cGRNj6DGq09pB/ujujzi54qZX+9i1BdSKlV/9yA5OxxmPB8dIGd5M++z+eTz6IH3q4z8lOnIalLTfApdp9fxytivDpAzPJwpux+9PNT5EfFjnR+VHbCB7ujwALnWq9j1rfmbV8bLD7xYL6v8UpfUgbWyU6d1HWDu6AA5O1Awv9al/vKTNUZ+j9Z5BuyciXtL3405YzOIn3N3Dmejw13Nw+wAKI5XzIn+1Pnks9bFuxn5KdOR1aSm+RTeXae8sLUJN3/zytjTFLHnx5Wf3OczIBc8My80W5vxKE+OjZq7H1iuZ4LuCj9Qo7VB++i9Cuw1+7wyXuSxfsBX9QfUr2PM3amF0TrUcL4LgN2qJ9ioa+krjObODi7PcHad6nt9Z9njyhd7g7F5tPeRnmuMZFQXszhjR33G615GOX03+DFjOrKa9AjmjjZJYAwa47PCTzJZflQ+BfZQi8M9KrUAZrhPpRZWflCRGRnjhPk7f7r6bqxiMaLGOaXGLMdWsWPeri5kLme65jHr5+g6tamN9LW58y5WmPcq9DU/kBknc5P5I0a+g96PUF/bzOHeZu34SB69v9qara199F4F9t7Fo5r6jrwyXuRx9K5YB9Zp9luurQ/m7tTCaJ3R3JU91qz5zGe+X8no2bO8s05H2MvqO+vzjBMxsB8YD3uLOZyxo7ejw7g+SD7Dr9pXRs/eDT7NmI6sJj2CRJmUhGL3pRi9ICMyEa8q7t1CWYH/2Mhk4l/uW38frcN46tUXv/q7ih1z0a3j1bcVr4rzGRz101hmMwFik7aIH/fE05jWOVLncj/Lj+sTYxjZdW0EfTmyDoxsVxhHb2VnRvryVdyzcRH9Y69iHKrMMH9VMrbiu4iIPmCnshqDR7XzDOnbCvRmUvdeYzTbzwjyMYpl1nHmb0auj1R8d5RaKzNGtp6FPM7eFdbJMe6JI376k2ejWFVG67h/52tv9X3RB7C2M27kJWsz9b8Kts7E/Y3iy55yzHuwNvk5y21iHlZx39FJH4A85HtS81v1z2K15nTkK46OCtvkZvEeRbtfZSe5M9wHiUYevWzP7Ln6R2HlS74Cf2zcuS7XWZwrXhXnMzjqp7Gt8eSe54wD1+b3UY4rxn9UXzaBzC33wrVr81N/RqzWcZ8r39VBdhpnhXmvYlSzoo+ZM+OjPMK4K6OYAc+rTXM0iuVqDFw3ff8q6dsK9Ebx1Cdj4PvOvT1iNrcyq1P2mzXF9arGsJExNK6ij65j7dZ1R6Sdr1L3lehj5pr7lB1/YbaOa4zsGZOs7axnZFSnOZ6+fxXsnYl7ncXYWjU+vgfKqj6TUZwrIx3Wr/G3zpVK9XG15rsY+SXTkdWkHZifwbLwpb4gGUiDBpmIasMxJdcjWaPkYCefmZDUXRWSfsCoICrYw099dS5wz7oVbGJbuM55K5iL/zVW3KdN4B6d9KvGFOo+sa/fzONeW8Y341nX1bfR2FGwcQT3V+Ouv4yD+2Fvj3JcYR5ibSXYY0xcV13Hqj8jGM+5CT47rlQyb1wfZWTzTNhjzeO7ID6+I1ezG3f0Zj6Td+uavRlH30fGVjVR+0TWqT1g9GxUq9qq8Ez/01/B5538j2yfCXuovr8L1hnF+Aqujvsu1vy7IS9n1cErWeVxOvLV5PNiZwPKJgU57oFC/KiBzYXgVz2ubVIjG1kY2YDSJvA851ZfZ6TNEdVu+sgaGR/AH8aRbL7cOxfJfVVYU7u5D+bnvBwzHqtY5j6r3ZwL3OfeuEcPauzRS92jpJ87uH7NL88yPuZO2akHYC/VVuK4YJf7jB/MnsvuOsa56po3fz6TA+b9BKiF3fyfwW7cze+IfKfJvfub1VOFOdi2Z2Wd+o5VsD3zZ4T+j9Y4wsiXu/LMe/wuflLcd6CWj9T/p7DK43Tkq8knUGmD6wweDctizwYGOddmRBOpNhM/+H4ws0FCrpE2oequ1knqvMQ1atPDB56v7NswjRfX2djZy6xR4I9jNXba0H76lvGp+1/FchQr7vUdcj7z0veai6PUtR/helUyvlJ13fOMzG3uP2HvjItzMhcwew4761SckzXPM2shc7IL85rz2Y37rD54F7MWfIepidF7sGLUS7A3skONzfplRZ+w73voWspu7aP7EyA+vNOfwk+J+y7P9NhPYJXH6cgrku9LbjNIKHQDWhuLDSOveTmqHeZxj3iNHtDAZoeetAnoaiflEXUN0T4/KzbBR80v/WWd1B/FU/CHuWKcmWNTr/sH9Fyv2l/FcuRL3V/Oz7lgPNKXI9S1H+He9YGfeV/BbwSd1VqpM7MF7D/tuH7dv89rDe2uU0l72mBN4581swvzmvPZjTt6M6n1Zh0o9opHOC/rlPoaza/v/gxtYgd8Z9Omz7LPzECvOZ+O+z1Y5XE68ork0yyQUePwOdTxPJTYKGgqs+ej+9Wh55HuLqN52ubnCPxgXq4/Iv3lOhtlxqGCP+gn6LousG71Mder9lexHPnCffqb85mX/tVcHKWu/QjX038wH6Ma4BmizghtIjX2FdZFz/2iP7KrXuboyDqVXNc1R3KEo/rNa9iNO3r5HlLHPMuaqlDn9geuHzHqJaw5mkvdjd6xRHtZ39a974z4Xj6Cuc35dNzvwSqP05FXJN/DBVKbVh4k6iEkP9bZPFKvNhU/it5jI5sV4x4abFLq2lgFvZ3GVNfQbt2rZMPL/de9uE/t1IbMtXupsEY2X9Be2hjFw/X0R9DVprrOrbkD7nkuGae614zDM9S1H+H6GT+fpV9c67d5m8WcMfUrdT3vjU+OJTxjDH05so66uZ9RnM3nMzlgXnM+u3FHL99DsK6si4q1ZT3N9MT6yTp1bgXb1Z9EW/V9mNnD1uhdqIzmNu+n434PVnmcjrwq+dgZveQ0ifxo2dgQryEbGQ3D58B856hng2JNDy2AbjYmxrULuT6yQ12j2lA8hHCdjZZ7fXJvSuqB85HVxx690TjPah6MAVIbu8/Bxo4wB5+r3wn3aa/GKfdafTpKXfsR1on+i7kzdrlnZOZn1UthbLTezv71xzp4Zp3UmdWMdlc1NYN5zfnsxh29+l5DzTc1qJ71aD1RHyusH+sUdp8lo/pNRnNnva7C3OZ8Ou73YJXH6ciVyaeZffVg0fwM3l2nfKTy8PvJnO1rfyCuYTfu6I0OkP4BxjFqRpv2XX7uHM5mB0MOgtnDsTWzp41V7aaP4IFztL9KzmvOo+N+D1Z5nI6cmXyaTf0T8exPok2TdJP6Gz7CZ/+hq2N/DbtxR292wKLfMu7BzwOasnN4hNVvFl0DqbXJmD2+rp2Sh0oPvsrO4RHQbc6n434PVnmcjpydfBoMayJnfwib70s3qevo2F/DO+N+Zu8965cEXafX0HG/B6s8Tkc6+c13oOv0Ojr213CHuPMby9V/sn4lXafX0HG/B6s8TkeY1NLS0rKS5nxGeWhZS3M+Hfd7sMrj8gDZNJ9O1+l1dOyvoeN+jI7XNXTc78Eqj9ORTn7zHXh3nfKf2c76T23fje4R19BxP0bH6xo67vdglcfpyG7y+dt0o//xOv+ZBT7AO/9zdv6NvtXf7rsC9lH/ZuKzfysQVvPcuzKLQcY4cT4/QT3+p3Wun/0f5c/KiXHdYVdPjMVIjJfk2CpmNV+P4pt1M9PlnWE8Y310nfxbsDN9bdba3oF5zfm8M+6Pauo70nV6DR33e7DK43RkN/l+DOvH1w+g1zuNyY8ZH828/gqvsOMe8yPrQUS831mHWHjoc17Gj3vHXXuEc+u4e9YmfqNrTvj5DF+J5WifM1Z7ruzqiX7UvwFKTtKWhy9iZdxmf2u0zuV+diBzffM7suvaSMb6yDowsl1hHL2VnRnpS3Meu3FHbyb1HbbGlSM9gjqs9iDrGJ1H5PpIxXdH8R16xMhW83467vdglcfpyG7yPVTUl5mG8ejjteIrh5Xkq3b8aNMMH31k0X3mcJbx4+dOswUbKn5lrN3zzmHtCF+Jpb7u+EQM0N1hV0/0o9amByn3xrX5PJpTP5yjvfqhdsx1hWvX5ucq1qt13OfKd3WQR7U9gnnN+ezGHb3RIavWoO8b9/ae2dzKrE6p66wprlc1ho2s1fpe6KPrWLt13RFppzmPjvs9WOVxOnIk+bU50Ijy5aYx5KHIZoDYzNDNedWG90oeALi24SjOGz3L9ZEVNrXaEEewR2zrazZExkbz8Qld5oB72SHn8rPGSpvA2jxTEu2MxpK6zojMg/t1nqJfM5/Mzw67euJea4z12735YcTHzOMOzEMy/uKexXXVdaz6M4LxnJv4XqVU8CX3eZSRzeb97MYdPd6lEeTduib3vg88B8ZWNVF7Rtap7/vo2ahWtVXhmf6nv4LP+r1iZLt5Px33e7DK43TkSPLrB58X3UYEeV+bS34oc6zqMd9mYsOxGWkj721+1Y5zva++zkibI4yBPqSPzB2twTN0sjGyhj4xljYrrgGjGDuPsfQdPddU13jMfIWqW8Gm/gBrYg8yHrDyqdbTil090Q/9Ep7lvt2LUvVnsKdqK3FcsMt9jensueyuY7yrrjH2Z+ZiF+Y157Mbd/M7It83cm99z+qpwhxsj3qC71gF2zN/Ruj/o77ziJEvzfvpuN+DVR6nI0eSX1/wbEhAo7Ix5TXk3Nl1xY+eY6yVH8Bco9qpuqt1kjov0UZtjnkIQWcGvhov1kh9bYzA5xzjOhvubE3GXG+Vj8pqDLCDPTFPoK87PuW8R+zqiX5UyRhI1dW/GYyrW2tBzK84p8Z09hx21qk4x/hbc+Z0VtsrmNecz27cZ/VhT7EWfN+oidF7sGLUE7A3skONZX9YoU/Y9z10LWW39tFtzqfjfg9WeZyOHE0+zSE/SNlQ8pDCdf1YqZ9zq538aPoRzrG0meut7KQ4PqOuIdqfNTPGHjXN9Jd1EBnFU3jGmGTT9Seop5grGO0LndF6K1+APeQ6CujDjk/uY4ddPXHd3H/eV8gNgs5qrdSZ2QL2mXZc37iIz2usd9eppD1tsKY5HdX2I5jXnM9u3NGbSa0360AZHQBHOC/rlPoazc93fIU2sQO+s2nTZzuHSPSa8+m434NVHqcjR5PPi8wLPmoe+ayOZwPaua5zgKaUH8Bc45HuLqN52p41MebgR64/osYnm2z1P+EZYwk+Ijxnrs/SZt6v8lFZjQF2sDdCX3d8OvMACeZo5DvPjNFsLW0i7GMF66KXcRjZVS9jfWSdSq7rmiM5wlH95jXsxh297E3UMc+ypirUue959oUZo57gt6BC3c36g2gv69u6950R38tHMLc5n477PVjlcTpyNPm++EhtEvmi14aTH8ocm13XOd5nw6mNJXX5mfceVlhjRV0DmDc7POYhaOSP89ybMfNef1h31iTdS+L8tIHf2AHneK++8ai+JlW3wlzGJX137o5PGbtH7OpJXQt8hugf1/jOnoxJzkkYU79S1/Pe/OdYwjPG0Jcj66ib+6n1C+ZlNPYI5jXnsxt39Gp/sq6si4q1ZT3N9MT6yTp1bgXb1Z9EW/V9mNnD1uhdqIzmNu+n434PVnmcjjyTfD5CzKtNpx5KPCAg+aHMZlQbk3qIjQO7juUHsK6nX9rK9fP5itEaaUNBT/v8FPxxvntT3IfgT47PUK+ib+Yh7eFDjc/uetVvJeOSeUIS1uQZdlY+Gb8ddvXEdfEz0e9ZjjJeySwmSO4z18v6m9nVH+bDM+ukTuYo0e5sfAXzmvPZjTt62YOk5psaVM96tJ6ojxXWj3UKu8+SUf0mo7n0jJ26ZW5zPh33e7DK43TkrOTbWB41qqYZ8e465SOFfAfO9rU/ENewG3f0RgdI/wDjGDWjTQ+Q/Nw5nM0OhhwE8w9H2JrZ08aqdtNH8MA52l8l5zXn0XG/B6s8TkfelXybl9RG0zRH6Cb1N3yEz36POvbXsBt39GYHLA5zjHvw84Cm7BweYXaABNdAam0y5m8b69opeaj026HsHB4B3eZ8Ou73YJXH6cg7k0/jwL7Sv31snuWdddqs6dhfwzvjfuYfQmb/ufrVdJ1eQ8f9HqzyOB3p5Dffga7T6+jYX8Md4s5vLFf/yfqVdJ1eQ8f9HqzyOB3p5Dffga7T6+jYX8Md4s5vH8/6L09dp9fQcb8HqzxOR5jU0tLSspLmfEZ5aFlLcz4d93uwyuPyANk0n07X6XV07K+h436Mjtc1dNzvwSqP05FOfvMdeHed8v9pnfX/an03ukdcQ8f9GB2va+i434NVHqcjZyc//8kH5BM/2vwNxTP9Wv0TGZD/FMYI5u7+UxffFfZ4BP/9uJHU/ycrx1Z/O9U87egm1BL6oxw5VnOf6zz6W6z4oW6t2/pPojzDs/Oar/HOuJ/5t7DPouv0Gjru92CVx+nImcnnQ1j/3THW/7RD5NkHSOJCHEYHSA9CfYA8VqezuHnYEv9AQ749zM1iXedyX+t5BHOQmqP8w1Tm3uccWN3HrB7VBQ+46ta51tlRnpnTfJ3duKM3k6wrsMaVWV2NoN6rvWf+UJX6SCXfC6SuOWNkq3k/Hfd7sMrjdOTM5NNc6keU+52mc1dojux/1igZQ/oAeaxOiSVzatw8RBlrrokvH9IjH1PIg94M10MyRz5b5R78QM/yzxh+CNfYBA8L2jYmR2uFOc357MZ9llPzb32i4701MptbGdWptZnzs/5GoJ/vme+HMD/rWZ9n70eSdprz6Ljfg1UepyNnJv9RcwH8yYaEvg2HZoPYzKrvNjQlmw5zbFb+zHVsVJBr+tFVaiObjekrz1d7Zsw1qm18QIgbtmYw17WQbMCAjdFYHk74aTzQUR9Jcqyu806qH48wpjVu7tVYW0vsxZzvwjzED3TF+LpG1hv3UP2pWJc5N2Es82B+wLxr25g8s8/mfHbjjt6sPrKXURu+D/YkxlbvsTWjZJ2ypnbEmh/Vs7YqPNP/0dz0e8XIdvN+Ou73YJXH6cjZyWc9ZdQUeJ7NMBugH1vHuc8Gxpi6Nis/7uhlo6yNE1vOzTWxYUOrDTP1GMv19HUFc5g/a7qu9aiBMte9aMsY6ZdgU1vqugfgOuOSexyNuc67yT3sYP5r3HhmXIE98UxZxTkhDtVWBR3jh+4oVtZJzT2s5ol+WHdce19joL3dPQpzmvPZjTt6sxrJ95daMferuk2Yg+1Zj6rs6iUr/yH9XrEbr+a1dNzvwSqP05Grkk/DYG3EBgfcZzPJBkgToZmIzYqf2ktybl6Dc0U7UOflmuLH2Tmw8nWE6+tLNl3mG4dHDZS5s5jVuRmn0boVxp3v3CMfh1ehz7uYnyrEplJ1V7EGxtXNuCfa5Ce5mOlqaxVTxle1xJ7QUY+f1qU5y7FH+6swpzmf3bijN6ot667WAvUyeg9W7PQKcM1d9EkfK6472l/lyLrN6+i434NVHqcjVyffBiJcZ7PIwxAfvvyQZlPTThXnph3hGfOYn3arbtrz41v9BmzMfK0w7j5rc67+cL366DN3FrO6F2zr9+ij4LhS18ZWjs8a/6thrSO4D33nZ95X2FfubUbqrHJC3M2hczJHol+Zgwp20NmJtfZGmG/8OcLMXvNeduOO3kxqzVgDCnW6g/NWdeo7N6rzETv1mO/RI7DVnE/H/R6s8jgdOSv5NpeKz210XM8OQ3wcs5nYgPjJnNVe6kEKuPeANFszcT10q9+w8rWCLvOrYBsbo7GZPcZm/rs/yTi5n/woVP16n/Cctc5An3cxP+m7MR/llmeIOiO0iaxya1xHUmPJPc8zBxXWQidrbQb+z3Ji7rNWdmBOcz67ca85tX+saooasU5n9ZKMekUyet9WaG/1Hq3exRFHdJvX0XG/B6s8TkfOTD4NoTYMGk4+Q8cmZFPyg18/tnVu6tqgbKzYdUxmDVTdUdPM+7Spr8yB6tuK0ToJdozJCObmByT98tAgaWu0bo67J+/rnlhjd49fJfewQ/UdfIaYJ66NF8J1zkkYU78yWk+wy9jo4IY+Y5kD1wFzpN26DvHnHj3HXGekO/L9Edhozmc37plzsa6s84p1YI3M9MQ6zDoVbdhzHlFregT+Ha1VbDbn03G/B6s8TkfOTr4fPKU2EZsRgi5iY0LXjyDjtcHYmJRsaOiOGhz2qg+pm/5Um5Bj2Vz1dYdVc4aRjwlzZwdI4Fof06fRujX+zM0488xx5CyOruU+aty457lxqDVTa0qqXgpjs/XA+O8eIEHbSOasrlP9qvWpfeUZnp3XfI3duKM3qi2eZ+1Q2+pZ59YTdbTCOqt1ij2e17qbsXpPhPHZe7iCec35dNzvwSqP05HvlHyaTjbE5ufw7jrlA7j7Ebyas33tD8Q17MYdvdEB0sOdY9SMNj2g8XOnp44OkB4GR2uP0Maqdnf9GeHemnPpuN+DVR6nI98p+X2A/Ll0k/obPsLP/HbmK3Tsr2E37ujNDnH0S8Y9+HmIVHb76egAWX+7naI/2Pe3jXXtFMY8kI5kx0/0mvPpuN+DVR6nI98p+X2A/Ll0k7qOjv01vDPuZ/4hxAPku+k6vYaO+z1Y5XE60slvvgNdp9fRsb+GO8Sd3yqu/pP1K+k6vYaO+z1Y5XE60slvvgNdp9fRsb+GO8Sd3z7yn7/PoOv0Gjru92CVx+kIk1paWlpaWlpaWn6uzFgeIP/973+3tLS0tLS0tLT8QOkDZEtLS0tLS0tLyyHpA2RLS0tLS0tLS8sh6QNkS0tLS0tLS0vLIekDZEtLS0tLS0tLyyHpA2RLS0tLS0tLS8sh6QNkS0tLS0tLS0vLIekDZEtLS0tLS0tLyyHpA2RLS0tLS0tLS8sh6QNkS0tLS0tLS0vLIekDZEtLS0tLS0tLyyHpA2RLS0tLS0tLS8sh6QNkS0tLS0tLS0vLIekDZEtLS0tLS0tLyyHpA2RLS0tLS0tLS8sh6QNkS0tLS0tLS0vLIXn6ANnS0tLS0tLS0vJzZcZ8pGmapmmapmkG9AGyaZqmaZqmOUQfIJumaZqmaZpD9AGyaZqmaZqmOUQfIJumaZqmaZoD/Oc//w/HKG5ht0cRCgAAAABJRU5ErkJggg==">
          <a:extLst>
            <a:ext uri="{FF2B5EF4-FFF2-40B4-BE49-F238E27FC236}">
              <a16:creationId xmlns:a16="http://schemas.microsoft.com/office/drawing/2014/main" id="{5F52CDAB-0ADB-456C-AB92-9F15DDB4D46F}"/>
            </a:ext>
          </a:extLst>
        </xdr:cNvPr>
        <xdr:cNvSpPr>
          <a:spLocks noChangeAspect="1" noChangeArrowheads="1"/>
        </xdr:cNvSpPr>
      </xdr:nvSpPr>
      <xdr:spPr bwMode="auto">
        <a:xfrm>
          <a:off x="3756660" y="1866900"/>
          <a:ext cx="293370" cy="3524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12</xdr:row>
      <xdr:rowOff>0</xdr:rowOff>
    </xdr:from>
    <xdr:ext cx="304800" cy="310092"/>
    <xdr:sp macro="" textlink="">
      <xdr:nvSpPr>
        <xdr:cNvPr id="3" name="AutoShape 2" descr="data:image/png;base64,iVBORw0KGgoAAAANSUhEUgAAApAAAACzCAYAAAA+EizhAAAAAXNSR0IArs4c6QAAAARnQU1BAACxjwv8YQUAAAAJcEhZcwAADsMAAA7DAcdvqGQAAD48SURBVHhe7Zzhlew2rm4nFwfjWByKI3EY88NxOJZ5a4+97/suLsmiqqukajX2WlgtiSAIAhDE0/Y5//pP0zRN0zRN0xygD5BN0zRN0zTNIfoA2TRN0zRN0xxieoD817/+1dLS0tLS0tLS8oNlxvIA2TSfTtfpdXTsr6HjfoyO1zV03O/BKo/TkU5+8x3oOr2Ojv01dNyP0fG6ho77PVjlcTrSyW++A12n1/Gpsccv5M8///znyb04Eve//vrrf+KB/P777/+MfD74+oo8HonXb7/99r/ipRDHV4LNX3/99Z+746Rv+PxV8AVbj9jVg129HX755Zf/2a/Cs1dCnWH3q+/Is3aOxDZ5ld8zVj5NR57ZSNOcTdfpdXxi7G2myCs+rJ/IkbjzUfKg8qoD2VlceYB89YGxwhrm5Sj46OHpjz/++K8tfp7BlQfIVx8YK686iD1rpw+QTXMyXafX8Ymx9wDgz6QeSPKwYBPmGfgbj0/kiF/ozvTrbyfz0OTBBPHD5iHFZ6AN42ZM6xzvU3eE89Xjp/la+bsC3V1cc2R7VT8ZB34ixgjSd3Vy3PpTVnuzNmc6Mx/APShifiTztdJbsau3w+oAWX1K3Xyv+em1ZJ2rkwexjNdsfXhkh7mO+05Uch9f9fuVYHvGdGQ1qWk+ha7T6/jE2OMTDdUGm83aj8HoAAA2cJ/PGv3V4Nsu+eFy38Iz9gzuGfIwBMbFeOS8qqud/Jjlh7HqJ340navv+s31yN9H7OqBdkeHs1X9uC8PGVU3Y2Btupe675UPoC2k1midy7XruK5z8FV/0z/88Ln70rfUe8Su3g7pa6X6lLrG1his4uOYe605XPmwspP+mQNtJqn3Fb9fjT6NmI6sJjXNp9B1eh2fFvv6geTaJgv1g1Cbsh/LOu/TwL9d/BDVffncWOV9/cit4mrMiCUYU+c6nh83dSrmx3xkvlb+PmK01gx9S3Fvq/qpcagxzDHgvh4AZBSzxHElDzXc5zoZ07pOgi91zGdpc6Q3Y1dvB/aoL4q5rz7lQc86MZYZj1lNqYsNcwQ1p/LIDtc193kvuY9q44jfr0afRkxHVpOa5lPoOr2OT4t9/ZDUD6ZNmIYLjtOURRs2508k97RLfoCJgx/DKjyvcVLXmHDth9XDjB/EGtPRx20Ud6jP04+Vv49Ab5eZb7CqH4RrnkHGrI4B98aw1u1If4Tz1B3NS5/rOkmOOWdkc2Wjsqu3Qx4KK9Wn1K31N6opa6jqco1tqfqysmP8qoxym/v4it+vRp9GTEdWk5rmU/iEOs2X+yfxST1i1qgRG62N1zzRxLlnLjiufCrP+ub+2LcfHWOT1Dh5ry4fZz+s9YBRY+p4ftzUqfgeOTffq5W/jxitNaP6n9S4pK77NA41ZjkG3BvDGo9RzGYYF23VdTKmdZ0kDy95AKv7Sr1H7OrtkD5V6r5S1/gYy1VNVV1sGFeo+ZdHdrjOnMzI2FYbR/x+Nfo0YjqymnQmBq7KKyCpBP8rPJM8C3EkR4ugvuBHYJ4viC8h9r4T+PwMNQc7deAcX1yh0dRnlSONNzEvVR6tdwb48SnYJ2pceGaN1/xxjVjzfnh8p32n6ryrwZcd6j68z/0bG+NHLGaHBucZJ3CeutZr9pGs/Wo7qb2UNbj33eR65O8j0Ntl5L/UOuBa3bqvqpsxcMy91H2vfHAd53o/m5u6K59m1zW/OfaIXb0dsuYquWdjqW6NrfsZ1ZR2ZrorH1Z2Mmb6Yw6Skd4zfmc8XgG2ZkxHVpPOpAauvkDPUu0+S030UbJonsF4UDRHyTi+uujO4tnYMc+c7eagNuAzGOXlU3K1E7OzoLGP/DG3xsp7JONY+4F63F+R9xX4sou+K9kn2HeOZS80Hs7JcXtejmk3Y5qYn9QdsVp35e8KdHeZ+S+z+tE39zaqmToPW1LzNFsfMv5I2oH0sY5lfBHXcQ6kfQ9N2km9R+zq7aAfM/QX/1LXvdjr63ueezUv6oLPkNX6j+ww1/F8noxy8Izf3q9q6AjYmjEdWU06kxo4qEWsDlKTnAXgnPqy+pKv7CQ5/1GxZAMZMXohte8Ya4A2HYNsXI5V332OOA/y3vnpexag6yiZjyvBl6P48mUskqyD3Kt5GdVL6vnc/HHvteiDMnvZzUuOa7/6pWTNuS6yqgttHYF5zfm8O+7WJnUG1tusRj+drtNr6Ljfg1UepyOfkvz6sYT8GNdxPpJ+KG2EfFA9AHkYq/NWdiroefjwA898SN/8sKfvlXqwAOe5BnCt72k3D3ZQ9zmbB1y7hvtAB3LsUeyuBD+OkjGr89kTz9ABasA4GD9+rvSMj/ECxlzLudaMsddWMhpLW+7FXDBm3Wa+65pZ3/o7Wn+FPjTnckbcrTvFuvmOdJ1eQ8f9HqzyOB35lOT7cfMD6QfTj3V+uCE/ml4jtQFWuys7iR9ixvNe+1znwaHeV/IwIK49ato8V9AzHrlGHiKkzvOZe64HlYyHscoDBverfZ0FfjyDe1JqrHPcWJoX4wcjPZ+lXubZWIs5rD6AulXSNuibAulb6tf1VuuvcJ3mXDrux+h4XUPH/R6s8jgd+ZTk50dQycMR9x50wA+pH0x0c67PtesBkeuVHanP8wDph7jK6qCVBwsZra0ez3LcNXONtDmbB1y7Zw8q2APiZpzrGOTcK8GPZ6n5Ipfm071nHDJ+K71aWzDKiYxyKKPY60etOai2HVNyj1WwdwTmNOfTcT9Gx+saOu73YJXH6cinJH/0MU74aOdBxo9r1deO+6p2d+348WU87/34cj06CMyoH3xwbdeoB4wcHx0+sMl+VvOAa/dcDyqjA5FjkHavBD++insnLqs4ZPx24pW1k3l2rpgnayip64D6jNW1RvUE2sHH1XpHGK3T/A1x9t2yLl5Fx/0YPyVeo75zJV2n92CVx+nIpyT/0UtRx1cfcg9WUMdWdiro1YMX8yE/4Nji2gPbiNEHPw8qwr1rOodxDwMI13m4gNk8yLF6UMn9V5s1VleCH0fRf+PgPfvMvZk/45B5WemN4mPsQX30oMY+GY2lH3ltnhAY5dR8Z361kf7u4DrPoG/WlLgHn2fczoI1R7nYhbnGebTHr3JWPFjHGhHzw/5qHSc1j1dyJF6+C0rdfwUdc/1Vdusu3/kEX+uzFTM7rwLbr8B++qo4vxPq/WgfXb1HO7Am87/Ss1as8jgdeVXyv8roY1wxgEh94XMMMcg2OKR+yJFV4zDhiHMy+cx1/FFR8FKgl4xebOOAOIdn2agdT99n88Bn4Hzjg420k3tGjr4k7wJfnqHWRcY6n2d+al5mesY8Y5TjoC1l9vJXPxWeS9ab62jPeyXJ57n/Xaq9I6TPSdbzFdT34BP5StyPYCyyjus7MOPqPCa78fK9zb3V97bCGDpf5Ujd7ebgalZxO0L2sE9+L0d9fwe/rX6XP41VHqcjq0lN8yl0nV7Hs7G3YfrRzA9hPXjkB1x9fzrXayTJ5zb1tO+YBwA/AApz1Ff0C9yH4hqQHz0kGa19hGrvXbi//LC5L+JSxzMemSvJPzTkH07fDevtUP2VfJ714B4zh7Um0Bd1jYMxGNUdaB/JNUYHSPXqc/C5udNWtVN91w9Y7WsGel/FeBuLrMU6htS6ytjWsZyHJOYIqXEe5dBY1jn5bJRDZLS3md/OM5fMdb45qfvaydUKbMyYjqwmNc2n0HV6Hc/G3gYH/MzGmh8FsFGC82y0NnE+bn7gcszGazPGtvbrmB/L2ozR0+bIjn7mPPS0r542qn2uc/87MOcsWMu9QPq7E/OMT52XH+Z3wlqPWPmE3+4r6zE/5lDjMcp1net6VXdVJ3Xuamzlb+pap5kv7nn+aF8z0Pkq1hFrZX2BPrtO3YNz8R9yfua7zhvFTBtc1zF+Ql0PO9oc2TEPxtP4rvzWjnMh8+G4cK0Pz5L2KtOR1aSm+RS6Tq/j2dgzrzZPmh+smnnVzcaa87y2Ied9tV8be10DnKOgW+eN0HfE9fIa/Fjkeo9A/ywyHu6Zn8Deuc+41pjnXoF88Tx13w1rPaLuLSGP1lndE/e1lqXGJHWNnetlnIHrXCfrJH31OusQX12n2uHesUd25NG+ZuScZ8l33Bjo46jGMlcZB8g9eo3UfVSbec/1LIfVP+GZgm6d571+7PidPpsfawd8hqStZ8DGjOnIalLTfApdp9fxTOxtgLV5el8/CjQ/16mNMj8uOU+bVWi61X71Z7QG99jMD8TsYwGOYSvXq2vDys4M9M/C+OBnjY1xZiyvoe7VuSPdd8Naj9An6yCxzkb5494PdNYqVP3UrTHI2I7WQY9nzMuazeey6+8jO/JoXzNyzjPUGLluvU8/0ld+ulfI/YLvtsJzbVZxDa5nOawx1Bfs5tp5DdUO1zO/61zAN57hu+POr7aeARszpiOrSU3zKXSdXsczsbepVrHJ1Y+C+pCNEvxQQs7z2oacVPu1Iecaqw+E8/xYJDO/IK9Bm+jtgv6ZsJ55yI9RxqfGfLRv59a4vhvW2iH9lUf549598TzXqjFJ3RoD51oHXOc66DmeNTuqQ2rPdaod7h17ZEce7WtGznkG160ye7eAvTmecYDZHo0tAtVmwtgsh9rhefUtY+08rqHaWfmddsQ4sSbzuBau09YzpL3KdGQ1qWk+ha7T6zgae5tqbWjZAGvjzYaYekCjnX1MciwbcNWrDXnlC/ZmdvLjkT77XL20D1wfbfDaPgt9RvLDNfrwGfO67xzTnvPeDWvtoM+5R3NpvjK31o75q/FY5fqR7mpurdnV2Mrf1GUdrs2XscDPR77OQOcrMN+akfRLn/VltQcY1adjxMSxjJl7N55cG78al2ozdbU5smM8Z3bS78yZZD7yWl3XeRZszJiOrCY1zafQdXodR2NvY8zmBzY6xutHwMYL2RwhG2udB9wrrln1XNtxPwo+c02kfgRSd/ZcH7OJawd5prkz70yMEWLswX364TO2iHGrcUbcf+bqnbDWLuknYn0ljrnHzGGdn/FK3Rq7WncwqxPXUC/jns9hJyfqz+oZ1FVyXzPQexbXMz6ij+zBvbkvpOZrdwzJPaHr8/SB+1kOM9Y8Q7w3l+pmrPUj15n5XXMG6rJ++oCw7qiGj4CdGdOR1aSm+RS6Tq+jY/+/PwRn0XE/xk+OF4cHDxAeLvKg8k7eHXf3wwGqeR+rPE5HfvJL13wfuk6vo2P//yEWHCbPoON+jJ8cr/wDDvLV30Yd4d1x7wPkOazyOB2x4FpaWlpaWlpaWn6mzFgeIP/973+3tLS0tLS0tBySPkPcQ/oA2dLS0tLS0nKa9BniHtIHyJaWlpaWlpbTpM8Q95A+QLa0tLS0tLScJn2GuIf0AbKlpaWlpaXlNOkzxD2kD5AtLS0tLS0tp0mfIe4hfYBsaWlpaWlpOU36DHEP6QNkS0tLS0tLy2nSZ4h7SB8gW1paWlpaWk6TPkPcQ/oA2dLS0tLS0nKa9BniHtIHyJaWlpaWlpbTpM8Q95A+QLa0tLS0tLScJn2GuIf0AbKlpaWlpaXlNOkzxD2kD5AtLS0tLS0tp0mfIe4hfYBsaWlpaWlpOU36DHEP6QNkS0tLS0tLy2nSZ4h7SB8gW1paWlpaWk6TPkPcQ/oA2dLS0tLS0nKa9BniHvL0AbKlpaWlpaWlpeXnyozlAbJpPp2u0+vo2F9Dx/0YHa9r6Ljfg1UepyOd/OY78O46/f333/8rzf+le8Q1dNyP0fG6ho77PVjlcTryquT/9ttvQ1t//fXXf5/zcf7jjz+210MP/Xr9Cfzyyy/TwwbPGZcjezZWI/nzzz//0XoNv/76639z9ogj/r+Toz4Qr4xfCnFOcixzV6n5WemCsVvpUi+MZ36PrkMuH+lrE92jMK85n3fG/VFNfUe6Tq+h434PVnmcjrwq+X6w60HHjygfsCOHEfTQr9df4RV23MPsAMlYNucje/Yj/+rD4oifcoCseyQ3acvDF/n0MDeLS53L/exA5vrW28huHvwy50fWgZHtCuPorezMSF+a89iNO3ozqb3EGldmfWwEdTjqTVnH6Dwi10cqvjvKbs8e2WreT8f9HqzyOB15ZfKxVRsSzeWZj1aC3d0msuIVdrBBkxw1Xj7SjGUTPXIAO/MA+d3YjaH4EaoHKw9Sxphr83nkYwp+OMlbBVs55rrCtWvzc5Xz1Truc+W7Osgz7yLzmvPZjTt6o75Wa9BexL09aja3MqtT6jpriutVjWEja7W+F/roOtZuXXdE2mnOo+N+D1Z5nI68Mvk0gzw8AfZtUDYHyQ+bc9XNeXkNNjMk16Mx0bxy3HmjZ7k+MvpAJ/jIXGzVDza2WJvn6RP62LZRIrmXhPUZf9QstVNtub5j+KFN7wVdfAJ+pn+IPug/GK/U1YZg17Eao6+AvSOkr4m+uz/rwtgdgXnIqG6Mg7iuuo5Vf0YwnnOTzLdSwZfc51FGNpv3sxt39GY9hbxb1+Te98FewNiqJnyPlKzTUb/y2ahWtVXhmf6nv4LP+r1iZLt5Px33e7DK43Tklcm3Qdg88vAB9Z5rG4cfQu9n17WZjGzY0Li3UULq2ui85yf3M9C30Y6aHGPo1DW1W30coU9Vci1su3/13S8+cC/OF671Iz8m/GQMe96714yL+dWfmu+cp2+u91X0YRd9c4/Cs8yP+VCq/gxjnbaSmgtjbK5k9lx21zEHVTfrj5/m5wjMa85nN+7mdwS14PtK7q3vWT1VmIPt2mvAd6yC7SPvvf6P1jjCyJfm/XTc78Eqj9ORVycfezYPmlV+sHjuenktOXd2ndhwbJD8HH08Je1UXZitA+zDxpZNGZhjY37kg03XD37yqIGO5uZHIa+h+pn3qVvzlHtI/+v61V+uM37V7lfQh130tUrmRqpuxnAE4+qu6oVxcY6xktlz2Fmn4hxzxH55Zq6eyQfzmvPZjfusPniPsxZ8l6mJ0Xuwor7rgL2RHWos+84KfcK+76FrKbu1j25zPh33e7DK43Tk1cnnY+VHqr78Nguva/PhXv2cm9faQGyENqs8+IC6knZsrlUcT3jGviTXBObJIx+ySVZGTTpxbhV9I+4rP/M+dTNnkHtI/6vv6e/Id+yk3a+gD7voa+4x7yv4iqCzWit1ZraAfacd169593nGDXbXqaQ9bbCm+XkmH8xrzmc37ujNpNabdaBkr1rhvPp+j+Znb1mhTeyA72za9NmoL1fQa86n434PVnmcjrw6+fnCV9v5bDTuvNV1HoIg72tDq2uknVnzG+FHuQrP3e9IoPqgfm3sMGrSyWou1Ma9ilXq8jMPFhmb9L+uX/3l2vhCtfsV9GEXfa3x4FnGRHjmvmdraRN5tC/WRc9YoT+yq54xhCPrVHJd1xzJEY7qN69hN+7o5XtHHfMsa6pCnfv++q6vqO86sOZoLnU3escS7WV9W/e+M+J7+QjmNufTcb8HqzxOR96RfGwi+fGGepji2sZn0/N+dk0jsTlpz/vaaBwXxrRjA/Pe5rVqupI+VB75MGuSMGrSFWxnXNHXF5pxjlU/8z51+ZmNPPeQ/lffq7/VDmPG96vowy76mvHwGeIeuDYu7jvnJIypX6nree/+cyzhGWPGEI6so27uJ3Mg5mo09gjmNeezG3f06ntmXVkXFWvLeprpifWTdercCrZX77226vsws4et0btQGc1t3k/H/R6s8jgdeUfyRx9FoBHkejYMxDn5wR1da8M5iB/FPPhAXa+ukevn80ewhgexyiMfXHPUsEdNeoT+IuxJiEPeVz/zPnUzhpB7SP+r7yN/saNvsxg9gz7soq8ZD+Ce5+7XPSiZu6TqpTA2Ws/YITO7+mMMn1kndTKPiXZn4yuY15zPbtzRG/Wumm9qUD3r0XqiPlZYP9Yp7D5LRvWbjObSR3bqlrnN+XTc78Eqj9ORT0r+qHk0Dby7TvlIvfLA+07O9rU/ENewG3f0RgdI/wDjGDWjTQ+Q/Nw5nM0OhhwE8w9H2JrZ08aqdtNH8MA52l8l5zXn0XG/B6s8TkeuSr6NgaYCtXE0TdK18Te8L/nBPoOO/TXsxh292QGLwxzjHvzss8rO4RFWv1l0DaTWJmP+trGunZKHSg++ys7hEdBtzqfjfg9WeZyOXJn82lBGzalp4Mo6/el07K/hnXE/8w8hs/9c/Wq6Tq+h434PVnmcjnTym+9A1+l1dOyv4Q5x55cC+dvFd9J1eg0d93uwyuN0pJPffAe6Tq+jY38Nd4g7v330f1N6N12n19BxvwerPE5HmNTS0tKykuZ8RnloWUtzPh33e7DK4/IA2TSfTtfpdXTsr6HjfoyO1zV03O/BKo/TkU5+8x14d53y/2md9f9qfTe6R1xDx/0YHa9r6Ljfg1UepyOvTP7s3xTzn2Xgf6jm/4nZ+acj0GUO//9MXn8CHDTq3yx89m+U+89jzOa5d2UWg/pPXyj1n8AYPfsO4PcRatxSagxzbPW3U2uuHv1N1szJTNe6ybwfXSf/GZWZvjZ33r0K85rzeWfcH9XUd6Tr9Bo67vdglcfpyCuT78ewwmHLhnXlAfIVdtxjHiA5KGRD9uCwsw56Hh6cJ370HWftWeOvc8H5jEm9/y7UvT3CXNeDPvFLWx6+iO0ot0mdy/2sll3fWI/s5sHPHMORdWBku8I4ejvvXiV9ac5jN+7ozSTrCqxxhftdqMNqD7KO0XlEro9UfHeU3X41stW8n477PVjlcTryyuT74tcmw7Mjjaqi3asPkMxFaJiPPtjoHT2ojQ6Mux981mJuhec7Tf3TGe1thbmuefIgZYy5Jj7E+miN+uEc1RO2csx1hWvX5qf+jFit4z5XvquD7NZTwrzmfHbjjt6o19QatEdwb0+Yza3M6pS6zprielVj2Mhare+FPrqOtVvXHZF2mvPouN+DVR6nI69OPo0mP9o2gPyQZoOxySHZ8HJetcFP5yC5HrZtSgr6dY62cn2b6gwbn2uswB5+63s2ae5H822ewjrZbFfUueK+8QPSF/ab9nNfPM84Aj/zWY1XxjJz/AqweQTjXuOs/8bDD+ORWAvzEGspwR5j4rrqOlb9GcF4zk0y5koFX3KfRxnZbN7PbtzRy/6S5DtO7n0ffHcZW9WE75GSdVp7C/hsVKvaqvBs1pMAn/V7xch283467vdglcfpyKuTz8tvcwJe/GxQeW9Dsdnw3Pscq3rYt+HMbAj3Np+q66HL++rrjLQ5wo+6uA4wd7QG40h+CNynY9oYkWtUeM7evXaN2qxzX+7B2AD36XvaqutjexWjo6TtHcx19YFnWZ/uU9n1mThUW4njgl3uzYPMnsvuOuap6poXf2b+dmFecz67cTe/I6gF33Fyb33P6qnCHGxTX6yTdeo7VsH2zJ8R+j9a4wgjX5r303G/B6s8TkdenXybih+0bGBAA/MjlteQc2fXFT+MNp1skpBrVDtVd7VOUucl2tAfQZ/nyArGjRexS31szBq/cRjBc/3h2uZec5P74nldK+dCzq8xWfnzDEdtmYcqo/hV3VluJXOZ8UiIB+PinFld1Oews07FOdYw++UZ9zzHr6Mwrzmf3bjP6oN3M2vBd5KaGL0HK6yfrFPsjexQY9lXVugT9n0PXUvZrX10m/PpuN+DVR6nI+9IPk2FBpINQfiY+RHjGhEbR20m1Y4fScQPtY2N+7SZ61U7zq3i+Iy6hmhfXxJsMvaoGaa//MxGXP1PbMQV13VO+mCeJPfF8/pxqP7n/GpLX1/FUVuu7374mfcVfEfQWa2VOjNbYG2J69fc+bzWzO46lbSnDda0DqytIzCvOZ/duKM3k1pv1oFS3/EZzss6pb5G87OPrNAmdsB3Nm36bOcQiV5zPh33e7DK43TkHcmnIdhE6gcrn9VxmwWNZXZdG1m9r80r10g7UHV3Gc3Ttn5UmENjzPVHpL9c21yh+p/MDpC1yaPzjgNkjcnMn2c5astYpU/GP/csPHPPs7W0iZijGayLXtbayK56WTdH1qnkuq45kiMc1W9ew27c0cv3kjrmWdZUhTqnRtCr7/kIddMma47mUnejdyzRXta3de87I76Xj2Bucz4d93uwyuN05B3Jzw9gNjbgA2fTqA3DDx73OZbXCNc8g/oBxgbPJNdzLj/BQ473Nt5H1DWqT5VsgCN/nOc+jZn3wjznVtxLov3MQd6nPXXd16hpV1uM+6Go62M3Y/RV0vYOxi598Blizrl2H+555jdj6lfqejWXOZbwjDH05cg66uZ+RjVifmf1s4J5zfnsxh29fC/BurIuKtaW9TTTE+sn69S5FWxXfxJt1fdhZg9bo3ehMprbvJ+O+z1Y5XE68q7k+2Gr0DTyI8ZHGz0km142ttrk1ENsLh5k6sGlrqdf2sr18/mK0RppQ/FQwnU2Xu6d796U2ni5d2zVRFMvpdrLZ+xVPWzjk37hd12v2su4Q8bymYPKCmwewbhmnsBc6V/GAJnFuOqlMDZabyd3+mN9PLNO6szirt1n8sK85nx2445efc+h5psaVM96tJ6ojxXWj3UKu8+SUf0mo7n0lZ26ZW5zPh33e7DK43Tkk5Jvc2mayrvrgo9UHoY/mbN97XfyGnbjjt7oAOkfYByjZrTpAZKfO4ez2cGQg2D+4QhbM3vaWNVu+gh+E0b7q+S85jw67vdglcfpyJXJp1nsNp/mZ9NN6m/4COc7cwYd+2vYjTt6swMW/ZRxD34e0JTdfrv6zaJrILU2GfO3jXXtlDxUevBVdg6PgG5zPh33e7DK43Tk6uRn8+lCbGZ0bVxHx/4a3hn3M/8QMvvP1a+m6/QaOu73YJXH6Ugnv/kOdJ1eR8f+Gu4Qd35jmb9dfCddp9fQcb8HqzxOR5jU0tLSspLmfEZ5aFlLcz4d93uwyuPyANk0n07X6XV07K+h436Mjtc1dNzvwSqP05FOfvMd6Dq9jo79NXTcj9HxuoaO+z1Y5XE60slvvgNdp9fRsb+GjvsxOl7X0HG/B6s8Tkc6+c13oOv0Ojr219BxP0bH6xo67vdglcfpSCe/+Q50nV5Hx/4aOu7H6HhdQ8f9HqzyOB3p5Dffga7T6+jYX0PH/Rgdr2vouN+DVR6nI5385jvQdXodHftr6Lgfo+N1DR33e7DK43Skk998B7pOr6Njfw0d92N0vK6h434PVnmcjnTym+9A1+l1dOyvoeN+jI7XNXTc78Eqj9ORTn7zHeg6vY6O/TV03I/R8bqGjvs9WOVxOtLJb74DXafX0bG/ho77MTpe19BxvwerPE5HOvnNd6Dr9Dqujv3vv//+n99+++2fu59D1/wxro7XH3/88d9a/Wl8lzr95Zdf/rlqRqzyOB3pJtV8B7pOr+OVsf/111//a28kjFWqziM4aO7o//XXX9s2gYMBurMDAocHxl950N31rfmbV8ar1lHKKMdVZxfqZlT31pPy559//jMyJusZGdVpjn/nOq17rcJ44rurHDnkj+wl5OWRDjzqS9XHR/bewcgvmY6sJjXNp9B1eh2vjP3qAInkh200vvotwuyjPwI7q/EkP1izj4/j3/nD/N15ZbzI4+hgZy1kHVBL6PsbSGTnt10eEus69VCi3upQwTh6oI/eA/6kz4zPavko2DoT9zc6VNsDJGNnTrjP2MxAz7kzdnRqPeBj3uujoJ/3Z7FaczpyhaNNc5Su0+t4Zew9QNYGbhN1Le/Rp6H6QefZ7LcxznecJj3St0ErK9IvpH50/dgr+PkqsNfs88p4WW8j8kBg/jlAUCvWB89mdQrWMlLX4b7WEc9q7Un6IzzTrjWc8KzOeZZq+92sDpDAGPuDjKX7zdiMqO/87HCIXXvMo0Om/gjP9B8bNbc8q3PeDT7NmI6sJjXNp9B1eh2vjD2NG3uj5shz17KJ01iRZw5mo+bux8cx1xuRHxL1s9Hn4dHxZ/ycgb1mn1fGizzODhnUAPmG2QFyBXOcP1qHsfp+YHfmDzZq3ekXjOb6HqwOPrucXaf67gGswpjxY9/Gxpg/Aj1sZ24r9oaVDszijF/WinaSUU7fDX7MmI6sJjXNp9B1eh2vjD2NE3v1A2lDzibPvXKkmdrUkfpBd/3UmYFPfnhZv9rDhv7ynPFXNv2Vb83/5ZXxIo/mPvFAkHVADfAsDwW7jNbBVj1QUIuzA9Bo3Ty4sMaoLkfrPAN2zsS9jXxnn+lP9pVZ/GbYI+rhD1x/pQOOV8xJ5ikhn6P6eycjP2U6wqSWlpaWlbwKmuLIvpIHS5tryuhDWPGjgeRHw0MeP9P2Dn6YZgcEbe/4t4v+tezLqzDfIxnVQNXPOl7BvDwoWJf1cGRNj6DGq09pB/ujujzi54qZX+9i1BdSKlV/9yA5OxxmPB8dIGd5M++z+eTz6IH3q4z8lOnIalLTfApdp9fxytivDpAzPJwpux+9PNT5EfFjnR+VHbCB7ujwALnWq9j1rfmbV8bLD7xYL6v8UpfUgbWyU6d1HWDu6AA5O1Awv9al/vKTNUZ+j9Z5BuyciXtL3405YzOIn3N3Dmejw13Nw+wAKI5XzIn+1Pnks9bFuxn5KdOR1aSm+RTeXae8sLUJN3/zytjTFLHnx5Wf3OczIBc8My80W5vxKE+OjZq7H1iuZ4LuCj9Qo7VB++i9Cuw1+7wyXuSxfsBX9QfUr2PM3amF0TrUcL4LgN2qJ9ioa+krjObODi7PcHad6nt9Z9njyhd7g7F5tPeRnmuMZFQXszhjR33G615GOX03+DFjOrKa9AjmjjZJYAwa47PCTzJZflQ+BfZQi8M9KrUAZrhPpRZWflCRGRnjhPk7f7r6bqxiMaLGOaXGLMdWsWPeri5kLme65jHr5+g6tamN9LW58y5WmPcq9DU/kBknc5P5I0a+g96PUF/bzOHeZu34SB69v9qara199F4F9t7Fo5r6jrwyXuRx9K5YB9Zp9luurQ/m7tTCaJ3R3JU91qz5zGe+X8no2bO8s05H2MvqO+vzjBMxsB8YD3uLOZyxo7ejw7g+SD7Dr9pXRs/eDT7NmI6sJj2CRJmUhGL3pRi9ICMyEa8q7t1CWYH/2Mhk4l/uW38frcN46tUXv/q7ih1z0a3j1bcVr4rzGRz101hmMwFik7aIH/fE05jWOVLncj/Lj+sTYxjZdW0EfTmyDoxsVxhHb2VnRvryVdyzcRH9Y69iHKrMMH9VMrbiu4iIPmCnshqDR7XzDOnbCvRmUvdeYzTbzwjyMYpl1nHmb0auj1R8d5RaKzNGtp6FPM7eFdbJMe6JI376k2ejWFVG67h/52tv9X3RB7C2M27kJWsz9b8Kts7E/Y3iy55yzHuwNvk5y21iHlZx39FJH4A85HtS81v1z2K15nTkK46OCtvkZvEeRbtfZSe5M9wHiUYevWzP7Ln6R2HlS74Cf2zcuS7XWZwrXhXnMzjqp7Gt8eSe54wD1+b3UY4rxn9UXzaBzC33wrVr81N/RqzWcZ8r39VBdhpnhXmvYlSzoo+ZM+OjPMK4K6OYAc+rTXM0iuVqDFw3ff8q6dsK9Ebx1Cdj4PvOvT1iNrcyq1P2mzXF9arGsJExNK6ij65j7dZ1R6Sdr1L3lehj5pr7lB1/YbaOa4zsGZOs7axnZFSnOZ6+fxXsnYl7ncXYWjU+vgfKqj6TUZwrIx3Wr/G3zpVK9XG15rsY+SXTkdWkHZifwbLwpb4gGUiDBpmIasMxJdcjWaPkYCefmZDUXRWSfsCoICrYw099dS5wz7oVbGJbuM55K5iL/zVW3KdN4B6d9KvGFOo+sa/fzONeW8Y341nX1bfR2FGwcQT3V+Ouv4yD+2Fvj3JcYR5ibSXYY0xcV13Hqj8jGM+5CT47rlQyb1wfZWTzTNhjzeO7ID6+I1ezG3f0Zj6Td+uavRlH30fGVjVR+0TWqT1g9GxUq9qq8Ez/01/B5538j2yfCXuovr8L1hnF+Aqujvsu1vy7IS9n1cErWeVxOvLV5PNiZwPKJgU57oFC/KiBzYXgVz2ubVIjG1kY2YDSJvA851ZfZ6TNEdVu+sgaGR/AH8aRbL7cOxfJfVVYU7u5D+bnvBwzHqtY5j6r3ZwL3OfeuEcPauzRS92jpJ87uH7NL88yPuZO2akHYC/VVuK4YJf7jB/MnsvuOsa56po3fz6TA+b9BKiF3fyfwW7cze+IfKfJvfub1VOFOdi2Z2Wd+o5VsD3zZ4T+j9Y4wsiXu/LMe/wuflLcd6CWj9T/p7DK43Tkq8knUGmD6wweDctizwYGOddmRBOpNhM/+H4ws0FCrpE2oequ1knqvMQ1atPDB56v7NswjRfX2djZy6xR4I9jNXba0H76lvGp+1/FchQr7vUdcj7z0veai6PUtR/helUyvlJ13fOMzG3uP2HvjItzMhcwew4761SckzXPM2shc7IL85rz2Y37rD54F7MWfIepidF7sGLUS7A3skONzfplRZ+w73voWspu7aP7EyA+vNOfwk+J+y7P9NhPYJXH6cgrku9LbjNIKHQDWhuLDSOveTmqHeZxj3iNHtDAZoeetAnoaiflEXUN0T4/KzbBR80v/WWd1B/FU/CHuWKcmWNTr/sH9Fyv2l/FcuRL3V/Oz7lgPNKXI9S1H+He9YGfeV/BbwSd1VqpM7MF7D/tuH7dv89rDe2uU0l72mBN4581swvzmvPZjTt6M6n1Zh0o9opHOC/rlPoaza/v/gxtYgd8Z9Omz7LPzECvOZ+O+z1Y5XE68ork0yyQUePwOdTxPJTYKGgqs+ej+9Wh55HuLqN52ubnCPxgXq4/Iv3lOhtlxqGCP+gn6LousG71Mder9lexHPnCffqb85mX/tVcHKWu/QjX038wH6Ma4BmizghtIjX2FdZFz/2iP7KrXuboyDqVXNc1R3KEo/rNa9iNO3r5HlLHPMuaqlDn9geuHzHqJaw5mkvdjd6xRHtZ39a974z4Xj6Cuc35dNzvwSqP05FXJN/DBVKbVh4k6iEkP9bZPFKvNhU/it5jI5sV4x4abFLq2lgFvZ3GVNfQbt2rZMPL/de9uE/t1IbMtXupsEY2X9Be2hjFw/X0R9DVprrOrbkD7nkuGae614zDM9S1H+H6GT+fpV9c67d5m8WcMfUrdT3vjU+OJTxjDH05so66uZ9RnM3nMzlgXnM+u3FHL99DsK6si4q1ZT3N9MT6yTp1bgXb1Z9EW/V9mNnD1uhdqIzmNu+n434PVnmcjrwq+dgZveQ0ifxo2dgQryEbGQ3D58B856hng2JNDy2AbjYmxrULuT6yQ12j2lA8hHCdjZZ7fXJvSuqB85HVxx690TjPah6MAVIbu8/Bxo4wB5+r3wn3aa/GKfdafTpKXfsR1on+i7kzdrlnZOZn1UthbLTezv71xzp4Zp3UmdWMdlc1NYN5zfnsxh29+l5DzTc1qJ71aD1RHyusH+sUdp8lo/pNRnNnva7C3OZ8Ou73YJXH6ciVyaeZffVg0fwM3l2nfKTy8PvJnO1rfyCuYTfu6I0OkP4BxjFqRpv2XX7uHM5mB0MOgtnDsTWzp41V7aaP4IFztL9KzmvOo+N+D1Z5nI6cmXyaTf0T8exPok2TdJP6Gz7CZ/+hq2N/DbtxR292wKLfMu7BzwOasnN4hNVvFl0DqbXJmD2+rp2Sh0oPvsrO4RHQbc6n434PVnmcjpydfBoMayJnfwib70s3qevo2F/DO+N+Zu8965cEXafX0HG/B6s8Tkc6+c13oOv0Ojr213CHuPMby9V/sn4lXafX0HG/B6s8TkeY1NLS0rKS5nxGeWhZS3M+Hfd7sMrj8gDZNJ9O1+l1dOyvoeN+jI7XNXTc78Eqj9ORTn7zHXh3nfKf2c76T23fje4R19BxP0bH6xo67vdglcfpyG7y+dt0o//xOv+ZBT7AO/9zdv6NvtXf7rsC9lH/ZuKzfysQVvPcuzKLQcY4cT4/QT3+p3Wun/0f5c/KiXHdYVdPjMVIjJfk2CpmNV+P4pt1M9PlnWE8Y310nfxbsDN9bdba3oF5zfm8M+6Pauo70nV6DR33e7DK43RkN/l+DOvH1w+g1zuNyY8ZH828/gqvsOMe8yPrQUS831mHWHjoc17Gj3vHXXuEc+u4e9YmfqNrTvj5DF+J5WifM1Z7ruzqiX7UvwFKTtKWhy9iZdxmf2u0zuV+diBzffM7suvaSMb6yDowsl1hHL2VnRnpS3Meu3FHbyb1HbbGlSM9gjqs9iDrGJ1H5PpIxXdH8R16xMhW83467vdglcfpyG7yPVTUl5mG8ejjteIrh5Xkq3b8aNMMH31k0X3mcJbx4+dOswUbKn5lrN3zzmHtCF+Jpb7u+EQM0N1hV0/0o9amByn3xrX5PJpTP5yjvfqhdsx1hWvX5ucq1qt13OfKd3WQR7U9gnnN+ezGHb3RIavWoO8b9/ae2dzKrE6p66wprlc1ho2s1fpe6KPrWLt13RFppzmPjvs9WOVxOnIk+bU50Ijy5aYx5KHIZoDYzNDNedWG90oeALi24SjOGz3L9ZEVNrXaEEewR2zrazZExkbz8Qld5oB72SHn8rPGSpvA2jxTEu2MxpK6zojMg/t1nqJfM5/Mzw67euJea4z12735YcTHzOMOzEMy/uKexXXVdaz6M4LxnJv4XqVU8CX3eZSRzeb97MYdPd6lEeTduib3vg88B8ZWNVF7Rtap7/vo2ahWtVXhmf6nv4LP+r1iZLt5Px33e7DK43TkSPLrB58X3UYEeV+bS34oc6zqMd9mYsOxGWkj721+1Y5zva++zkibI4yBPqSPzB2twTN0sjGyhj4xljYrrgGjGDuPsfQdPddU13jMfIWqW8Gm/gBrYg8yHrDyqdbTil090Q/9Ep7lvt2LUvVnsKdqK3FcsMt9jensueyuY7yrrjH2Z+ZiF+Y157Mbd/M7It83cm99z+qpwhxsj3qC71gF2zN/Ruj/o77ziJEvzfvpuN+DVR6nI0eSX1/wbEhAo7Ix5TXk3Nl1xY+eY6yVH8Bco9qpuqt1kjov0UZtjnkIQWcGvhov1kh9bYzA5xzjOhvubE3GXG+Vj8pqDLCDPTFPoK87PuW8R+zqiX5UyRhI1dW/GYyrW2tBzK84p8Z09hx21qk4x/hbc+Z0VtsrmNecz27cZ/VhT7EWfN+oidF7sGLUE7A3skONZX9YoU/Y9z10LWW39tFtzqfjfg9WeZyOHE0+zSE/SNlQ8pDCdf1YqZ9zq538aPoRzrG0meut7KQ4PqOuIdqfNTPGHjXN9Jd1EBnFU3jGmGTT9Seop5grGO0LndF6K1+APeQ6CujDjk/uY4ddPXHd3H/eV8gNgs5qrdSZ2QL2mXZc37iIz2usd9eppD1tsKY5HdX2I5jXnM9u3NGbSa0360AZHQBHOC/rlPoazc93fIU2sQO+s2nTZzuHSPSa8+m434NVHqcjR5PPi8wLPmoe+ayOZwPaua5zgKaUH8Bc45HuLqN52p41MebgR64/osYnm2z1P+EZYwk+Ijxnrs/SZt6v8lFZjQF2sDdCX3d8OvMACeZo5DvPjNFsLW0i7GMF66KXcRjZVS9jfWSdSq7rmiM5wlH95jXsxh297E3UMc+ypirUue959oUZo57gt6BC3c36g2gv69u6950R38tHMLc5n477PVjlcTpyNPm++EhtEvmi14aTH8ocm13XOd5nw6mNJXX5mfceVlhjRV0DmDc7POYhaOSP89ybMfNef1h31iTdS+L8tIHf2AHneK++8ai+JlW3wlzGJX137o5PGbtH7OpJXQt8hugf1/jOnoxJzkkYU79S1/Pe/OdYwjPG0Jcj66ib+6n1C+ZlNPYI5jXnsxt39Gp/sq6si4q1ZT3N9MT6yTp1bgXb1Z9EW/V9mNnD1uhdqIzmNu+n434PVnmcjjyTfD5CzKtNpx5KPCAg+aHMZlQbk3qIjQO7juUHsK6nX9rK9fP5itEaaUNBT/v8FPxxvntT3IfgT47PUK+ib+Yh7eFDjc/uetVvJeOSeUIS1uQZdlY+Gb8ddvXEdfEz0e9ZjjJeySwmSO4z18v6m9nVH+bDM+ukTuYo0e5sfAXzmvPZjTt62YOk5psaVM96tJ6ojxXWj3UKu8+SUf0mo7n0jJ26ZW5zPh33e7DK43TkrOTbWB41qqYZ8e465SOFfAfO9rU/ENewG3f0RgdI/wDjGDWjTQ+Q/Nw5nM0OhhwE8w9H2JrZ08aqdtNH8MA52l8l5zXn0XG/B6s8TkfelXybl9RG0zRH6Cb1N3yEz36POvbXsBt39GYHLA5zjHvw84Cm7BweYXaABNdAam0y5m8b69opeaj026HsHB4B3eZ8Ou73YJXH6cg7k0/jwL7Sv31snuWdddqs6dhfwzvjfuYfQmb/ufrVdJ1eQ8f9HqzyOB3p5Dffga7T6+jYX8Md4s5vLFf/yfqVdJ1eQ8f9HqzyOB3p5Dffga7T6+jYX8Md4s5vH8/6L09dp9fQcb8HqzxOR5jU0tLSspLmfEZ5aFlLcz4d93uwyuPyANk0n07X6XV07K+h436Mjtc1dNzvwSqP05FOfvMdeHed8v9pnfX/an03ukdcQ8f9GB2va+i434NVHqcjZyc//8kH5BM/2vwNxTP9Wv0TGZD/FMYI5u7+UxffFfZ4BP/9uJHU/ycrx1Z/O9U87egm1BL6oxw5VnOf6zz6W6z4oW6t2/pPojzDs/Oar/HOuJ/5t7DPouv0Gjru92CVx+nImcnnQ1j/3THW/7RD5NkHSOJCHEYHSA9CfYA8VqezuHnYEv9AQ749zM1iXedyX+t5BHOQmqP8w1Tm3uccWN3HrB7VBQ+46ta51tlRnpnTfJ3duKM3k6wrsMaVWV2NoN6rvWf+UJX6SCXfC6SuOWNkq3k/Hfd7sMrjdOTM5NNc6keU+52mc1dojux/1igZQ/oAeaxOiSVzatw8RBlrrokvH9IjH1PIg94M10MyRz5b5R78QM/yzxh+CNfYBA8L2jYmR2uFOc357MZ9llPzb32i4701MptbGdWptZnzs/5GoJ/vme+HMD/rWZ9n70eSdprz6Ljfg1UepyNnJv9RcwH8yYaEvg2HZoPYzKrvNjQlmw5zbFb+zHVsVJBr+tFVaiObjekrz1d7Zsw1qm18QIgbtmYw17WQbMCAjdFYHk74aTzQUR9Jcqyu806qH48wpjVu7tVYW0vsxZzvwjzED3TF+LpG1hv3UP2pWJc5N2Es82B+wLxr25g8s8/mfHbjjt6sPrKXURu+D/YkxlbvsTWjZJ2ypnbEmh/Vs7YqPNP/0dz0e8XIdvN+Ou73YJXH6cjZyWc9ZdQUeJ7NMBugH1vHuc8Gxpi6Nis/7uhlo6yNE1vOzTWxYUOrDTP1GMv19HUFc5g/a7qu9aiBMte9aMsY6ZdgU1vqugfgOuOSexyNuc67yT3sYP5r3HhmXIE98UxZxTkhDtVWBR3jh+4oVtZJzT2s5ol+WHdce19joL3dPQpzmvPZjTt6sxrJ95daMferuk2Yg+1Zj6rs6iUr/yH9XrEbr+a1dNzvwSqP05Grkk/DYG3EBgfcZzPJBkgToZmIzYqf2ktybl6Dc0U7UOflmuLH2Tmw8nWE6+tLNl3mG4dHDZS5s5jVuRmn0boVxp3v3CMfh1ehz7uYnyrEplJ1V7EGxtXNuCfa5Ce5mOlqaxVTxle1xJ7QUY+f1qU5y7FH+6swpzmf3bijN6ot667WAvUyeg9W7PQKcM1d9EkfK6472l/lyLrN6+i434NVHqcjVyffBiJcZ7PIwxAfvvyQZlPTThXnph3hGfOYn3arbtrz41v9BmzMfK0w7j5rc67+cL366DN3FrO6F2zr9+ij4LhS18ZWjs8a/6thrSO4D33nZ95X2FfubUbqrHJC3M2hczJHol+Zgwp20NmJtfZGmG/8OcLMXvNeduOO3kxqzVgDCnW6g/NWdeo7N6rzETv1mO/RI7DVnE/H/R6s8jgdOSv5NpeKz210XM8OQ3wcs5nYgPjJnNVe6kEKuPeANFszcT10q9+w8rWCLvOrYBsbo7GZPcZm/rs/yTi5n/woVP16n/Cctc5An3cxP+m7MR/llmeIOiO0iaxya1xHUmPJPc8zBxXWQidrbQb+z3Ji7rNWdmBOcz67ca85tX+saooasU5n9ZKMekUyet9WaG/1Hq3exRFHdJvX0XG/B6s8TkfOTD4NoTYMGk4+Q8cmZFPyg18/tnVu6tqgbKzYdUxmDVTdUdPM+7Spr8yB6tuK0ToJdozJCObmByT98tAgaWu0bo67J+/rnlhjd49fJfewQ/UdfIaYJ66NF8J1zkkYU78yWk+wy9jo4IY+Y5kD1wFzpN26DvHnHj3HXGekO/L9Edhozmc37plzsa6s84p1YI3M9MQ6zDoVbdhzHlFregT+Ha1VbDbn03G/B6s8TkfOTr4fPKU2EZsRgi5iY0LXjyDjtcHYmJRsaOiOGhz2qg+pm/5Um5Bj2Vz1dYdVc4aRjwlzZwdI4Fof06fRujX+zM0488xx5CyOruU+aty457lxqDVTa0qqXgpjs/XA+O8eIEHbSOasrlP9qvWpfeUZnp3XfI3duKM3qi2eZ+1Q2+pZ59YTdbTCOqt1ij2e17qbsXpPhPHZe7iCec35dNzvwSqP05HvlHyaTjbE5ufw7jrlA7j7Ebyas33tD8Q17MYdvdEB0sOdY9SMNj2g8XOnp44OkB4GR2uP0Maqdnf9GeHemnPpuN+DVR6nI98p+X2A/Ll0k/obPsLP/HbmK3Tsr2E37ujNDnH0S8Y9+HmIVHb76egAWX+7naI/2Pe3jXXtFMY8kI5kx0/0mvPpuN+DVR6nI98p+X2A/Ll0k7qOjv01vDPuZ/4hxAPku+k6vYaO+z1Y5XE60slvvgNdp9fRsb+GO8Sd3yqu/pP1K+k6vYaO+z1Y5XE60slvvgNdp9fRsb+GO8Sd3z7yn7/PoOv0Gjru92CVx+kIk1paWlpaWlpaWn6uzFgeIP/973+3tLS0tLS0tLT8QOkDZEtLS0tLS0tLyyHpA2RLS0tLS0tLS8sh6QNkS0tLS0tLS0vLIekDZEtLS0tLS0tLyyHpA2RLS0tLS0tLS8sh6QNkS0tLS0tLS0vLIekDZEtLS0tLS0tLyyHpA2RLS0tLS0tLS8sh6QNkS0tLS0tLS0vLIekDZEtLS0tLS0tLyyHpA2RLS0tLS0tLS8sh6QNkS0tLS0tLS0vLIekDZEtLS0tLS0tLyyHpA2RLS0tLS0tLS8sh6QNkS0tLS0tLS0vLIXn6ANnS0tLS0tLS0vJzZcZ8pGmapmmapmkG9AGyaZqmaZqmOUQfIJumaZqmaZpD9AGyaZqmaZqmOUQfIJumaZqmaZoD/Oc//w/HKG5ht0cRCgAAAABJRU5ErkJggg==">
          <a:extLst>
            <a:ext uri="{FF2B5EF4-FFF2-40B4-BE49-F238E27FC236}">
              <a16:creationId xmlns:a16="http://schemas.microsoft.com/office/drawing/2014/main" id="{C5323BE8-AF77-438E-B4CB-C72589E3A258}"/>
            </a:ext>
          </a:extLst>
        </xdr:cNvPr>
        <xdr:cNvSpPr>
          <a:spLocks noChangeAspect="1" noChangeArrowheads="1"/>
        </xdr:cNvSpPr>
      </xdr:nvSpPr>
      <xdr:spPr bwMode="auto">
        <a:xfrm>
          <a:off x="3752850" y="2686050"/>
          <a:ext cx="304800" cy="3100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52426"/>
    <xdr:sp macro="" textlink="">
      <xdr:nvSpPr>
        <xdr:cNvPr id="4" name="AutoShape 2" descr="data:image/png;base64,iVBORw0KGgoAAAANSUhEUgAAApAAAACzCAYAAAA+EizhAAAAAXNSR0IArs4c6QAAAARnQU1BAACxjwv8YQUAAAAJcEhZcwAADsMAAA7DAcdvqGQAAD48SURBVHhe7Zzhlew2rm4nFwfjWByKI3EY88NxOJZ5a4+97/suLsmiqqukajX2WlgtiSAIAhDE0/Y5//pP0zRN0zRN0xygD5BN0zRN0zTNIfoA2TRN0zRN0xxieoD817/+1dLS0tLS0tLS8oNlxvIA2TSfTtfpdXTsr6HjfoyO1zV03O/BKo/TkU5+8x3oOr2Ojv01dNyP0fG6ho77PVjlcTrSyW++A12n1/Gpsccv5M8///znyb04Eve//vrrf+KB/P777/+MfD74+oo8HonXb7/99r/ipRDHV4LNX3/99Z+746Rv+PxV8AVbj9jVg129HX755Zf/2a/Cs1dCnWH3q+/Is3aOxDZ5ld8zVj5NR57ZSNOcTdfpdXxi7G2myCs+rJ/IkbjzUfKg8qoD2VlceYB89YGxwhrm5Sj46OHpjz/++K8tfp7BlQfIVx8YK686iD1rpw+QTXMyXafX8Ymx9wDgz6QeSPKwYBPmGfgbj0/kiF/ozvTrbyfz0OTBBPHD5iHFZ6AN42ZM6xzvU3eE89Xjp/la+bsC3V1cc2R7VT8ZB34ixgjSd3Vy3PpTVnuzNmc6Mx/APShifiTztdJbsau3w+oAWX1K3Xyv+em1ZJ2rkwexjNdsfXhkh7mO+05Uch9f9fuVYHvGdGQ1qWk+ha7T6/jE2OMTDdUGm83aj8HoAAA2cJ/PGv3V4Nsu+eFy38Iz9gzuGfIwBMbFeOS8qqud/Jjlh7HqJ340navv+s31yN9H7OqBdkeHs1X9uC8PGVU3Y2Btupe675UPoC2k1midy7XruK5z8FV/0z/88Ln70rfUe8Su3g7pa6X6lLrG1his4uOYe605XPmwspP+mQNtJqn3Fb9fjT6NmI6sJjXNp9B1eh2fFvv6geTaJgv1g1Cbsh/LOu/TwL9d/BDVffncWOV9/cit4mrMiCUYU+c6nh83dSrmx3xkvlb+PmK01gx9S3Fvq/qpcagxzDHgvh4AZBSzxHElDzXc5zoZ07pOgi91zGdpc6Q3Y1dvB/aoL4q5rz7lQc86MZYZj1lNqYsNcwQ1p/LIDtc193kvuY9q44jfr0afRkxHVpOa5lPoOr2OT4t9/ZDUD6ZNmIYLjtOURRs2508k97RLfoCJgx/DKjyvcVLXmHDth9XDjB/EGtPRx20Ud6jP04+Vv49Ab5eZb7CqH4RrnkHGrI4B98aw1u1If4Tz1B3NS5/rOkmOOWdkc2Wjsqu3Qx4KK9Wn1K31N6opa6jqco1tqfqysmP8qoxym/v4it+vRp9GTEdWk5rmU/iEOs2X+yfxST1i1qgRG62N1zzRxLlnLjiufCrP+ub+2LcfHWOT1Dh5ry4fZz+s9YBRY+p4ftzUqfgeOTffq5W/jxitNaP6n9S4pK77NA41ZjkG3BvDGo9RzGYYF23VdTKmdZ0kDy95AKv7Sr1H7OrtkD5V6r5S1/gYy1VNVV1sGFeo+ZdHdrjOnMzI2FYbR/x+Nfo0YjqymnQmBq7KKyCpBP8rPJM8C3EkR4ugvuBHYJ4viC8h9r4T+PwMNQc7deAcX1yh0dRnlSONNzEvVR6tdwb48SnYJ2pceGaN1/xxjVjzfnh8p32n6ryrwZcd6j68z/0bG+NHLGaHBucZJ3CeutZr9pGs/Wo7qb2UNbj33eR65O8j0Ntl5L/UOuBa3bqvqpsxcMy91H2vfHAd53o/m5u6K59m1zW/OfaIXb0dsuYquWdjqW6NrfsZ1ZR2ZrorH1Z2Mmb6Yw6Skd4zfmc8XgG2ZkxHVpPOpAauvkDPUu0+S030UbJonsF4UDRHyTi+uujO4tnYMc+c7eagNuAzGOXlU3K1E7OzoLGP/DG3xsp7JONY+4F63F+R9xX4sou+K9kn2HeOZS80Hs7JcXtejmk3Y5qYn9QdsVp35e8KdHeZ+S+z+tE39zaqmToPW1LzNFsfMv5I2oH0sY5lfBHXcQ6kfQ9N2km9R+zq7aAfM/QX/1LXvdjr63ueezUv6oLPkNX6j+ww1/F8noxy8Izf3q9q6AjYmjEdWU06kxo4qEWsDlKTnAXgnPqy+pKv7CQ5/1GxZAMZMXohte8Ya4A2HYNsXI5V332OOA/y3vnpexag6yiZjyvBl6P48mUskqyD3Kt5GdVL6vnc/HHvteiDMnvZzUuOa7/6pWTNuS6yqgttHYF5zfm8O+7WJnUG1tusRj+drtNr6Ljfg1UepyOfkvz6sYT8GNdxPpJ+KG2EfFA9AHkYq/NWdiroefjwA898SN/8sKfvlXqwAOe5BnCt72k3D3ZQ9zmbB1y7hvtAB3LsUeyuBD+OkjGr89kTz9ABasA4GD9+rvSMj/ECxlzLudaMsddWMhpLW+7FXDBm3Wa+65pZ3/o7Wn+FPjTnckbcrTvFuvmOdJ1eQ8f9HqzyOB35lOT7cfMD6QfTj3V+uCE/ml4jtQFWuys7iR9ixvNe+1znwaHeV/IwIK49ato8V9AzHrlGHiKkzvOZe64HlYyHscoDBverfZ0FfjyDe1JqrHPcWJoX4wcjPZ+lXubZWIs5rD6AulXSNuibAulb6tf1VuuvcJ3mXDrux+h4XUPH/R6s8jgd+ZTk50dQycMR9x50wA+pH0x0c67PtesBkeuVHanP8wDph7jK6qCVBwsZra0ez3LcNXONtDmbB1y7Zw8q2APiZpzrGOTcK8GPZ6n5Ipfm071nHDJ+K71aWzDKiYxyKKPY60etOai2HVNyj1WwdwTmNOfTcT9Gx+saOu73YJXH6cinJH/0MU74aOdBxo9r1deO+6p2d+348WU87/34cj06CMyoH3xwbdeoB4wcHx0+sMl+VvOAa/dcDyqjA5FjkHavBD++insnLqs4ZPx24pW1k3l2rpgnayip64D6jNW1RvUE2sHH1XpHGK3T/A1x9t2yLl5Fx/0YPyVeo75zJV2n92CVx+nIpyT/0UtRx1cfcg9WUMdWdiro1YMX8yE/4Nji2gPbiNEHPw8qwr1rOodxDwMI13m4gNk8yLF6UMn9V5s1VleCH0fRf+PgPfvMvZk/45B5WemN4mPsQX30oMY+GY2lH3ltnhAY5dR8Z361kf7u4DrPoG/WlLgHn2fczoI1R7nYhbnGebTHr3JWPFjHGhHzw/5qHSc1j1dyJF6+C0rdfwUdc/1Vdusu3/kEX+uzFTM7rwLbr8B++qo4vxPq/WgfXb1HO7Am87/Ss1as8jgdeVXyv8roY1wxgEh94XMMMcg2OKR+yJFV4zDhiHMy+cx1/FFR8FKgl4xebOOAOIdn2agdT99n88Bn4Hzjg420k3tGjr4k7wJfnqHWRcY6n2d+al5mesY8Y5TjoC1l9vJXPxWeS9ab62jPeyXJ57n/Xaq9I6TPSdbzFdT34BP5StyPYCyyjus7MOPqPCa78fK9zb3V97bCGDpf5Ujd7ebgalZxO0L2sE9+L0d9fwe/rX6XP41VHqcjq0lN8yl0nV7Hs7G3YfrRzA9hPXjkB1x9fzrXayTJ5zb1tO+YBwA/AApz1Ff0C9yH4hqQHz0kGa19hGrvXbi//LC5L+JSxzMemSvJPzTkH07fDevtUP2VfJ714B4zh7Um0Bd1jYMxGNUdaB/JNUYHSPXqc/C5udNWtVN91w9Y7WsGel/FeBuLrMU6htS6ytjWsZyHJOYIqXEe5dBY1jn5bJRDZLS3md/OM5fMdb45qfvaydUKbMyYjqwmNc2n0HV6Hc/G3gYH/MzGmh8FsFGC82y0NnE+bn7gcszGazPGtvbrmB/L2ozR0+bIjn7mPPS0r542qn2uc/87MOcsWMu9QPq7E/OMT52XH+Z3wlqPWPmE3+4r6zE/5lDjMcp1net6VXdVJ3Xuamzlb+pap5kv7nn+aF8z0Pkq1hFrZX2BPrtO3YNz8R9yfua7zhvFTBtc1zF+Ql0PO9oc2TEPxtP4rvzWjnMh8+G4cK0Pz5L2KtOR1aSm+RS6Tq/j2dgzrzZPmh+smnnVzcaa87y2Ied9tV8be10DnKOgW+eN0HfE9fIa/Fjkeo9A/ywyHu6Zn8Deuc+41pjnXoF88Tx13w1rPaLuLSGP1lndE/e1lqXGJHWNnetlnIHrXCfrJH31OusQX12n2uHesUd25NG+ZuScZ8l33Bjo46jGMlcZB8g9eo3UfVSbec/1LIfVP+GZgm6d571+7PidPpsfawd8hqStZ8DGjOnIalLTfApdp9fxTOxtgLV5el8/CjQ/16mNMj8uOU+bVWi61X71Z7QG99jMD8TsYwGOYSvXq2vDys4M9M/C+OBnjY1xZiyvoe7VuSPdd8Naj9An6yCxzkb5494PdNYqVP3UrTHI2I7WQY9nzMuazeey6+8jO/JoXzNyzjPUGLluvU8/0ld+ulfI/YLvtsJzbVZxDa5nOawx1Bfs5tp5DdUO1zO/61zAN57hu+POr7aeARszpiOrSU3zKXSdXsczsbepVrHJ1Y+C+pCNEvxQQs7z2oacVPu1Iecaqw+E8/xYJDO/IK9Bm+jtgv6ZsJ55yI9RxqfGfLRv59a4vhvW2iH9lUf549598TzXqjFJ3RoD51oHXOc66DmeNTuqQ2rPdaod7h17ZEce7WtGznkG160ye7eAvTmecYDZHo0tAtVmwtgsh9rhefUtY+08rqHaWfmddsQ4sSbzuBau09YzpL3KdGQ1qWk+ha7T6zgae5tqbWjZAGvjzYaYekCjnX1MciwbcNWrDXnlC/ZmdvLjkT77XL20D1wfbfDaPgt9RvLDNfrwGfO67xzTnvPeDWvtoM+5R3NpvjK31o75q/FY5fqR7mpurdnV2Mrf1GUdrs2XscDPR77OQOcrMN+akfRLn/VltQcY1adjxMSxjJl7N55cG78al2ozdbU5smM8Z3bS78yZZD7yWl3XeRZszJiOrCY1zafQdXodR2NvY8zmBzY6xutHwMYL2RwhG2udB9wrrln1XNtxPwo+c02kfgRSd/ZcH7OJawd5prkz70yMEWLswX364TO2iHGrcUbcf+bqnbDWLuknYn0ljrnHzGGdn/FK3Rq7WncwqxPXUC/jns9hJyfqz+oZ1FVyXzPQexbXMz6ij+zBvbkvpOZrdwzJPaHr8/SB+1kOM9Y8Q7w3l+pmrPUj15n5XXMG6rJ++oCw7qiGj4CdGdOR1aSm+RS6Tq+jY/+/PwRn0XE/xk+OF4cHDxAeLvKg8k7eHXf3wwGqeR+rPE5HfvJL13wfuk6vo2P//yEWHCbPoON+jJ8cr/wDDvLV30Yd4d1x7wPkOazyOB2x4FpaWlpaWlpaWn6mzFgeIP/973+3tLS0tLS0tBySPkPcQ/oA2dLS0tLS0nKa9BniHtIHyJaWlpaWlpbTpM8Q95A+QLa0tLS0tLScJn2GuIf0AbKlpaWlpaXlNOkzxD2kD5AtLS0tLS0tp0mfIe4hfYBsaWlpaWlpOU36DHEP6QNkS0tLS0tLy2nSZ4h7SB8gW1paWlpaWk6TPkPcQ/oA2dLS0tLS0nKa9BniHtIHyJaWlpaWlpbTpM8Q95A+QLa0tLS0tLScJn2GuIf0AbKlpaWlpaXlNOkzxD2kD5AtLS0tLS0tp0mfIe4hfYBsaWlpaWlpOU36DHEP6QNkS0tLS0tLy2nSZ4h7SB8gW1paWlpaWk6TPkPcQ/oA2dLS0tLS0nKa9BniHvL0AbKlpaWlpaWlpeXnyozlAbJpPp2u0+vo2F9Dx/0YHa9r6Ljfg1UepyOd/OY78O46/f333/8rzf+le8Q1dNyP0fG6ho77PVjlcTryquT/9ttvQ1t//fXXf5/zcf7jjz+210MP/Xr9Cfzyyy/TwwbPGZcjezZWI/nzzz//0XoNv/76639z9ogj/r+Toz4Qr4xfCnFOcixzV6n5WemCsVvpUi+MZ36PrkMuH+lrE92jMK85n3fG/VFNfUe6Tq+h434PVnmcjrwq+X6w60HHjygfsCOHEfTQr9df4RV23MPsAMlYNucje/Yj/+rD4oifcoCseyQ3acvDF/n0MDeLS53L/exA5vrW28huHvwy50fWgZHtCuPorezMSF+a89iNO3ozqb3EGldmfWwEdTjqTVnH6Dwi10cqvjvKbs8e2WreT8f9HqzyOB15ZfKxVRsSzeWZj1aC3d0msuIVdrBBkxw1Xj7SjGUTPXIAO/MA+d3YjaH4EaoHKw9Sxphr83nkYwp+OMlbBVs55rrCtWvzc5Xz1Truc+W7Osgz7yLzmvPZjTt6o75Wa9BexL09aja3MqtT6jpriutVjWEja7W+F/roOtZuXXdE2mnOo+N+D1Z5nI68Mvk0gzw8AfZtUDYHyQ+bc9XNeXkNNjMk16Mx0bxy3HmjZ7k+MvpAJ/jIXGzVDza2WJvn6RP62LZRIrmXhPUZf9QstVNtub5j+KFN7wVdfAJ+pn+IPug/GK/U1YZg17Eao6+AvSOkr4m+uz/rwtgdgXnIqG6Mg7iuuo5Vf0YwnnOTzLdSwZfc51FGNpv3sxt39GY9hbxb1+Te98FewNiqJnyPlKzTUb/y2ahWtVXhmf6nv4LP+r1iZLt5Px33e7DK43Tklcm3Qdg88vAB9Z5rG4cfQu9n17WZjGzY0Li3UULq2ui85yf3M9C30Y6aHGPo1DW1W30coU9Vci1su3/13S8+cC/OF671Iz8m/GQMe96714yL+dWfmu+cp2+u91X0YRd9c4/Cs8yP+VCq/gxjnbaSmgtjbK5k9lx21zEHVTfrj5/m5wjMa85nN+7mdwS14PtK7q3vWT1VmIPt2mvAd6yC7SPvvf6P1jjCyJfm/XTc78Eqj9ORVycfezYPmlV+sHjuenktOXd2ndhwbJD8HH08Je1UXZitA+zDxpZNGZhjY37kg03XD37yqIGO5uZHIa+h+pn3qVvzlHtI/+v61V+uM37V7lfQh130tUrmRqpuxnAE4+qu6oVxcY6xktlz2Fmn4hxzxH55Zq6eyQfzmvPZjfusPniPsxZ8l6mJ0Xuwor7rgL2RHWos+84KfcK+76FrKbu1j25zPh33e7DK43Tk1cnnY+VHqr78Nguva/PhXv2cm9faQGyENqs8+IC6knZsrlUcT3jGviTXBObJIx+ySVZGTTpxbhV9I+4rP/M+dTNnkHtI/6vv6e/Id+yk3a+gD7voa+4x7yv4iqCzWit1ZraAfacd169593nGDXbXqaQ9bbCm+XkmH8xrzmc37ujNpNabdaBkr1rhvPp+j+Znb1mhTeyA72za9NmoL1fQa86n434PVnmcjrw6+fnCV9v5bDTuvNV1HoIg72tDq2uknVnzG+FHuQrP3e9IoPqgfm3sMGrSyWou1Ma9ilXq8jMPFhmb9L+uX/3l2vhCtfsV9GEXfa3x4FnGRHjmvmdraRN5tC/WRc9YoT+yq54xhCPrVHJd1xzJEY7qN69hN+7o5XtHHfMsa6pCnfv++q6vqO86sOZoLnU3escS7WV9W/e+M+J7+QjmNufTcb8HqzxOR96RfGwi+fGGepji2sZn0/N+dk0jsTlpz/vaaBwXxrRjA/Pe5rVqupI+VB75MGuSMGrSFWxnXNHXF5pxjlU/8z51+ZmNPPeQ/lffq7/VDmPG96vowy76mvHwGeIeuDYu7jvnJIypX6nree/+cyzhGWPGEI6so27uJ3Mg5mo09gjmNeezG3f06ntmXVkXFWvLeprpifWTdercCrZX77226vsws4et0btQGc1t3k/H/R6s8jgdeUfyRx9FoBHkejYMxDn5wR1da8M5iB/FPPhAXa+ukevn80ewhgexyiMfXHPUsEdNeoT+IuxJiEPeVz/zPnUzhpB7SP+r7yN/saNvsxg9gz7soq8ZD+Ce5+7XPSiZu6TqpTA2Ws/YITO7+mMMn1kndTKPiXZn4yuY15zPbtzRG/Wumm9qUD3r0XqiPlZYP9Yp7D5LRvWbjObSR3bqlrnN+XTc78Eqj9ORT0r+qHk0Dby7TvlIvfLA+07O9rU/ENewG3f0RgdI/wDjGDWjTQ+Q/Nw5nM0OhhwE8w9H2JrZ08aqdtNH8MA52l8l5zXn0XG/B6s8TkeuSr6NgaYCtXE0TdK18Te8L/nBPoOO/TXsxh292QGLwxzjHvzss8rO4RFWv1l0DaTWJmP+trGunZKHSg++ys7hEdBtzqfjfg9WeZyOXJn82lBGzalp4Mo6/el07K/hnXE/8w8hs/9c/Wq6Tq+h434PVnmcjnTym+9A1+l1dOyv4Q5x55cC+dvFd9J1eg0d93uwyuN0pJPffAe6Tq+jY38Nd4g7v330f1N6N12n19BxvwerPE5HmNTS0tKykuZ8RnloWUtzPh33e7DK4/IA2TSfTtfpdXTsr6HjfoyO1zV03O/BKo/TkU5+8x14d53y/2md9f9qfTe6R1xDx/0YHa9r6Ljfg1UepyOvTP7s3xTzn2Xgf6jm/4nZ+acj0GUO//9MXn8CHDTq3yx89m+U+89jzOa5d2UWg/pPXyj1n8AYPfsO4PcRatxSagxzbPW3U2uuHv1N1szJTNe6ybwfXSf/GZWZvjZ33r0K85rzeWfcH9XUd6Tr9Bo67vdglcfpyCuT78ewwmHLhnXlAfIVdtxjHiA5KGRD9uCwsw56Hh6cJ370HWftWeOvc8H5jEm9/y7UvT3CXNeDPvFLWx6+iO0ot0mdy/2sll3fWI/s5sHPHMORdWBku8I4ejvvXiV9ac5jN+7ozSTrCqxxhftdqMNqD7KO0XlEro9UfHeU3X41stW8n477PVjlcTryyuT74tcmw7Mjjaqi3asPkMxFaJiPPtjoHT2ojQ6Mux981mJuhec7Tf3TGe1thbmuefIgZYy5Jj7E+miN+uEc1RO2csx1hWvX5qf+jFit4z5XvquD7NZTwrzmfHbjjt6o19QatEdwb0+Yza3M6pS6zprielVj2Mhare+FPrqOtVvXHZF2mvPouN+DVR6nI69OPo0mP9o2gPyQZoOxySHZ8HJetcFP5yC5HrZtSgr6dY62cn2b6gwbn2uswB5+63s2ae5H822ewjrZbFfUueK+8QPSF/ab9nNfPM84Aj/zWY1XxjJz/AqweQTjXuOs/8bDD+ORWAvzEGspwR5j4rrqOlb9GcF4zk0y5koFX3KfRxnZbN7PbtzRy/6S5DtO7n0ffHcZW9WE75GSdVp7C/hsVKvaqvBs1pMAn/V7xch283467vdglcfpyKuTz8tvcwJe/GxQeW9Dsdnw3Pscq3rYt+HMbAj3Np+q66HL++rrjLQ5wo+6uA4wd7QG40h+CNynY9oYkWtUeM7evXaN2qxzX+7B2AD36XvaqutjexWjo6TtHcx19YFnWZ/uU9n1mThUW4njgl3uzYPMnsvuOuap6poXf2b+dmFecz67cTe/I6gF33Fyb33P6qnCHGxTX6yTdeo7VsH2zJ8R+j9a4wgjX5r303G/B6s8TkdenXybih+0bGBAA/MjlteQc2fXFT+MNp1skpBrVDtVd7VOUucl2tAfQZ/nyArGjRexS31szBq/cRjBc/3h2uZec5P74nldK+dCzq8xWfnzDEdtmYcqo/hV3VluJXOZ8UiIB+PinFld1Oews07FOdYw++UZ9zzHr6Mwrzmf3bjP6oN3M2vBd5KaGL0HK6yfrFPsjexQY9lXVugT9n0PXUvZrX10m/PpuN+DVR6nI+9IPk2FBpINQfiY+RHjGhEbR20m1Y4fScQPtY2N+7SZ61U7zq3i+Iy6hmhfXxJsMvaoGaa//MxGXP1PbMQV13VO+mCeJPfF8/pxqP7n/GpLX1/FUVuu7374mfcVfEfQWa2VOjNbYG2J69fc+bzWzO46lbSnDda0DqytIzCvOZ/duKM3k1pv1oFS3/EZzss6pb5G87OPrNAmdsB3Nm36bOcQiV5zPh33e7DK43TkHcmnIdhE6gcrn9VxmwWNZXZdG1m9r80r10g7UHV3Gc3Ttn5UmENjzPVHpL9c21yh+p/MDpC1yaPzjgNkjcnMn2c5astYpU/GP/csPHPPs7W0iZijGayLXtbayK56WTdH1qnkuq45kiMc1W9ew27c0cv3kjrmWdZUhTqnRtCr7/kIddMma47mUnejdyzRXta3de87I76Xj2Bucz4d93uwyuN05B3Jzw9gNjbgA2fTqA3DDx73OZbXCNc8g/oBxgbPJNdzLj/BQ473Nt5H1DWqT5VsgCN/nOc+jZn3wjznVtxLov3MQd6nPXXd16hpV1uM+6Go62M3Y/RV0vYOxi598Blizrl2H+555jdj6lfqejWXOZbwjDH05cg66uZ+RjVifmf1s4J5zfnsxh29fC/BurIuKtaW9TTTE+sn69S5FWxXfxJt1fdhZg9bo3ehMprbvJ+O+z1Y5XE68q7k+2Gr0DTyI8ZHGz0km142ttrk1ENsLh5k6sGlrqdf2sr18/mK0RppQ/FQwnU2Xu6d796U2ni5d2zVRFMvpdrLZ+xVPWzjk37hd12v2su4Q8bymYPKCmwewbhmnsBc6V/GAJnFuOqlMDZabyd3+mN9PLNO6szirt1n8sK85nx2445efc+h5psaVM96tJ6ojxXWj3UKu8+SUf0mo7n0lZ26ZW5zPh33e7DK43Tkk5Jvc2mayrvrgo9UHoY/mbN97XfyGnbjjt7oAOkfYByjZrTpAZKfO4ez2cGQg2D+4QhbM3vaWNVu+gh+E0b7q+S85jw67vdglcfpyJXJp1nsNp/mZ9NN6m/4COc7cwYd+2vYjTt6swMW/ZRxD34e0JTdfrv6zaJrILU2GfO3jXXtlDxUevBVdg6PgG5zPh33e7DK43Tk6uRn8+lCbGZ0bVxHx/4a3hn3M/8QMvvP1a+m6/QaOu73YJXH6Ugnv/kOdJ1eR8f+Gu4Qd35jmb9dfCddp9fQcb8HqzxOR5jU0tLSspLmfEZ5aFlLcz4d93uwyuPyANk0n07X6XV07K+h436Mjtc1dNzvwSqP05FOfvMd6Dq9jo79NXTcj9HxuoaO+z1Y5XE60slvvgNdp9fRsb+GjvsxOl7X0HG/B6s8Tkc6+c13oOv0Ojr219BxP0bH6xo67vdglcfpSCe/+Q50nV5Hx/4aOu7H6HhdQ8f9HqzyOB3p5Dffga7T6+jYX0PH/Rgdr2vouN+DVR6nI5385jvQdXodHftr6Lgfo+N1DR33e7DK43Skk998B7pOr6Njfw0d92N0vK6h434PVnmcjnTym+9A1+l1dOyvoeN+jI7XNXTc78Eqj9ORTn7zHeg6vY6O/TV03I/R8bqGjvs9WOVxOtLJb74DXafX0bG/ho77MTpe19BxvwerPE5HOvnNd6Dr9Dqujv3vv//+n99+++2fu59D1/wxro7XH3/88d9a/Wl8lzr95Zdf/rlqRqzyOB3pJtV8B7pOr+OVsf/111//a28kjFWqziM4aO7o//XXX9s2gYMBurMDAocHxl950N31rfmbV8ar1lHKKMdVZxfqZlT31pPy559//jMyJusZGdVpjn/nOq17rcJ44rurHDnkj+wl5OWRDjzqS9XHR/bewcgvmY6sJjXNp9B1eh2vjP3qAInkh200vvotwuyjPwI7q/EkP1izj4/j3/nD/N15ZbzI4+hgZy1kHVBL6PsbSGTnt10eEus69VCi3upQwTh6oI/eA/6kz4zPavko2DoT9zc6VNsDJGNnTrjP2MxAz7kzdnRqPeBj3uujoJ/3Z7FaczpyhaNNc5Su0+t4Zew9QNYGbhN1Le/Rp6H6QefZ7LcxznecJj3St0ErK9IvpH50/dgr+PkqsNfs88p4WW8j8kBg/jlAUCvWB89mdQrWMlLX4b7WEc9q7Un6IzzTrjWc8KzOeZZq+92sDpDAGPuDjKX7zdiMqO/87HCIXXvMo0Om/gjP9B8bNbc8q3PeDT7NmI6sJjXNp9B1eh2vjD2NG3uj5shz17KJ01iRZw5mo+bux8cx1xuRHxL1s9Hn4dHxZ/ycgb1mn1fGizzODhnUAPmG2QFyBXOcP1qHsfp+YHfmDzZq3ekXjOb6HqwOPrucXaf67gGswpjxY9/Gxpg/Aj1sZ24r9oaVDszijF/WinaSUU7fDX7MmI6sJjXNp9B1eh2vjD2NE3v1A2lDzibPvXKkmdrUkfpBd/3UmYFPfnhZv9rDhv7ynPFXNv2Vb83/5ZXxIo/mPvFAkHVADfAsDwW7jNbBVj1QUIuzA9Bo3Ty4sMaoLkfrPAN2zsS9jXxnn+lP9pVZ/GbYI+rhD1x/pQOOV8xJ5ikhn6P6eycjP2U6wqSWlpaWlbwKmuLIvpIHS5tryuhDWPGjgeRHw0MeP9P2Dn6YZgcEbe/4t4v+tezLqzDfIxnVQNXPOl7BvDwoWJf1cGRNj6DGq09pB/ujujzi54qZX+9i1BdSKlV/9yA5OxxmPB8dIGd5M++z+eTz6IH3q4z8lOnIalLTfApdp9fxytivDpAzPJwpux+9PNT5EfFjnR+VHbCB7ujwALnWq9j1rfmbV8bLD7xYL6v8UpfUgbWyU6d1HWDu6AA5O1Awv9al/vKTNUZ+j9Z5BuyciXtL3405YzOIn3N3Dmejw13Nw+wAKI5XzIn+1Pnks9bFuxn5KdOR1aSm+RTeXae8sLUJN3/zytjTFLHnx5Wf3OczIBc8My80W5vxKE+OjZq7H1iuZ4LuCj9Qo7VB++i9Cuw1+7wyXuSxfsBX9QfUr2PM3amF0TrUcL4LgN2qJ9ioa+krjObODi7PcHad6nt9Z9njyhd7g7F5tPeRnmuMZFQXszhjR33G615GOX03+DFjOrKa9AjmjjZJYAwa47PCTzJZflQ+BfZQi8M9KrUAZrhPpRZWflCRGRnjhPk7f7r6bqxiMaLGOaXGLMdWsWPeri5kLme65jHr5+g6tamN9LW58y5WmPcq9DU/kBknc5P5I0a+g96PUF/bzOHeZu34SB69v9qara199F4F9t7Fo5r6jrwyXuRx9K5YB9Zp9luurQ/m7tTCaJ3R3JU91qz5zGe+X8no2bO8s05H2MvqO+vzjBMxsB8YD3uLOZyxo7ejw7g+SD7Dr9pXRs/eDT7NmI6sJj2CRJmUhGL3pRi9ICMyEa8q7t1CWYH/2Mhk4l/uW38frcN46tUXv/q7ih1z0a3j1bcVr4rzGRz101hmMwFik7aIH/fE05jWOVLncj/Lj+sTYxjZdW0EfTmyDoxsVxhHb2VnRvryVdyzcRH9Y69iHKrMMH9VMrbiu4iIPmCnshqDR7XzDOnbCvRmUvdeYzTbzwjyMYpl1nHmb0auj1R8d5RaKzNGtp6FPM7eFdbJMe6JI376k2ejWFVG67h/52tv9X3RB7C2M27kJWsz9b8Kts7E/Y3iy55yzHuwNvk5y21iHlZx39FJH4A85HtS81v1z2K15nTkK46OCtvkZvEeRbtfZSe5M9wHiUYevWzP7Ln6R2HlS74Cf2zcuS7XWZwrXhXnMzjqp7Gt8eSe54wD1+b3UY4rxn9UXzaBzC33wrVr81N/RqzWcZ8r39VBdhpnhXmvYlSzoo+ZM+OjPMK4K6OYAc+rTXM0iuVqDFw3ff8q6dsK9Ebx1Cdj4PvOvT1iNrcyq1P2mzXF9arGsJExNK6ij65j7dZ1R6Sdr1L3lehj5pr7lB1/YbaOa4zsGZOs7axnZFSnOZ6+fxXsnYl7ncXYWjU+vgfKqj6TUZwrIx3Wr/G3zpVK9XG15rsY+SXTkdWkHZifwbLwpb4gGUiDBpmIasMxJdcjWaPkYCefmZDUXRWSfsCoICrYw099dS5wz7oVbGJbuM55K5iL/zVW3KdN4B6d9KvGFOo+sa/fzONeW8Y341nX1bfR2FGwcQT3V+Ouv4yD+2Fvj3JcYR5ibSXYY0xcV13Hqj8jGM+5CT47rlQyb1wfZWTzTNhjzeO7ID6+I1ezG3f0Zj6Td+uavRlH30fGVjVR+0TWqT1g9GxUq9qq8Ez/01/B5538j2yfCXuovr8L1hnF+Aqujvsu1vy7IS9n1cErWeVxOvLV5PNiZwPKJgU57oFC/KiBzYXgVz2ubVIjG1kY2YDSJvA851ZfZ6TNEdVu+sgaGR/AH8aRbL7cOxfJfVVYU7u5D+bnvBwzHqtY5j6r3ZwL3OfeuEcPauzRS92jpJ87uH7NL88yPuZO2akHYC/VVuK4YJf7jB/MnsvuOsa56po3fz6TA+b9BKiF3fyfwW7cze+IfKfJvfub1VOFOdi2Z2Wd+o5VsD3zZ4T+j9Y4wsiXu/LMe/wuflLcd6CWj9T/p7DK43Tkq8knUGmD6wweDctizwYGOddmRBOpNhM/+H4ws0FCrpE2oequ1knqvMQ1atPDB56v7NswjRfX2djZy6xR4I9jNXba0H76lvGp+1/FchQr7vUdcj7z0veai6PUtR/helUyvlJ13fOMzG3uP2HvjItzMhcwew4761SckzXPM2shc7IL85rz2Y37rD54F7MWfIepidF7sGLUS7A3skONzfplRZ+w73voWspu7aP7EyA+vNOfwk+J+y7P9NhPYJXH6cgrku9LbjNIKHQDWhuLDSOveTmqHeZxj3iNHtDAZoeetAnoaiflEXUN0T4/KzbBR80v/WWd1B/FU/CHuWKcmWNTr/sH9Fyv2l/FcuRL3V/Oz7lgPNKXI9S1H+He9YGfeV/BbwSd1VqpM7MF7D/tuH7dv89rDe2uU0l72mBN4581swvzmvPZjTt6M6n1Zh0o9opHOC/rlPoaza/v/gxtYgd8Z9Omz7LPzECvOZ+O+z1Y5XE68ork0yyQUePwOdTxPJTYKGgqs+ej+9Wh55HuLqN52ubnCPxgXq4/Iv3lOhtlxqGCP+gn6LousG71Mder9lexHPnCffqb85mX/tVcHKWu/QjX038wH6Ma4BmizghtIjX2FdZFz/2iP7KrXuboyDqVXNc1R3KEo/rNa9iNO3r5HlLHPMuaqlDn9geuHzHqJaw5mkvdjd6xRHtZ39a974z4Xj6Cuc35dNzvwSqP05FXJN/DBVKbVh4k6iEkP9bZPFKvNhU/it5jI5sV4x4abFLq2lgFvZ3GVNfQbt2rZMPL/de9uE/t1IbMtXupsEY2X9Be2hjFw/X0R9DVprrOrbkD7nkuGae614zDM9S1H+H6GT+fpV9c67d5m8WcMfUrdT3vjU+OJTxjDH05so66uZ9RnM3nMzlgXnM+u3FHL99DsK6si4q1ZT3N9MT6yTp1bgXb1Z9EW/V9mNnD1uhdqIzmNu+n434PVnmcjrwq+dgZveQ0ifxo2dgQryEbGQ3D58B856hng2JNDy2AbjYmxrULuT6yQ12j2lA8hHCdjZZ7fXJvSuqB85HVxx690TjPah6MAVIbu8/Bxo4wB5+r3wn3aa/GKfdafTpKXfsR1on+i7kzdrlnZOZn1UthbLTezv71xzp4Zp3UmdWMdlc1NYN5zfnsxh29+l5DzTc1qJ71aD1RHyusH+sUdp8lo/pNRnNnva7C3OZ8Ou73YJXH6ciVyaeZffVg0fwM3l2nfKTy8PvJnO1rfyCuYTfu6I0OkP4BxjFqRpv2XX7uHM5mB0MOgtnDsTWzp41V7aaP4IFztL9KzmvOo+N+D1Z5nI6cmXyaTf0T8exPok2TdJP6Gz7CZ/+hq2N/DbtxR292wKLfMu7BzwOasnN4hNVvFl0DqbXJmD2+rp2Sh0oPvsrO4RHQbc6n434PVnmcjpydfBoMayJnfwib70s3qevo2F/DO+N+Zu8965cEXafX0HG/B6s8Tkc6+c13oOv0Ojr213CHuPMby9V/sn4lXafX0HG/B6s8TkeY1NLS0rKS5nxGeWhZS3M+Hfd7sMrj8gDZNJ9O1+l1dOyvoeN+jI7XNXTc78Eqj9ORTn7zHXh3nfKf2c76T23fje4R19BxP0bH6xo67vdglcfpyG7y+dt0o//xOv+ZBT7AO/9zdv6NvtXf7rsC9lH/ZuKzfysQVvPcuzKLQcY4cT4/QT3+p3Wun/0f5c/KiXHdYVdPjMVIjJfk2CpmNV+P4pt1M9PlnWE8Y310nfxbsDN9bdba3oF5zfm8M+6Pauo70nV6DR33e7DK43RkN/l+DOvH1w+g1zuNyY8ZH828/gqvsOMe8yPrQUS831mHWHjoc17Gj3vHXXuEc+u4e9YmfqNrTvj5DF+J5WifM1Z7ruzqiX7UvwFKTtKWhy9iZdxmf2u0zuV+diBzffM7suvaSMb6yDowsl1hHL2VnRnpS3Meu3FHbyb1HbbGlSM9gjqs9iDrGJ1H5PpIxXdH8R16xMhW83467vdglcfpyG7yPVTUl5mG8ejjteIrh5Xkq3b8aNMMH31k0X3mcJbx4+dOswUbKn5lrN3zzmHtCF+Jpb7u+EQM0N1hV0/0o9amByn3xrX5PJpTP5yjvfqhdsx1hWvX5ucq1qt13OfKd3WQR7U9gnnN+ezGHb3RIavWoO8b9/ae2dzKrE6p66wprlc1ho2s1fpe6KPrWLt13RFppzmPjvs9WOVxOnIk+bU50Ijy5aYx5KHIZoDYzNDNedWG90oeALi24SjOGz3L9ZEVNrXaEEewR2zrazZExkbz8Qld5oB72SHn8rPGSpvA2jxTEu2MxpK6zojMg/t1nqJfM5/Mzw67euJea4z12735YcTHzOMOzEMy/uKexXXVdaz6M4LxnJv4XqVU8CX3eZSRzeb97MYdPd6lEeTduib3vg88B8ZWNVF7Rtap7/vo2ahWtVXhmf6nv4LP+r1iZLt5Px33e7DK43TkSPLrB58X3UYEeV+bS34oc6zqMd9mYsOxGWkj721+1Y5zva++zkibI4yBPqSPzB2twTN0sjGyhj4xljYrrgGjGDuPsfQdPddU13jMfIWqW8Gm/gBrYg8yHrDyqdbTil090Q/9Ep7lvt2LUvVnsKdqK3FcsMt9jensueyuY7yrrjH2Z+ZiF+Y157Mbd/M7It83cm99z+qpwhxsj3qC71gF2zN/Ruj/o77ziJEvzfvpuN+DVR6nI0eSX1/wbEhAo7Ix5TXk3Nl1xY+eY6yVH8Bco9qpuqt1kjov0UZtjnkIQWcGvhov1kh9bYzA5xzjOhvubE3GXG+Vj8pqDLCDPTFPoK87PuW8R+zqiX5UyRhI1dW/GYyrW2tBzK84p8Z09hx21qk4x/hbc+Z0VtsrmNecz27cZ/VhT7EWfN+oidF7sGLUE7A3skONZX9YoU/Y9z10LWW39tFtzqfjfg9WeZyOHE0+zSE/SNlQ8pDCdf1YqZ9zq538aPoRzrG0meut7KQ4PqOuIdqfNTPGHjXN9Jd1EBnFU3jGmGTT9Seop5grGO0LndF6K1+APeQ6CujDjk/uY4ddPXHd3H/eV8gNgs5qrdSZ2QL2mXZc37iIz2usd9eppD1tsKY5HdX2I5jXnM9u3NGbSa0360AZHQBHOC/rlPoazc93fIU2sQO+s2nTZzuHSPSa8+m434NVHqcjR5PPi8wLPmoe+ayOZwPaua5zgKaUH8Bc45HuLqN52p41MebgR64/osYnm2z1P+EZYwk+Ijxnrs/SZt6v8lFZjQF2sDdCX3d8OvMACeZo5DvPjNFsLW0i7GMF66KXcRjZVS9jfWSdSq7rmiM5wlH95jXsxh297E3UMc+ypirUue959oUZo57gt6BC3c36g2gv69u6950R38tHMLc5n477PVjlcTpyNPm++EhtEvmi14aTH8ocm13XOd5nw6mNJXX5mfceVlhjRV0DmDc7POYhaOSP89ybMfNef1h31iTdS+L8tIHf2AHneK++8ai+JlW3wlzGJX137o5PGbtH7OpJXQt8hugf1/jOnoxJzkkYU79S1/Pe/OdYwjPG0Jcj66ib+6n1C+ZlNPYI5jXnsxt39Gp/sq6si4q1ZT3N9MT6yTp1bgXb1Z9EW/V9mNnD1uhdqIzmNu+n434PVnmcjjyTfD5CzKtNpx5KPCAg+aHMZlQbk3qIjQO7juUHsK6nX9rK9fP5itEaaUNBT/v8FPxxvntT3IfgT47PUK+ib+Yh7eFDjc/uetVvJeOSeUIS1uQZdlY+Gb8ddvXEdfEz0e9ZjjJeySwmSO4z18v6m9nVH+bDM+ukTuYo0e5sfAXzmvPZjTt62YOk5psaVM96tJ6ojxXWj3UKu8+SUf0mo7n0jJ26ZW5zPh33e7DK43TkrOTbWB41qqYZ8e465SOFfAfO9rU/ENewG3f0RgdI/wDjGDWjTQ+Q/Nw5nM0OhhwE8w9H2JrZ08aqdtNH8MA52l8l5zXn0XG/B6s8TkfelXybl9RG0zRH6Cb1N3yEz36POvbXsBt39GYHLA5zjHvw84Cm7BweYXaABNdAam0y5m8b69opeaj026HsHB4B3eZ8Ou73YJXH6cg7k0/jwL7Sv31snuWdddqs6dhfwzvjfuYfQmb/ufrVdJ1eQ8f9HqzyOB3p5Dffga7T6+jYX8Md4s5vLFf/yfqVdJ1eQ8f9HqzyOB3p5Dffga7T6+jYX8Md4s5vH8/6L09dp9fQcb8HqzxOR5jU0tLSspLmfEZ5aFlLcz4d93uwyuPyANk0n07X6XV07K+h436Mjtc1dNzvwSqP05FOfvMdeHed8v9pnfX/an03ukdcQ8f9GB2va+i434NVHqcjZyc//8kH5BM/2vwNxTP9Wv0TGZD/FMYI5u7+UxffFfZ4BP/9uJHU/ycrx1Z/O9U87egm1BL6oxw5VnOf6zz6W6z4oW6t2/pPojzDs/Oar/HOuJ/5t7DPouv0Gjru92CVx+nImcnnQ1j/3THW/7RD5NkHSOJCHEYHSA9CfYA8VqezuHnYEv9AQ749zM1iXedyX+t5BHOQmqP8w1Tm3uccWN3HrB7VBQ+46ta51tlRnpnTfJ3duKM3k6wrsMaVWV2NoN6rvWf+UJX6SCXfC6SuOWNkq3k/Hfd7sMrjdOTM5NNc6keU+52mc1dojux/1igZQ/oAeaxOiSVzatw8RBlrrokvH9IjH1PIg94M10MyRz5b5R78QM/yzxh+CNfYBA8L2jYmR2uFOc357MZ9llPzb32i4701MptbGdWptZnzs/5GoJ/vme+HMD/rWZ9n70eSdprz6Ljfg1UepyNnJv9RcwH8yYaEvg2HZoPYzKrvNjQlmw5zbFb+zHVsVJBr+tFVaiObjekrz1d7Zsw1qm18QIgbtmYw17WQbMCAjdFYHk74aTzQUR9Jcqyu806qH48wpjVu7tVYW0vsxZzvwjzED3TF+LpG1hv3UP2pWJc5N2Es82B+wLxr25g8s8/mfHbjjt6sPrKXURu+D/YkxlbvsTWjZJ2ypnbEmh/Vs7YqPNP/0dz0e8XIdvN+Ou73YJXH6cjZyWc9ZdQUeJ7NMBugH1vHuc8Gxpi6Nis/7uhlo6yNE1vOzTWxYUOrDTP1GMv19HUFc5g/a7qu9aiBMte9aMsY6ZdgU1vqugfgOuOSexyNuc67yT3sYP5r3HhmXIE98UxZxTkhDtVWBR3jh+4oVtZJzT2s5ol+WHdce19joL3dPQpzmvPZjTt6sxrJ95daMferuk2Yg+1Zj6rs6iUr/yH9XrEbr+a1dNzvwSqP05Grkk/DYG3EBgfcZzPJBkgToZmIzYqf2ktybl6Dc0U7UOflmuLH2Tmw8nWE6+tLNl3mG4dHDZS5s5jVuRmn0boVxp3v3CMfh1ehz7uYnyrEplJ1V7EGxtXNuCfa5Ce5mOlqaxVTxle1xJ7QUY+f1qU5y7FH+6swpzmf3bijN6ot667WAvUyeg9W7PQKcM1d9EkfK6472l/lyLrN6+i434NVHqcjVyffBiJcZ7PIwxAfvvyQZlPTThXnph3hGfOYn3arbtrz41v9BmzMfK0w7j5rc67+cL366DN3FrO6F2zr9+ij4LhS18ZWjs8a/6thrSO4D33nZ95X2FfubUbqrHJC3M2hczJHol+Zgwp20NmJtfZGmG/8OcLMXvNeduOO3kxqzVgDCnW6g/NWdeo7N6rzETv1mO/RI7DVnE/H/R6s8jgdOSv5NpeKz210XM8OQ3wcs5nYgPjJnNVe6kEKuPeANFszcT10q9+w8rWCLvOrYBsbo7GZPcZm/rs/yTi5n/woVP16n/Cctc5An3cxP+m7MR/llmeIOiO0iaxya1xHUmPJPc8zBxXWQidrbQb+z3Ji7rNWdmBOcz67ca85tX+saooasU5n9ZKMekUyet9WaG/1Hq3exRFHdJvX0XG/B6s8TkfOTD4NoTYMGk4+Q8cmZFPyg18/tnVu6tqgbKzYdUxmDVTdUdPM+7Spr8yB6tuK0ToJdozJCObmByT98tAgaWu0bo67J+/rnlhjd49fJfewQ/UdfIaYJ66NF8J1zkkYU78yWk+wy9jo4IY+Y5kD1wFzpN26DvHnHj3HXGekO/L9Edhozmc37plzsa6s84p1YI3M9MQ6zDoVbdhzHlFregT+Ha1VbDbn03G/B6s8TkfOTr4fPKU2EZsRgi5iY0LXjyDjtcHYmJRsaOiOGhz2qg+pm/5Um5Bj2Vz1dYdVc4aRjwlzZwdI4Fof06fRujX+zM0488xx5CyOruU+aty457lxqDVTa0qqXgpjs/XA+O8eIEHbSOasrlP9qvWpfeUZnp3XfI3duKM3qi2eZ+1Q2+pZ59YTdbTCOqt1ij2e17qbsXpPhPHZe7iCec35dNzvwSqP05HvlHyaTjbE5ufw7jrlA7j7Ebyas33tD8Q17MYdvdEB0sOdY9SMNj2g8XOnp44OkB4GR2uP0Maqdnf9GeHemnPpuN+DVR6nI98p+X2A/Ll0k/obPsLP/HbmK3Tsr2E37ujNDnH0S8Y9+HmIVHb76egAWX+7naI/2Pe3jXXtFMY8kI5kx0/0mvPpuN+DVR6nI98p+X2A/Ll0k7qOjv01vDPuZ/4hxAPku+k6vYaO+z1Y5XE60slvvgNdp9fRsb+GO8Sd3yqu/pP1K+k6vYaO+z1Y5XE60slvvgNdp9fRsb+GO8Sd3z7yn7/PoOv0Gjru92CVx+kIk1paWlpaWlpaWn6uzFgeIP/973+3tLS0tLS0tLT8QOkDZEtLS0tLS0tLyyHpA2RLS0tLS0tLS8sh6QNkS0tLS0tLS0vLIekDZEtLS0tLS0tLyyHpA2RLS0tLS0tLS8sh6QNkS0tLS0tLS0vLIekDZEtLS0tLS0tLyyHpA2RLS0tLS0tLS8sh6QNkS0tLS0tLS0vLIekDZEtLS0tLS0tLyyHpA2RLS0tLS0tLS8sh6QNkS0tLS0tLS0vLIekDZEtLS0tLS0tLyyHpA2RLS0tLS0tLS8sh6QNkS0tLS0tLS0vLIXn6ANnS0tLS0tLS0vJzZcZ8pGmapmmapmkG9AGyaZqmaZqmOUQfIJumaZqmaZpD9AGyaZqmaZqmOUQfIJumaZqmaZoD/Oc//w/HKG5ht0cRCgAAAABJRU5ErkJggg==">
          <a:extLst>
            <a:ext uri="{FF2B5EF4-FFF2-40B4-BE49-F238E27FC236}">
              <a16:creationId xmlns:a16="http://schemas.microsoft.com/office/drawing/2014/main" id="{B5D7B876-AE29-4FDC-A5DE-E4AED34D82F6}"/>
            </a:ext>
          </a:extLst>
        </xdr:cNvPr>
        <xdr:cNvSpPr>
          <a:spLocks noChangeAspect="1" noChangeArrowheads="1"/>
        </xdr:cNvSpPr>
      </xdr:nvSpPr>
      <xdr:spPr bwMode="auto">
        <a:xfrm>
          <a:off x="3752850" y="3448050"/>
          <a:ext cx="304800" cy="35242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975360</xdr:colOff>
      <xdr:row>8</xdr:row>
      <xdr:rowOff>114300</xdr:rowOff>
    </xdr:from>
    <xdr:to>
      <xdr:col>2</xdr:col>
      <xdr:colOff>297180</xdr:colOff>
      <xdr:row>8</xdr:row>
      <xdr:rowOff>466726</xdr:rowOff>
    </xdr:to>
    <xdr:sp macro="" textlink="">
      <xdr:nvSpPr>
        <xdr:cNvPr id="2" name="AutoShape 2" descr="data:image/png;base64,iVBORw0KGgoAAAANSUhEUgAAApAAAACzCAYAAAA+EizhAAAAAXNSR0IArs4c6QAAAARnQU1BAACxjwv8YQUAAAAJcEhZcwAADsMAAA7DAcdvqGQAAD48SURBVHhe7Zzhlew2rm4nFwfjWByKI3EY88NxOJZ5a4+97/suLsmiqqukajX2WlgtiSAIAhDE0/Y5//pP0zRN0zRN0xygD5BN0zRN0zTNIfoA2TRN0zRN0xxieoD817/+1dLS0tLS0tLS8oNlxvIA2TSfTtfpdXTsr6HjfoyO1zV03O/BKo/TkU5+8x3oOr2Ojv01dNyP0fG6ho77PVjlcTrSyW++A12n1/Gpsccv5M8///znyb04Eve//vrrf+KB/P777/+MfD74+oo8HonXb7/99r/ipRDHV4LNX3/99Z+746Rv+PxV8AVbj9jVg129HX755Zf/2a/Cs1dCnWH3q+/Is3aOxDZ5ld8zVj5NR57ZSNOcTdfpdXxi7G2myCs+rJ/IkbjzUfKg8qoD2VlceYB89YGxwhrm5Sj46OHpjz/++K8tfp7BlQfIVx8YK686iD1rpw+QTXMyXafX8Ymx9wDgz6QeSPKwYBPmGfgbj0/kiF/ozvTrbyfz0OTBBPHD5iHFZ6AN42ZM6xzvU3eE89Xjp/la+bsC3V1cc2R7VT8ZB34ixgjSd3Vy3PpTVnuzNmc6Mx/APShifiTztdJbsau3w+oAWX1K3Xyv+em1ZJ2rkwexjNdsfXhkh7mO+05Uch9f9fuVYHvGdGQ1qWk+ha7T6/jE2OMTDdUGm83aj8HoAAA2cJ/PGv3V4Nsu+eFy38Iz9gzuGfIwBMbFeOS8qqud/Jjlh7HqJ340navv+s31yN9H7OqBdkeHs1X9uC8PGVU3Y2Btupe675UPoC2k1midy7XruK5z8FV/0z/88Ln70rfUe8Su3g7pa6X6lLrG1his4uOYe605XPmwspP+mQNtJqn3Fb9fjT6NmI6sJjXNp9B1eh2fFvv6geTaJgv1g1Cbsh/LOu/TwL9d/BDVffncWOV9/cit4mrMiCUYU+c6nh83dSrmx3xkvlb+PmK01gx9S3Fvq/qpcagxzDHgvh4AZBSzxHElDzXc5zoZ07pOgi91zGdpc6Q3Y1dvB/aoL4q5rz7lQc86MZYZj1lNqYsNcwQ1p/LIDtc193kvuY9q44jfr0afRkxHVpOa5lPoOr2OT4t9/ZDUD6ZNmIYLjtOURRs2508k97RLfoCJgx/DKjyvcVLXmHDth9XDjB/EGtPRx20Ud6jP04+Vv49Ab5eZb7CqH4RrnkHGrI4B98aw1u1If4Tz1B3NS5/rOkmOOWdkc2Wjsqu3Qx4KK9Wn1K31N6opa6jqco1tqfqysmP8qoxym/v4it+vRp9GTEdWk5rmU/iEOs2X+yfxST1i1qgRG62N1zzRxLlnLjiufCrP+ub+2LcfHWOT1Dh5ry4fZz+s9YBRY+p4ftzUqfgeOTffq5W/jxitNaP6n9S4pK77NA41ZjkG3BvDGo9RzGYYF23VdTKmdZ0kDy95AKv7Sr1H7OrtkD5V6r5S1/gYy1VNVV1sGFeo+ZdHdrjOnMzI2FYbR/x+Nfo0YjqymnQmBq7KKyCpBP8rPJM8C3EkR4ugvuBHYJ4viC8h9r4T+PwMNQc7deAcX1yh0dRnlSONNzEvVR6tdwb48SnYJ2pceGaN1/xxjVjzfnh8p32n6ryrwZcd6j68z/0bG+NHLGaHBucZJ3CeutZr9pGs/Wo7qb2UNbj33eR65O8j0Ntl5L/UOuBa3bqvqpsxcMy91H2vfHAd53o/m5u6K59m1zW/OfaIXb0dsuYquWdjqW6NrfsZ1ZR2ZrorH1Z2Mmb6Yw6Skd4zfmc8XgG2ZkxHVpPOpAauvkDPUu0+S030UbJonsF4UDRHyTi+uujO4tnYMc+c7eagNuAzGOXlU3K1E7OzoLGP/DG3xsp7JONY+4F63F+R9xX4sou+K9kn2HeOZS80Hs7JcXtejmk3Y5qYn9QdsVp35e8KdHeZ+S+z+tE39zaqmToPW1LzNFsfMv5I2oH0sY5lfBHXcQ6kfQ9N2km9R+zq7aAfM/QX/1LXvdjr63ueezUv6oLPkNX6j+ww1/F8noxy8Izf3q9q6AjYmjEdWU06kxo4qEWsDlKTnAXgnPqy+pKv7CQ5/1GxZAMZMXohte8Ya4A2HYNsXI5V332OOA/y3vnpexag6yiZjyvBl6P48mUskqyD3Kt5GdVL6vnc/HHvteiDMnvZzUuOa7/6pWTNuS6yqgttHYF5zfm8O+7WJnUG1tusRj+drtNr6Ljfg1UepyOfkvz6sYT8GNdxPpJ+KG2EfFA9AHkYq/NWdiroefjwA898SN/8sKfvlXqwAOe5BnCt72k3D3ZQ9zmbB1y7hvtAB3LsUeyuBD+OkjGr89kTz9ABasA4GD9+rvSMj/ECxlzLudaMsddWMhpLW+7FXDBm3Wa+65pZ3/o7Wn+FPjTnckbcrTvFuvmOdJ1eQ8f9HqzyOB35lOT7cfMD6QfTj3V+uCE/ml4jtQFWuys7iR9ixvNe+1znwaHeV/IwIK49ato8V9AzHrlGHiKkzvOZe64HlYyHscoDBverfZ0FfjyDe1JqrHPcWJoX4wcjPZ+lXubZWIs5rD6AulXSNuibAulb6tf1VuuvcJ3mXDrux+h4XUPH/R6s8jgd+ZTk50dQycMR9x50wA+pH0x0c67PtesBkeuVHanP8wDph7jK6qCVBwsZra0ez3LcNXONtDmbB1y7Zw8q2APiZpzrGOTcK8GPZ6n5Ipfm071nHDJ+K71aWzDKiYxyKKPY60etOai2HVNyj1WwdwTmNOfTcT9Gx+saOu73YJXH6cinJH/0MU74aOdBxo9r1deO+6p2d+348WU87/34cj06CMyoH3xwbdeoB4wcHx0+sMl+VvOAa/dcDyqjA5FjkHavBD++insnLqs4ZPx24pW1k3l2rpgnayip64D6jNW1RvUE2sHH1XpHGK3T/A1x9t2yLl5Fx/0YPyVeo75zJV2n92CVx+nIpyT/0UtRx1cfcg9WUMdWdiro1YMX8yE/4Nji2gPbiNEHPw8qwr1rOodxDwMI13m4gNk8yLF6UMn9V5s1VleCH0fRf+PgPfvMvZk/45B5WemN4mPsQX30oMY+GY2lH3ltnhAY5dR8Z361kf7u4DrPoG/WlLgHn2fczoI1R7nYhbnGebTHr3JWPFjHGhHzw/5qHSc1j1dyJF6+C0rdfwUdc/1Vdusu3/kEX+uzFTM7rwLbr8B++qo4vxPq/WgfXb1HO7Am87/Ss1as8jgdeVXyv8roY1wxgEh94XMMMcg2OKR+yJFV4zDhiHMy+cx1/FFR8FKgl4xebOOAOIdn2agdT99n88Bn4Hzjg420k3tGjr4k7wJfnqHWRcY6n2d+al5mesY8Y5TjoC1l9vJXPxWeS9ab62jPeyXJ57n/Xaq9I6TPSdbzFdT34BP5StyPYCyyjus7MOPqPCa78fK9zb3V97bCGDpf5Ujd7ebgalZxO0L2sE9+L0d9fwe/rX6XP41VHqcjq0lN8yl0nV7Hs7G3YfrRzA9hPXjkB1x9fzrXayTJ5zb1tO+YBwA/AApz1Ff0C9yH4hqQHz0kGa19hGrvXbi//LC5L+JSxzMemSvJPzTkH07fDevtUP2VfJ714B4zh7Um0Bd1jYMxGNUdaB/JNUYHSPXqc/C5udNWtVN91w9Y7WsGel/FeBuLrMU6htS6ytjWsZyHJOYIqXEe5dBY1jn5bJRDZLS3md/OM5fMdb45qfvaydUKbMyYjqwmNc2n0HV6Hc/G3gYH/MzGmh8FsFGC82y0NnE+bn7gcszGazPGtvbrmB/L2ozR0+bIjn7mPPS0r542qn2uc/87MOcsWMu9QPq7E/OMT52XH+Z3wlqPWPmE3+4r6zE/5lDjMcp1net6VXdVJ3Xuamzlb+pap5kv7nn+aF8z0Pkq1hFrZX2BPrtO3YNz8R9yfua7zhvFTBtc1zF+Ql0PO9oc2TEPxtP4rvzWjnMh8+G4cK0Pz5L2KtOR1aSm+RS6Tq/j2dgzrzZPmh+smnnVzcaa87y2Ied9tV8be10DnKOgW+eN0HfE9fIa/Fjkeo9A/ywyHu6Zn8Deuc+41pjnXoF88Tx13w1rPaLuLSGP1lndE/e1lqXGJHWNnetlnIHrXCfrJH31OusQX12n2uHesUd25NG+ZuScZ8l33Bjo46jGMlcZB8g9eo3UfVSbec/1LIfVP+GZgm6d571+7PidPpsfawd8hqStZ8DGjOnIalLTfApdp9fxTOxtgLV5el8/CjQ/16mNMj8uOU+bVWi61X71Z7QG99jMD8TsYwGOYSvXq2vDys4M9M/C+OBnjY1xZiyvoe7VuSPdd8Naj9An6yCxzkb5494PdNYqVP3UrTHI2I7WQY9nzMuazeey6+8jO/JoXzNyzjPUGLluvU8/0ld+ulfI/YLvtsJzbVZxDa5nOawx1Bfs5tp5DdUO1zO/61zAN57hu+POr7aeARszpiOrSU3zKXSdXsczsbepVrHJ1Y+C+pCNEvxQQs7z2oacVPu1Iecaqw+E8/xYJDO/IK9Bm+jtgv6ZsJ55yI9RxqfGfLRv59a4vhvW2iH9lUf549598TzXqjFJ3RoD51oHXOc66DmeNTuqQ2rPdaod7h17ZEce7WtGznkG160ye7eAvTmecYDZHo0tAtVmwtgsh9rhefUtY+08rqHaWfmddsQ4sSbzuBau09YzpL3KdGQ1qWk+ha7T6zgae5tqbWjZAGvjzYaYekCjnX1MciwbcNWrDXnlC/ZmdvLjkT77XL20D1wfbfDaPgt9RvLDNfrwGfO67xzTnvPeDWvtoM+5R3NpvjK31o75q/FY5fqR7mpurdnV2Mrf1GUdrs2XscDPR77OQOcrMN+akfRLn/VltQcY1adjxMSxjJl7N55cG78al2ozdbU5smM8Z3bS78yZZD7yWl3XeRZszJiOrCY1zafQdXodR2NvY8zmBzY6xutHwMYL2RwhG2udB9wrrln1XNtxPwo+c02kfgRSd/ZcH7OJawd5prkz70yMEWLswX364TO2iHGrcUbcf+bqnbDWLuknYn0ljrnHzGGdn/FK3Rq7WncwqxPXUC/jns9hJyfqz+oZ1FVyXzPQexbXMz6ij+zBvbkvpOZrdwzJPaHr8/SB+1kOM9Y8Q7w3l+pmrPUj15n5XXMG6rJ++oCw7qiGj4CdGdOR1aSm+RS6Tq+jY/+/PwRn0XE/xk+OF4cHDxAeLvKg8k7eHXf3wwGqeR+rPE5HfvJL13wfuk6vo2P//yEWHCbPoON+jJ8cr/wDDvLV30Yd4d1x7wPkOazyOB2x4FpaWlpaWlpaWn6mzFgeIP/973+3tLS0tLS0tBySPkPcQ/oA2dLS0tLS0nKa9BniHtIHyJaWlpaWlpbTpM8Q95A+QLa0tLS0tLScJn2GuIf0AbKlpaWlpaXlNOkzxD2kD5AtLS0tLS0tp0mfIe4hfYBsaWlpaWlpOU36DHEP6QNkS0tLS0tLy2nSZ4h7SB8gW1paWlpaWk6TPkPcQ/oA2dLS0tLS0nKa9BniHtIHyJaWlpaWlpbTpM8Q95A+QLa0tLS0tLScJn2GuIf0AbKlpaWlpaXlNOkzxD2kD5AtLS0tLS0tp0mfIe4hfYBsaWlpaWlpOU36DHEP6QNkS0tLS0tLy2nSZ4h7SB8gW1paWlpaWk6TPkPcQ/oA2dLS0tLS0nKa9BniHvL0AbKlpaWlpaWlpeXnyozlAbJpPp2u0+vo2F9Dx/0YHa9r6Ljfg1UepyOd/OY78O46/f333/8rzf+le8Q1dNyP0fG6ho77PVjlcTryquT/9ttvQ1t//fXXf5/zcf7jjz+210MP/Xr9Cfzyyy/TwwbPGZcjezZWI/nzzz//0XoNv/76639z9ogj/r+Toz4Qr4xfCnFOcixzV6n5WemCsVvpUi+MZ36PrkMuH+lrE92jMK85n3fG/VFNfUe6Tq+h434PVnmcjrwq+X6w60HHjygfsCOHEfTQr9df4RV23MPsAMlYNucje/Yj/+rD4oifcoCseyQ3acvDF/n0MDeLS53L/exA5vrW28huHvwy50fWgZHtCuPorezMSF+a89iNO3ozqb3EGldmfWwEdTjqTVnH6Dwi10cqvjvKbs8e2WreT8f9HqzyOB15ZfKxVRsSzeWZj1aC3d0msuIVdrBBkxw1Xj7SjGUTPXIAO/MA+d3YjaH4EaoHKw9Sxphr83nkYwp+OMlbBVs55rrCtWvzc5Xz1Truc+W7Osgz7yLzmvPZjTt6o75Wa9BexL09aja3MqtT6jpriutVjWEja7W+F/roOtZuXXdE2mnOo+N+D1Z5nI68Mvk0gzw8AfZtUDYHyQ+bc9XNeXkNNjMk16Mx0bxy3HmjZ7k+MvpAJ/jIXGzVDza2WJvn6RP62LZRIrmXhPUZf9QstVNtub5j+KFN7wVdfAJ+pn+IPug/GK/U1YZg17Eao6+AvSOkr4m+uz/rwtgdgXnIqG6Mg7iuuo5Vf0YwnnOTzLdSwZfc51FGNpv3sxt39GY9hbxb1+Te98FewNiqJnyPlKzTUb/y2ahWtVXhmf6nv4LP+r1iZLt5Px33e7DK43Tklcm3Qdg88vAB9Z5rG4cfQu9n17WZjGzY0Li3UULq2ui85yf3M9C30Y6aHGPo1DW1W30coU9Vci1su3/13S8+cC/OF671Iz8m/GQMe96714yL+dWfmu+cp2+u91X0YRd9c4/Cs8yP+VCq/gxjnbaSmgtjbK5k9lx21zEHVTfrj5/m5wjMa85nN+7mdwS14PtK7q3vWT1VmIPt2mvAd6yC7SPvvf6P1jjCyJfm/XTc78Eqj9ORVycfezYPmlV+sHjuenktOXd2ndhwbJD8HH08Je1UXZitA+zDxpZNGZhjY37kg03XD37yqIGO5uZHIa+h+pn3qVvzlHtI/+v61V+uM37V7lfQh130tUrmRqpuxnAE4+qu6oVxcY6xktlz2Fmn4hxzxH55Zq6eyQfzmvPZjfusPniPsxZ8l6mJ0Xuwor7rgL2RHWos+84KfcK+76FrKbu1j25zPh33e7DK43Tk1cnnY+VHqr78Nguva/PhXv2cm9faQGyENqs8+IC6knZsrlUcT3jGviTXBObJIx+ySVZGTTpxbhV9I+4rP/M+dTNnkHtI/6vv6e/Id+yk3a+gD7voa+4x7yv4iqCzWit1ZraAfacd169593nGDXbXqaQ9bbCm+XkmH8xrzmc37ujNpNabdaBkr1rhvPp+j+Znb1mhTeyA72za9NmoL1fQa86n434PVnmcjrw6+fnCV9v5bDTuvNV1HoIg72tDq2uknVnzG+FHuQrP3e9IoPqgfm3sMGrSyWou1Ma9ilXq8jMPFhmb9L+uX/3l2vhCtfsV9GEXfa3x4FnGRHjmvmdraRN5tC/WRc9YoT+yq54xhCPrVHJd1xzJEY7qN69hN+7o5XtHHfMsa6pCnfv++q6vqO86sOZoLnU3escS7WV9W/e+M+J7+QjmNufTcb8HqzxOR96RfGwi+fGGepji2sZn0/N+dk0jsTlpz/vaaBwXxrRjA/Pe5rVqupI+VB75MGuSMGrSFWxnXNHXF5pxjlU/8z51+ZmNPPeQ/lffq7/VDmPG96vowy76mvHwGeIeuDYu7jvnJIypX6nree/+cyzhGWPGEI6so27uJ3Mg5mo09gjmNeezG3f06ntmXVkXFWvLeprpifWTdercCrZX77226vsws4et0btQGc1t3k/H/R6s8jgdeUfyRx9FoBHkejYMxDn5wR1da8M5iB/FPPhAXa+ukevn80ewhgexyiMfXHPUsEdNeoT+IuxJiEPeVz/zPnUzhpB7SP+r7yN/saNvsxg9gz7soq8ZD+Ce5+7XPSiZu6TqpTA2Ws/YITO7+mMMn1kndTKPiXZn4yuY15zPbtzRG/Wumm9qUD3r0XqiPlZYP9Yp7D5LRvWbjObSR3bqlrnN+XTc78Eqj9ORT0r+qHk0Dby7TvlIvfLA+07O9rU/ENewG3f0RgdI/wDjGDWjTQ+Q/Nw5nM0OhhwE8w9H2JrZ08aqdtNH8MA52l8l5zXn0XG/B6s8TkeuSr6NgaYCtXE0TdK18Te8L/nBPoOO/TXsxh292QGLwxzjHvzss8rO4RFWv1l0DaTWJmP+trGunZKHSg++ys7hEdBtzqfjfg9WeZyOXJn82lBGzalp4Mo6/el07K/hnXE/8w8hs/9c/Wq6Tq+h434PVnmcjnTym+9A1+l1dOyv4Q5x55cC+dvFd9J1eg0d93uwyuN0pJPffAe6Tq+jY38Nd4g7v330f1N6N12n19BxvwerPE5HmNTS0tKykuZ8RnloWUtzPh33e7DK4/IA2TSfTtfpdXTsr6HjfoyO1zV03O/BKo/TkU5+8x14d53y/2md9f9qfTe6R1xDx/0YHa9r6Ljfg1UepyOvTP7s3xTzn2Xgf6jm/4nZ+acj0GUO//9MXn8CHDTq3yx89m+U+89jzOa5d2UWg/pPXyj1n8AYPfsO4PcRatxSagxzbPW3U2uuHv1N1szJTNe6ybwfXSf/GZWZvjZ33r0K85rzeWfcH9XUd6Tr9Bo67vdglcfpyCuT78ewwmHLhnXlAfIVdtxjHiA5KGRD9uCwsw56Hh6cJ370HWftWeOvc8H5jEm9/y7UvT3CXNeDPvFLWx6+iO0ot0mdy/2sll3fWI/s5sHPHMORdWBku8I4ejvvXiV9ac5jN+7ozSTrCqxxhftdqMNqD7KO0XlEro9UfHeU3X41stW8n477PVjlcTryyuT74tcmw7Mjjaqi3asPkMxFaJiPPtjoHT2ojQ6Mux981mJuhec7Tf3TGe1thbmuefIgZYy5Jj7E+miN+uEc1RO2csx1hWvX5qf+jFit4z5XvquD7NZTwrzmfHbjjt6o19QatEdwb0+Yza3M6pS6zprielVj2Mhare+FPrqOtVvXHZF2mvPouN+DVR6nI69OPo0mP9o2gPyQZoOxySHZ8HJetcFP5yC5HrZtSgr6dY62cn2b6gwbn2uswB5+63s2ae5H822ewjrZbFfUueK+8QPSF/ab9nNfPM84Aj/zWY1XxjJz/AqweQTjXuOs/8bDD+ORWAvzEGspwR5j4rrqOlb9GcF4zk0y5koFX3KfRxnZbN7PbtzRy/6S5DtO7n0ffHcZW9WE75GSdVp7C/hsVKvaqvBs1pMAn/V7xch283467vdglcfpyKuTz8tvcwJe/GxQeW9Dsdnw3Pscq3rYt+HMbAj3Np+q66HL++rrjLQ5wo+6uA4wd7QG40h+CNynY9oYkWtUeM7evXaN2qxzX+7B2AD36XvaqutjexWjo6TtHcx19YFnWZ/uU9n1mThUW4njgl3uzYPMnsvuOuap6poXf2b+dmFecz67cTe/I6gF33Fyb33P6qnCHGxTX6yTdeo7VsH2zJ8R+j9a4wgjX5r303G/B6s8TkdenXybih+0bGBAA/MjlteQc2fXFT+MNp1skpBrVDtVd7VOUucl2tAfQZ/nyArGjRexS31szBq/cRjBc/3h2uZec5P74nldK+dCzq8xWfnzDEdtmYcqo/hV3VluJXOZ8UiIB+PinFld1Oews07FOdYw++UZ9zzHr6Mwrzmf3bjP6oN3M2vBd5KaGL0HK6yfrFPsjexQY9lXVugT9n0PXUvZrX10m/PpuN+DVR6nI+9IPk2FBpINQfiY+RHjGhEbR20m1Y4fScQPtY2N+7SZ61U7zq3i+Iy6hmhfXxJsMvaoGaa//MxGXP1PbMQV13VO+mCeJPfF8/pxqP7n/GpLX1/FUVuu7374mfcVfEfQWa2VOjNbYG2J69fc+bzWzO46lbSnDda0DqytIzCvOZ/duKM3k1pv1oFS3/EZzss6pb5G87OPrNAmdsB3Nm36bOcQiV5zPh33e7DK43TkHcmnIdhE6gcrn9VxmwWNZXZdG1m9r80r10g7UHV3Gc3Ttn5UmENjzPVHpL9c21yh+p/MDpC1yaPzjgNkjcnMn2c5astYpU/GP/csPHPPs7W0iZijGayLXtbayK56WTdH1qnkuq45kiMc1W9ew27c0cv3kjrmWdZUhTqnRtCr7/kIddMma47mUnejdyzRXta3de87I76Xj2Bucz4d93uwyuN05B3Jzw9gNjbgA2fTqA3DDx73OZbXCNc8g/oBxgbPJNdzLj/BQ473Nt5H1DWqT5VsgCN/nOc+jZn3wjznVtxLov3MQd6nPXXd16hpV1uM+6Go62M3Y/RV0vYOxi598Blizrl2H+555jdj6lfqejWXOZbwjDH05cg66uZ+RjVifmf1s4J5zfnsxh29fC/BurIuKtaW9TTTE+sn69S5FWxXfxJt1fdhZg9bo3ehMprbvJ+O+z1Y5XE68q7k+2Gr0DTyI8ZHGz0km142ttrk1ENsLh5k6sGlrqdf2sr18/mK0RppQ/FQwnU2Xu6d796U2ni5d2zVRFMvpdrLZ+xVPWzjk37hd12v2su4Q8bymYPKCmwewbhmnsBc6V/GAJnFuOqlMDZabyd3+mN9PLNO6szirt1n8sK85nx2445efc+h5psaVM96tJ6ojxXWj3UKu8+SUf0mo7n0lZ26ZW5zPh33e7DK43Tkk5Jvc2mayrvrgo9UHoY/mbN97XfyGnbjjt7oAOkfYByjZrTpAZKfO4ez2cGQg2D+4QhbM3vaWNVu+gh+E0b7q+S85jw67vdglcfpyJXJp1nsNp/mZ9NN6m/4COc7cwYd+2vYjTt6swMW/ZRxD34e0JTdfrv6zaJrILU2GfO3jXXtlDxUevBVdg6PgG5zPh33e7DK43Tk6uRn8+lCbGZ0bVxHx/4a3hn3M/8QMvvP1a+m6/QaOu73YJXH6Ugnv/kOdJ1eR8f+Gu4Qd35jmb9dfCddp9fQcb8HqzxOR5jU0tLSspLmfEZ5aFlLcz4d93uwyuPyANk0n07X6XV07K+h436Mjtc1dNzvwSqP05FOfvMd6Dq9jo79NXTcj9HxuoaO+z1Y5XE60slvvgNdp9fRsb+GjvsxOl7X0HG/B6s8Tkc6+c13oOv0Ojr219BxP0bH6xo67vdglcfpSCe/+Q50nV5Hx/4aOu7H6HhdQ8f9HqzyOB3p5Dffga7T6+jYX0PH/Rgdr2vouN+DVR6nI5385jvQdXodHftr6Lgfo+N1DR33e7DK43Skk998B7pOr6Njfw0d92N0vK6h434PVnmcjnTym+9A1+l1dOyvoeN+jI7XNXTc78Eqj9ORTn7zHeg6vY6O/TV03I/R8bqGjvs9WOVxOtLJb74DXafX0bG/ho77MTpe19BxvwerPE5HOvnNd6Dr9Dqujv3vv//+n99+++2fu59D1/wxro7XH3/88d9a/Wl8lzr95Zdf/rlqRqzyOB3pJtV8B7pOr+OVsf/111//a28kjFWqziM4aO7o//XXX9s2gYMBurMDAocHxl950N31rfmbV8ar1lHKKMdVZxfqZlT31pPy559//jMyJusZGdVpjn/nOq17rcJ44rurHDnkj+wl5OWRDjzqS9XHR/bewcgvmY6sJjXNp9B1eh2vjP3qAInkh200vvotwuyjPwI7q/EkP1izj4/j3/nD/N15ZbzI4+hgZy1kHVBL6PsbSGTnt10eEus69VCi3upQwTh6oI/eA/6kz4zPavko2DoT9zc6VNsDJGNnTrjP2MxAz7kzdnRqPeBj3uujoJ/3Z7FaczpyhaNNc5Su0+t4Zew9QNYGbhN1Le/Rp6H6QefZ7LcxznecJj3St0ErK9IvpH50/dgr+PkqsNfs88p4WW8j8kBg/jlAUCvWB89mdQrWMlLX4b7WEc9q7Un6IzzTrjWc8KzOeZZq+92sDpDAGPuDjKX7zdiMqO/87HCIXXvMo0Om/gjP9B8bNbc8q3PeDT7NmI6sJjXNp9B1eh2vjD2NG3uj5shz17KJ01iRZw5mo+bux8cx1xuRHxL1s9Hn4dHxZ/ycgb1mn1fGizzODhnUAPmG2QFyBXOcP1qHsfp+YHfmDzZq3ekXjOb6HqwOPrucXaf67gGswpjxY9/Gxpg/Aj1sZ24r9oaVDszijF/WinaSUU7fDX7MmI6sJjXNp9B1eh2vjD2NE3v1A2lDzibPvXKkmdrUkfpBd/3UmYFPfnhZv9rDhv7ynPFXNv2Vb83/5ZXxIo/mPvFAkHVADfAsDwW7jNbBVj1QUIuzA9Bo3Ty4sMaoLkfrPAN2zsS9jXxnn+lP9pVZ/GbYI+rhD1x/pQOOV8xJ5ikhn6P6eycjP2U6wqSWlpaWlbwKmuLIvpIHS5tryuhDWPGjgeRHw0MeP9P2Dn6YZgcEbe/4t4v+tezLqzDfIxnVQNXPOl7BvDwoWJf1cGRNj6DGq09pB/ujujzi54qZX+9i1BdSKlV/9yA5OxxmPB8dIGd5M++z+eTz6IH3q4z8lOnIalLTfApdp9fxytivDpAzPJwpux+9PNT5EfFjnR+VHbCB7ujwALnWq9j1rfmbV8bLD7xYL6v8UpfUgbWyU6d1HWDu6AA5O1Awv9al/vKTNUZ+j9Z5BuyciXtL3405YzOIn3N3Dmejw13Nw+wAKI5XzIn+1Pnks9bFuxn5KdOR1aSm+RTeXae8sLUJN3/zytjTFLHnx5Wf3OczIBc8My80W5vxKE+OjZq7H1iuZ4LuCj9Qo7VB++i9Cuw1+7wyXuSxfsBX9QfUr2PM3amF0TrUcL4LgN2qJ9ioa+krjObODi7PcHad6nt9Z9njyhd7g7F5tPeRnmuMZFQXszhjR33G615GOX03+DFjOrKa9AjmjjZJYAwa47PCTzJZflQ+BfZQi8M9KrUAZrhPpRZWflCRGRnjhPk7f7r6bqxiMaLGOaXGLMdWsWPeri5kLme65jHr5+g6tamN9LW58y5WmPcq9DU/kBknc5P5I0a+g96PUF/bzOHeZu34SB69v9qara199F4F9t7Fo5r6jrwyXuRx9K5YB9Zp9luurQ/m7tTCaJ3R3JU91qz5zGe+X8no2bO8s05H2MvqO+vzjBMxsB8YD3uLOZyxo7ejw7g+SD7Dr9pXRs/eDT7NmI6sJj2CRJmUhGL3pRi9ICMyEa8q7t1CWYH/2Mhk4l/uW38frcN46tUXv/q7ih1z0a3j1bcVr4rzGRz101hmMwFik7aIH/fE05jWOVLncj/Lj+sTYxjZdW0EfTmyDoxsVxhHb2VnRvryVdyzcRH9Y69iHKrMMH9VMrbiu4iIPmCnshqDR7XzDOnbCvRmUvdeYzTbzwjyMYpl1nHmb0auj1R8d5RaKzNGtp6FPM7eFdbJMe6JI376k2ejWFVG67h/52tv9X3RB7C2M27kJWsz9b8Kts7E/Y3iy55yzHuwNvk5y21iHlZx39FJH4A85HtS81v1z2K15nTkK46OCtvkZvEeRbtfZSe5M9wHiUYevWzP7Ln6R2HlS74Cf2zcuS7XWZwrXhXnMzjqp7Gt8eSe54wD1+b3UY4rxn9UXzaBzC33wrVr81N/RqzWcZ8r39VBdhpnhXmvYlSzoo+ZM+OjPMK4K6OYAc+rTXM0iuVqDFw3ff8q6dsK9Ebx1Cdj4PvOvT1iNrcyq1P2mzXF9arGsJExNK6ij65j7dZ1R6Sdr1L3lehj5pr7lB1/YbaOa4zsGZOs7axnZFSnOZ6+fxXsnYl7ncXYWjU+vgfKqj6TUZwrIx3Wr/G3zpVK9XG15rsY+SXTkdWkHZifwbLwpb4gGUiDBpmIasMxJdcjWaPkYCefmZDUXRWSfsCoICrYw099dS5wz7oVbGJbuM55K5iL/zVW3KdN4B6d9KvGFOo+sa/fzONeW8Y341nX1bfR2FGwcQT3V+Ouv4yD+2Fvj3JcYR5ibSXYY0xcV13Hqj8jGM+5CT47rlQyb1wfZWTzTNhjzeO7ID6+I1ezG3f0Zj6Td+uavRlH30fGVjVR+0TWqT1g9GxUq9qq8Ez/01/B5538j2yfCXuovr8L1hnF+Aqujvsu1vy7IS9n1cErWeVxOvLV5PNiZwPKJgU57oFC/KiBzYXgVz2ubVIjG1kY2YDSJvA851ZfZ6TNEdVu+sgaGR/AH8aRbL7cOxfJfVVYU7u5D+bnvBwzHqtY5j6r3ZwL3OfeuEcPauzRS92jpJ87uH7NL88yPuZO2akHYC/VVuK4YJf7jB/MnsvuOsa56po3fz6TA+b9BKiF3fyfwW7cze+IfKfJvfub1VOFOdi2Z2Wd+o5VsD3zZ4T+j9Y4wsiXu/LMe/wuflLcd6CWj9T/p7DK43Tkq8knUGmD6wweDctizwYGOddmRBOpNhM/+H4ws0FCrpE2oequ1knqvMQ1atPDB56v7NswjRfX2djZy6xR4I9jNXba0H76lvGp+1/FchQr7vUdcj7z0veai6PUtR/helUyvlJ13fOMzG3uP2HvjItzMhcwew4761SckzXPM2shc7IL85rz2Y37rD54F7MWfIepidF7sGLUS7A3skONzfplRZ+w73voWspu7aP7EyA+vNOfwk+J+y7P9NhPYJXH6cgrku9LbjNIKHQDWhuLDSOveTmqHeZxj3iNHtDAZoeetAnoaiflEXUN0T4/KzbBR80v/WWd1B/FU/CHuWKcmWNTr/sH9Fyv2l/FcuRL3V/Oz7lgPNKXI9S1H+He9YGfeV/BbwSd1VqpM7MF7D/tuH7dv89rDe2uU0l72mBN4581swvzmvPZjTt6M6n1Zh0o9opHOC/rlPoaza/v/gxtYgd8Z9Omz7LPzECvOZ+O+z1Y5XE68ork0yyQUePwOdTxPJTYKGgqs+ej+9Wh55HuLqN52ubnCPxgXq4/Iv3lOhtlxqGCP+gn6LousG71Mder9lexHPnCffqb85mX/tVcHKWu/QjX038wH6Ma4BmizghtIjX2FdZFz/2iP7KrXuboyDqVXNc1R3KEo/rNa9iNO3r5HlLHPMuaqlDn9geuHzHqJaw5mkvdjd6xRHtZ39a974z4Xj6Cuc35dNzvwSqP05FXJN/DBVKbVh4k6iEkP9bZPFKvNhU/it5jI5sV4x4abFLq2lgFvZ3GVNfQbt2rZMPL/de9uE/t1IbMtXupsEY2X9Be2hjFw/X0R9DVprrOrbkD7nkuGae614zDM9S1H+H6GT+fpV9c67d5m8WcMfUrdT3vjU+OJTxjDH05so66uZ9RnM3nMzlgXnM+u3FHL99DsK6si4q1ZT3N9MT6yTp1bgXb1Z9EW/V9mNnD1uhdqIzmNu+n434PVnmcjrwq+dgZveQ0ifxo2dgQryEbGQ3D58B856hng2JNDy2AbjYmxrULuT6yQ12j2lA8hHCdjZZ7fXJvSuqB85HVxx690TjPah6MAVIbu8/Bxo4wB5+r3wn3aa/GKfdafTpKXfsR1on+i7kzdrlnZOZn1UthbLTezv71xzp4Zp3UmdWMdlc1NYN5zfnsxh29+l5DzTc1qJ71aD1RHyusH+sUdp8lo/pNRnNnva7C3OZ8Ou73YJXH6ciVyaeZffVg0fwM3l2nfKTy8PvJnO1rfyCuYTfu6I0OkP4BxjFqRpv2XX7uHM5mB0MOgtnDsTWzp41V7aaP4IFztL9KzmvOo+N+D1Z5nI6cmXyaTf0T8exPok2TdJP6Gz7CZ/+hq2N/DbtxR292wKLfMu7BzwOasnN4hNVvFl0DqbXJmD2+rp2Sh0oPvsrO4RHQbc6n434PVnmcjpydfBoMayJnfwib70s3qevo2F/DO+N+Zu8965cEXafX0HG/B6s8Tkc6+c13oOv0Ojr213CHuPMby9V/sn4lXafX0HG/B6s8TkeY1NLS0rKS5nxGeWhZS3M+Hfd7sMrj8gDZNJ9O1+l1dOyvoeN+jI7XNXTc78Eqj9ORTn7zHXh3nfKf2c76T23fje4R19BxP0bH6xo67vdglcfpyG7y+dt0o//xOv+ZBT7AO/9zdv6NvtXf7rsC9lH/ZuKzfysQVvPcuzKLQcY4cT4/QT3+p3Wun/0f5c/KiXHdYVdPjMVIjJfk2CpmNV+P4pt1M9PlnWE8Y310nfxbsDN9bdba3oF5zfm8M+6Pauo70nV6DR33e7DK43RkN/l+DOvH1w+g1zuNyY8ZH828/gqvsOMe8yPrQUS831mHWHjoc17Gj3vHXXuEc+u4e9YmfqNrTvj5DF+J5WifM1Z7ruzqiX7UvwFKTtKWhy9iZdxmf2u0zuV+diBzffM7suvaSMb6yDowsl1hHL2VnRnpS3Meu3FHbyb1HbbGlSM9gjqs9iDrGJ1H5PpIxXdH8R16xMhW83467vdglcfpyG7yPVTUl5mG8ejjteIrh5Xkq3b8aNMMH31k0X3mcJbx4+dOswUbKn5lrN3zzmHtCF+Jpb7u+EQM0N1hV0/0o9amByn3xrX5PJpTP5yjvfqhdsx1hWvX5ucq1qt13OfKd3WQR7U9gnnN+ezGHb3RIavWoO8b9/ae2dzKrE6p66wprlc1ho2s1fpe6KPrWLt13RFppzmPjvs9WOVxOnIk+bU50Ijy5aYx5KHIZoDYzNDNedWG90oeALi24SjOGz3L9ZEVNrXaEEewR2zrazZExkbz8Qld5oB72SHn8rPGSpvA2jxTEu2MxpK6zojMg/t1nqJfM5/Mzw67euJea4z12735YcTHzOMOzEMy/uKexXXVdaz6M4LxnJv4XqVU8CX3eZSRzeb97MYdPd6lEeTduib3vg88B8ZWNVF7Rtap7/vo2ahWtVXhmf6nv4LP+r1iZLt5Px33e7DK43TkSPLrB58X3UYEeV+bS34oc6zqMd9mYsOxGWkj721+1Y5zva++zkibI4yBPqSPzB2twTN0sjGyhj4xljYrrgGjGDuPsfQdPddU13jMfIWqW8Gm/gBrYg8yHrDyqdbTil090Q/9Ep7lvt2LUvVnsKdqK3FcsMt9jensueyuY7yrrjH2Z+ZiF+Y157Mbd/M7It83cm99z+qpwhxsj3qC71gF2zN/Ruj/o77ziJEvzfvpuN+DVR6nI0eSX1/wbEhAo7Ix5TXk3Nl1xY+eY6yVH8Bco9qpuqt1kjov0UZtjnkIQWcGvhov1kh9bYzA5xzjOhvubE3GXG+Vj8pqDLCDPTFPoK87PuW8R+zqiX5UyRhI1dW/GYyrW2tBzK84p8Z09hx21qk4x/hbc+Z0VtsrmNecz27cZ/VhT7EWfN+oidF7sGLUE7A3skONZX9YoU/Y9z10LWW39tFtzqfjfg9WeZyOHE0+zSE/SNlQ8pDCdf1YqZ9zq538aPoRzrG0meut7KQ4PqOuIdqfNTPGHjXN9Jd1EBnFU3jGmGTT9Seop5grGO0LndF6K1+APeQ6CujDjk/uY4ddPXHd3H/eV8gNgs5qrdSZ2QL2mXZc37iIz2usd9eppD1tsKY5HdX2I5jXnM9u3NGbSa0360AZHQBHOC/rlPoazc93fIU2sQO+s2nTZzuHSPSa8+m434NVHqcjR5PPi8wLPmoe+ayOZwPaua5zgKaUH8Bc45HuLqN52p41MebgR64/osYnm2z1P+EZYwk+Ijxnrs/SZt6v8lFZjQF2sDdCX3d8OvMACeZo5DvPjNFsLW0i7GMF66KXcRjZVS9jfWSdSq7rmiM5wlH95jXsxh297E3UMc+ypirUue959oUZo57gt6BC3c36g2gv69u6950R38tHMLc5n477PVjlcTpyNPm++EhtEvmi14aTH8ocm13XOd5nw6mNJXX5mfceVlhjRV0DmDc7POYhaOSP89ybMfNef1h31iTdS+L8tIHf2AHneK++8ai+JlW3wlzGJX137o5PGbtH7OpJXQt8hugf1/jOnoxJzkkYU79S1/Pe/OdYwjPG0Jcj66ib+6n1C+ZlNPYI5jXnsxt39Gp/sq6si4q1ZT3N9MT6yTp1bgXb1Z9EW/V9mNnD1uhdqIzmNu+n434PVnmcjjyTfD5CzKtNpx5KPCAg+aHMZlQbk3qIjQO7juUHsK6nX9rK9fP5itEaaUNBT/v8FPxxvntT3IfgT47PUK+ib+Yh7eFDjc/uetVvJeOSeUIS1uQZdlY+Gb8ddvXEdfEz0e9ZjjJeySwmSO4z18v6m9nVH+bDM+ukTuYo0e5sfAXzmvPZjTt62YOk5psaVM96tJ6ojxXWj3UKu8+SUf0mo7n0jJ26ZW5zPh33e7DK43TkrOTbWB41qqYZ8e465SOFfAfO9rU/ENewG3f0RgdI/wDjGDWjTQ+Q/Nw5nM0OhhwE8w9H2JrZ08aqdtNH8MA52l8l5zXn0XG/B6s8TkfelXybl9RG0zRH6Cb1N3yEz36POvbXsBt39GYHLA5zjHvw84Cm7BweYXaABNdAam0y5m8b69opeaj026HsHB4B3eZ8Ou73YJXH6cg7k0/jwL7Sv31snuWdddqs6dhfwzvjfuYfQmb/ufrVdJ1eQ8f9HqzyOB3p5Dffga7T6+jYX8Md4s5vLFf/yfqVdJ1eQ8f9HqzyOB3p5Dffga7T6+jYX8Md4s5vH8/6L09dp9fQcb8HqzxOR5jU0tLSspLmfEZ5aFlLcz4d93uwyuPyANk0n07X6XV07K+h436Mjtc1dNzvwSqP05FOfvMdeHed8v9pnfX/an03ukdcQ8f9GB2va+i434NVHqcjZyc//8kH5BM/2vwNxTP9Wv0TGZD/FMYI5u7+UxffFfZ4BP/9uJHU/ycrx1Z/O9U87egm1BL6oxw5VnOf6zz6W6z4oW6t2/pPojzDs/Oar/HOuJ/5t7DPouv0Gjru92CVx+nImcnnQ1j/3THW/7RD5NkHSOJCHEYHSA9CfYA8VqezuHnYEv9AQ749zM1iXedyX+t5BHOQmqP8w1Tm3uccWN3HrB7VBQ+46ta51tlRnpnTfJ3duKM3k6wrsMaVWV2NoN6rvWf+UJX6SCXfC6SuOWNkq3k/Hfd7sMrjdOTM5NNc6keU+52mc1dojux/1igZQ/oAeaxOiSVzatw8RBlrrokvH9IjH1PIg94M10MyRz5b5R78QM/yzxh+CNfYBA8L2jYmR2uFOc357MZ9llPzb32i4701MptbGdWptZnzs/5GoJ/vme+HMD/rWZ9n70eSdprz6Ljfg1UepyNnJv9RcwH8yYaEvg2HZoPYzKrvNjQlmw5zbFb+zHVsVJBr+tFVaiObjekrz1d7Zsw1qm18QIgbtmYw17WQbMCAjdFYHk74aTzQUR9Jcqyu806qH48wpjVu7tVYW0vsxZzvwjzED3TF+LpG1hv3UP2pWJc5N2Es82B+wLxr25g8s8/mfHbjjt6sPrKXURu+D/YkxlbvsTWjZJ2ypnbEmh/Vs7YqPNP/0dz0e8XIdvN+Ou73YJXH6cjZyWc9ZdQUeJ7NMBugH1vHuc8Gxpi6Nis/7uhlo6yNE1vOzTWxYUOrDTP1GMv19HUFc5g/a7qu9aiBMte9aMsY6ZdgU1vqugfgOuOSexyNuc67yT3sYP5r3HhmXIE98UxZxTkhDtVWBR3jh+4oVtZJzT2s5ol+WHdce19joL3dPQpzmvPZjTt6sxrJ95daMferuk2Yg+1Zj6rs6iUr/yH9XrEbr+a1dNzvwSqP05Grkk/DYG3EBgfcZzPJBkgToZmIzYqf2ktybl6Dc0U7UOflmuLH2Tmw8nWE6+tLNl3mG4dHDZS5s5jVuRmn0boVxp3v3CMfh1ehz7uYnyrEplJ1V7EGxtXNuCfa5Ce5mOlqaxVTxle1xJ7QUY+f1qU5y7FH+6swpzmf3bijN6ot667WAvUyeg9W7PQKcM1d9EkfK6472l/lyLrN6+i434NVHqcjVyffBiJcZ7PIwxAfvvyQZlPTThXnph3hGfOYn3arbtrz41v9BmzMfK0w7j5rc67+cL366DN3FrO6F2zr9+ij4LhS18ZWjs8a/6thrSO4D33nZ95X2FfubUbqrHJC3M2hczJHol+Zgwp20NmJtfZGmG/8OcLMXvNeduOO3kxqzVgDCnW6g/NWdeo7N6rzETv1mO/RI7DVnE/H/R6s8jgdOSv5NpeKz210XM8OQ3wcs5nYgPjJnNVe6kEKuPeANFszcT10q9+w8rWCLvOrYBsbo7GZPcZm/rs/yTi5n/woVP16n/Cctc5An3cxP+m7MR/llmeIOiO0iaxya1xHUmPJPc8zBxXWQidrbQb+z3Ji7rNWdmBOcz67ca85tX+saooasU5n9ZKMekUyet9WaG/1Hq3exRFHdJvX0XG/B6s8TkfOTD4NoTYMGk4+Q8cmZFPyg18/tnVu6tqgbKzYdUxmDVTdUdPM+7Spr8yB6tuK0ToJdozJCObmByT98tAgaWu0bo67J+/rnlhjd49fJfewQ/UdfIaYJ66NF8J1zkkYU78yWk+wy9jo4IY+Y5kD1wFzpN26DvHnHj3HXGekO/L9Edhozmc37plzsa6s84p1YI3M9MQ6zDoVbdhzHlFregT+Ha1VbDbn03G/B6s8TkfOTr4fPKU2EZsRgi5iY0LXjyDjtcHYmJRsaOiOGhz2qg+pm/5Um5Bj2Vz1dYdVc4aRjwlzZwdI4Fof06fRujX+zM0488xx5CyOruU+aty457lxqDVTa0qqXgpjs/XA+O8eIEHbSOasrlP9qvWpfeUZnp3XfI3duKM3qi2eZ+1Q2+pZ59YTdbTCOqt1ij2e17qbsXpPhPHZe7iCec35dNzvwSqP05HvlHyaTjbE5ufw7jrlA7j7Ebyas33tD8Q17MYdvdEB0sOdY9SMNj2g8XOnp44OkB4GR2uP0Maqdnf9GeHemnPpuN+DVR6nI98p+X2A/Ll0k/obPsLP/HbmK3Tsr2E37ujNDnH0S8Y9+HmIVHb76egAWX+7naI/2Pe3jXXtFMY8kI5kx0/0mvPpuN+DVR6nI98p+X2A/Ll0k7qOjv01vDPuZ/4hxAPku+k6vYaO+z1Y5XE60slvvgNdp9fRsb+GO8Sd3yqu/pP1K+k6vYaO+z1Y5XE60slvvgNdp9fRsb+GO8Sd3z7yn7/PoOv0Gjru92CVx+kIk1paWlpaWlpaWn6uzFgeIP/973+3tLS0tLS0tLT8QOkDZEtLS0tLS0tLyyHpA2RLS0tLS0tLS8sh6QNkS0tLS0tLS0vLIekDZEtLS0tLS0tLyyHpA2RLS0tLS0tLS8sh6QNkS0tLS0tLS0vLIekDZEtLS0tLS0tLyyHpA2RLS0tLS0tLS8sh6QNkS0tLS0tLS0vLIekDZEtLS0tLS0tLyyHpA2RLS0tLS0tLS8sh6QNkS0tLS0tLS0vLIekDZEtLS0tLS0tLyyHpA2RLS0tLS0tLS8sh6QNkS0tLS0tLS0vLIXn6ANnS0tLS0tLS0vJzZcZ8pGmapmmapmkG9AGyaZqmaZqmOUQfIJumaZqmaZpD9AGyaZqmaZqmOUQfIJumaZqmaZoD/Oc//w/HKG5ht0cRCgAAAABJRU5ErkJggg==">
          <a:extLst>
            <a:ext uri="{FF2B5EF4-FFF2-40B4-BE49-F238E27FC236}">
              <a16:creationId xmlns:a16="http://schemas.microsoft.com/office/drawing/2014/main" id="{DC9D2785-1A95-4F39-B950-A585144CAD5C}"/>
            </a:ext>
          </a:extLst>
        </xdr:cNvPr>
        <xdr:cNvSpPr>
          <a:spLocks noChangeAspect="1" noChangeArrowheads="1"/>
        </xdr:cNvSpPr>
      </xdr:nvSpPr>
      <xdr:spPr bwMode="auto">
        <a:xfrm>
          <a:off x="3756660" y="2057400"/>
          <a:ext cx="293370" cy="352426"/>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12</xdr:row>
      <xdr:rowOff>0</xdr:rowOff>
    </xdr:from>
    <xdr:ext cx="304800" cy="310092"/>
    <xdr:sp macro="" textlink="">
      <xdr:nvSpPr>
        <xdr:cNvPr id="3" name="AutoShape 2" descr="data:image/png;base64,iVBORw0KGgoAAAANSUhEUgAAApAAAACzCAYAAAA+EizhAAAAAXNSR0IArs4c6QAAAARnQU1BAACxjwv8YQUAAAAJcEhZcwAADsMAAA7DAcdvqGQAAD48SURBVHhe7Zzhlew2rm4nFwfjWByKI3EY88NxOJZ5a4+97/suLsmiqqukajX2WlgtiSAIAhDE0/Y5//pP0zRN0zRN0xygD5BN0zRN0zTNIfoA2TRN0zRN0xxieoD817/+1dLS0tLS0tLS8oNlxvIA2TSfTtfpdXTsr6HjfoyO1zV03O/BKo/TkU5+8x3oOr2Ojv01dNyP0fG6ho77PVjlcTrSyW++A12n1/Gpsccv5M8///znyb04Eve//vrrf+KB/P777/+MfD74+oo8HonXb7/99r/ipRDHV4LNX3/99Z+746Rv+PxV8AVbj9jVg129HX755Zf/2a/Cs1dCnWH3q+/Is3aOxDZ5ld8zVj5NR57ZSNOcTdfpdXxi7G2myCs+rJ/IkbjzUfKg8qoD2VlceYB89YGxwhrm5Sj46OHpjz/++K8tfp7BlQfIVx8YK686iD1rpw+QTXMyXafX8Ymx9wDgz6QeSPKwYBPmGfgbj0/kiF/ozvTrbyfz0OTBBPHD5iHFZ6AN42ZM6xzvU3eE89Xjp/la+bsC3V1cc2R7VT8ZB34ixgjSd3Vy3PpTVnuzNmc6Mx/APShifiTztdJbsau3w+oAWX1K3Xyv+em1ZJ2rkwexjNdsfXhkh7mO+05Uch9f9fuVYHvGdGQ1qWk+ha7T6/jE2OMTDdUGm83aj8HoAAA2cJ/PGv3V4Nsu+eFy38Iz9gzuGfIwBMbFeOS8qqud/Jjlh7HqJ340navv+s31yN9H7OqBdkeHs1X9uC8PGVU3Y2Btupe675UPoC2k1midy7XruK5z8FV/0z/88Ln70rfUe8Su3g7pa6X6lLrG1his4uOYe605XPmwspP+mQNtJqn3Fb9fjT6NmI6sJjXNp9B1eh2fFvv6geTaJgv1g1Cbsh/LOu/TwL9d/BDVffncWOV9/cit4mrMiCUYU+c6nh83dSrmx3xkvlb+PmK01gx9S3Fvq/qpcagxzDHgvh4AZBSzxHElDzXc5zoZ07pOgi91zGdpc6Q3Y1dvB/aoL4q5rz7lQc86MZYZj1lNqYsNcwQ1p/LIDtc193kvuY9q44jfr0afRkxHVpOa5lPoOr2OT4t9/ZDUD6ZNmIYLjtOURRs2508k97RLfoCJgx/DKjyvcVLXmHDth9XDjB/EGtPRx20Ud6jP04+Vv49Ab5eZb7CqH4RrnkHGrI4B98aw1u1If4Tz1B3NS5/rOkmOOWdkc2Wjsqu3Qx4KK9Wn1K31N6opa6jqco1tqfqysmP8qoxym/v4it+vRp9GTEdWk5rmU/iEOs2X+yfxST1i1qgRG62N1zzRxLlnLjiufCrP+ub+2LcfHWOT1Dh5ry4fZz+s9YBRY+p4ftzUqfgeOTffq5W/jxitNaP6n9S4pK77NA41ZjkG3BvDGo9RzGYYF23VdTKmdZ0kDy95AKv7Sr1H7OrtkD5V6r5S1/gYy1VNVV1sGFeo+ZdHdrjOnMzI2FYbR/x+Nfo0YjqymnQmBq7KKyCpBP8rPJM8C3EkR4ugvuBHYJ4viC8h9r4T+PwMNQc7deAcX1yh0dRnlSONNzEvVR6tdwb48SnYJ2pceGaN1/xxjVjzfnh8p32n6ryrwZcd6j68z/0bG+NHLGaHBucZJ3CeutZr9pGs/Wo7qb2UNbj33eR65O8j0Ntl5L/UOuBa3bqvqpsxcMy91H2vfHAd53o/m5u6K59m1zW/OfaIXb0dsuYquWdjqW6NrfsZ1ZR2ZrorH1Z2Mmb6Yw6Skd4zfmc8XgG2ZkxHVpPOpAauvkDPUu0+S030UbJonsF4UDRHyTi+uujO4tnYMc+c7eagNuAzGOXlU3K1E7OzoLGP/DG3xsp7JONY+4F63F+R9xX4sou+K9kn2HeOZS80Hs7JcXtejmk3Y5qYn9QdsVp35e8KdHeZ+S+z+tE39zaqmToPW1LzNFsfMv5I2oH0sY5lfBHXcQ6kfQ9N2km9R+zq7aAfM/QX/1LXvdjr63ueezUv6oLPkNX6j+ww1/F8noxy8Izf3q9q6AjYmjEdWU06kxo4qEWsDlKTnAXgnPqy+pKv7CQ5/1GxZAMZMXohte8Ya4A2HYNsXI5V332OOA/y3vnpexag6yiZjyvBl6P48mUskqyD3Kt5GdVL6vnc/HHvteiDMnvZzUuOa7/6pWTNuS6yqgttHYF5zfm8O+7WJnUG1tusRj+drtNr6Ljfg1UepyOfkvz6sYT8GNdxPpJ+KG2EfFA9AHkYq/NWdiroefjwA898SN/8sKfvlXqwAOe5BnCt72k3D3ZQ9zmbB1y7hvtAB3LsUeyuBD+OkjGr89kTz9ABasA4GD9+rvSMj/ECxlzLudaMsddWMhpLW+7FXDBm3Wa+65pZ3/o7Wn+FPjTnckbcrTvFuvmOdJ1eQ8f9HqzyOB35lOT7cfMD6QfTj3V+uCE/ml4jtQFWuys7iR9ixvNe+1znwaHeV/IwIK49ato8V9AzHrlGHiKkzvOZe64HlYyHscoDBverfZ0FfjyDe1JqrHPcWJoX4wcjPZ+lXubZWIs5rD6AulXSNuibAulb6tf1VuuvcJ3mXDrux+h4XUPH/R6s8jgd+ZTk50dQycMR9x50wA+pH0x0c67PtesBkeuVHanP8wDph7jK6qCVBwsZra0ez3LcNXONtDmbB1y7Zw8q2APiZpzrGOTcK8GPZ6n5Ipfm071nHDJ+K71aWzDKiYxyKKPY60etOai2HVNyj1WwdwTmNOfTcT9Gx+saOu73YJXH6cinJH/0MU74aOdBxo9r1deO+6p2d+348WU87/34cj06CMyoH3xwbdeoB4wcHx0+sMl+VvOAa/dcDyqjA5FjkHavBD++insnLqs4ZPx24pW1k3l2rpgnayip64D6jNW1RvUE2sHH1XpHGK3T/A1x9t2yLl5Fx/0YPyVeo75zJV2n92CVx+nIpyT/0UtRx1cfcg9WUMdWdiro1YMX8yE/4Nji2gPbiNEHPw8qwr1rOodxDwMI13m4gNk8yLF6UMn9V5s1VleCH0fRf+PgPfvMvZk/45B5WemN4mPsQX30oMY+GY2lH3ltnhAY5dR8Z361kf7u4DrPoG/WlLgHn2fczoI1R7nYhbnGebTHr3JWPFjHGhHzw/5qHSc1j1dyJF6+C0rdfwUdc/1Vdusu3/kEX+uzFTM7rwLbr8B++qo4vxPq/WgfXb1HO7Am87/Ss1as8jgdeVXyv8roY1wxgEh94XMMMcg2OKR+yJFV4zDhiHMy+cx1/FFR8FKgl4xebOOAOIdn2agdT99n88Bn4Hzjg420k3tGjr4k7wJfnqHWRcY6n2d+al5mesY8Y5TjoC1l9vJXPxWeS9ab62jPeyXJ57n/Xaq9I6TPSdbzFdT34BP5StyPYCyyjus7MOPqPCa78fK9zb3V97bCGDpf5Ujd7ebgalZxO0L2sE9+L0d9fwe/rX6XP41VHqcjq0lN8yl0nV7Hs7G3YfrRzA9hPXjkB1x9fzrXayTJ5zb1tO+YBwA/AApz1Ff0C9yH4hqQHz0kGa19hGrvXbi//LC5L+JSxzMemSvJPzTkH07fDevtUP2VfJ714B4zh7Um0Bd1jYMxGNUdaB/JNUYHSPXqc/C5udNWtVN91w9Y7WsGel/FeBuLrMU6htS6ytjWsZyHJOYIqXEe5dBY1jn5bJRDZLS3md/OM5fMdb45qfvaydUKbMyYjqwmNc2n0HV6Hc/G3gYH/MzGmh8FsFGC82y0NnE+bn7gcszGazPGtvbrmB/L2ozR0+bIjn7mPPS0r542qn2uc/87MOcsWMu9QPq7E/OMT52XH+Z3wlqPWPmE3+4r6zE/5lDjMcp1net6VXdVJ3Xuamzlb+pap5kv7nn+aF8z0Pkq1hFrZX2BPrtO3YNz8R9yfua7zhvFTBtc1zF+Ql0PO9oc2TEPxtP4rvzWjnMh8+G4cK0Pz5L2KtOR1aSm+RS6Tq/j2dgzrzZPmh+smnnVzcaa87y2Ied9tV8be10DnKOgW+eN0HfE9fIa/Fjkeo9A/ywyHu6Zn8Deuc+41pjnXoF88Tx13w1rPaLuLSGP1lndE/e1lqXGJHWNnetlnIHrXCfrJH31OusQX12n2uHesUd25NG+ZuScZ8l33Bjo46jGMlcZB8g9eo3UfVSbec/1LIfVP+GZgm6d571+7PidPpsfawd8hqStZ8DGjOnIalLTfApdp9fxTOxtgLV5el8/CjQ/16mNMj8uOU+bVWi61X71Z7QG99jMD8TsYwGOYSvXq2vDys4M9M/C+OBnjY1xZiyvoe7VuSPdd8Naj9An6yCxzkb5494PdNYqVP3UrTHI2I7WQY9nzMuazeey6+8jO/JoXzNyzjPUGLluvU8/0ld+ulfI/YLvtsJzbVZxDa5nOawx1Bfs5tp5DdUO1zO/61zAN57hu+POr7aeARszpiOrSU3zKXSdXsczsbepVrHJ1Y+C+pCNEvxQQs7z2oacVPu1Iecaqw+E8/xYJDO/IK9Bm+jtgv6ZsJ55yI9RxqfGfLRv59a4vhvW2iH9lUf549598TzXqjFJ3RoD51oHXOc66DmeNTuqQ2rPdaod7h17ZEce7WtGznkG160ye7eAvTmecYDZHo0tAtVmwtgsh9rhefUtY+08rqHaWfmddsQ4sSbzuBau09YzpL3KdGQ1qWk+ha7T6zgae5tqbWjZAGvjzYaYekCjnX1MciwbcNWrDXnlC/ZmdvLjkT77XL20D1wfbfDaPgt9RvLDNfrwGfO67xzTnvPeDWvtoM+5R3NpvjK31o75q/FY5fqR7mpurdnV2Mrf1GUdrs2XscDPR77OQOcrMN+akfRLn/VltQcY1adjxMSxjJl7N55cG78al2ozdbU5smM8Z3bS78yZZD7yWl3XeRZszJiOrCY1zafQdXodR2NvY8zmBzY6xutHwMYL2RwhG2udB9wrrln1XNtxPwo+c02kfgRSd/ZcH7OJawd5prkz70yMEWLswX364TO2iHGrcUbcf+bqnbDWLuknYn0ljrnHzGGdn/FK3Rq7WncwqxPXUC/jns9hJyfqz+oZ1FVyXzPQexbXMz6ij+zBvbkvpOZrdwzJPaHr8/SB+1kOM9Y8Q7w3l+pmrPUj15n5XXMG6rJ++oCw7qiGj4CdGdOR1aSm+RS6Tq+jY/+/PwRn0XE/xk+OF4cHDxAeLvKg8k7eHXf3wwGqeR+rPE5HfvJL13wfuk6vo2P//yEWHCbPoON+jJ8cr/wDDvLV30Yd4d1x7wPkOazyOB2x4FpaWlpaWlpaWn6mzFgeIP/973+3tLS0tLS0tBySPkPcQ/oA2dLS0tLS0nKa9BniHtIHyJaWlpaWlpbTpM8Q95A+QLa0tLS0tLScJn2GuIf0AbKlpaWlpaXlNOkzxD2kD5AtLS0tLS0tp0mfIe4hfYBsaWlpaWlpOU36DHEP6QNkS0tLS0tLy2nSZ4h7SB8gW1paWlpaWk6TPkPcQ/oA2dLS0tLS0nKa9BniHtIHyJaWlpaWlpbTpM8Q95A+QLa0tLS0tLScJn2GuIf0AbKlpaWlpaXlNOkzxD2kD5AtLS0tLS0tp0mfIe4hfYBsaWlpaWlpOU36DHEP6QNkS0tLS0tLy2nSZ4h7SB8gW1paWlpaWk6TPkPcQ/oA2dLS0tLS0nKa9BniHvL0AbKlpaWlpaWlpeXnyozlAbJpPp2u0+vo2F9Dx/0YHa9r6Ljfg1UepyOd/OY78O46/f333/8rzf+le8Q1dNyP0fG6ho77PVjlcTryquT/9ttvQ1t//fXXf5/zcf7jjz+210MP/Xr9Cfzyyy/TwwbPGZcjezZWI/nzzz//0XoNv/76639z9ogj/r+Toz4Qr4xfCnFOcixzV6n5WemCsVvpUi+MZ36PrkMuH+lrE92jMK85n3fG/VFNfUe6Tq+h434PVnmcjrwq+X6w60HHjygfsCOHEfTQr9df4RV23MPsAMlYNucje/Yj/+rD4oifcoCseyQ3acvDF/n0MDeLS53L/exA5vrW28huHvwy50fWgZHtCuPorezMSF+a89iNO3ozqb3EGldmfWwEdTjqTVnH6Dwi10cqvjvKbs8e2WreT8f9HqzyOB15ZfKxVRsSzeWZj1aC3d0msuIVdrBBkxw1Xj7SjGUTPXIAO/MA+d3YjaH4EaoHKw9Sxphr83nkYwp+OMlbBVs55rrCtWvzc5Xz1Truc+W7Osgz7yLzmvPZjTt6o75Wa9BexL09aja3MqtT6jpriutVjWEja7W+F/roOtZuXXdE2mnOo+N+D1Z5nI68Mvk0gzw8AfZtUDYHyQ+bc9XNeXkNNjMk16Mx0bxy3HmjZ7k+MvpAJ/jIXGzVDza2WJvn6RP62LZRIrmXhPUZf9QstVNtub5j+KFN7wVdfAJ+pn+IPug/GK/U1YZg17Eao6+AvSOkr4m+uz/rwtgdgXnIqG6Mg7iuuo5Vf0YwnnOTzLdSwZfc51FGNpv3sxt39GY9hbxb1+Te98FewNiqJnyPlKzTUb/y2ahWtVXhmf6nv4LP+r1iZLt5Px33e7DK43Tklcm3Qdg88vAB9Z5rG4cfQu9n17WZjGzY0Li3UULq2ui85yf3M9C30Y6aHGPo1DW1W30coU9Vci1su3/13S8+cC/OF671Iz8m/GQMe96714yL+dWfmu+cp2+u91X0YRd9c4/Cs8yP+VCq/gxjnbaSmgtjbK5k9lx21zEHVTfrj5/m5wjMa85nN+7mdwS14PtK7q3vWT1VmIPt2mvAd6yC7SPvvf6P1jjCyJfm/XTc78Eqj9ORVycfezYPmlV+sHjuenktOXd2ndhwbJD8HH08Je1UXZitA+zDxpZNGZhjY37kg03XD37yqIGO5uZHIa+h+pn3qVvzlHtI/+v61V+uM37V7lfQh130tUrmRqpuxnAE4+qu6oVxcY6xktlz2Fmn4hxzxH55Zq6eyQfzmvPZjfusPniPsxZ8l6mJ0Xuwor7rgL2RHWos+84KfcK+76FrKbu1j25zPh33e7DK43Tk1cnnY+VHqr78Nguva/PhXv2cm9faQGyENqs8+IC6knZsrlUcT3jGviTXBObJIx+ySVZGTTpxbhV9I+4rP/M+dTNnkHtI/6vv6e/Id+yk3a+gD7voa+4x7yv4iqCzWit1ZraAfacd169593nGDXbXqaQ9bbCm+XkmH8xrzmc37ujNpNabdaBkr1rhvPp+j+Znb1mhTeyA72za9NmoL1fQa86n434PVnmcjrw6+fnCV9v5bDTuvNV1HoIg72tDq2uknVnzG+FHuQrP3e9IoPqgfm3sMGrSyWou1Ma9ilXq8jMPFhmb9L+uX/3l2vhCtfsV9GEXfa3x4FnGRHjmvmdraRN5tC/WRc9YoT+yq54xhCPrVHJd1xzJEY7qN69hN+7o5XtHHfMsa6pCnfv++q6vqO86sOZoLnU3escS7WV9W/e+M+J7+QjmNufTcb8HqzxOR96RfGwi+fGGepji2sZn0/N+dk0jsTlpz/vaaBwXxrRjA/Pe5rVqupI+VB75MGuSMGrSFWxnXNHXF5pxjlU/8z51+ZmNPPeQ/lffq7/VDmPG96vowy76mvHwGeIeuDYu7jvnJIypX6nree/+cyzhGWPGEI6so27uJ3Mg5mo09gjmNeezG3f06ntmXVkXFWvLeprpifWTdercCrZX77226vsws4et0btQGc1t3k/H/R6s8jgdeUfyRx9FoBHkejYMxDn5wR1da8M5iB/FPPhAXa+ukevn80ewhgexyiMfXHPUsEdNeoT+IuxJiEPeVz/zPnUzhpB7SP+r7yN/saNvsxg9gz7soq8ZD+Ce5+7XPSiZu6TqpTA2Ws/YITO7+mMMn1kndTKPiXZn4yuY15zPbtzRG/Wumm9qUD3r0XqiPlZYP9Yp7D5LRvWbjObSR3bqlrnN+XTc78Eqj9ORT0r+qHk0Dby7TvlIvfLA+07O9rU/ENewG3f0RgdI/wDjGDWjTQ+Q/Nw5nM0OhhwE8w9H2JrZ08aqdtNH8MA52l8l5zXn0XG/B6s8TkeuSr6NgaYCtXE0TdK18Te8L/nBPoOO/TXsxh292QGLwxzjHvzss8rO4RFWv1l0DaTWJmP+trGunZKHSg++ys7hEdBtzqfjfg9WeZyOXJn82lBGzalp4Mo6/el07K/hnXE/8w8hs/9c/Wq6Tq+h434PVnmcjnTym+9A1+l1dOyv4Q5x55cC+dvFd9J1eg0d93uwyuN0pJPffAe6Tq+jY38Nd4g7v330f1N6N12n19BxvwerPE5HmNTS0tKykuZ8RnloWUtzPh33e7DK4/IA2TSfTtfpdXTsr6HjfoyO1zV03O/BKo/TkU5+8x14d53y/2md9f9qfTe6R1xDx/0YHa9r6Ljfg1UepyOvTP7s3xTzn2Xgf6jm/4nZ+acj0GUO//9MXn8CHDTq3yx89m+U+89jzOa5d2UWg/pPXyj1n8AYPfsO4PcRatxSagxzbPW3U2uuHv1N1szJTNe6ybwfXSf/GZWZvjZ33r0K85rzeWfcH9XUd6Tr9Bo67vdglcfpyCuT78ewwmHLhnXlAfIVdtxjHiA5KGRD9uCwsw56Hh6cJ370HWftWeOvc8H5jEm9/y7UvT3CXNeDPvFLWx6+iO0ot0mdy/2sll3fWI/s5sHPHMORdWBku8I4ejvvXiV9ac5jN+7ozSTrCqxxhftdqMNqD7KO0XlEro9UfHeU3X41stW8n477PVjlcTryyuT74tcmw7Mjjaqi3asPkMxFaJiPPtjoHT2ojQ6Mux981mJuhec7Tf3TGe1thbmuefIgZYy5Jj7E+miN+uEc1RO2csx1hWvX5qf+jFit4z5XvquD7NZTwrzmfHbjjt6o19QatEdwb0+Yza3M6pS6zprielVj2Mhare+FPrqOtVvXHZF2mvPouN+DVR6nI69OPo0mP9o2gPyQZoOxySHZ8HJetcFP5yC5HrZtSgr6dY62cn2b6gwbn2uswB5+63s2ae5H822ewjrZbFfUueK+8QPSF/ab9nNfPM84Aj/zWY1XxjJz/AqweQTjXuOs/8bDD+ORWAvzEGspwR5j4rrqOlb9GcF4zk0y5koFX3KfRxnZbN7PbtzRy/6S5DtO7n0ffHcZW9WE75GSdVp7C/hsVKvaqvBs1pMAn/V7xch283467vdglcfpyKuTz8tvcwJe/GxQeW9Dsdnw3Pscq3rYt+HMbAj3Np+q66HL++rrjLQ5wo+6uA4wd7QG40h+CNynY9oYkWtUeM7evXaN2qxzX+7B2AD36XvaqutjexWjo6TtHcx19YFnWZ/uU9n1mThUW4njgl3uzYPMnsvuOuap6poXf2b+dmFecz67cTe/I6gF33Fyb33P6qnCHGxTX6yTdeo7VsH2zJ8R+j9a4wgjX5r303G/B6s8TkdenXybih+0bGBAA/MjlteQc2fXFT+MNp1skpBrVDtVd7VOUucl2tAfQZ/nyArGjRexS31szBq/cRjBc/3h2uZec5P74nldK+dCzq8xWfnzDEdtmYcqo/hV3VluJXOZ8UiIB+PinFld1Oews07FOdYw++UZ9zzHr6Mwrzmf3bjP6oN3M2vBd5KaGL0HK6yfrFPsjexQY9lXVugT9n0PXUvZrX10m/PpuN+DVR6nI+9IPk2FBpINQfiY+RHjGhEbR20m1Y4fScQPtY2N+7SZ61U7zq3i+Iy6hmhfXxJsMvaoGaa//MxGXP1PbMQV13VO+mCeJPfF8/pxqP7n/GpLX1/FUVuu7374mfcVfEfQWa2VOjNbYG2J69fc+bzWzO46lbSnDda0DqytIzCvOZ/duKM3k1pv1oFS3/EZzss6pb5G87OPrNAmdsB3Nm36bOcQiV5zPh33e7DK43TkHcmnIdhE6gcrn9VxmwWNZXZdG1m9r80r10g7UHV3Gc3Ttn5UmENjzPVHpL9c21yh+p/MDpC1yaPzjgNkjcnMn2c5astYpU/GP/csPHPPs7W0iZijGayLXtbayK56WTdH1qnkuq45kiMc1W9ew27c0cv3kjrmWdZUhTqnRtCr7/kIddMma47mUnejdyzRXta3de87I76Xj2Bucz4d93uwyuN05B3Jzw9gNjbgA2fTqA3DDx73OZbXCNc8g/oBxgbPJNdzLj/BQ473Nt5H1DWqT5VsgCN/nOc+jZn3wjznVtxLov3MQd6nPXXd16hpV1uM+6Go62M3Y/RV0vYOxi598Blizrl2H+555jdj6lfqejWXOZbwjDH05cg66uZ+RjVifmf1s4J5zfnsxh29fC/BurIuKtaW9TTTE+sn69S5FWxXfxJt1fdhZg9bo3ehMprbvJ+O+z1Y5XE68q7k+2Gr0DTyI8ZHGz0km142ttrk1ENsLh5k6sGlrqdf2sr18/mK0RppQ/FQwnU2Xu6d796U2ni5d2zVRFMvpdrLZ+xVPWzjk37hd12v2su4Q8bymYPKCmwewbhmnsBc6V/GAJnFuOqlMDZabyd3+mN9PLNO6szirt1n8sK85nx2445efc+h5psaVM96tJ6ojxXWj3UKu8+SUf0mo7n0lZ26ZW5zPh33e7DK43Tkk5Jvc2mayrvrgo9UHoY/mbN97XfyGnbjjt7oAOkfYByjZrTpAZKfO4ez2cGQg2D+4QhbM3vaWNVu+gh+E0b7q+S85jw67vdglcfpyJXJp1nsNp/mZ9NN6m/4COc7cwYd+2vYjTt6swMW/ZRxD34e0JTdfrv6zaJrILU2GfO3jXXtlDxUevBVdg6PgG5zPh33e7DK43Tk6uRn8+lCbGZ0bVxHx/4a3hn3M/8QMvvP1a+m6/QaOu73YJXH6Ugnv/kOdJ1eR8f+Gu4Qd35jmb9dfCddp9fQcb8HqzxOR5jU0tLSspLmfEZ5aFlLcz4d93uwyuPyANk0n07X6XV07K+h436Mjtc1dNzvwSqP05FOfvMd6Dq9jo79NXTcj9HxuoaO+z1Y5XE60slvvgNdp9fRsb+GjvsxOl7X0HG/B6s8Tkc6+c13oOv0Ojr219BxP0bH6xo67vdglcfpSCe/+Q50nV5Hx/4aOu7H6HhdQ8f9HqzyOB3p5Dffga7T6+jYX0PH/Rgdr2vouN+DVR6nI5385jvQdXodHftr6Lgfo+N1DR33e7DK43Skk998B7pOr6Njfw0d92N0vK6h434PVnmcjnTym+9A1+l1dOyvoeN+jI7XNXTc78Eqj9ORTn7zHeg6vY6O/TV03I/R8bqGjvs9WOVxOtLJb74DXafX0bG/ho77MTpe19BxvwerPE5HOvnNd6Dr9Dqujv3vv//+n99+++2fu59D1/wxro7XH3/88d9a/Wl8lzr95Zdf/rlqRqzyOB3pJtV8B7pOr+OVsf/111//a28kjFWqziM4aO7o//XXX9s2gYMBurMDAocHxl950N31rfmbV8ar1lHKKMdVZxfqZlT31pPy559//jMyJusZGdVpjn/nOq17rcJ44rurHDnkj+wl5OWRDjzqS9XHR/bewcgvmY6sJjXNp9B1eh2vjP3qAInkh200vvotwuyjPwI7q/EkP1izj4/j3/nD/N15ZbzI4+hgZy1kHVBL6PsbSGTnt10eEus69VCi3upQwTh6oI/eA/6kz4zPavko2DoT9zc6VNsDJGNnTrjP2MxAz7kzdnRqPeBj3uujoJ/3Z7FaczpyhaNNc5Su0+t4Zew9QNYGbhN1Le/Rp6H6QefZ7LcxznecJj3St0ErK9IvpH50/dgr+PkqsNfs88p4WW8j8kBg/jlAUCvWB89mdQrWMlLX4b7WEc9q7Un6IzzTrjWc8KzOeZZq+92sDpDAGPuDjKX7zdiMqO/87HCIXXvMo0Om/gjP9B8bNbc8q3PeDT7NmI6sJjXNp9B1eh2vjD2NG3uj5shz17KJ01iRZw5mo+bux8cx1xuRHxL1s9Hn4dHxZ/ycgb1mn1fGizzODhnUAPmG2QFyBXOcP1qHsfp+YHfmDzZq3ekXjOb6HqwOPrucXaf67gGswpjxY9/Gxpg/Aj1sZ24r9oaVDszijF/WinaSUU7fDX7MmI6sJjXNp9B1eh2vjD2NE3v1A2lDzibPvXKkmdrUkfpBd/3UmYFPfnhZv9rDhv7ynPFXNv2Vb83/5ZXxIo/mPvFAkHVADfAsDwW7jNbBVj1QUIuzA9Bo3Ty4sMaoLkfrPAN2zsS9jXxnn+lP9pVZ/GbYI+rhD1x/pQOOV8xJ5ikhn6P6eycjP2U6wqSWlpaWlbwKmuLIvpIHS5tryuhDWPGjgeRHw0MeP9P2Dn6YZgcEbe/4t4v+tezLqzDfIxnVQNXPOl7BvDwoWJf1cGRNj6DGq09pB/ujujzi54qZX+9i1BdSKlV/9yA5OxxmPB8dIGd5M++z+eTz6IH3q4z8lOnIalLTfApdp9fxytivDpAzPJwpux+9PNT5EfFjnR+VHbCB7ujwALnWq9j1rfmbV8bLD7xYL6v8UpfUgbWyU6d1HWDu6AA5O1Awv9al/vKTNUZ+j9Z5BuyciXtL3405YzOIn3N3Dmejw13Nw+wAKI5XzIn+1Pnks9bFuxn5KdOR1aSm+RTeXae8sLUJN3/zytjTFLHnx5Wf3OczIBc8My80W5vxKE+OjZq7H1iuZ4LuCj9Qo7VB++i9Cuw1+7wyXuSxfsBX9QfUr2PM3amF0TrUcL4LgN2qJ9ioa+krjObODi7PcHad6nt9Z9njyhd7g7F5tPeRnmuMZFQXszhjR33G615GOX03+DFjOrKa9AjmjjZJYAwa47PCTzJZflQ+BfZQi8M9KrUAZrhPpRZWflCRGRnjhPk7f7r6bqxiMaLGOaXGLMdWsWPeri5kLme65jHr5+g6tamN9LW58y5WmPcq9DU/kBknc5P5I0a+g96PUF/bzOHeZu34SB69v9qara199F4F9t7Fo5r6jrwyXuRx9K5YB9Zp9luurQ/m7tTCaJ3R3JU91qz5zGe+X8no2bO8s05H2MvqO+vzjBMxsB8YD3uLOZyxo7ejw7g+SD7Dr9pXRs/eDT7NmI6sJj2CRJmUhGL3pRi9ICMyEa8q7t1CWYH/2Mhk4l/uW38frcN46tUXv/q7ih1z0a3j1bcVr4rzGRz101hmMwFik7aIH/fE05jWOVLncj/Lj+sTYxjZdW0EfTmyDoxsVxhHb2VnRvryVdyzcRH9Y69iHKrMMH9VMrbiu4iIPmCnshqDR7XzDOnbCvRmUvdeYzTbzwjyMYpl1nHmb0auj1R8d5RaKzNGtp6FPM7eFdbJMe6JI376k2ejWFVG67h/52tv9X3RB7C2M27kJWsz9b8Kts7E/Y3iy55yzHuwNvk5y21iHlZx39FJH4A85HtS81v1z2K15nTkK46OCtvkZvEeRbtfZSe5M9wHiUYevWzP7Ln6R2HlS74Cf2zcuS7XWZwrXhXnMzjqp7Gt8eSe54wD1+b3UY4rxn9UXzaBzC33wrVr81N/RqzWcZ8r39VBdhpnhXmvYlSzoo+ZM+OjPMK4K6OYAc+rTXM0iuVqDFw3ff8q6dsK9Ebx1Cdj4PvOvT1iNrcyq1P2mzXF9arGsJExNK6ij65j7dZ1R6Sdr1L3lehj5pr7lB1/YbaOa4zsGZOs7axnZFSnOZ6+fxXsnYl7ncXYWjU+vgfKqj6TUZwrIx3Wr/G3zpVK9XG15rsY+SXTkdWkHZifwbLwpb4gGUiDBpmIasMxJdcjWaPkYCefmZDUXRWSfsCoICrYw099dS5wz7oVbGJbuM55K5iL/zVW3KdN4B6d9KvGFOo+sa/fzONeW8Y341nX1bfR2FGwcQT3V+Ouv4yD+2Fvj3JcYR5ibSXYY0xcV13Hqj8jGM+5CT47rlQyb1wfZWTzTNhjzeO7ID6+I1ezG3f0Zj6Td+uavRlH30fGVjVR+0TWqT1g9GxUq9qq8Ez/01/B5538j2yfCXuovr8L1hnF+Aqujvsu1vy7IS9n1cErWeVxOvLV5PNiZwPKJgU57oFC/KiBzYXgVz2ubVIjG1kY2YDSJvA851ZfZ6TNEdVu+sgaGR/AH8aRbL7cOxfJfVVYU7u5D+bnvBwzHqtY5j6r3ZwL3OfeuEcPauzRS92jpJ87uH7NL88yPuZO2akHYC/VVuK4YJf7jB/MnsvuOsa56po3fz6TA+b9BKiF3fyfwW7cze+IfKfJvfub1VOFOdi2Z2Wd+o5VsD3zZ4T+j9Y4wsiXu/LMe/wuflLcd6CWj9T/p7DK43Tkq8knUGmD6wweDctizwYGOddmRBOpNhM/+H4ws0FCrpE2oequ1knqvMQ1atPDB56v7NswjRfX2djZy6xR4I9jNXba0H76lvGp+1/FchQr7vUdcj7z0veai6PUtR/helUyvlJ13fOMzG3uP2HvjItzMhcwew4761SckzXPM2shc7IL85rz2Y37rD54F7MWfIepidF7sGLUS7A3skONzfplRZ+w73voWspu7aP7EyA+vNOfwk+J+y7P9NhPYJXH6cgrku9LbjNIKHQDWhuLDSOveTmqHeZxj3iNHtDAZoeetAnoaiflEXUN0T4/KzbBR80v/WWd1B/FU/CHuWKcmWNTr/sH9Fyv2l/FcuRL3V/Oz7lgPNKXI9S1H+He9YGfeV/BbwSd1VqpM7MF7D/tuH7dv89rDe2uU0l72mBN4581swvzmvPZjTt6M6n1Zh0o9opHOC/rlPoaza/v/gxtYgd8Z9Omz7LPzECvOZ+O+z1Y5XE68ork0yyQUePwOdTxPJTYKGgqs+ej+9Wh55HuLqN52ubnCPxgXq4/Iv3lOhtlxqGCP+gn6LousG71Mder9lexHPnCffqb85mX/tVcHKWu/QjX038wH6Ma4BmizghtIjX2FdZFz/2iP7KrXuboyDqVXNc1R3KEo/rNa9iNO3r5HlLHPMuaqlDn9geuHzHqJaw5mkvdjd6xRHtZ39a974z4Xj6Cuc35dNzvwSqP05FXJN/DBVKbVh4k6iEkP9bZPFKvNhU/it5jI5sV4x4abFLq2lgFvZ3GVNfQbt2rZMPL/de9uE/t1IbMtXupsEY2X9Be2hjFw/X0R9DVprrOrbkD7nkuGae614zDM9S1H+H6GT+fpV9c67d5m8WcMfUrdT3vjU+OJTxjDH05so66uZ9RnM3nMzlgXnM+u3FHL99DsK6si4q1ZT3N9MT6yTp1bgXb1Z9EW/V9mNnD1uhdqIzmNu+n434PVnmcjrwq+dgZveQ0ifxo2dgQryEbGQ3D58B856hng2JNDy2AbjYmxrULuT6yQ12j2lA8hHCdjZZ7fXJvSuqB85HVxx690TjPah6MAVIbu8/Bxo4wB5+r3wn3aa/GKfdafTpKXfsR1on+i7kzdrlnZOZn1UthbLTezv71xzp4Zp3UmdWMdlc1NYN5zfnsxh29+l5DzTc1qJ71aD1RHyusH+sUdp8lo/pNRnNnva7C3OZ8Ou73YJXH6ciVyaeZffVg0fwM3l2nfKTy8PvJnO1rfyCuYTfu6I0OkP4BxjFqRpv2XX7uHM5mB0MOgtnDsTWzp41V7aaP4IFztL9KzmvOo+N+D1Z5nI6cmXyaTf0T8exPok2TdJP6Gz7CZ/+hq2N/DbtxR292wKLfMu7BzwOasnN4hNVvFl0DqbXJmD2+rp2Sh0oPvsrO4RHQbc6n434PVnmcjpydfBoMayJnfwib70s3qevo2F/DO+N+Zu8965cEXafX0HG/B6s8Tkc6+c13oOv0Ojr213CHuPMby9V/sn4lXafX0HG/B6s8TkeY1NLS0rKS5nxGeWhZS3M+Hfd7sMrj8gDZNJ9O1+l1dOyvoeN+jI7XNXTc78Eqj9ORTn7zHXh3nfKf2c76T23fje4R19BxP0bH6xo67vdglcfpyG7y+dt0o//xOv+ZBT7AO/9zdv6NvtXf7rsC9lH/ZuKzfysQVvPcuzKLQcY4cT4/QT3+p3Wun/0f5c/KiXHdYVdPjMVIjJfk2CpmNV+P4pt1M9PlnWE8Y310nfxbsDN9bdba3oF5zfm8M+6Pauo70nV6DR33e7DK43RkN/l+DOvH1w+g1zuNyY8ZH828/gqvsOMe8yPrQUS831mHWHjoc17Gj3vHXXuEc+u4e9YmfqNrTvj5DF+J5WifM1Z7ruzqiX7UvwFKTtKWhy9iZdxmf2u0zuV+diBzffM7suvaSMb6yDowsl1hHL2VnRnpS3Meu3FHbyb1HbbGlSM9gjqs9iDrGJ1H5PpIxXdH8R16xMhW83467vdglcfpyG7yPVTUl5mG8ejjteIrh5Xkq3b8aNMMH31k0X3mcJbx4+dOswUbKn5lrN3zzmHtCF+Jpb7u+EQM0N1hV0/0o9amByn3xrX5PJpTP5yjvfqhdsx1hWvX5ucq1qt13OfKd3WQR7U9gnnN+ezGHb3RIavWoO8b9/ae2dzKrE6p66wprlc1ho2s1fpe6KPrWLt13RFppzmPjvs9WOVxOnIk+bU50Ijy5aYx5KHIZoDYzNDNedWG90oeALi24SjOGz3L9ZEVNrXaEEewR2zrazZExkbz8Qld5oB72SHn8rPGSpvA2jxTEu2MxpK6zojMg/t1nqJfM5/Mzw67euJea4z12735YcTHzOMOzEMy/uKexXXVdaz6M4LxnJv4XqVU8CX3eZSRzeb97MYdPd6lEeTduib3vg88B8ZWNVF7Rtap7/vo2ahWtVXhmf6nv4LP+r1iZLt5Px33e7DK43TkSPLrB58X3UYEeV+bS34oc6zqMd9mYsOxGWkj721+1Y5zva++zkibI4yBPqSPzB2twTN0sjGyhj4xljYrrgGjGDuPsfQdPddU13jMfIWqW8Gm/gBrYg8yHrDyqdbTil090Q/9Ep7lvt2LUvVnsKdqK3FcsMt9jensueyuY7yrrjH2Z+ZiF+Y157Mbd/M7It83cm99z+qpwhxsj3qC71gF2zN/Ruj/o77ziJEvzfvpuN+DVR6nI0eSX1/wbEhAo7Ix5TXk3Nl1xY+eY6yVH8Bco9qpuqt1kjov0UZtjnkIQWcGvhov1kh9bYzA5xzjOhvubE3GXG+Vj8pqDLCDPTFPoK87PuW8R+zqiX5UyRhI1dW/GYyrW2tBzK84p8Z09hx21qk4x/hbc+Z0VtsrmNecz27cZ/VhT7EWfN+oidF7sGLUE7A3skONZX9YoU/Y9z10LWW39tFtzqfjfg9WeZyOHE0+zSE/SNlQ8pDCdf1YqZ9zq538aPoRzrG0meut7KQ4PqOuIdqfNTPGHjXN9Jd1EBnFU3jGmGTT9Seop5grGO0LndF6K1+APeQ6CujDjk/uY4ddPXHd3H/eV8gNgs5qrdSZ2QL2mXZc37iIz2usd9eppD1tsKY5HdX2I5jXnM9u3NGbSa0360AZHQBHOC/rlPoazc93fIU2sQO+s2nTZzuHSPSa8+m434NVHqcjR5PPi8wLPmoe+ayOZwPaua5zgKaUH8Bc45HuLqN52p41MebgR64/osYnm2z1P+EZYwk+Ijxnrs/SZt6v8lFZjQF2sDdCX3d8OvMACeZo5DvPjNFsLW0i7GMF66KXcRjZVS9jfWSdSq7rmiM5wlH95jXsxh297E3UMc+ypirUue959oUZo57gt6BC3c36g2gv69u6950R38tHMLc5n477PVjlcTpyNPm++EhtEvmi14aTH8ocm13XOd5nw6mNJXX5mfceVlhjRV0DmDc7POYhaOSP89ybMfNef1h31iTdS+L8tIHf2AHneK++8ai+JlW3wlzGJX137o5PGbtH7OpJXQt8hugf1/jOnoxJzkkYU79S1/Pe/OdYwjPG0Jcj66ib+6n1C+ZlNPYI5jXnsxt39Gp/sq6si4q1ZT3N9MT6yTp1bgXb1Z9EW/V9mNnD1uhdqIzmNu+n434PVnmcjjyTfD5CzKtNpx5KPCAg+aHMZlQbk3qIjQO7juUHsK6nX9rK9fP5itEaaUNBT/v8FPxxvntT3IfgT47PUK+ib+Yh7eFDjc/uetVvJeOSeUIS1uQZdlY+Gb8ddvXEdfEz0e9ZjjJeySwmSO4z18v6m9nVH+bDM+ukTuYo0e5sfAXzmvPZjTt62YOk5psaVM96tJ6ojxXWj3UKu8+SUf0mo7n0jJ26ZW5zPh33e7DK43TkrOTbWB41qqYZ8e465SOFfAfO9rU/ENewG3f0RgdI/wDjGDWjTQ+Q/Nw5nM0OhhwE8w9H2JrZ08aqdtNH8MA52l8l5zXn0XG/B6s8TkfelXybl9RG0zRH6Cb1N3yEz36POvbXsBt39GYHLA5zjHvw84Cm7BweYXaABNdAam0y5m8b69opeaj026HsHB4B3eZ8Ou73YJXH6cg7k0/jwL7Sv31snuWdddqs6dhfwzvjfuYfQmb/ufrVdJ1eQ8f9HqzyOB3p5Dffga7T6+jYX8Md4s5vLFf/yfqVdJ1eQ8f9HqzyOB3p5Dffga7T6+jYX8Md4s5vH8/6L09dp9fQcb8HqzxOR5jU0tLSspLmfEZ5aFlLcz4d93uwyuPyANk0n07X6XV07K+h436Mjtc1dNzvwSqP05FOfvMdeHed8v9pnfX/an03ukdcQ8f9GB2va+i434NVHqcjZyc//8kH5BM/2vwNxTP9Wv0TGZD/FMYI5u7+UxffFfZ4BP/9uJHU/ycrx1Z/O9U87egm1BL6oxw5VnOf6zz6W6z4oW6t2/pPojzDs/Oar/HOuJ/5t7DPouv0Gjru92CVx+nImcnnQ1j/3THW/7RD5NkHSOJCHEYHSA9CfYA8VqezuHnYEv9AQ749zM1iXedyX+t5BHOQmqP8w1Tm3uccWN3HrB7VBQ+46ta51tlRnpnTfJ3duKM3k6wrsMaVWV2NoN6rvWf+UJX6SCXfC6SuOWNkq3k/Hfd7sMrjdOTM5NNc6keU+52mc1dojux/1igZQ/oAeaxOiSVzatw8RBlrrokvH9IjH1PIg94M10MyRz5b5R78QM/yzxh+CNfYBA8L2jYmR2uFOc357MZ9llPzb32i4701MptbGdWptZnzs/5GoJ/vme+HMD/rWZ9n70eSdprz6Ljfg1UepyNnJv9RcwH8yYaEvg2HZoPYzKrvNjQlmw5zbFb+zHVsVJBr+tFVaiObjekrz1d7Zsw1qm18QIgbtmYw17WQbMCAjdFYHk74aTzQUR9Jcqyu806qH48wpjVu7tVYW0vsxZzvwjzED3TF+LpG1hv3UP2pWJc5N2Es82B+wLxr25g8s8/mfHbjjt6sPrKXURu+D/YkxlbvsTWjZJ2ypnbEmh/Vs7YqPNP/0dz0e8XIdvN+Ou73YJXH6cjZyWc9ZdQUeJ7NMBugH1vHuc8Gxpi6Nis/7uhlo6yNE1vOzTWxYUOrDTP1GMv19HUFc5g/a7qu9aiBMte9aMsY6ZdgU1vqugfgOuOSexyNuc67yT3sYP5r3HhmXIE98UxZxTkhDtVWBR3jh+4oVtZJzT2s5ol+WHdce19joL3dPQpzmvPZjTt6sxrJ95daMferuk2Yg+1Zj6rs6iUr/yH9XrEbr+a1dNzvwSqP05Grkk/DYG3EBgfcZzPJBkgToZmIzYqf2ktybl6Dc0U7UOflmuLH2Tmw8nWE6+tLNl3mG4dHDZS5s5jVuRmn0boVxp3v3CMfh1ehz7uYnyrEplJ1V7EGxtXNuCfa5Ce5mOlqaxVTxle1xJ7QUY+f1qU5y7FH+6swpzmf3bijN6ot667WAvUyeg9W7PQKcM1d9EkfK6472l/lyLrN6+i434NVHqcjVyffBiJcZ7PIwxAfvvyQZlPTThXnph3hGfOYn3arbtrz41v9BmzMfK0w7j5rc67+cL366DN3FrO6F2zr9+ij4LhS18ZWjs8a/6thrSO4D33nZ95X2FfubUbqrHJC3M2hczJHol+Zgwp20NmJtfZGmG/8OcLMXvNeduOO3kxqzVgDCnW6g/NWdeo7N6rzETv1mO/RI7DVnE/H/R6s8jgdOSv5NpeKz210XM8OQ3wcs5nYgPjJnNVe6kEKuPeANFszcT10q9+w8rWCLvOrYBsbo7GZPcZm/rs/yTi5n/woVP16n/Cctc5An3cxP+m7MR/llmeIOiO0iaxya1xHUmPJPc8zBxXWQidrbQb+z3Ji7rNWdmBOcz67ca85tX+saooasU5n9ZKMekUyet9WaG/1Hq3exRFHdJvX0XG/B6s8TkfOTD4NoTYMGk4+Q8cmZFPyg18/tnVu6tqgbKzYdUxmDVTdUdPM+7Spr8yB6tuK0ToJdozJCObmByT98tAgaWu0bo67J+/rnlhjd49fJfewQ/UdfIaYJ66NF8J1zkkYU78yWk+wy9jo4IY+Y5kD1wFzpN26DvHnHj3HXGekO/L9Edhozmc37plzsa6s84p1YI3M9MQ6zDoVbdhzHlFregT+Ha1VbDbn03G/B6s8TkfOTr4fPKU2EZsRgi5iY0LXjyDjtcHYmJRsaOiOGhz2qg+pm/5Um5Bj2Vz1dYdVc4aRjwlzZwdI4Fof06fRujX+zM0488xx5CyOruU+aty457lxqDVTa0qqXgpjs/XA+O8eIEHbSOasrlP9qvWpfeUZnp3XfI3duKM3qi2eZ+1Q2+pZ59YTdbTCOqt1ij2e17qbsXpPhPHZe7iCec35dNzvwSqP05HvlHyaTjbE5ufw7jrlA7j7Ebyas33tD8Q17MYdvdEB0sOdY9SMNj2g8XOnp44OkB4GR2uP0Maqdnf9GeHemnPpuN+DVR6nI98p+X2A/Ll0k/obPsLP/HbmK3Tsr2E37ujNDnH0S8Y9+HmIVHb76egAWX+7naI/2Pe3jXXtFMY8kI5kx0/0mvPpuN+DVR6nI98p+X2A/Ll0k7qOjv01vDPuZ/4hxAPku+k6vYaO+z1Y5XE60slvvgNdp9fRsb+GO8Sd3yqu/pP1K+k6vYaO+z1Y5XE60slvvgNdp9fRsb+GO8Sd3z7yn7/PoOv0Gjru92CVx+kIk1paWlpaWlpaWn6uzFgeIP/973+3tLS0tLS0tLT8QOkDZEtLS0tLS0tLyyHpA2RLS0tLS0tLS8sh6QNkS0tLS0tLS0vLIekDZEtLS0tLS0tLyyHpA2RLS0tLS0tLS8sh6QNkS0tLS0tLS0vLIekDZEtLS0tLS0tLyyHpA2RLS0tLS0tLS8sh6QNkS0tLS0tLS0vLIekDZEtLS0tLS0tLyyHpA2RLS0tLS0tLS8sh6QNkS0tLS0tLS0vLIekDZEtLS0tLS0tLyyHpA2RLS0tLS0tLS8sh6QNkS0tLS0tLS0vLIXn6ANnS0tLS0tLS0vJzZcZ8pGmapmmapmkG9AGyaZqmaZqmOUQfIJumaZqmaZpD9AGyaZqmaZqmOUQfIJumaZqmaZoD/Oc//w/HKG5ht0cRCgAAAABJRU5ErkJggg==">
          <a:extLst>
            <a:ext uri="{FF2B5EF4-FFF2-40B4-BE49-F238E27FC236}">
              <a16:creationId xmlns:a16="http://schemas.microsoft.com/office/drawing/2014/main" id="{C06A40FA-2052-49BF-9A1F-AA05A3C0ED24}"/>
            </a:ext>
          </a:extLst>
        </xdr:cNvPr>
        <xdr:cNvSpPr>
          <a:spLocks noChangeAspect="1" noChangeArrowheads="1"/>
        </xdr:cNvSpPr>
      </xdr:nvSpPr>
      <xdr:spPr bwMode="auto">
        <a:xfrm>
          <a:off x="3752850" y="3314700"/>
          <a:ext cx="304800" cy="310092"/>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52426"/>
    <xdr:sp macro="" textlink="">
      <xdr:nvSpPr>
        <xdr:cNvPr id="4" name="AutoShape 2" descr="data:image/png;base64,iVBORw0KGgoAAAANSUhEUgAAApAAAACzCAYAAAA+EizhAAAAAXNSR0IArs4c6QAAAARnQU1BAACxjwv8YQUAAAAJcEhZcwAADsMAAA7DAcdvqGQAAD48SURBVHhe7Zzhlew2rm4nFwfjWByKI3EY88NxOJZ5a4+97/suLsmiqqukajX2WlgtiSAIAhDE0/Y5//pP0zRN0zRN0xygD5BN0zRN0zTNIfoA2TRN0zRN0xxieoD817/+1dLS0tLS0tLS8oNlxvIA2TSfTtfpdXTsr6HjfoyO1zV03O/BKo/TkU5+8x3oOr2Ojv01dNyP0fG6ho77PVjlcTrSyW++A12n1/Gpsccv5M8///znyb04Eve//vrrf+KB/P777/+MfD74+oo8HonXb7/99r/ipRDHV4LNX3/99Z+746Rv+PxV8AVbj9jVg129HX755Zf/2a/Cs1dCnWH3q+/Is3aOxDZ5ld8zVj5NR57ZSNOcTdfpdXxi7G2myCs+rJ/IkbjzUfKg8qoD2VlceYB89YGxwhrm5Sj46OHpjz/++K8tfp7BlQfIVx8YK686iD1rpw+QTXMyXafX8Ymx9wDgz6QeSPKwYBPmGfgbj0/kiF/ozvTrbyfz0OTBBPHD5iHFZ6AN42ZM6xzvU3eE89Xjp/la+bsC3V1cc2R7VT8ZB34ixgjSd3Vy3PpTVnuzNmc6Mx/APShifiTztdJbsau3w+oAWX1K3Xyv+em1ZJ2rkwexjNdsfXhkh7mO+05Uch9f9fuVYHvGdGQ1qWk+ha7T6/jE2OMTDdUGm83aj8HoAAA2cJ/PGv3V4Nsu+eFy38Iz9gzuGfIwBMbFeOS8qqud/Jjlh7HqJ340navv+s31yN9H7OqBdkeHs1X9uC8PGVU3Y2Btupe675UPoC2k1midy7XruK5z8FV/0z/88Ln70rfUe8Su3g7pa6X6lLrG1his4uOYe605XPmwspP+mQNtJqn3Fb9fjT6NmI6sJjXNp9B1eh2fFvv6geTaJgv1g1Cbsh/LOu/TwL9d/BDVffncWOV9/cit4mrMiCUYU+c6nh83dSrmx3xkvlb+PmK01gx9S3Fvq/qpcagxzDHgvh4AZBSzxHElDzXc5zoZ07pOgi91zGdpc6Q3Y1dvB/aoL4q5rz7lQc86MZYZj1lNqYsNcwQ1p/LIDtc193kvuY9q44jfr0afRkxHVpOa5lPoOr2OT4t9/ZDUD6ZNmIYLjtOURRs2508k97RLfoCJgx/DKjyvcVLXmHDth9XDjB/EGtPRx20Ud6jP04+Vv49Ab5eZb7CqH4RrnkHGrI4B98aw1u1If4Tz1B3NS5/rOkmOOWdkc2Wjsqu3Qx4KK9Wn1K31N6opa6jqco1tqfqysmP8qoxym/v4it+vRp9GTEdWk5rmU/iEOs2X+yfxST1i1qgRG62N1zzRxLlnLjiufCrP+ub+2LcfHWOT1Dh5ry4fZz+s9YBRY+p4ftzUqfgeOTffq5W/jxitNaP6n9S4pK77NA41ZjkG3BvDGo9RzGYYF23VdTKmdZ0kDy95AKv7Sr1H7OrtkD5V6r5S1/gYy1VNVV1sGFeo+ZdHdrjOnMzI2FYbR/x+Nfo0YjqymnQmBq7KKyCpBP8rPJM8C3EkR4ugvuBHYJ4viC8h9r4T+PwMNQc7deAcX1yh0dRnlSONNzEvVR6tdwb48SnYJ2pceGaN1/xxjVjzfnh8p32n6ryrwZcd6j68z/0bG+NHLGaHBucZJ3CeutZr9pGs/Wo7qb2UNbj33eR65O8j0Ntl5L/UOuBa3bqvqpsxcMy91H2vfHAd53o/m5u6K59m1zW/OfaIXb0dsuYquWdjqW6NrfsZ1ZR2ZrorH1Z2Mmb6Yw6Skd4zfmc8XgG2ZkxHVpPOpAauvkDPUu0+S030UbJonsF4UDRHyTi+uujO4tnYMc+c7eagNuAzGOXlU3K1E7OzoLGP/DG3xsp7JONY+4F63F+R9xX4sou+K9kn2HeOZS80Hs7JcXtejmk3Y5qYn9QdsVp35e8KdHeZ+S+z+tE39zaqmToPW1LzNFsfMv5I2oH0sY5lfBHXcQ6kfQ9N2km9R+zq7aAfM/QX/1LXvdjr63ueezUv6oLPkNX6j+ww1/F8noxy8Izf3q9q6AjYmjEdWU06kxo4qEWsDlKTnAXgnPqy+pKv7CQ5/1GxZAMZMXohte8Ya4A2HYNsXI5V332OOA/y3vnpexag6yiZjyvBl6P48mUskqyD3Kt5GdVL6vnc/HHvteiDMnvZzUuOa7/6pWTNuS6yqgttHYF5zfm8O+7WJnUG1tusRj+drtNr6Ljfg1UepyOfkvz6sYT8GNdxPpJ+KG2EfFA9AHkYq/NWdiroefjwA898SN/8sKfvlXqwAOe5BnCt72k3D3ZQ9zmbB1y7hvtAB3LsUeyuBD+OkjGr89kTz9ABasA4GD9+rvSMj/ECxlzLudaMsddWMhpLW+7FXDBm3Wa+65pZ3/o7Wn+FPjTnckbcrTvFuvmOdJ1eQ8f9HqzyOB35lOT7cfMD6QfTj3V+uCE/ml4jtQFWuys7iR9ixvNe+1znwaHeV/IwIK49ato8V9AzHrlGHiKkzvOZe64HlYyHscoDBverfZ0FfjyDe1JqrHPcWJoX4wcjPZ+lXubZWIs5rD6AulXSNuibAulb6tf1VuuvcJ3mXDrux+h4XUPH/R6s8jgd+ZTk50dQycMR9x50wA+pH0x0c67PtesBkeuVHanP8wDph7jK6qCVBwsZra0ez3LcNXONtDmbB1y7Zw8q2APiZpzrGOTcK8GPZ6n5Ipfm071nHDJ+K71aWzDKiYxyKKPY60etOai2HVNyj1WwdwTmNOfTcT9Gx+saOu73YJXH6cinJH/0MU74aOdBxo9r1deO+6p2d+348WU87/34cj06CMyoH3xwbdeoB4wcHx0+sMl+VvOAa/dcDyqjA5FjkHavBD++insnLqs4ZPx24pW1k3l2rpgnayip64D6jNW1RvUE2sHH1XpHGK3T/A1x9t2yLl5Fx/0YPyVeo75zJV2n92CVx+nIpyT/0UtRx1cfcg9WUMdWdiro1YMX8yE/4Nji2gPbiNEHPw8qwr1rOodxDwMI13m4gNk8yLF6UMn9V5s1VleCH0fRf+PgPfvMvZk/45B5WemN4mPsQX30oMY+GY2lH3ltnhAY5dR8Z361kf7u4DrPoG/WlLgHn2fczoI1R7nYhbnGebTHr3JWPFjHGhHzw/5qHSc1j1dyJF6+C0rdfwUdc/1Vdusu3/kEX+uzFTM7rwLbr8B++qo4vxPq/WgfXb1HO7Am87/Ss1as8jgdeVXyv8roY1wxgEh94XMMMcg2OKR+yJFV4zDhiHMy+cx1/FFR8FKgl4xebOOAOIdn2agdT99n88Bn4Hzjg420k3tGjr4k7wJfnqHWRcY6n2d+al5mesY8Y5TjoC1l9vJXPxWeS9ab62jPeyXJ57n/Xaq9I6TPSdbzFdT34BP5StyPYCyyjus7MOPqPCa78fK9zb3V97bCGDpf5Ujd7ebgalZxO0L2sE9+L0d9fwe/rX6XP41VHqcjq0lN8yl0nV7Hs7G3YfrRzA9hPXjkB1x9fzrXayTJ5zb1tO+YBwA/AApz1Ff0C9yH4hqQHz0kGa19hGrvXbi//LC5L+JSxzMemSvJPzTkH07fDevtUP2VfJ714B4zh7Um0Bd1jYMxGNUdaB/JNUYHSPXqc/C5udNWtVN91w9Y7WsGel/FeBuLrMU6htS6ytjWsZyHJOYIqXEe5dBY1jn5bJRDZLS3md/OM5fMdb45qfvaydUKbMyYjqwmNc2n0HV6Hc/G3gYH/MzGmh8FsFGC82y0NnE+bn7gcszGazPGtvbrmB/L2ozR0+bIjn7mPPS0r542qn2uc/87MOcsWMu9QPq7E/OMT52XH+Z3wlqPWPmE3+4r6zE/5lDjMcp1net6VXdVJ3Xuamzlb+pap5kv7nn+aF8z0Pkq1hFrZX2BPrtO3YNz8R9yfua7zhvFTBtc1zF+Ql0PO9oc2TEPxtP4rvzWjnMh8+G4cK0Pz5L2KtOR1aSm+RS6Tq/j2dgzrzZPmh+smnnVzcaa87y2Ied9tV8be10DnKOgW+eN0HfE9fIa/Fjkeo9A/ywyHu6Zn8Deuc+41pjnXoF88Tx13w1rPaLuLSGP1lndE/e1lqXGJHWNnetlnIHrXCfrJH31OusQX12n2uHesUd25NG+ZuScZ8l33Bjo46jGMlcZB8g9eo3UfVSbec/1LIfVP+GZgm6d571+7PidPpsfawd8hqStZ8DGjOnIalLTfApdp9fxTOxtgLV5el8/CjQ/16mNMj8uOU+bVWi61X71Z7QG99jMD8TsYwGOYSvXq2vDys4M9M/C+OBnjY1xZiyvoe7VuSPdd8Naj9An6yCxzkb5494PdNYqVP3UrTHI2I7WQY9nzMuazeey6+8jO/JoXzNyzjPUGLluvU8/0ld+ulfI/YLvtsJzbVZxDa5nOawx1Bfs5tp5DdUO1zO/61zAN57hu+POr7aeARszpiOrSU3zKXSdXsczsbepVrHJ1Y+C+pCNEvxQQs7z2oacVPu1Iecaqw+E8/xYJDO/IK9Bm+jtgv6ZsJ55yI9RxqfGfLRv59a4vhvW2iH9lUf549598TzXqjFJ3RoD51oHXOc66DmeNTuqQ2rPdaod7h17ZEce7WtGznkG160ye7eAvTmecYDZHo0tAtVmwtgsh9rhefUtY+08rqHaWfmddsQ4sSbzuBau09YzpL3KdGQ1qWk+ha7T6zgae5tqbWjZAGvjzYaYekCjnX1MciwbcNWrDXnlC/ZmdvLjkT77XL20D1wfbfDaPgt9RvLDNfrwGfO67xzTnvPeDWvtoM+5R3NpvjK31o75q/FY5fqR7mpurdnV2Mrf1GUdrs2XscDPR77OQOcrMN+akfRLn/VltQcY1adjxMSxjJl7N55cG78al2ozdbU5smM8Z3bS78yZZD7yWl3XeRZszJiOrCY1zafQdXodR2NvY8zmBzY6xutHwMYL2RwhG2udB9wrrln1XNtxPwo+c02kfgRSd/ZcH7OJawd5prkz70yMEWLswX364TO2iHGrcUbcf+bqnbDWLuknYn0ljrnHzGGdn/FK3Rq7WncwqxPXUC/jns9hJyfqz+oZ1FVyXzPQexbXMz6ij+zBvbkvpOZrdwzJPaHr8/SB+1kOM9Y8Q7w3l+pmrPUj15n5XXMG6rJ++oCw7qiGj4CdGdOR1aSm+RS6Tq+jY/+/PwRn0XE/xk+OF4cHDxAeLvKg8k7eHXf3wwGqeR+rPE5HfvJL13wfuk6vo2P//yEWHCbPoON+jJ8cr/wDDvLV30Yd4d1x7wPkOazyOB2x4FpaWlpaWlpaWn6mzFgeIP/973+3tLS0tLS0tBySPkPcQ/oA2dLS0tLS0nKa9BniHtIHyJaWlpaWlpbTpM8Q95A+QLa0tLS0tLScJn2GuIf0AbKlpaWlpaXlNOkzxD2kD5AtLS0tLS0tp0mfIe4hfYBsaWlpaWlpOU36DHEP6QNkS0tLS0tLy2nSZ4h7SB8gW1paWlpaWk6TPkPcQ/oA2dLS0tLS0nKa9BniHtIHyJaWlpaWlpbTpM8Q95A+QLa0tLS0tLScJn2GuIf0AbKlpaWlpaXlNOkzxD2kD5AtLS0tLS0tp0mfIe4hfYBsaWlpaWlpOU36DHEP6QNkS0tLS0tLy2nSZ4h7SB8gW1paWlpaWk6TPkPcQ/oA2dLS0tLS0nKa9BniHvL0AbKlpaWlpaWlpeXnyozlAbJpPp2u0+vo2F9Dx/0YHa9r6Ljfg1UepyOd/OY78O46/f333/8rzf+le8Q1dNyP0fG6ho77PVjlcTryquT/9ttvQ1t//fXXf5/zcf7jjz+210MP/Xr9Cfzyyy/TwwbPGZcjezZWI/nzzz//0XoNv/76639z9ogj/r+Toz4Qr4xfCnFOcixzV6n5WemCsVvpUi+MZ36PrkMuH+lrE92jMK85n3fG/VFNfUe6Tq+h434PVnmcjrwq+X6w60HHjygfsCOHEfTQr9df4RV23MPsAMlYNucje/Yj/+rD4oifcoCseyQ3acvDF/n0MDeLS53L/exA5vrW28huHvwy50fWgZHtCuPorezMSF+a89iNO3ozqb3EGldmfWwEdTjqTVnH6Dwi10cqvjvKbs8e2WreT8f9HqzyOB15ZfKxVRsSzeWZj1aC3d0msuIVdrBBkxw1Xj7SjGUTPXIAO/MA+d3YjaH4EaoHKw9Sxphr83nkYwp+OMlbBVs55rrCtWvzc5Xz1Truc+W7Osgz7yLzmvPZjTt6o75Wa9BexL09aja3MqtT6jpriutVjWEja7W+F/roOtZuXXdE2mnOo+N+D1Z5nI68Mvk0gzw8AfZtUDYHyQ+bc9XNeXkNNjMk16Mx0bxy3HmjZ7k+MvpAJ/jIXGzVDza2WJvn6RP62LZRIrmXhPUZf9QstVNtub5j+KFN7wVdfAJ+pn+IPug/GK/U1YZg17Eao6+AvSOkr4m+uz/rwtgdgXnIqG6Mg7iuuo5Vf0YwnnOTzLdSwZfc51FGNpv3sxt39GY9hbxb1+Te98FewNiqJnyPlKzTUb/y2ahWtVXhmf6nv4LP+r1iZLt5Px33e7DK43Tklcm3Qdg88vAB9Z5rG4cfQu9n17WZjGzY0Li3UULq2ui85yf3M9C30Y6aHGPo1DW1W30coU9Vci1su3/13S8+cC/OF671Iz8m/GQMe96714yL+dWfmu+cp2+u91X0YRd9c4/Cs8yP+VCq/gxjnbaSmgtjbK5k9lx21zEHVTfrj5/m5wjMa85nN+7mdwS14PtK7q3vWT1VmIPt2mvAd6yC7SPvvf6P1jjCyJfm/XTc78Eqj9ORVycfezYPmlV+sHjuenktOXd2ndhwbJD8HH08Je1UXZitA+zDxpZNGZhjY37kg03XD37yqIGO5uZHIa+h+pn3qVvzlHtI/+v61V+uM37V7lfQh130tUrmRqpuxnAE4+qu6oVxcY6xktlz2Fmn4hxzxH55Zq6eyQfzmvPZjfusPniPsxZ8l6mJ0Xuwor7rgL2RHWos+84KfcK+76FrKbu1j25zPh33e7DK43Tk1cnnY+VHqr78Nguva/PhXv2cm9faQGyENqs8+IC6knZsrlUcT3jGviTXBObJIx+ySVZGTTpxbhV9I+4rP/M+dTNnkHtI/6vv6e/Id+yk3a+gD7voa+4x7yv4iqCzWit1ZraAfacd169593nGDXbXqaQ9bbCm+XkmH8xrzmc37ujNpNabdaBkr1rhvPp+j+Znb1mhTeyA72za9NmoL1fQa86n434PVnmcjrw6+fnCV9v5bDTuvNV1HoIg72tDq2uknVnzG+FHuQrP3e9IoPqgfm3sMGrSyWou1Ma9ilXq8jMPFhmb9L+uX/3l2vhCtfsV9GEXfa3x4FnGRHjmvmdraRN5tC/WRc9YoT+yq54xhCPrVHJd1xzJEY7qN69hN+7o5XtHHfMsa6pCnfv++q6vqO86sOZoLnU3escS7WV9W/e+M+J7+QjmNufTcb8HqzxOR96RfGwi+fGGepji2sZn0/N+dk0jsTlpz/vaaBwXxrRjA/Pe5rVqupI+VB75MGuSMGrSFWxnXNHXF5pxjlU/8z51+ZmNPPeQ/lffq7/VDmPG96vowy76mvHwGeIeuDYu7jvnJIypX6nree/+cyzhGWPGEI6so27uJ3Mg5mo09gjmNeezG3f06ntmXVkXFWvLeprpifWTdercCrZX77226vsws4et0btQGc1t3k/H/R6s8jgdeUfyRx9FoBHkejYMxDn5wR1da8M5iB/FPPhAXa+ukevn80ewhgexyiMfXHPUsEdNeoT+IuxJiEPeVz/zPnUzhpB7SP+r7yN/saNvsxg9gz7soq8ZD+Ce5+7XPSiZu6TqpTA2Ws/YITO7+mMMn1kndTKPiXZn4yuY15zPbtzRG/Wumm9qUD3r0XqiPlZYP9Yp7D5LRvWbjObSR3bqlrnN+XTc78Eqj9ORT0r+qHk0Dby7TvlIvfLA+07O9rU/ENewG3f0RgdI/wDjGDWjTQ+Q/Nw5nM0OhhwE8w9H2JrZ08aqdtNH8MA52l8l5zXn0XG/B6s8TkeuSr6NgaYCtXE0TdK18Te8L/nBPoOO/TXsxh292QGLwxzjHvzss8rO4RFWv1l0DaTWJmP+trGunZKHSg++ys7hEdBtzqfjfg9WeZyOXJn82lBGzalp4Mo6/el07K/hnXE/8w8hs/9c/Wq6Tq+h434PVnmcjnTym+9A1+l1dOyv4Q5x55cC+dvFd9J1eg0d93uwyuN0pJPffAe6Tq+jY38Nd4g7v330f1N6N12n19BxvwerPE5HmNTS0tKykuZ8RnloWUtzPh33e7DK4/IA2TSfTtfpdXTsr6HjfoyO1zV03O/BKo/TkU5+8x14d53y/2md9f9qfTe6R1xDx/0YHa9r6Ljfg1UepyOvTP7s3xTzn2Xgf6jm/4nZ+acj0GUO//9MXn8CHDTq3yx89m+U+89jzOa5d2UWg/pPXyj1n8AYPfsO4PcRatxSagxzbPW3U2uuHv1N1szJTNe6ybwfXSf/GZWZvjZ33r0K85rzeWfcH9XUd6Tr9Bo67vdglcfpyCuT78ewwmHLhnXlAfIVdtxjHiA5KGRD9uCwsw56Hh6cJ370HWftWeOvc8H5jEm9/y7UvT3CXNeDPvFLWx6+iO0ot0mdy/2sll3fWI/s5sHPHMORdWBku8I4ejvvXiV9ac5jN+7ozSTrCqxxhftdqMNqD7KO0XlEro9UfHeU3X41stW8n477PVjlcTryyuT74tcmw7Mjjaqi3asPkMxFaJiPPtjoHT2ojQ6Mux981mJuhec7Tf3TGe1thbmuefIgZYy5Jj7E+miN+uEc1RO2csx1hWvX5qf+jFit4z5XvquD7NZTwrzmfHbjjt6o19QatEdwb0+Yza3M6pS6zprielVj2Mhare+FPrqOtVvXHZF2mvPouN+DVR6nI69OPo0mP9o2gPyQZoOxySHZ8HJetcFP5yC5HrZtSgr6dY62cn2b6gwbn2uswB5+63s2ae5H822ewjrZbFfUueK+8QPSF/ab9nNfPM84Aj/zWY1XxjJz/AqweQTjXuOs/8bDD+ORWAvzEGspwR5j4rrqOlb9GcF4zk0y5koFX3KfRxnZbN7PbtzRy/6S5DtO7n0ffHcZW9WE75GSdVp7C/hsVKvaqvBs1pMAn/V7xch283467vdglcfpyKuTz8tvcwJe/GxQeW9Dsdnw3Pscq3rYt+HMbAj3Np+q66HL++rrjLQ5wo+6uA4wd7QG40h+CNynY9oYkWtUeM7evXaN2qxzX+7B2AD36XvaqutjexWjo6TtHcx19YFnWZ/uU9n1mThUW4njgl3uzYPMnsvuOuap6poXf2b+dmFecz67cTe/I6gF33Fyb33P6qnCHGxTX6yTdeo7VsH2zJ8R+j9a4wgjX5r303G/B6s8TkdenXybih+0bGBAA/MjlteQc2fXFT+MNp1skpBrVDtVd7VOUucl2tAfQZ/nyArGjRexS31szBq/cRjBc/3h2uZec5P74nldK+dCzq8xWfnzDEdtmYcqo/hV3VluJXOZ8UiIB+PinFld1Oews07FOdYw++UZ9zzHr6Mwrzmf3bjP6oN3M2vBd5KaGL0HK6yfrFPsjexQY9lXVugT9n0PXUvZrX10m/PpuN+DVR6nI+9IPk2FBpINQfiY+RHjGhEbR20m1Y4fScQPtY2N+7SZ61U7zq3i+Iy6hmhfXxJsMvaoGaa//MxGXP1PbMQV13VO+mCeJPfF8/pxqP7n/GpLX1/FUVuu7374mfcVfEfQWa2VOjNbYG2J69fc+bzWzO46lbSnDda0DqytIzCvOZ/duKM3k1pv1oFS3/EZzss6pb5G87OPrNAmdsB3Nm36bOcQiV5zPh33e7DK43TkHcmnIdhE6gcrn9VxmwWNZXZdG1m9r80r10g7UHV3Gc3Ttn5UmENjzPVHpL9c21yh+p/MDpC1yaPzjgNkjcnMn2c5astYpU/GP/csPHPPs7W0iZijGayLXtbayK56WTdH1qnkuq45kiMc1W9ew27c0cv3kjrmWdZUhTqnRtCr7/kIddMma47mUnejdyzRXta3de87I76Xj2Bucz4d93uwyuN05B3Jzw9gNjbgA2fTqA3DDx73OZbXCNc8g/oBxgbPJNdzLj/BQ473Nt5H1DWqT5VsgCN/nOc+jZn3wjznVtxLov3MQd6nPXXd16hpV1uM+6Go62M3Y/RV0vYOxi598Blizrl2H+555jdj6lfqejWXOZbwjDH05cg66uZ+RjVifmf1s4J5zfnsxh29fC/BurIuKtaW9TTTE+sn69S5FWxXfxJt1fdhZg9bo3ehMprbvJ+O+z1Y5XE68q7k+2Gr0DTyI8ZHGz0km142ttrk1ENsLh5k6sGlrqdf2sr18/mK0RppQ/FQwnU2Xu6d796U2ni5d2zVRFMvpdrLZ+xVPWzjk37hd12v2su4Q8bymYPKCmwewbhmnsBc6V/GAJnFuOqlMDZabyd3+mN9PLNO6szirt1n8sK85nx2445efc+h5psaVM96tJ6ojxXWj3UKu8+SUf0mo7n0lZ26ZW5zPh33e7DK43Tkk5Jvc2mayrvrgo9UHoY/mbN97XfyGnbjjt7oAOkfYByjZrTpAZKfO4ez2cGQg2D+4QhbM3vaWNVu+gh+E0b7q+S85jw67vdglcfpyJXJp1nsNp/mZ9NN6m/4COc7cwYd+2vYjTt6swMW/ZRxD34e0JTdfrv6zaJrILU2GfO3jXXtlDxUevBVdg6PgG5zPh33e7DK43Tk6uRn8+lCbGZ0bVxHx/4a3hn3M/8QMvvP1a+m6/QaOu73YJXH6Ugnv/kOdJ1eR8f+Gu4Qd35jmb9dfCddp9fQcb8HqzxOR5jU0tLSspLmfEZ5aFlLcz4d93uwyuPyANk0n07X6XV07K+h436Mjtc1dNzvwSqP05FOfvMd6Dq9jo79NXTcj9HxuoaO+z1Y5XE60slvvgNdp9fRsb+GjvsxOl7X0HG/B6s8Tkc6+c13oOv0Ojr219BxP0bH6xo67vdglcfpSCe/+Q50nV5Hx/4aOu7H6HhdQ8f9HqzyOB3p5Dffga7T6+jYX0PH/Rgdr2vouN+DVR6nI5385jvQdXodHftr6Lgfo+N1DR33e7DK43Skk998B7pOr6Njfw0d92N0vK6h434PVnmcjnTym+9A1+l1dOyvoeN+jI7XNXTc78Eqj9ORTn7zHeg6vY6O/TV03I/R8bqGjvs9WOVxOtLJb74DXafX0bG/ho77MTpe19BxvwerPE5HOvnNd6Dr9Dqujv3vv//+n99+++2fu59D1/wxro7XH3/88d9a/Wl8lzr95Zdf/rlqRqzyOB3pJtV8B7pOr+OVsf/111//a28kjFWqziM4aO7o//XXX9s2gYMBurMDAocHxl950N31rfmbV8ar1lHKKMdVZxfqZlT31pPy559//jMyJusZGdVpjn/nOq17rcJ44rurHDnkj+wl5OWRDjzqS9XHR/bewcgvmY6sJjXNp9B1eh2vjP3qAInkh200vvotwuyjPwI7q/EkP1izj4/j3/nD/N15ZbzI4+hgZy1kHVBL6PsbSGTnt10eEus69VCi3upQwTh6oI/eA/6kz4zPavko2DoT9zc6VNsDJGNnTrjP2MxAz7kzdnRqPeBj3uujoJ/3Z7FaczpyhaNNc5Su0+t4Zew9QNYGbhN1Le/Rp6H6QefZ7LcxznecJj3St0ErK9IvpH50/dgr+PkqsNfs88p4WW8j8kBg/jlAUCvWB89mdQrWMlLX4b7WEc9q7Un6IzzTrjWc8KzOeZZq+92sDpDAGPuDjKX7zdiMqO/87HCIXXvMo0Om/gjP9B8bNbc8q3PeDT7NmI6sJjXNp9B1eh2vjD2NG3uj5shz17KJ01iRZw5mo+bux8cx1xuRHxL1s9Hn4dHxZ/ycgb1mn1fGizzODhnUAPmG2QFyBXOcP1qHsfp+YHfmDzZq3ekXjOb6HqwOPrucXaf67gGswpjxY9/Gxpg/Aj1sZ24r9oaVDszijF/WinaSUU7fDX7MmI6sJjXNp9B1eh2vjD2NE3v1A2lDzibPvXKkmdrUkfpBd/3UmYFPfnhZv9rDhv7ynPFXNv2Vb83/5ZXxIo/mPvFAkHVADfAsDwW7jNbBVj1QUIuzA9Bo3Ty4sMaoLkfrPAN2zsS9jXxnn+lP9pVZ/GbYI+rhD1x/pQOOV8xJ5ikhn6P6eycjP2U6wqSWlpaWlbwKmuLIvpIHS5tryuhDWPGjgeRHw0MeP9P2Dn6YZgcEbe/4t4v+tezLqzDfIxnVQNXPOl7BvDwoWJf1cGRNj6DGq09pB/ujujzi54qZX+9i1BdSKlV/9yA5OxxmPB8dIGd5M++z+eTz6IH3q4z8lOnIalLTfApdp9fxytivDpAzPJwpux+9PNT5EfFjnR+VHbCB7ujwALnWq9j1rfmbV8bLD7xYL6v8UpfUgbWyU6d1HWDu6AA5O1Awv9al/vKTNUZ+j9Z5BuyciXtL3405YzOIn3N3Dmejw13Nw+wAKI5XzIn+1Pnks9bFuxn5KdOR1aSm+RTeXae8sLUJN3/zytjTFLHnx5Wf3OczIBc8My80W5vxKE+OjZq7H1iuZ4LuCj9Qo7VB++i9Cuw1+7wyXuSxfsBX9QfUr2PM3amF0TrUcL4LgN2qJ9ioa+krjObODi7PcHad6nt9Z9njyhd7g7F5tPeRnmuMZFQXszhjR33G615GOX03+DFjOrKa9AjmjjZJYAwa47PCTzJZflQ+BfZQi8M9KrUAZrhPpRZWflCRGRnjhPk7f7r6bqxiMaLGOaXGLMdWsWPeri5kLme65jHr5+g6tamN9LW58y5WmPcq9DU/kBknc5P5I0a+g96PUF/bzOHeZu34SB69v9qara199F4F9t7Fo5r6jrwyXuRx9K5YB9Zp9luurQ/m7tTCaJ3R3JU91qz5zGe+X8no2bO8s05H2MvqO+vzjBMxsB8YD3uLOZyxo7ejw7g+SD7Dr9pXRs/eDT7NmI6sJj2CRJmUhGL3pRi9ICMyEa8q7t1CWYH/2Mhk4l/uW38frcN46tUXv/q7ih1z0a3j1bcVr4rzGRz101hmMwFik7aIH/fE05jWOVLncj/Lj+sTYxjZdW0EfTmyDoxsVxhHb2VnRvryVdyzcRH9Y69iHKrMMH9VMrbiu4iIPmCnshqDR7XzDOnbCvRmUvdeYzTbzwjyMYpl1nHmb0auj1R8d5RaKzNGtp6FPM7eFdbJMe6JI376k2ejWFVG67h/52tv9X3RB7C2M27kJWsz9b8Kts7E/Y3iy55yzHuwNvk5y21iHlZx39FJH4A85HtS81v1z2K15nTkK46OCtvkZvEeRbtfZSe5M9wHiUYevWzP7Ln6R2HlS74Cf2zcuS7XWZwrXhXnMzjqp7Gt8eSe54wD1+b3UY4rxn9UXzaBzC33wrVr81N/RqzWcZ8r39VBdhpnhXmvYlSzoo+ZM+OjPMK4K6OYAc+rTXM0iuVqDFw3ff8q6dsK9Ebx1Cdj4PvOvT1iNrcyq1P2mzXF9arGsJExNK6ij65j7dZ1R6Sdr1L3lehj5pr7lB1/YbaOa4zsGZOs7axnZFSnOZ6+fxXsnYl7ncXYWjU+vgfKqj6TUZwrIx3Wr/G3zpVK9XG15rsY+SXTkdWkHZifwbLwpb4gGUiDBpmIasMxJdcjWaPkYCefmZDUXRWSfsCoICrYw099dS5wz7oVbGJbuM55K5iL/zVW3KdN4B6d9KvGFOo+sa/fzONeW8Y341nX1bfR2FGwcQT3V+Ouv4yD+2Fvj3JcYR5ibSXYY0xcV13Hqj8jGM+5CT47rlQyb1wfZWTzTNhjzeO7ID6+I1ezG3f0Zj6Td+uavRlH30fGVjVR+0TWqT1g9GxUq9qq8Ez/01/B5538j2yfCXuovr8L1hnF+Aqujvsu1vy7IS9n1cErWeVxOvLV5PNiZwPKJgU57oFC/KiBzYXgVz2ubVIjG1kY2YDSJvA851ZfZ6TNEdVu+sgaGR/AH8aRbL7cOxfJfVVYU7u5D+bnvBwzHqtY5j6r3ZwL3OfeuEcPauzRS92jpJ87uH7NL88yPuZO2akHYC/VVuK4YJf7jB/MnsvuOsa56po3fz6TA+b9BKiF3fyfwW7cze+IfKfJvfub1VOFOdi2Z2Wd+o5VsD3zZ4T+j9Y4wsiXu/LMe/wuflLcd6CWj9T/p7DK43Tkq8knUGmD6wweDctizwYGOddmRBOpNhM/+H4ws0FCrpE2oequ1knqvMQ1atPDB56v7NswjRfX2djZy6xR4I9jNXba0H76lvGp+1/FchQr7vUdcj7z0veai6PUtR/helUyvlJ13fOMzG3uP2HvjItzMhcwew4761SckzXPM2shc7IL85rz2Y37rD54F7MWfIepidF7sGLUS7A3skONzfplRZ+w73voWspu7aP7EyA+vNOfwk+J+y7P9NhPYJXH6cgrku9LbjNIKHQDWhuLDSOveTmqHeZxj3iNHtDAZoeetAnoaiflEXUN0T4/KzbBR80v/WWd1B/FU/CHuWKcmWNTr/sH9Fyv2l/FcuRL3V/Oz7lgPNKXI9S1H+He9YGfeV/BbwSd1VqpM7MF7D/tuH7dv89rDe2uU0l72mBN4581swvzmvPZjTt6M6n1Zh0o9opHOC/rlPoaza/v/gxtYgd8Z9Omz7LPzECvOZ+O+z1Y5XE68ork0yyQUePwOdTxPJTYKGgqs+ej+9Wh55HuLqN52ubnCPxgXq4/Iv3lOhtlxqGCP+gn6LousG71Mder9lexHPnCffqb85mX/tVcHKWu/QjX038wH6Ma4BmizghtIjX2FdZFz/2iP7KrXuboyDqVXNc1R3KEo/rNa9iNO3r5HlLHPMuaqlDn9geuHzHqJaw5mkvdjd6xRHtZ39a974z4Xj6Cuc35dNzvwSqP05FXJN/DBVKbVh4k6iEkP9bZPFKvNhU/it5jI5sV4x4abFLq2lgFvZ3GVNfQbt2rZMPL/de9uE/t1IbMtXupsEY2X9Be2hjFw/X0R9DVprrOrbkD7nkuGae614zDM9S1H+H6GT+fpV9c67d5m8WcMfUrdT3vjU+OJTxjDH05so66uZ9RnM3nMzlgXnM+u3FHL99DsK6si4q1ZT3N9MT6yTp1bgXb1Z9EW/V9mNnD1uhdqIzmNu+n434PVnmcjrwq+dgZveQ0ifxo2dgQryEbGQ3D58B856hng2JNDy2AbjYmxrULuT6yQ12j2lA8hHCdjZZ7fXJvSuqB85HVxx690TjPah6MAVIbu8/Bxo4wB5+r3wn3aa/GKfdafTpKXfsR1on+i7kzdrlnZOZn1UthbLTezv71xzp4Zp3UmdWMdlc1NYN5zfnsxh29+l5DzTc1qJ71aD1RHyusH+sUdp8lo/pNRnNnva7C3OZ8Ou73YJXH6ciVyaeZffVg0fwM3l2nfKTy8PvJnO1rfyCuYTfu6I0OkP4BxjFqRpv2XX7uHM5mB0MOgtnDsTWzp41V7aaP4IFztL9KzmvOo+N+D1Z5nI6cmXyaTf0T8exPok2TdJP6Gz7CZ/+hq2N/DbtxR292wKLfMu7BzwOasnN4hNVvFl0DqbXJmD2+rp2Sh0oPvsrO4RHQbc6n434PVnmcjpydfBoMayJnfwib70s3qevo2F/DO+N+Zu8965cEXafX0HG/B6s8Tkc6+c13oOv0Ojr213CHuPMby9V/sn4lXafX0HG/B6s8TkeY1NLS0rKS5nxGeWhZS3M+Hfd7sMrj8gDZNJ9O1+l1dOyvoeN+jI7XNXTc78Eqj9ORTn7zHXh3nfKf2c76T23fje4R19BxP0bH6xo67vdglcfpyG7y+dt0o//xOv+ZBT7AO/9zdv6NvtXf7rsC9lH/ZuKzfysQVvPcuzKLQcY4cT4/QT3+p3Wun/0f5c/KiXHdYVdPjMVIjJfk2CpmNV+P4pt1M9PlnWE8Y310nfxbsDN9bdba3oF5zfm8M+6Pauo70nV6DR33e7DK43RkN/l+DOvH1w+g1zuNyY8ZH828/gqvsOMe8yPrQUS831mHWHjoc17Gj3vHXXuEc+u4e9YmfqNrTvj5DF+J5WifM1Z7ruzqiX7UvwFKTtKWhy9iZdxmf2u0zuV+diBzffM7suvaSMb6yDowsl1hHL2VnRnpS3Meu3FHbyb1HbbGlSM9gjqs9iDrGJ1H5PpIxXdH8R16xMhW83467vdglcfpyG7yPVTUl5mG8ejjteIrh5Xkq3b8aNMMH31k0X3mcJbx4+dOswUbKn5lrN3zzmHtCF+Jpb7u+EQM0N1hV0/0o9amByn3xrX5PJpTP5yjvfqhdsx1hWvX5ucq1qt13OfKd3WQR7U9gnnN+ezGHb3RIavWoO8b9/ae2dzKrE6p66wprlc1ho2s1fpe6KPrWLt13RFppzmPjvs9WOVxOnIk+bU50Ijy5aYx5KHIZoDYzNDNedWG90oeALi24SjOGz3L9ZEVNrXaEEewR2zrazZExkbz8Qld5oB72SHn8rPGSpvA2jxTEu2MxpK6zojMg/t1nqJfM5/Mzw67euJea4z12735YcTHzOMOzEMy/uKexXXVdaz6M4LxnJv4XqVU8CX3eZSRzeb97MYdPd6lEeTduib3vg88B8ZWNVF7Rtap7/vo2ahWtVXhmf6nv4LP+r1iZLt5Px33e7DK43TkSPLrB58X3UYEeV+bS34oc6zqMd9mYsOxGWkj721+1Y5zva++zkibI4yBPqSPzB2twTN0sjGyhj4xljYrrgGjGDuPsfQdPddU13jMfIWqW8Gm/gBrYg8yHrDyqdbTil090Q/9Ep7lvt2LUvVnsKdqK3FcsMt9jensueyuY7yrrjH2Z+ZiF+Y157Mbd/M7It83cm99z+qpwhxsj3qC71gF2zN/Ruj/o77ziJEvzfvpuN+DVR6nI0eSX1/wbEhAo7Ix5TXk3Nl1xY+eY6yVH8Bco9qpuqt1kjov0UZtjnkIQWcGvhov1kh9bYzA5xzjOhvubE3GXG+Vj8pqDLCDPTFPoK87PuW8R+zqiX5UyRhI1dW/GYyrW2tBzK84p8Z09hx21qk4x/hbc+Z0VtsrmNecz27cZ/VhT7EWfN+oidF7sGLUE7A3skONZX9YoU/Y9z10LWW39tFtzqfjfg9WeZyOHE0+zSE/SNlQ8pDCdf1YqZ9zq538aPoRzrG0meut7KQ4PqOuIdqfNTPGHjXN9Jd1EBnFU3jGmGTT9Seop5grGO0LndF6K1+APeQ6CujDjk/uY4ddPXHd3H/eV8gNgs5qrdSZ2QL2mXZc37iIz2usd9eppD1tsKY5HdX2I5jXnM9u3NGbSa0360AZHQBHOC/rlPoazc93fIU2sQO+s2nTZzuHSPSa8+m434NVHqcjR5PPi8wLPmoe+ayOZwPaua5zgKaUH8Bc45HuLqN52p41MebgR64/osYnm2z1P+EZYwk+Ijxnrs/SZt6v8lFZjQF2sDdCX3d8OvMACeZo5DvPjNFsLW0i7GMF66KXcRjZVS9jfWSdSq7rmiM5wlH95jXsxh297E3UMc+ypirUue959oUZo57gt6BC3c36g2gv69u6950R38tHMLc5n477PVjlcTpyNPm++EhtEvmi14aTH8ocm13XOd5nw6mNJXX5mfceVlhjRV0DmDc7POYhaOSP89ybMfNef1h31iTdS+L8tIHf2AHneK++8ai+JlW3wlzGJX137o5PGbtH7OpJXQt8hugf1/jOnoxJzkkYU79S1/Pe/OdYwjPG0Jcj66ib+6n1C+ZlNPYI5jXnsxt39Gp/sq6si4q1ZT3N9MT6yTp1bgXb1Z9EW/V9mNnD1uhdqIzmNu+n434PVnmcjjyTfD5CzKtNpx5KPCAg+aHMZlQbk3qIjQO7juUHsK6nX9rK9fP5itEaaUNBT/v8FPxxvntT3IfgT47PUK+ib+Yh7eFDjc/uetVvJeOSeUIS1uQZdlY+Gb8ddvXEdfEz0e9ZjjJeySwmSO4z18v6m9nVH+bDM+ukTuYo0e5sfAXzmvPZjTt62YOk5psaVM96tJ6ojxXWj3UKu8+SUf0mo7n0jJ26ZW5zPh33e7DK43TkrOTbWB41qqYZ8e465SOFfAfO9rU/ENewG3f0RgdI/wDjGDWjTQ+Q/Nw5nM0OhhwE8w9H2JrZ08aqdtNH8MA52l8l5zXn0XG/B6s8TkfelXybl9RG0zRH6Cb1N3yEz36POvbXsBt39GYHLA5zjHvw84Cm7BweYXaABNdAam0y5m8b69opeaj026HsHB4B3eZ8Ou73YJXH6cg7k0/jwL7Sv31snuWdddqs6dhfwzvjfuYfQmb/ufrVdJ1eQ8f9HqzyOB3p5Dffga7T6+jYX8Md4s5vLFf/yfqVdJ1eQ8f9HqzyOB3p5Dffga7T6+jYX8Md4s5vH8/6L09dp9fQcb8HqzxOR5jU0tLSspLmfEZ5aFlLcz4d93uwyuPyANk0n07X6XV07K+h436Mjtc1dNzvwSqP05FOfvMdeHed8v9pnfX/an03ukdcQ8f9GB2va+i434NVHqcjZyc//8kH5BM/2vwNxTP9Wv0TGZD/FMYI5u7+UxffFfZ4BP/9uJHU/ycrx1Z/O9U87egm1BL6oxw5VnOf6zz6W6z4oW6t2/pPojzDs/Oar/HOuJ/5t7DPouv0Gjru92CVx+nImcnnQ1j/3THW/7RD5NkHSOJCHEYHSA9CfYA8VqezuHnYEv9AQ749zM1iXedyX+t5BHOQmqP8w1Tm3uccWN3HrB7VBQ+46ta51tlRnpnTfJ3duKM3k6wrsMaVWV2NoN6rvWf+UJX6SCXfC6SuOWNkq3k/Hfd7sMrjdOTM5NNc6keU+52mc1dojux/1igZQ/oAeaxOiSVzatw8RBlrrokvH9IjH1PIg94M10MyRz5b5R78QM/yzxh+CNfYBA8L2jYmR2uFOc357MZ9llPzb32i4701MptbGdWptZnzs/5GoJ/vme+HMD/rWZ9n70eSdprz6Ljfg1UepyNnJv9RcwH8yYaEvg2HZoPYzKrvNjQlmw5zbFb+zHVsVJBr+tFVaiObjekrz1d7Zsw1qm18QIgbtmYw17WQbMCAjdFYHk74aTzQUR9Jcqyu806qH48wpjVu7tVYW0vsxZzvwjzED3TF+LpG1hv3UP2pWJc5N2Es82B+wLxr25g8s8/mfHbjjt6sPrKXURu+D/YkxlbvsTWjZJ2ypnbEmh/Vs7YqPNP/0dz0e8XIdvN+Ou73YJXH6cjZyWc9ZdQUeJ7NMBugH1vHuc8Gxpi6Nis/7uhlo6yNE1vOzTWxYUOrDTP1GMv19HUFc5g/a7qu9aiBMte9aMsY6ZdgU1vqugfgOuOSexyNuc67yT3sYP5r3HhmXIE98UxZxTkhDtVWBR3jh+4oVtZJzT2s5ol+WHdce19joL3dPQpzmvPZjTt6sxrJ95daMferuk2Yg+1Zj6rs6iUr/yH9XrEbr+a1dNzvwSqP05Grkk/DYG3EBgfcZzPJBkgToZmIzYqf2ktybl6Dc0U7UOflmuLH2Tmw8nWE6+tLNl3mG4dHDZS5s5jVuRmn0boVxp3v3CMfh1ehz7uYnyrEplJ1V7EGxtXNuCfa5Ce5mOlqaxVTxle1xJ7QUY+f1qU5y7FH+6swpzmf3bijN6ot667WAvUyeg9W7PQKcM1d9EkfK6472l/lyLrN6+i434NVHqcjVyffBiJcZ7PIwxAfvvyQZlPTThXnph3hGfOYn3arbtrz41v9BmzMfK0w7j5rc67+cL366DN3FrO6F2zr9+ij4LhS18ZWjs8a/6thrSO4D33nZ95X2FfubUbqrHJC3M2hczJHol+Zgwp20NmJtfZGmG/8OcLMXvNeduOO3kxqzVgDCnW6g/NWdeo7N6rzETv1mO/RI7DVnE/H/R6s8jgdOSv5NpeKz210XM8OQ3wcs5nYgPjJnNVe6kEKuPeANFszcT10q9+w8rWCLvOrYBsbo7GZPcZm/rs/yTi5n/woVP16n/Cctc5An3cxP+m7MR/llmeIOiO0iaxya1xHUmPJPc8zBxXWQidrbQb+z3Ji7rNWdmBOcz67ca85tX+saooasU5n9ZKMekUyet9WaG/1Hq3exRFHdJvX0XG/B6s8TkfOTD4NoTYMGk4+Q8cmZFPyg18/tnVu6tqgbKzYdUxmDVTdUdPM+7Spr8yB6tuK0ToJdozJCObmByT98tAgaWu0bo67J+/rnlhjd49fJfewQ/UdfIaYJ66NF8J1zkkYU78yWk+wy9jo4IY+Y5kD1wFzpN26DvHnHj3HXGekO/L9Edhozmc37plzsa6s84p1YI3M9MQ6zDoVbdhzHlFregT+Ha1VbDbn03G/B6s8TkfOTr4fPKU2EZsRgi5iY0LXjyDjtcHYmJRsaOiOGhz2qg+pm/5Um5Bj2Vz1dYdVc4aRjwlzZwdI4Fof06fRujX+zM0488xx5CyOruU+aty457lxqDVTa0qqXgpjs/XA+O8eIEHbSOasrlP9qvWpfeUZnp3XfI3duKM3qi2eZ+1Q2+pZ59YTdbTCOqt1ij2e17qbsXpPhPHZe7iCec35dNzvwSqP05HvlHyaTjbE5ufw7jrlA7j7Ebyas33tD8Q17MYdvdEB0sOdY9SMNj2g8XOnp44OkB4GR2uP0Maqdnf9GeHemnPpuN+DVR6nI98p+X2A/Ll0k/obPsLP/HbmK3Tsr2E37ujNDnH0S8Y9+HmIVHb76egAWX+7naI/2Pe3jXXtFMY8kI5kx0/0mvPpuN+DVR6nI98p+X2A/Ll0k7qOjv01vDPuZ/4hxAPku+k6vYaO+z1Y5XE60slvvgNdp9fRsb+GO8Sd3yqu/pP1K+k6vYaO+z1Y5XE60slvvgNdp9fRsb+GO8Sd3z7yn7/PoOv0Gjru92CVx+kIk1paWlpaWlpaWn6uzFgeIP/973+3tLS0tLS0tLT8QOkDZEtLS0tLS0tLyyHpA2RLS0tLS0tLS8sh6QNkS0tLS0tLS0vLIekDZEtLS0tLS0tLyyHpA2RLS0tLS0tLS8sh6QNkS0tLS0tLS0vLIekDZEtLS0tLS0tLyyHpA2RLS0tLS0tLS8sh6QNkS0tLS0tLS0vLIekDZEtLS0tLS0tLyyHpA2RLS0tLS0tLS8sh6QNkS0tLS0tLS0vLIekDZEtLS0tLS0tLyyHpA2RLS0tLS0tLS8sh6QNkS0tLS0tLS0vLIXn6ANnS0tLS0tLS0vJzZcZ8pGmapmmapmkG9AGyaZqmaZqmOUQfIJumaZqmaZpD9AGyaZqmaZqmOUQfIJumaZqmaZoD/Oc//w/HKG5ht0cRCgAAAABJRU5ErkJggg==">
          <a:extLst>
            <a:ext uri="{FF2B5EF4-FFF2-40B4-BE49-F238E27FC236}">
              <a16:creationId xmlns:a16="http://schemas.microsoft.com/office/drawing/2014/main" id="{6A73C89F-2237-4C69-9DB0-278C9E20F828}"/>
            </a:ext>
          </a:extLst>
        </xdr:cNvPr>
        <xdr:cNvSpPr>
          <a:spLocks noChangeAspect="1" noChangeArrowheads="1"/>
        </xdr:cNvSpPr>
      </xdr:nvSpPr>
      <xdr:spPr bwMode="auto">
        <a:xfrm>
          <a:off x="3752850" y="4076700"/>
          <a:ext cx="304800" cy="352426"/>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agner.alves.CIDADES\Documents\Loca&#231;&#227;o%20dos%20espa&#231;os%20do%20MCID\Caio_manuten&#231;&#227;o\brigada.xlsx" TargetMode="External"/><Relationship Id="rId1" Type="http://schemas.openxmlformats.org/officeDocument/2006/relationships/externalLinkPath" Target="/Users/wagner.alves.CIDADES/Documents/Loca&#231;&#227;o%20dos%20espa&#231;os%20do%20MCID/Caio_manuten&#231;&#227;o/brigada.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wagner.alves.CIDADES\Documents\Loca&#231;&#227;o%20dos%20espa&#231;os%20do%20MCID\Caio_manuten&#231;&#227;o\Seguran&#231;a%20Vigil&#226;ncia.xlsx" TargetMode="External"/><Relationship Id="rId1" Type="http://schemas.openxmlformats.org/officeDocument/2006/relationships/externalLinkPath" Target="/Users/wagner.alves.CIDADES/Documents/Loca&#231;&#227;o%20dos%20espa&#231;os%20do%20MCID/Caio_manuten&#231;&#227;o/Seguran&#231;a%20Vigil&#226;nci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wagner.alves.CIDADES\Documents\Loca&#231;&#227;o%20dos%20espa&#231;os%20do%20MCID\Caio_manuten&#231;&#227;o\garcom%20copa%20carregador.xls" TargetMode="External"/><Relationship Id="rId1" Type="http://schemas.openxmlformats.org/officeDocument/2006/relationships/externalLinkPath" Target="/Users/wagner.alves.CIDADES/Documents/Loca&#231;&#227;o%20dos%20espa&#231;os%20do%20MCID/Caio_manuten&#231;&#227;o/garcom%20copa%20carregador.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wagner.alves.CIDADES\Documents\Loca&#231;&#227;o%20dos%20espa&#231;os%20do%20MCID\Caio_manuten&#231;&#227;o\limpeza.xls" TargetMode="External"/><Relationship Id="rId1" Type="http://schemas.openxmlformats.org/officeDocument/2006/relationships/externalLinkPath" Target="/Users/wagner.alves.CIDADES/Documents/Loca&#231;&#227;o%20dos%20espa&#231;os%20do%20MCID/Caio_manuten&#231;&#227;o/limpez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posta.DF"/>
      <sheetName val="RES_Briga"/>
      <sheetName val="12x36h Not"/>
      <sheetName val="12x36h Dia"/>
      <sheetName val="12x36h Lider"/>
      <sheetName val="Uniforme_briga"/>
      <sheetName val="MAT-EQUIP_briga"/>
    </sheetNames>
    <sheetDataSet>
      <sheetData sheetId="0">
        <row r="3">
          <cell r="A3" t="str">
            <v>Brasília-DF, 14 de novembro de 2023.</v>
          </cell>
        </row>
        <row r="7">
          <cell r="A7" t="str">
            <v>MINISTÉRIO DAS CIDADES</v>
          </cell>
        </row>
      </sheetData>
      <sheetData sheetId="1"/>
      <sheetData sheetId="2">
        <row r="9">
          <cell r="E9" t="str">
            <v>CCTSINDBOMBEIROS/DF000184/2024</v>
          </cell>
        </row>
      </sheetData>
      <sheetData sheetId="3">
        <row r="9">
          <cell r="E9" t="str">
            <v>CCTSINDBOMBEIROS/DF000184/2024</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posta.DF"/>
      <sheetName val="RES_vigia"/>
      <sheetName val="Vigia 12x36h Noite"/>
      <sheetName val="Vigia 12x36h Dia"/>
      <sheetName val="Super_Vigia"/>
      <sheetName val="Vigia Desamado"/>
      <sheetName val="Uniform_vigia"/>
    </sheetNames>
    <sheetDataSet>
      <sheetData sheetId="0">
        <row r="3">
          <cell r="A3" t="str">
            <v>Brasília-DF, 14 de novembro de 2023.</v>
          </cell>
        </row>
        <row r="7">
          <cell r="A7" t="str">
            <v>MINISTÉRIO DAS CIDADES</v>
          </cell>
        </row>
      </sheetData>
      <sheetData sheetId="1"/>
      <sheetData sheetId="2">
        <row r="9">
          <cell r="E9" t="str">
            <v>SINDESV/SINDESP - DF/DF000333/2024</v>
          </cell>
          <cell r="F9"/>
        </row>
      </sheetData>
      <sheetData sheetId="3">
        <row r="9">
          <cell r="E9" t="str">
            <v>SINDESV/SINDESP - DF/DF000333/2024</v>
          </cell>
          <cell r="F9"/>
        </row>
      </sheetData>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peira"/>
      <sheetName val="Garçom"/>
      <sheetName val="Carregador"/>
      <sheetName val="ENCARREGADO - Geral "/>
      <sheetName val="EQUIPAMENTOS "/>
      <sheetName val="UNIFORME"/>
      <sheetName val="materiais "/>
      <sheetName val="RESUMO"/>
    </sheetNames>
    <sheetDataSet>
      <sheetData sheetId="0">
        <row r="149">
          <cell r="I149">
            <v>4565.01</v>
          </cell>
        </row>
      </sheetData>
      <sheetData sheetId="1">
        <row r="149">
          <cell r="I149">
            <v>5975.39</v>
          </cell>
        </row>
      </sheetData>
      <sheetData sheetId="2">
        <row r="143">
          <cell r="I143">
            <v>4549.78</v>
          </cell>
        </row>
      </sheetData>
      <sheetData sheetId="3">
        <row r="154">
          <cell r="I154">
            <v>7695.57</v>
          </cell>
        </row>
      </sheetData>
      <sheetData sheetId="4"/>
      <sheetData sheetId="5"/>
      <sheetData sheetId="6">
        <row r="28">
          <cell r="I28">
            <v>22808.76</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TIVIDADE consolidado "/>
      <sheetName val="SERVENTE 44 HORAS SEMANAIS"/>
      <sheetName val="ENCARREGADO "/>
      <sheetName val="JAUZEIRO"/>
      <sheetName val="QUANT. ESTIMADA POR SERVENTES"/>
      <sheetName val="EQUIPAMENTOS "/>
      <sheetName val="UNIFORME"/>
      <sheetName val="MATERIAL "/>
      <sheetName val="Resumo Limp"/>
    </sheetNames>
    <sheetDataSet>
      <sheetData sheetId="0"/>
      <sheetData sheetId="1">
        <row r="126">
          <cell r="F126">
            <v>5.7500000000000002E-2</v>
          </cell>
        </row>
        <row r="127">
          <cell r="F127">
            <v>2.5000000000000001E-2</v>
          </cell>
        </row>
      </sheetData>
      <sheetData sheetId="2"/>
      <sheetData sheetId="3"/>
      <sheetData sheetId="4">
        <row r="4">
          <cell r="E4">
            <v>250</v>
          </cell>
        </row>
        <row r="5">
          <cell r="E5">
            <v>10092</v>
          </cell>
        </row>
        <row r="6">
          <cell r="E6">
            <v>600</v>
          </cell>
        </row>
        <row r="7">
          <cell r="E7">
            <v>200</v>
          </cell>
        </row>
        <row r="8">
          <cell r="E8">
            <v>14000</v>
          </cell>
        </row>
        <row r="9">
          <cell r="E9">
            <v>6000</v>
          </cell>
        </row>
      </sheetData>
      <sheetData sheetId="5">
        <row r="12">
          <cell r="H12">
            <v>3.6</v>
          </cell>
        </row>
      </sheetData>
      <sheetData sheetId="6">
        <row r="21">
          <cell r="F21">
            <v>19.66</v>
          </cell>
        </row>
      </sheetData>
      <sheetData sheetId="7"/>
      <sheetData sheetId="8"/>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3.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vmlDrawing" Target="../drawings/vmlDrawing15.vml"/><Relationship Id="rId1" Type="http://schemas.openxmlformats.org/officeDocument/2006/relationships/printerSettings" Target="../printerSettings/printerSettings25.bin"/><Relationship Id="rId4" Type="http://schemas.openxmlformats.org/officeDocument/2006/relationships/comments" Target="../comments1.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9D315-9B5E-4EDF-9593-08A954DBDA4D}">
  <sheetPr>
    <tabColor rgb="FFC00000"/>
  </sheetPr>
  <dimension ref="A1:I58"/>
  <sheetViews>
    <sheetView tabSelected="1" zoomScale="130" zoomScaleNormal="130" workbookViewId="0">
      <selection activeCell="G56" sqref="G56"/>
    </sheetView>
  </sheetViews>
  <sheetFormatPr defaultRowHeight="15"/>
  <cols>
    <col min="1" max="1" width="6.28515625" style="1" customWidth="1"/>
    <col min="2" max="2" width="22.5703125" style="1" customWidth="1"/>
    <col min="3" max="3" width="11.85546875" style="1" customWidth="1"/>
    <col min="4" max="4" width="12.140625" style="1" customWidth="1"/>
    <col min="5" max="5" width="15.5703125" style="1" customWidth="1"/>
    <col min="6" max="6" width="9.140625" customWidth="1"/>
    <col min="7" max="7" width="16.7109375" customWidth="1"/>
    <col min="9" max="9" width="15.140625" bestFit="1" customWidth="1"/>
  </cols>
  <sheetData>
    <row r="1" spans="1:5" ht="37.5" customHeight="1" thickBot="1">
      <c r="A1" s="741" t="s">
        <v>1787</v>
      </c>
      <c r="B1" s="742"/>
      <c r="C1" s="742"/>
      <c r="D1" s="742"/>
      <c r="E1" s="742"/>
    </row>
    <row r="2" spans="1:5" ht="30" customHeight="1">
      <c r="A2" s="712" t="s">
        <v>0</v>
      </c>
      <c r="B2" s="712" t="s">
        <v>34</v>
      </c>
      <c r="C2" s="713" t="s">
        <v>1782</v>
      </c>
      <c r="D2" s="714" t="s">
        <v>1693</v>
      </c>
      <c r="E2" s="714" t="s">
        <v>1783</v>
      </c>
    </row>
    <row r="3" spans="1:5" ht="20.100000000000001" customHeight="1">
      <c r="A3" s="3" t="s">
        <v>16</v>
      </c>
      <c r="B3" s="4" t="s">
        <v>5</v>
      </c>
      <c r="C3" s="3">
        <f>360/12</f>
        <v>30</v>
      </c>
      <c r="D3" s="710">
        <f>'MO Man'!F7</f>
        <v>0</v>
      </c>
      <c r="E3" s="324">
        <f t="shared" ref="E3:E18" si="0">C3*D3</f>
        <v>0</v>
      </c>
    </row>
    <row r="4" spans="1:5" ht="20.100000000000001" customHeight="1">
      <c r="A4" s="3" t="s">
        <v>17</v>
      </c>
      <c r="B4" s="4" t="s">
        <v>6</v>
      </c>
      <c r="C4" s="3">
        <f>360/12</f>
        <v>30</v>
      </c>
      <c r="D4" s="710">
        <f>'MO Man'!F8</f>
        <v>0</v>
      </c>
      <c r="E4" s="324">
        <f t="shared" si="0"/>
        <v>0</v>
      </c>
    </row>
    <row r="5" spans="1:5" ht="20.100000000000001" customHeight="1">
      <c r="A5" s="3" t="s">
        <v>18</v>
      </c>
      <c r="B5" s="4" t="s">
        <v>7</v>
      </c>
      <c r="C5" s="334">
        <f>800/12</f>
        <v>66.666666666666671</v>
      </c>
      <c r="D5" s="710">
        <f>'MO Man'!F9</f>
        <v>0</v>
      </c>
      <c r="E5" s="324">
        <f t="shared" si="0"/>
        <v>0</v>
      </c>
    </row>
    <row r="6" spans="1:5" ht="20.100000000000001" customHeight="1">
      <c r="A6" s="3" t="s">
        <v>19</v>
      </c>
      <c r="B6" s="4" t="s">
        <v>8</v>
      </c>
      <c r="C6" s="3">
        <f>432/12</f>
        <v>36</v>
      </c>
      <c r="D6" s="710">
        <f>'MO Man'!F10</f>
        <v>0</v>
      </c>
      <c r="E6" s="324">
        <f t="shared" si="0"/>
        <v>0</v>
      </c>
    </row>
    <row r="7" spans="1:5" ht="20.100000000000001" customHeight="1">
      <c r="A7" s="3" t="s">
        <v>20</v>
      </c>
      <c r="B7" s="4" t="s">
        <v>9</v>
      </c>
      <c r="C7" s="334">
        <f>220/12</f>
        <v>18.333333333333332</v>
      </c>
      <c r="D7" s="710">
        <f>'MO Man'!F11</f>
        <v>0</v>
      </c>
      <c r="E7" s="324">
        <f t="shared" si="0"/>
        <v>0</v>
      </c>
    </row>
    <row r="8" spans="1:5" ht="20.100000000000001" customHeight="1">
      <c r="A8" s="3" t="s">
        <v>21</v>
      </c>
      <c r="B8" s="4" t="s">
        <v>10</v>
      </c>
      <c r="C8" s="334">
        <f>525/12</f>
        <v>43.75</v>
      </c>
      <c r="D8" s="710">
        <f>'MO Man'!F12</f>
        <v>0</v>
      </c>
      <c r="E8" s="324">
        <f t="shared" si="0"/>
        <v>0</v>
      </c>
    </row>
    <row r="9" spans="1:5" ht="20.100000000000001" customHeight="1">
      <c r="A9" s="3" t="s">
        <v>22</v>
      </c>
      <c r="B9" s="4" t="s">
        <v>33</v>
      </c>
      <c r="C9" s="3">
        <f>1152/12</f>
        <v>96</v>
      </c>
      <c r="D9" s="710">
        <f>'MO Man'!F13</f>
        <v>0</v>
      </c>
      <c r="E9" s="324">
        <f t="shared" si="0"/>
        <v>0</v>
      </c>
    </row>
    <row r="10" spans="1:5" ht="20.100000000000001" customHeight="1">
      <c r="A10" s="3" t="s">
        <v>23</v>
      </c>
      <c r="B10" s="4" t="s">
        <v>1784</v>
      </c>
      <c r="C10" s="334">
        <f>933/12</f>
        <v>77.75</v>
      </c>
      <c r="D10" s="710">
        <f>'MO Man'!F14</f>
        <v>0</v>
      </c>
      <c r="E10" s="324">
        <f t="shared" si="0"/>
        <v>0</v>
      </c>
    </row>
    <row r="11" spans="1:5" ht="20.100000000000001" customHeight="1">
      <c r="A11" s="3" t="s">
        <v>24</v>
      </c>
      <c r="B11" s="4" t="s">
        <v>12</v>
      </c>
      <c r="C11" s="3">
        <f>324/12</f>
        <v>27</v>
      </c>
      <c r="D11" s="710">
        <f>'MO Man'!F15</f>
        <v>0</v>
      </c>
      <c r="E11" s="324">
        <f t="shared" si="0"/>
        <v>0</v>
      </c>
    </row>
    <row r="12" spans="1:5" ht="20.100000000000001" customHeight="1">
      <c r="A12" s="3" t="s">
        <v>25</v>
      </c>
      <c r="B12" s="4" t="s">
        <v>36</v>
      </c>
      <c r="C12" s="3">
        <f>324/12</f>
        <v>27</v>
      </c>
      <c r="D12" s="710">
        <f>'MO Man'!F16</f>
        <v>0</v>
      </c>
      <c r="E12" s="324">
        <f t="shared" si="0"/>
        <v>0</v>
      </c>
    </row>
    <row r="13" spans="1:5" ht="20.100000000000001" customHeight="1">
      <c r="A13" s="3" t="s">
        <v>26</v>
      </c>
      <c r="B13" s="4" t="s">
        <v>37</v>
      </c>
      <c r="C13" s="3">
        <f>1152/12</f>
        <v>96</v>
      </c>
      <c r="D13" s="710">
        <f>'MO Man'!F17</f>
        <v>0</v>
      </c>
      <c r="E13" s="324">
        <f t="shared" si="0"/>
        <v>0</v>
      </c>
    </row>
    <row r="14" spans="1:5" ht="20.100000000000001" customHeight="1">
      <c r="A14" s="3" t="s">
        <v>27</v>
      </c>
      <c r="B14" s="4" t="s">
        <v>38</v>
      </c>
      <c r="C14" s="334">
        <f>730/12</f>
        <v>60.833333333333336</v>
      </c>
      <c r="D14" s="710">
        <f>'MO Man'!F18</f>
        <v>0</v>
      </c>
      <c r="E14" s="324">
        <f t="shared" si="0"/>
        <v>0</v>
      </c>
    </row>
    <row r="15" spans="1:5" ht="20.100000000000001" customHeight="1">
      <c r="A15" s="3" t="s">
        <v>28</v>
      </c>
      <c r="B15" s="325" t="s">
        <v>13</v>
      </c>
      <c r="C15" s="334">
        <f>730/12</f>
        <v>60.833333333333336</v>
      </c>
      <c r="D15" s="710">
        <f>'MO Man'!F19</f>
        <v>0</v>
      </c>
      <c r="E15" s="324">
        <f t="shared" si="0"/>
        <v>0</v>
      </c>
    </row>
    <row r="16" spans="1:5" ht="20.100000000000001" customHeight="1">
      <c r="A16" s="3" t="s">
        <v>29</v>
      </c>
      <c r="B16" s="326" t="s">
        <v>35</v>
      </c>
      <c r="C16" s="3">
        <f>1152/12</f>
        <v>96</v>
      </c>
      <c r="D16" s="710">
        <f>'MO Man'!F20</f>
        <v>0</v>
      </c>
      <c r="E16" s="324">
        <f t="shared" si="0"/>
        <v>0</v>
      </c>
    </row>
    <row r="17" spans="1:7" ht="20.100000000000001" customHeight="1">
      <c r="A17" s="3" t="s">
        <v>31</v>
      </c>
      <c r="B17" s="326" t="s">
        <v>39</v>
      </c>
      <c r="C17" s="3">
        <f>432/12</f>
        <v>36</v>
      </c>
      <c r="D17" s="710">
        <f>'MO Man'!F21</f>
        <v>0</v>
      </c>
      <c r="E17" s="324">
        <f t="shared" si="0"/>
        <v>0</v>
      </c>
    </row>
    <row r="18" spans="1:7" ht="20.100000000000001" customHeight="1">
      <c r="A18" s="70" t="s">
        <v>32</v>
      </c>
      <c r="B18" s="327" t="s">
        <v>40</v>
      </c>
      <c r="C18" s="70">
        <f>432/12</f>
        <v>36</v>
      </c>
      <c r="D18" s="711">
        <f>'MO Man'!F22</f>
        <v>0</v>
      </c>
      <c r="E18" s="328">
        <f t="shared" si="0"/>
        <v>0</v>
      </c>
    </row>
    <row r="19" spans="1:7" ht="20.100000000000001" customHeight="1">
      <c r="A19" s="70" t="s">
        <v>1796</v>
      </c>
      <c r="B19" s="330" t="s">
        <v>1788</v>
      </c>
      <c r="C19" s="332">
        <v>1</v>
      </c>
      <c r="D19" s="333">
        <f>E19</f>
        <v>0</v>
      </c>
      <c r="E19" s="331">
        <f>'Mat Man'!H463/12</f>
        <v>0</v>
      </c>
    </row>
    <row r="20" spans="1:7" ht="20.100000000000001" customHeight="1">
      <c r="A20" s="70" t="s">
        <v>1797</v>
      </c>
      <c r="B20" s="330" t="s">
        <v>1789</v>
      </c>
      <c r="C20" s="332">
        <v>1</v>
      </c>
      <c r="D20" s="333">
        <f t="shared" ref="D20:D27" si="1">E20</f>
        <v>0</v>
      </c>
      <c r="E20" s="331">
        <f>'Serv Esp'!F15/12</f>
        <v>0</v>
      </c>
    </row>
    <row r="21" spans="1:7" ht="20.100000000000001" customHeight="1">
      <c r="A21" s="70" t="s">
        <v>1798</v>
      </c>
      <c r="B21" s="330" t="s">
        <v>1790</v>
      </c>
      <c r="C21" s="332">
        <v>1</v>
      </c>
      <c r="D21" s="333">
        <f t="shared" si="1"/>
        <v>0</v>
      </c>
      <c r="E21" s="331">
        <f>Vidro!F31/12</f>
        <v>0</v>
      </c>
    </row>
    <row r="22" spans="1:7" ht="20.100000000000001" customHeight="1">
      <c r="A22" s="70" t="s">
        <v>1799</v>
      </c>
      <c r="B22" s="330" t="s">
        <v>1791</v>
      </c>
      <c r="C22" s="332">
        <v>1</v>
      </c>
      <c r="D22" s="333">
        <f t="shared" si="1"/>
        <v>0</v>
      </c>
      <c r="E22" s="331">
        <f>Divi!F33/12</f>
        <v>0</v>
      </c>
    </row>
    <row r="23" spans="1:7" ht="20.100000000000001" customHeight="1">
      <c r="A23" s="70" t="s">
        <v>1800</v>
      </c>
      <c r="B23" s="330" t="s">
        <v>1805</v>
      </c>
      <c r="C23" s="332">
        <v>1</v>
      </c>
      <c r="D23" s="333">
        <f t="shared" si="1"/>
        <v>0</v>
      </c>
      <c r="E23" s="331">
        <f>Elev!F5/12</f>
        <v>0</v>
      </c>
    </row>
    <row r="24" spans="1:7" ht="20.100000000000001" customHeight="1">
      <c r="A24" s="70" t="s">
        <v>1801</v>
      </c>
      <c r="B24" s="330" t="s">
        <v>1792</v>
      </c>
      <c r="C24" s="332">
        <v>1</v>
      </c>
      <c r="D24" s="333">
        <f t="shared" si="1"/>
        <v>0</v>
      </c>
      <c r="E24" s="331">
        <f>Sinal!F21/12</f>
        <v>0</v>
      </c>
    </row>
    <row r="25" spans="1:7" ht="20.100000000000001" customHeight="1">
      <c r="A25" s="70" t="s">
        <v>1802</v>
      </c>
      <c r="B25" s="330" t="s">
        <v>1793</v>
      </c>
      <c r="C25" s="332">
        <v>1</v>
      </c>
      <c r="D25" s="333">
        <f t="shared" si="1"/>
        <v>0</v>
      </c>
      <c r="E25" s="331">
        <f>Chave!F22/12</f>
        <v>0</v>
      </c>
    </row>
    <row r="26" spans="1:7" ht="20.100000000000001" customHeight="1">
      <c r="A26" s="70" t="s">
        <v>1803</v>
      </c>
      <c r="B26" s="330" t="s">
        <v>1794</v>
      </c>
      <c r="C26" s="332">
        <v>1</v>
      </c>
      <c r="D26" s="333">
        <f t="shared" si="1"/>
        <v>0</v>
      </c>
      <c r="E26" s="331">
        <f>Dedet!F5/12</f>
        <v>0</v>
      </c>
    </row>
    <row r="27" spans="1:7" ht="19.5" customHeight="1">
      <c r="A27" s="70" t="s">
        <v>1804</v>
      </c>
      <c r="B27" s="330" t="s">
        <v>1795</v>
      </c>
      <c r="C27" s="332">
        <v>1</v>
      </c>
      <c r="D27" s="333">
        <f t="shared" si="1"/>
        <v>0</v>
      </c>
      <c r="E27" s="331">
        <f>'Res Sol'!F5/12</f>
        <v>0</v>
      </c>
    </row>
    <row r="28" spans="1:7" ht="30" customHeight="1">
      <c r="A28" s="743" t="s">
        <v>2269</v>
      </c>
      <c r="B28" s="743"/>
      <c r="C28" s="743"/>
      <c r="D28" s="743"/>
      <c r="E28" s="707">
        <f>SUM(E15:E27)</f>
        <v>0</v>
      </c>
    </row>
    <row r="29" spans="1:7" ht="30" customHeight="1">
      <c r="A29" s="743" t="s">
        <v>2265</v>
      </c>
      <c r="B29" s="743"/>
      <c r="C29" s="743"/>
      <c r="D29" s="743"/>
      <c r="E29" s="708">
        <v>10000</v>
      </c>
    </row>
    <row r="30" spans="1:7" ht="30" customHeight="1">
      <c r="A30" s="743" t="s">
        <v>1786</v>
      </c>
      <c r="B30" s="743"/>
      <c r="C30" s="743"/>
      <c r="D30" s="743"/>
      <c r="E30" s="709">
        <f>E28/E29</f>
        <v>0</v>
      </c>
    </row>
    <row r="32" spans="1:7" ht="60" customHeight="1">
      <c r="A32" s="721" t="s">
        <v>0</v>
      </c>
      <c r="B32" s="722" t="s">
        <v>1785</v>
      </c>
      <c r="C32" s="722" t="s">
        <v>1695</v>
      </c>
      <c r="D32" s="722" t="s">
        <v>2276</v>
      </c>
      <c r="E32" s="722" t="s">
        <v>2277</v>
      </c>
      <c r="F32" s="722" t="s">
        <v>2275</v>
      </c>
      <c r="G32" s="722" t="s">
        <v>2278</v>
      </c>
    </row>
    <row r="33" spans="1:7" ht="25.5" customHeight="1">
      <c r="A33" s="723">
        <v>1</v>
      </c>
      <c r="B33" s="724" t="s">
        <v>1541</v>
      </c>
      <c r="C33" s="725"/>
      <c r="D33" s="723">
        <v>2</v>
      </c>
      <c r="E33" s="725">
        <f>C33*D33</f>
        <v>0</v>
      </c>
      <c r="F33" s="723">
        <f>RES_Briga!F8</f>
        <v>3</v>
      </c>
      <c r="G33" s="738">
        <f>E33*F33</f>
        <v>0</v>
      </c>
    </row>
    <row r="34" spans="1:7" ht="20.100000000000001" customHeight="1">
      <c r="A34" s="723">
        <v>2</v>
      </c>
      <c r="B34" s="724" t="s">
        <v>1543</v>
      </c>
      <c r="C34" s="725"/>
      <c r="D34" s="723">
        <v>2</v>
      </c>
      <c r="E34" s="725">
        <f>C34*D34</f>
        <v>0</v>
      </c>
      <c r="F34" s="723">
        <v>5</v>
      </c>
      <c r="G34" s="738">
        <f>E34*F34</f>
        <v>0</v>
      </c>
    </row>
    <row r="35" spans="1:7" ht="20.100000000000001" customHeight="1">
      <c r="A35" s="723">
        <v>3</v>
      </c>
      <c r="B35" s="724" t="s">
        <v>1545</v>
      </c>
      <c r="C35" s="725"/>
      <c r="D35" s="723">
        <v>2</v>
      </c>
      <c r="E35" s="725">
        <f>C35*D35</f>
        <v>0</v>
      </c>
      <c r="F35" s="723">
        <v>1</v>
      </c>
      <c r="G35" s="738">
        <f>E35*F35</f>
        <v>0</v>
      </c>
    </row>
    <row r="36" spans="1:7" ht="20.100000000000001" customHeight="1">
      <c r="A36" s="723">
        <v>4</v>
      </c>
      <c r="B36" s="724" t="s">
        <v>1757</v>
      </c>
      <c r="C36" s="725">
        <f>RES_vigia!C8</f>
        <v>0</v>
      </c>
      <c r="D36" s="723">
        <f>RES_vigia!D8</f>
        <v>2</v>
      </c>
      <c r="E36" s="725">
        <f>C36*D36</f>
        <v>0</v>
      </c>
      <c r="F36" s="723">
        <f>RES_vigia!F8</f>
        <v>2</v>
      </c>
      <c r="G36" s="738">
        <f t="shared" ref="G36:G46" si="2">E36*F36</f>
        <v>0</v>
      </c>
    </row>
    <row r="37" spans="1:7" ht="20.100000000000001" customHeight="1">
      <c r="A37" s="723">
        <v>5</v>
      </c>
      <c r="B37" s="724" t="s">
        <v>1758</v>
      </c>
      <c r="C37" s="725">
        <f>RES_vigia!C9</f>
        <v>0</v>
      </c>
      <c r="D37" s="723">
        <f>RES_vigia!D9</f>
        <v>2</v>
      </c>
      <c r="E37" s="725">
        <f t="shared" ref="E37:E46" si="3">C37*D37</f>
        <v>0</v>
      </c>
      <c r="F37" s="723">
        <f>RES_vigia!F9</f>
        <v>2</v>
      </c>
      <c r="G37" s="738">
        <f t="shared" si="2"/>
        <v>0</v>
      </c>
    </row>
    <row r="38" spans="1:7" ht="20.100000000000001" customHeight="1">
      <c r="A38" s="723">
        <v>6</v>
      </c>
      <c r="B38" s="724" t="s">
        <v>1759</v>
      </c>
      <c r="C38" s="725">
        <f>RES_vigia!C10</f>
        <v>0</v>
      </c>
      <c r="D38" s="723">
        <f>RES_vigia!D10</f>
        <v>2</v>
      </c>
      <c r="E38" s="725">
        <f t="shared" si="3"/>
        <v>0</v>
      </c>
      <c r="F38" s="723">
        <v>1</v>
      </c>
      <c r="G38" s="738">
        <f t="shared" si="2"/>
        <v>0</v>
      </c>
    </row>
    <row r="39" spans="1:7" ht="20.100000000000001" customHeight="1">
      <c r="A39" s="723">
        <v>7</v>
      </c>
      <c r="B39" s="724" t="s">
        <v>1761</v>
      </c>
      <c r="C39" s="725">
        <f>RES_vigia!C11</f>
        <v>0</v>
      </c>
      <c r="D39" s="723">
        <v>1</v>
      </c>
      <c r="E39" s="725">
        <f t="shared" ref="E39:E45" si="4">C39*D39</f>
        <v>0</v>
      </c>
      <c r="F39" s="723">
        <v>1</v>
      </c>
      <c r="G39" s="738">
        <f t="shared" si="2"/>
        <v>0</v>
      </c>
    </row>
    <row r="40" spans="1:7" ht="20.100000000000001" customHeight="1">
      <c r="A40" s="723">
        <v>8</v>
      </c>
      <c r="B40" s="724" t="s">
        <v>2259</v>
      </c>
      <c r="C40" s="725">
        <f>'Resumo Limp'!D6</f>
        <v>0</v>
      </c>
      <c r="D40" s="723">
        <v>23</v>
      </c>
      <c r="E40" s="725">
        <f t="shared" si="4"/>
        <v>0</v>
      </c>
      <c r="F40" s="723">
        <v>1</v>
      </c>
      <c r="G40" s="738">
        <f t="shared" si="2"/>
        <v>0</v>
      </c>
    </row>
    <row r="41" spans="1:7" ht="20.100000000000001" customHeight="1">
      <c r="A41" s="723">
        <v>9</v>
      </c>
      <c r="B41" s="724" t="s">
        <v>2260</v>
      </c>
      <c r="C41" s="725">
        <f>'Resumo Limp'!D7</f>
        <v>0</v>
      </c>
      <c r="D41" s="723">
        <v>1</v>
      </c>
      <c r="E41" s="725">
        <f t="shared" si="4"/>
        <v>0</v>
      </c>
      <c r="F41" s="723">
        <v>1</v>
      </c>
      <c r="G41" s="738">
        <f t="shared" si="2"/>
        <v>0</v>
      </c>
    </row>
    <row r="42" spans="1:7" ht="20.100000000000001" customHeight="1">
      <c r="A42" s="723">
        <v>10</v>
      </c>
      <c r="B42" s="724" t="s">
        <v>2261</v>
      </c>
      <c r="C42" s="725">
        <f>'Resumo Limp'!D8</f>
        <v>0</v>
      </c>
      <c r="D42" s="723">
        <v>1</v>
      </c>
      <c r="E42" s="725">
        <f t="shared" si="4"/>
        <v>0</v>
      </c>
      <c r="F42" s="723">
        <v>1</v>
      </c>
      <c r="G42" s="738">
        <f t="shared" si="2"/>
        <v>0</v>
      </c>
    </row>
    <row r="43" spans="1:7" ht="20.100000000000001" customHeight="1">
      <c r="A43" s="723">
        <v>11</v>
      </c>
      <c r="B43" s="724" t="s">
        <v>1940</v>
      </c>
      <c r="C43" s="725"/>
      <c r="D43" s="723">
        <v>10</v>
      </c>
      <c r="E43" s="725">
        <f>C43*D43</f>
        <v>0</v>
      </c>
      <c r="F43" s="723">
        <v>1</v>
      </c>
      <c r="G43" s="738">
        <f t="shared" si="2"/>
        <v>0</v>
      </c>
    </row>
    <row r="44" spans="1:7" ht="20.100000000000001" customHeight="1">
      <c r="A44" s="723">
        <v>12</v>
      </c>
      <c r="B44" s="724" t="s">
        <v>2262</v>
      </c>
      <c r="C44" s="725"/>
      <c r="D44" s="723">
        <v>10</v>
      </c>
      <c r="E44" s="725">
        <f t="shared" si="4"/>
        <v>0</v>
      </c>
      <c r="F44" s="723">
        <v>1</v>
      </c>
      <c r="G44" s="738">
        <f t="shared" si="2"/>
        <v>0</v>
      </c>
    </row>
    <row r="45" spans="1:7" ht="20.100000000000001" customHeight="1">
      <c r="A45" s="723">
        <v>13</v>
      </c>
      <c r="B45" s="724" t="s">
        <v>2263</v>
      </c>
      <c r="C45" s="725"/>
      <c r="D45" s="723">
        <v>4</v>
      </c>
      <c r="E45" s="725">
        <f t="shared" si="4"/>
        <v>0</v>
      </c>
      <c r="F45" s="723">
        <v>1</v>
      </c>
      <c r="G45" s="738">
        <f t="shared" si="2"/>
        <v>0</v>
      </c>
    </row>
    <row r="46" spans="1:7" ht="24.75" customHeight="1">
      <c r="A46" s="723">
        <v>14</v>
      </c>
      <c r="B46" s="724" t="s">
        <v>2264</v>
      </c>
      <c r="C46" s="725"/>
      <c r="D46" s="723">
        <v>1</v>
      </c>
      <c r="E46" s="725">
        <f t="shared" si="3"/>
        <v>0</v>
      </c>
      <c r="F46" s="723">
        <f>RES_vigia!F11</f>
        <v>1</v>
      </c>
      <c r="G46" s="738">
        <f t="shared" si="2"/>
        <v>0</v>
      </c>
    </row>
    <row r="47" spans="1:7" ht="20.25" customHeight="1">
      <c r="A47" s="734" t="s">
        <v>2268</v>
      </c>
      <c r="B47" s="735"/>
      <c r="C47" s="735"/>
      <c r="D47" s="735"/>
      <c r="E47" s="736"/>
      <c r="F47" s="726">
        <f>SUM(F33:F46)</f>
        <v>22</v>
      </c>
      <c r="G47" s="738"/>
    </row>
    <row r="48" spans="1:7" ht="23.25" customHeight="1">
      <c r="A48" s="737" t="s">
        <v>2267</v>
      </c>
      <c r="B48" s="737"/>
      <c r="C48" s="737"/>
      <c r="D48" s="737"/>
      <c r="E48" s="737"/>
      <c r="F48" s="737"/>
      <c r="G48" s="739">
        <f>SUM(G33:G46)</f>
        <v>0</v>
      </c>
    </row>
    <row r="49" spans="1:9" ht="23.25" customHeight="1">
      <c r="A49" s="733" t="s">
        <v>2265</v>
      </c>
      <c r="B49" s="733"/>
      <c r="C49" s="733"/>
      <c r="D49" s="733"/>
      <c r="E49" s="731"/>
      <c r="F49" s="732"/>
      <c r="G49" s="727">
        <v>10000</v>
      </c>
    </row>
    <row r="50" spans="1:9" ht="23.25" customHeight="1">
      <c r="A50" s="733" t="s">
        <v>2266</v>
      </c>
      <c r="B50" s="733"/>
      <c r="C50" s="733"/>
      <c r="D50" s="733"/>
      <c r="E50" s="729"/>
      <c r="F50" s="730"/>
      <c r="G50" s="728">
        <f>G48/G49</f>
        <v>0</v>
      </c>
    </row>
    <row r="52" spans="1:9" ht="24.75" customHeight="1">
      <c r="A52" s="715" t="s">
        <v>2272</v>
      </c>
      <c r="B52" s="715"/>
      <c r="C52" s="715"/>
      <c r="D52" s="715"/>
      <c r="E52" s="716"/>
      <c r="F52" s="717"/>
      <c r="G52" s="718">
        <f>E30+G50</f>
        <v>0</v>
      </c>
      <c r="I52" s="329"/>
    </row>
    <row r="54" spans="1:9" ht="33" customHeight="1">
      <c r="A54" s="747" t="s">
        <v>2270</v>
      </c>
      <c r="B54" s="748"/>
      <c r="C54" s="748"/>
      <c r="D54" s="748"/>
      <c r="E54" s="748"/>
      <c r="F54" s="749"/>
      <c r="G54" s="740"/>
    </row>
    <row r="55" spans="1:9" ht="27.75" customHeight="1">
      <c r="A55" s="747" t="s">
        <v>2271</v>
      </c>
      <c r="B55" s="748"/>
      <c r="C55" s="748"/>
      <c r="D55" s="748"/>
      <c r="E55" s="748"/>
      <c r="F55" s="749"/>
      <c r="G55" s="706">
        <v>10000</v>
      </c>
    </row>
    <row r="56" spans="1:9" ht="27" customHeight="1">
      <c r="A56" s="747" t="s">
        <v>2273</v>
      </c>
      <c r="B56" s="748"/>
      <c r="C56" s="748"/>
      <c r="D56" s="748"/>
      <c r="E56" s="748"/>
      <c r="F56" s="749"/>
      <c r="G56" s="720"/>
    </row>
    <row r="57" spans="1:9">
      <c r="G57" s="565"/>
    </row>
    <row r="58" spans="1:9" ht="31.5" customHeight="1">
      <c r="A58" s="744" t="s">
        <v>2274</v>
      </c>
      <c r="B58" s="745"/>
      <c r="C58" s="745"/>
      <c r="D58" s="745"/>
      <c r="E58" s="745"/>
      <c r="F58" s="746"/>
      <c r="G58" s="719">
        <f>G52+G56</f>
        <v>0</v>
      </c>
    </row>
  </sheetData>
  <mergeCells count="8">
    <mergeCell ref="A1:E1"/>
    <mergeCell ref="A30:D30"/>
    <mergeCell ref="A29:D29"/>
    <mergeCell ref="A58:F58"/>
    <mergeCell ref="A56:F56"/>
    <mergeCell ref="A55:F55"/>
    <mergeCell ref="A54:F54"/>
    <mergeCell ref="A28:D28"/>
  </mergeCells>
  <phoneticPr fontId="7" type="noConversion"/>
  <pageMargins left="0.511811024" right="0.511811024" top="0.78740157499999996" bottom="0.78740157499999996" header="0.31496062000000002" footer="0.31496062000000002"/>
  <pageSetup orientation="portrait" r:id="rId1"/>
  <ignoredErrors>
    <ignoredError sqref="F46 F33 F36:F37"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55978-4A7D-4A80-B61E-6F63C82346EF}">
  <sheetPr>
    <tabColor rgb="FFFFFF00"/>
  </sheetPr>
  <dimension ref="A1:H5"/>
  <sheetViews>
    <sheetView workbookViewId="0">
      <selection activeCell="E5" sqref="E5"/>
    </sheetView>
  </sheetViews>
  <sheetFormatPr defaultRowHeight="15"/>
  <cols>
    <col min="1" max="1" width="10.7109375" customWidth="1"/>
    <col min="2" max="2" width="30.7109375" customWidth="1"/>
    <col min="3" max="3" width="8.7109375" customWidth="1"/>
    <col min="4" max="4" width="12.7109375" customWidth="1"/>
    <col min="5" max="5" width="11.7109375" customWidth="1"/>
    <col min="6" max="6" width="13.7109375" customWidth="1"/>
    <col min="7" max="7" width="11.7109375" customWidth="1"/>
    <col min="8" max="8" width="13.7109375" customWidth="1"/>
  </cols>
  <sheetData>
    <row r="1" spans="1:8" ht="16.5" thickBot="1">
      <c r="A1" s="915" t="s">
        <v>1525</v>
      </c>
      <c r="B1" s="916"/>
      <c r="C1" s="916"/>
      <c r="D1" s="917"/>
      <c r="E1" s="916"/>
      <c r="F1" s="916"/>
      <c r="G1" s="778"/>
      <c r="H1" s="779"/>
    </row>
    <row r="2" spans="1:8" ht="30" customHeight="1">
      <c r="A2" s="840" t="s">
        <v>0</v>
      </c>
      <c r="B2" s="843" t="s">
        <v>1</v>
      </c>
      <c r="C2" s="843" t="s">
        <v>696</v>
      </c>
      <c r="D2" s="880" t="s">
        <v>706</v>
      </c>
      <c r="E2" s="881" t="s">
        <v>43</v>
      </c>
      <c r="F2" s="849"/>
      <c r="G2" s="834" t="s">
        <v>1257</v>
      </c>
      <c r="H2" s="835"/>
    </row>
    <row r="3" spans="1:8">
      <c r="A3" s="841"/>
      <c r="B3" s="844"/>
      <c r="C3" s="844"/>
      <c r="D3" s="880"/>
      <c r="E3" s="104" t="s">
        <v>44</v>
      </c>
      <c r="F3" s="105" t="s">
        <v>15</v>
      </c>
      <c r="G3" s="102" t="s">
        <v>44</v>
      </c>
      <c r="H3" s="103" t="s">
        <v>15</v>
      </c>
    </row>
    <row r="4" spans="1:8" ht="15.75" thickBot="1">
      <c r="A4" s="842"/>
      <c r="B4" s="845"/>
      <c r="C4" s="845"/>
      <c r="D4" s="188" t="s">
        <v>707</v>
      </c>
      <c r="E4" s="163" t="s">
        <v>1248</v>
      </c>
      <c r="F4" s="108" t="s">
        <v>1437</v>
      </c>
      <c r="G4" s="163" t="s">
        <v>1249</v>
      </c>
      <c r="H4" s="108" t="s">
        <v>1526</v>
      </c>
    </row>
    <row r="5" spans="1:8" ht="56.25">
      <c r="A5" s="177">
        <v>9</v>
      </c>
      <c r="B5" s="178" t="s">
        <v>1530</v>
      </c>
      <c r="C5" s="177" t="s">
        <v>1434</v>
      </c>
      <c r="D5" s="187">
        <v>12</v>
      </c>
      <c r="E5" s="185"/>
      <c r="F5" s="185">
        <f>D5*E5</f>
        <v>0</v>
      </c>
      <c r="G5" s="186">
        <v>0</v>
      </c>
      <c r="H5" s="186">
        <f>D5*G5</f>
        <v>0</v>
      </c>
    </row>
  </sheetData>
  <mergeCells count="7">
    <mergeCell ref="G2:H2"/>
    <mergeCell ref="A1:H1"/>
    <mergeCell ref="A2:A4"/>
    <mergeCell ref="B2:B4"/>
    <mergeCell ref="C2:C4"/>
    <mergeCell ref="D2:D3"/>
    <mergeCell ref="E2:F2"/>
  </mergeCell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C7348D-6BDC-4233-A214-B007CA8CFF2C}">
  <sheetPr>
    <tabColor rgb="FFFFFF00"/>
  </sheetPr>
  <dimension ref="A1:H5"/>
  <sheetViews>
    <sheetView workbookViewId="0">
      <selection activeCell="E5" sqref="E5"/>
    </sheetView>
  </sheetViews>
  <sheetFormatPr defaultRowHeight="15"/>
  <cols>
    <col min="1" max="1" width="10.7109375" customWidth="1"/>
    <col min="2" max="2" width="40.7109375" customWidth="1"/>
    <col min="3" max="3" width="10.7109375" customWidth="1"/>
    <col min="4" max="4" width="13.7109375" customWidth="1"/>
    <col min="5" max="5" width="11.7109375" customWidth="1"/>
    <col min="6" max="6" width="13.7109375" customWidth="1"/>
    <col min="7" max="7" width="11.7109375" customWidth="1"/>
    <col min="8" max="8" width="13.7109375" customWidth="1"/>
  </cols>
  <sheetData>
    <row r="1" spans="1:8" ht="16.5" thickBot="1">
      <c r="A1" s="918" t="s">
        <v>1529</v>
      </c>
      <c r="B1" s="919"/>
      <c r="C1" s="919"/>
      <c r="D1" s="920"/>
      <c r="E1" s="919"/>
      <c r="F1" s="919"/>
      <c r="G1" s="778"/>
      <c r="H1" s="779"/>
    </row>
    <row r="2" spans="1:8" ht="35.1" customHeight="1">
      <c r="A2" s="840" t="s">
        <v>0</v>
      </c>
      <c r="B2" s="843" t="s">
        <v>1</v>
      </c>
      <c r="C2" s="843" t="s">
        <v>696</v>
      </c>
      <c r="D2" s="880" t="s">
        <v>706</v>
      </c>
      <c r="E2" s="881" t="s">
        <v>43</v>
      </c>
      <c r="F2" s="849"/>
      <c r="G2" s="834" t="s">
        <v>1257</v>
      </c>
      <c r="H2" s="835"/>
    </row>
    <row r="3" spans="1:8">
      <c r="A3" s="841"/>
      <c r="B3" s="844"/>
      <c r="C3" s="844"/>
      <c r="D3" s="880"/>
      <c r="E3" s="104" t="s">
        <v>44</v>
      </c>
      <c r="F3" s="105" t="s">
        <v>15</v>
      </c>
      <c r="G3" s="102" t="s">
        <v>44</v>
      </c>
      <c r="H3" s="103" t="s">
        <v>15</v>
      </c>
    </row>
    <row r="4" spans="1:8" ht="15.75" thickBot="1">
      <c r="A4" s="842"/>
      <c r="B4" s="845"/>
      <c r="C4" s="845"/>
      <c r="D4" s="188" t="s">
        <v>707</v>
      </c>
      <c r="E4" s="163" t="s">
        <v>1248</v>
      </c>
      <c r="F4" s="108" t="s">
        <v>1437</v>
      </c>
      <c r="G4" s="163" t="s">
        <v>1249</v>
      </c>
      <c r="H4" s="108" t="s">
        <v>1528</v>
      </c>
    </row>
    <row r="5" spans="1:8" ht="99.95" customHeight="1">
      <c r="A5" s="177">
        <v>10</v>
      </c>
      <c r="B5" s="178" t="s">
        <v>1532</v>
      </c>
      <c r="C5" s="177" t="s">
        <v>1527</v>
      </c>
      <c r="D5" s="187">
        <v>93</v>
      </c>
      <c r="E5" s="184"/>
      <c r="F5" s="184">
        <f>E5*D5</f>
        <v>0</v>
      </c>
      <c r="G5" s="179">
        <v>0</v>
      </c>
      <c r="H5" s="179">
        <f>D5*G5</f>
        <v>0</v>
      </c>
    </row>
  </sheetData>
  <mergeCells count="7">
    <mergeCell ref="G2:H2"/>
    <mergeCell ref="A1:H1"/>
    <mergeCell ref="A2:A4"/>
    <mergeCell ref="B2:B4"/>
    <mergeCell ref="C2:C4"/>
    <mergeCell ref="D2:D3"/>
    <mergeCell ref="E2:F2"/>
  </mergeCells>
  <pageMargins left="0.511811024" right="0.511811024" top="0.78740157499999996" bottom="0.78740157499999996" header="0.31496062000000002" footer="0.3149606200000000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2A43A-8899-4E38-AB03-C78FB9381FC8}">
  <sheetPr>
    <tabColor rgb="FFFF0000"/>
  </sheetPr>
  <dimension ref="A1:G26"/>
  <sheetViews>
    <sheetView showGridLines="0" zoomScale="110" zoomScaleNormal="110" zoomScaleSheetLayoutView="130" workbookViewId="0">
      <selection activeCell="A3" sqref="A3:G3"/>
    </sheetView>
  </sheetViews>
  <sheetFormatPr defaultColWidth="9.140625" defaultRowHeight="15" customHeight="1"/>
  <cols>
    <col min="1" max="1" width="5.85546875" style="196" customWidth="1"/>
    <col min="2" max="2" width="28.7109375" style="196" customWidth="1"/>
    <col min="3" max="3" width="19.140625" style="196" customWidth="1"/>
    <col min="4" max="4" width="13.7109375" style="196" customWidth="1"/>
    <col min="5" max="5" width="15.7109375" style="196" customWidth="1"/>
    <col min="6" max="6" width="11.140625" style="196" customWidth="1"/>
    <col min="7" max="7" width="21" style="196" bestFit="1" customWidth="1"/>
    <col min="8" max="11" width="9.140625" style="196"/>
    <col min="12" max="12" width="17.28515625" style="196" bestFit="1" customWidth="1"/>
    <col min="13" max="16384" width="9.140625" style="196"/>
  </cols>
  <sheetData>
    <row r="1" spans="1:7" ht="15" customHeight="1">
      <c r="A1" s="923"/>
      <c r="B1" s="923"/>
      <c r="C1" s="923"/>
      <c r="D1" s="923"/>
      <c r="E1" s="923"/>
      <c r="F1" s="923"/>
      <c r="G1" s="923"/>
    </row>
    <row r="2" spans="1:7" ht="15" customHeight="1">
      <c r="A2" s="924" t="str">
        <f>[1]Proposta.DF!A7</f>
        <v>MINISTÉRIO DAS CIDADES</v>
      </c>
      <c r="B2" s="924"/>
      <c r="C2" s="924"/>
      <c r="D2" s="924"/>
      <c r="E2" s="924"/>
      <c r="F2" s="924"/>
      <c r="G2" s="924"/>
    </row>
    <row r="3" spans="1:7" ht="15" customHeight="1">
      <c r="A3" s="924"/>
      <c r="B3" s="924"/>
      <c r="C3" s="924"/>
      <c r="D3" s="924"/>
      <c r="E3" s="924"/>
      <c r="F3" s="924"/>
      <c r="G3" s="924"/>
    </row>
    <row r="4" spans="1:7" ht="15" customHeight="1">
      <c r="A4" s="923"/>
      <c r="B4" s="923"/>
      <c r="C4" s="923"/>
      <c r="D4" s="923"/>
      <c r="E4" s="923"/>
      <c r="F4" s="923"/>
      <c r="G4" s="923"/>
    </row>
    <row r="5" spans="1:7" ht="15" customHeight="1">
      <c r="A5" s="925" t="s">
        <v>1533</v>
      </c>
      <c r="B5" s="925"/>
      <c r="C5" s="925"/>
      <c r="D5" s="925"/>
      <c r="E5" s="925"/>
      <c r="F5" s="925"/>
      <c r="G5" s="925"/>
    </row>
    <row r="6" spans="1:7" ht="15" customHeight="1">
      <c r="A6" s="926"/>
      <c r="B6" s="926"/>
      <c r="C6" s="926"/>
      <c r="D6" s="926"/>
      <c r="E6" s="926"/>
      <c r="F6" s="926"/>
      <c r="G6" s="926"/>
    </row>
    <row r="7" spans="1:7" ht="45.6" customHeight="1">
      <c r="A7" s="197" t="s">
        <v>0</v>
      </c>
      <c r="B7" s="198" t="s">
        <v>1534</v>
      </c>
      <c r="C7" s="198" t="s">
        <v>1535</v>
      </c>
      <c r="D7" s="198" t="s">
        <v>1536</v>
      </c>
      <c r="E7" s="198" t="s">
        <v>1537</v>
      </c>
      <c r="F7" s="198" t="s">
        <v>1538</v>
      </c>
      <c r="G7" s="198" t="s">
        <v>1539</v>
      </c>
    </row>
    <row r="8" spans="1:7" ht="15" customHeight="1">
      <c r="A8" s="199" t="s">
        <v>1540</v>
      </c>
      <c r="B8" s="200" t="s">
        <v>1541</v>
      </c>
      <c r="C8" s="201"/>
      <c r="D8" s="202">
        <v>2</v>
      </c>
      <c r="E8" s="203">
        <f>C8*D8</f>
        <v>0</v>
      </c>
      <c r="F8" s="199">
        <v>3</v>
      </c>
      <c r="G8" s="204">
        <f>E8*F8</f>
        <v>0</v>
      </c>
    </row>
    <row r="9" spans="1:7" ht="15" customHeight="1">
      <c r="A9" s="199" t="s">
        <v>1542</v>
      </c>
      <c r="B9" s="200" t="s">
        <v>1543</v>
      </c>
      <c r="C9" s="201"/>
      <c r="D9" s="202">
        <v>2</v>
      </c>
      <c r="E9" s="203">
        <f>C9*D9</f>
        <v>0</v>
      </c>
      <c r="F9" s="199">
        <v>5</v>
      </c>
      <c r="G9" s="204">
        <f>E9*F9</f>
        <v>0</v>
      </c>
    </row>
    <row r="10" spans="1:7" ht="15" customHeight="1">
      <c r="A10" s="199" t="s">
        <v>1544</v>
      </c>
      <c r="B10" s="200" t="s">
        <v>1545</v>
      </c>
      <c r="C10" s="201"/>
      <c r="D10" s="202">
        <v>2</v>
      </c>
      <c r="E10" s="203">
        <f>C10*D10</f>
        <v>0</v>
      </c>
      <c r="F10" s="199">
        <v>1</v>
      </c>
      <c r="G10" s="204">
        <f>E10*F10</f>
        <v>0</v>
      </c>
    </row>
    <row r="11" spans="1:7" ht="15" customHeight="1">
      <c r="A11" s="927" t="s">
        <v>1546</v>
      </c>
      <c r="B11" s="928"/>
      <c r="C11" s="928"/>
      <c r="D11" s="928"/>
      <c r="E11" s="929"/>
      <c r="F11" s="199">
        <f>SUM(F8:F10)</f>
        <v>9</v>
      </c>
      <c r="G11" s="204" t="s">
        <v>1547</v>
      </c>
    </row>
    <row r="12" spans="1:7" ht="15" customHeight="1">
      <c r="A12" s="930" t="s">
        <v>1548</v>
      </c>
      <c r="B12" s="930"/>
      <c r="C12" s="930"/>
      <c r="D12" s="930"/>
      <c r="E12" s="930"/>
      <c r="F12" s="930"/>
      <c r="G12" s="205">
        <f>SUM(G8:G10)</f>
        <v>0</v>
      </c>
    </row>
    <row r="13" spans="1:7" ht="15" customHeight="1">
      <c r="A13" s="931"/>
      <c r="B13" s="931"/>
      <c r="C13" s="931"/>
      <c r="D13" s="931"/>
      <c r="E13" s="931"/>
      <c r="F13" s="931"/>
      <c r="G13" s="931"/>
    </row>
    <row r="14" spans="1:7" ht="15" customHeight="1">
      <c r="A14" s="930" t="s">
        <v>1549</v>
      </c>
      <c r="B14" s="930"/>
      <c r="C14" s="930"/>
      <c r="D14" s="930"/>
      <c r="E14" s="930"/>
      <c r="F14" s="930"/>
      <c r="G14" s="206">
        <f>G12*12</f>
        <v>0</v>
      </c>
    </row>
    <row r="15" spans="1:7" ht="15" customHeight="1">
      <c r="A15" s="931"/>
      <c r="B15" s="931"/>
      <c r="C15" s="931"/>
      <c r="D15" s="931"/>
      <c r="E15" s="931"/>
      <c r="F15" s="931"/>
      <c r="G15" s="931"/>
    </row>
    <row r="16" spans="1:7" ht="15" customHeight="1">
      <c r="A16" s="922"/>
      <c r="B16" s="922"/>
      <c r="C16" s="922"/>
      <c r="D16" s="922"/>
      <c r="E16" s="922"/>
      <c r="F16" s="922"/>
      <c r="G16" s="922"/>
    </row>
    <row r="17" spans="1:7" ht="15" customHeight="1">
      <c r="A17" s="921"/>
      <c r="B17" s="921"/>
      <c r="C17" s="921"/>
      <c r="D17" s="921"/>
      <c r="E17" s="921"/>
      <c r="F17" s="921"/>
      <c r="G17" s="921"/>
    </row>
    <row r="18" spans="1:7" ht="15" customHeight="1">
      <c r="A18" s="921"/>
      <c r="B18" s="921"/>
      <c r="C18" s="921"/>
      <c r="D18" s="921"/>
      <c r="E18" s="921"/>
      <c r="F18" s="921"/>
      <c r="G18" s="921"/>
    </row>
    <row r="19" spans="1:7" ht="15" customHeight="1">
      <c r="A19" s="921"/>
      <c r="B19" s="921"/>
      <c r="C19" s="921"/>
      <c r="D19" s="921"/>
      <c r="E19" s="921"/>
      <c r="F19" s="921"/>
      <c r="G19" s="921"/>
    </row>
    <row r="20" spans="1:7" ht="15" customHeight="1">
      <c r="A20" s="921"/>
      <c r="B20" s="921"/>
      <c r="C20" s="921"/>
      <c r="D20" s="921"/>
      <c r="E20" s="921"/>
      <c r="F20" s="921"/>
      <c r="G20" s="921"/>
    </row>
    <row r="21" spans="1:7" ht="15" customHeight="1">
      <c r="A21" s="921"/>
      <c r="B21" s="921"/>
      <c r="C21" s="921"/>
      <c r="D21" s="921"/>
      <c r="E21" s="921"/>
      <c r="F21" s="921"/>
      <c r="G21" s="921"/>
    </row>
    <row r="22" spans="1:7" ht="15" customHeight="1">
      <c r="A22" s="921"/>
      <c r="B22" s="921"/>
      <c r="C22" s="921"/>
      <c r="D22" s="921"/>
      <c r="E22" s="921"/>
      <c r="F22" s="921"/>
      <c r="G22" s="921"/>
    </row>
    <row r="23" spans="1:7" ht="15" customHeight="1">
      <c r="A23" s="921"/>
      <c r="B23" s="921"/>
      <c r="C23" s="921"/>
      <c r="D23" s="921"/>
      <c r="E23" s="921"/>
      <c r="F23" s="921"/>
      <c r="G23" s="921"/>
    </row>
    <row r="24" spans="1:7" ht="15" customHeight="1">
      <c r="A24" s="921"/>
      <c r="B24" s="921"/>
      <c r="C24" s="921"/>
      <c r="D24" s="921"/>
      <c r="E24" s="921"/>
      <c r="F24" s="921"/>
      <c r="G24" s="921"/>
    </row>
    <row r="25" spans="1:7" ht="15" customHeight="1">
      <c r="A25" s="921"/>
      <c r="B25" s="921"/>
      <c r="C25" s="921"/>
      <c r="D25" s="921"/>
      <c r="E25" s="921"/>
      <c r="F25" s="921"/>
      <c r="G25" s="921"/>
    </row>
    <row r="26" spans="1:7" ht="15" customHeight="1">
      <c r="A26" s="921"/>
      <c r="B26" s="921"/>
      <c r="C26" s="921"/>
      <c r="D26" s="921"/>
      <c r="E26" s="921"/>
      <c r="F26" s="921"/>
      <c r="G26" s="921"/>
    </row>
  </sheetData>
  <mergeCells count="22">
    <mergeCell ref="A16:G16"/>
    <mergeCell ref="A1:G1"/>
    <mergeCell ref="A2:G2"/>
    <mergeCell ref="A3:G3"/>
    <mergeCell ref="A4:G4"/>
    <mergeCell ref="A5:G5"/>
    <mergeCell ref="A6:G6"/>
    <mergeCell ref="A11:E11"/>
    <mergeCell ref="A12:F12"/>
    <mergeCell ref="A13:G13"/>
    <mergeCell ref="A14:F14"/>
    <mergeCell ref="A15:G15"/>
    <mergeCell ref="A23:G23"/>
    <mergeCell ref="A24:G24"/>
    <mergeCell ref="A25:G25"/>
    <mergeCell ref="A26:G26"/>
    <mergeCell ref="A17:G17"/>
    <mergeCell ref="A18:G18"/>
    <mergeCell ref="A19:G19"/>
    <mergeCell ref="A20:G20"/>
    <mergeCell ref="A21:G21"/>
    <mergeCell ref="A22:G22"/>
  </mergeCells>
  <printOptions horizontalCentered="1"/>
  <pageMargins left="0.19685039370078741" right="0.19685039370078741" top="1.5748031496062993" bottom="0.19685039370078741"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ECB36-5C98-491B-8DB7-D20D2699BD45}">
  <sheetPr>
    <tabColor rgb="FFFF0000"/>
  </sheetPr>
  <dimension ref="A1:G148"/>
  <sheetViews>
    <sheetView showGridLines="0" view="pageBreakPreview" zoomScaleNormal="100" zoomScaleSheetLayoutView="100" workbookViewId="0">
      <selection activeCell="A2" sqref="A2:F2"/>
    </sheetView>
  </sheetViews>
  <sheetFormatPr defaultColWidth="9.140625" defaultRowHeight="15" customHeight="1"/>
  <cols>
    <col min="1" max="1" width="5.5703125" style="207" customWidth="1"/>
    <col min="2" max="2" width="23.140625" style="207" customWidth="1"/>
    <col min="3" max="3" width="13.85546875" style="207" customWidth="1"/>
    <col min="4" max="4" width="23.140625" style="207" customWidth="1"/>
    <col min="5" max="5" width="17.42578125" style="207" customWidth="1"/>
    <col min="6" max="6" width="23.85546875" style="207" customWidth="1"/>
    <col min="7" max="7" width="10.5703125" style="207" customWidth="1"/>
    <col min="8" max="9" width="6.42578125" style="207" customWidth="1"/>
    <col min="10" max="16" width="9.140625" style="207"/>
    <col min="17" max="17" width="11.85546875" style="207" bestFit="1" customWidth="1"/>
    <col min="18" max="16384" width="9.140625" style="207"/>
  </cols>
  <sheetData>
    <row r="1" spans="1:6" ht="15" customHeight="1">
      <c r="A1" s="978" t="s">
        <v>1550</v>
      </c>
      <c r="B1" s="978"/>
      <c r="C1" s="978"/>
      <c r="D1" s="978"/>
      <c r="E1" s="978"/>
      <c r="F1" s="978"/>
    </row>
    <row r="2" spans="1:6" ht="15" customHeight="1">
      <c r="A2" s="979"/>
      <c r="B2" s="979"/>
      <c r="C2" s="979"/>
      <c r="D2" s="979"/>
      <c r="E2" s="979"/>
      <c r="F2" s="979"/>
    </row>
    <row r="3" spans="1:6" ht="15" customHeight="1">
      <c r="A3" s="979"/>
      <c r="B3" s="979"/>
      <c r="C3" s="979"/>
      <c r="D3" s="979"/>
      <c r="E3" s="979"/>
      <c r="F3" s="979"/>
    </row>
    <row r="4" spans="1:6" ht="15" customHeight="1">
      <c r="A4" s="979"/>
      <c r="B4" s="979"/>
      <c r="C4" s="979"/>
      <c r="D4" s="979"/>
      <c r="E4" s="979"/>
      <c r="F4" s="979"/>
    </row>
    <row r="5" spans="1:6" ht="15" customHeight="1">
      <c r="A5" s="974" t="s">
        <v>1552</v>
      </c>
      <c r="B5" s="974"/>
      <c r="C5" s="974"/>
      <c r="D5" s="974"/>
      <c r="E5" s="974"/>
      <c r="F5" s="974"/>
    </row>
    <row r="6" spans="1:6" ht="15" customHeight="1">
      <c r="A6" s="960" t="s">
        <v>1553</v>
      </c>
      <c r="B6" s="960"/>
      <c r="C6" s="960"/>
      <c r="D6" s="960"/>
      <c r="E6" s="960"/>
      <c r="F6" s="960"/>
    </row>
    <row r="7" spans="1:6" ht="15" customHeight="1">
      <c r="A7" s="208" t="s">
        <v>1554</v>
      </c>
      <c r="B7" s="972" t="s">
        <v>1555</v>
      </c>
      <c r="C7" s="972"/>
      <c r="D7" s="972"/>
      <c r="E7" s="973">
        <v>45244</v>
      </c>
      <c r="F7" s="973"/>
    </row>
    <row r="8" spans="1:6" ht="15" customHeight="1">
      <c r="A8" s="208" t="s">
        <v>1556</v>
      </c>
      <c r="B8" s="972" t="s">
        <v>1557</v>
      </c>
      <c r="C8" s="972"/>
      <c r="D8" s="972"/>
      <c r="E8" s="974" t="s">
        <v>1558</v>
      </c>
      <c r="F8" s="974"/>
    </row>
    <row r="9" spans="1:6" ht="15" customHeight="1">
      <c r="A9" s="208" t="s">
        <v>1559</v>
      </c>
      <c r="B9" s="975" t="s">
        <v>1560</v>
      </c>
      <c r="C9" s="975"/>
      <c r="D9" s="975"/>
      <c r="E9" s="976" t="s">
        <v>1561</v>
      </c>
      <c r="F9" s="977"/>
    </row>
    <row r="10" spans="1:6" ht="15" customHeight="1">
      <c r="A10" s="208" t="s">
        <v>1562</v>
      </c>
      <c r="B10" s="972" t="s">
        <v>1563</v>
      </c>
      <c r="C10" s="972"/>
      <c r="D10" s="972"/>
      <c r="E10" s="974" t="s">
        <v>1564</v>
      </c>
      <c r="F10" s="974"/>
    </row>
    <row r="11" spans="1:6" ht="15" customHeight="1">
      <c r="A11" s="964"/>
      <c r="B11" s="965"/>
      <c r="C11" s="965"/>
      <c r="D11" s="965"/>
      <c r="E11" s="965"/>
      <c r="F11" s="966"/>
    </row>
    <row r="12" spans="1:6" ht="15" customHeight="1">
      <c r="A12" s="960" t="s">
        <v>1565</v>
      </c>
      <c r="B12" s="960"/>
      <c r="C12" s="960"/>
      <c r="D12" s="960"/>
      <c r="E12" s="960"/>
      <c r="F12" s="960"/>
    </row>
    <row r="13" spans="1:6" ht="15" customHeight="1">
      <c r="A13" s="209">
        <v>1</v>
      </c>
      <c r="B13" s="967" t="s">
        <v>1566</v>
      </c>
      <c r="C13" s="967"/>
      <c r="D13" s="967"/>
      <c r="E13" s="971" t="s">
        <v>1567</v>
      </c>
      <c r="F13" s="971"/>
    </row>
    <row r="14" spans="1:6" ht="15" customHeight="1">
      <c r="A14" s="209">
        <v>2</v>
      </c>
      <c r="B14" s="967" t="s">
        <v>1568</v>
      </c>
      <c r="C14" s="967"/>
      <c r="D14" s="967"/>
      <c r="E14" s="968" t="s">
        <v>1569</v>
      </c>
      <c r="F14" s="968"/>
    </row>
    <row r="15" spans="1:6" ht="15" customHeight="1">
      <c r="A15" s="209">
        <v>3</v>
      </c>
      <c r="B15" s="962" t="s">
        <v>1570</v>
      </c>
      <c r="C15" s="962"/>
      <c r="D15" s="962"/>
      <c r="E15" s="969">
        <v>3669.27</v>
      </c>
      <c r="F15" s="969"/>
    </row>
    <row r="16" spans="1:6" ht="16.149999999999999" customHeight="1">
      <c r="A16" s="209">
        <v>4</v>
      </c>
      <c r="B16" s="967" t="s">
        <v>1571</v>
      </c>
      <c r="C16" s="967"/>
      <c r="D16" s="967"/>
      <c r="E16" s="970" t="s">
        <v>1572</v>
      </c>
      <c r="F16" s="970"/>
    </row>
    <row r="17" spans="1:6" ht="15" customHeight="1">
      <c r="A17" s="209">
        <v>5</v>
      </c>
      <c r="B17" s="962" t="s">
        <v>1573</v>
      </c>
      <c r="C17" s="962"/>
      <c r="D17" s="962"/>
      <c r="E17" s="963">
        <v>45292</v>
      </c>
      <c r="F17" s="963"/>
    </row>
    <row r="18" spans="1:6" ht="15" customHeight="1">
      <c r="A18" s="964"/>
      <c r="B18" s="965"/>
      <c r="C18" s="965"/>
      <c r="D18" s="965"/>
      <c r="E18" s="965"/>
      <c r="F18" s="966"/>
    </row>
    <row r="19" spans="1:6" ht="15" customHeight="1">
      <c r="A19" s="960" t="s">
        <v>1574</v>
      </c>
      <c r="B19" s="960"/>
      <c r="C19" s="960"/>
      <c r="D19" s="960"/>
      <c r="E19" s="960"/>
      <c r="F19" s="960"/>
    </row>
    <row r="20" spans="1:6" ht="15" customHeight="1">
      <c r="A20" s="211">
        <v>1</v>
      </c>
      <c r="B20" s="956" t="s">
        <v>1575</v>
      </c>
      <c r="C20" s="957"/>
      <c r="D20" s="957"/>
      <c r="E20" s="958"/>
      <c r="F20" s="211" t="s">
        <v>1576</v>
      </c>
    </row>
    <row r="21" spans="1:6" ht="15" customHeight="1">
      <c r="A21" s="212" t="s">
        <v>1554</v>
      </c>
      <c r="B21" s="953" t="s">
        <v>1577</v>
      </c>
      <c r="C21" s="954"/>
      <c r="D21" s="955"/>
      <c r="E21" s="213">
        <v>1</v>
      </c>
      <c r="F21" s="214"/>
    </row>
    <row r="22" spans="1:6" ht="15" customHeight="1">
      <c r="A22" s="212" t="s">
        <v>1556</v>
      </c>
      <c r="B22" s="953" t="s">
        <v>1578</v>
      </c>
      <c r="C22" s="954"/>
      <c r="D22" s="955"/>
      <c r="E22" s="213">
        <v>0.3</v>
      </c>
      <c r="F22" s="214">
        <f>F21*E22</f>
        <v>0</v>
      </c>
    </row>
    <row r="23" spans="1:6" ht="15" customHeight="1">
      <c r="A23" s="212" t="s">
        <v>1559</v>
      </c>
      <c r="B23" s="953" t="s">
        <v>1579</v>
      </c>
      <c r="C23" s="954"/>
      <c r="D23" s="955"/>
      <c r="E23" s="213">
        <v>0</v>
      </c>
      <c r="F23" s="215">
        <v>0</v>
      </c>
    </row>
    <row r="24" spans="1:6" ht="15" customHeight="1">
      <c r="A24" s="212" t="s">
        <v>1562</v>
      </c>
      <c r="B24" s="953" t="s">
        <v>1580</v>
      </c>
      <c r="C24" s="954"/>
      <c r="D24" s="955"/>
      <c r="E24" s="213">
        <v>0.2</v>
      </c>
      <c r="F24" s="214">
        <f>SUM(F21,F22)/220*E24*8*13</f>
        <v>0</v>
      </c>
    </row>
    <row r="25" spans="1:6" ht="15" customHeight="1">
      <c r="A25" s="212" t="s">
        <v>1581</v>
      </c>
      <c r="B25" s="953" t="s">
        <v>1582</v>
      </c>
      <c r="C25" s="954"/>
      <c r="D25" s="955"/>
      <c r="E25" s="213">
        <v>0</v>
      </c>
      <c r="F25" s="215">
        <v>0</v>
      </c>
    </row>
    <row r="26" spans="1:6" ht="15" customHeight="1">
      <c r="A26" s="212" t="s">
        <v>1583</v>
      </c>
      <c r="B26" s="953" t="s">
        <v>1584</v>
      </c>
      <c r="C26" s="954"/>
      <c r="D26" s="955"/>
      <c r="E26" s="213">
        <v>0</v>
      </c>
      <c r="F26" s="215">
        <v>0</v>
      </c>
    </row>
    <row r="27" spans="1:6" ht="15" customHeight="1">
      <c r="A27" s="942" t="s">
        <v>15</v>
      </c>
      <c r="B27" s="942"/>
      <c r="C27" s="942"/>
      <c r="D27" s="942"/>
      <c r="E27" s="216"/>
      <c r="F27" s="217">
        <f>SUM(F21:F26)</f>
        <v>0</v>
      </c>
    </row>
    <row r="28" spans="1:6" ht="15" customHeight="1">
      <c r="A28" s="959"/>
      <c r="B28" s="959"/>
      <c r="C28" s="959"/>
      <c r="D28" s="959"/>
      <c r="E28" s="959"/>
      <c r="F28" s="959"/>
    </row>
    <row r="29" spans="1:6" ht="15" customHeight="1">
      <c r="A29" s="960" t="s">
        <v>1585</v>
      </c>
      <c r="B29" s="960"/>
      <c r="C29" s="960"/>
      <c r="D29" s="960"/>
      <c r="E29" s="960"/>
      <c r="F29" s="960"/>
    </row>
    <row r="30" spans="1:6" ht="15" customHeight="1">
      <c r="A30" s="961" t="s">
        <v>1586</v>
      </c>
      <c r="B30" s="961"/>
      <c r="C30" s="961"/>
      <c r="D30" s="961"/>
      <c r="E30" s="961"/>
      <c r="F30" s="961"/>
    </row>
    <row r="31" spans="1:6" ht="15" customHeight="1">
      <c r="A31" s="211" t="s">
        <v>710</v>
      </c>
      <c r="B31" s="949" t="s">
        <v>1587</v>
      </c>
      <c r="C31" s="949"/>
      <c r="D31" s="949"/>
      <c r="E31" s="211" t="s">
        <v>1588</v>
      </c>
      <c r="F31" s="211" t="s">
        <v>1576</v>
      </c>
    </row>
    <row r="32" spans="1:6" ht="15" customHeight="1">
      <c r="A32" s="212" t="s">
        <v>1554</v>
      </c>
      <c r="B32" s="941" t="s">
        <v>1589</v>
      </c>
      <c r="C32" s="941"/>
      <c r="D32" s="941"/>
      <c r="E32" s="218">
        <v>8.3299999999999999E-2</v>
      </c>
      <c r="F32" s="219">
        <f>F27*E32</f>
        <v>0</v>
      </c>
    </row>
    <row r="33" spans="1:6" ht="15" customHeight="1">
      <c r="A33" s="212" t="s">
        <v>1556</v>
      </c>
      <c r="B33" s="941" t="s">
        <v>1590</v>
      </c>
      <c r="C33" s="941"/>
      <c r="D33" s="941"/>
      <c r="E33" s="218">
        <v>0.121</v>
      </c>
      <c r="F33" s="219">
        <f>F27*E33</f>
        <v>0</v>
      </c>
    </row>
    <row r="34" spans="1:6" ht="15" customHeight="1">
      <c r="A34" s="942" t="s">
        <v>1591</v>
      </c>
      <c r="B34" s="942"/>
      <c r="C34" s="942"/>
      <c r="D34" s="942"/>
      <c r="E34" s="220">
        <f>E32+E33</f>
        <v>0.20429999999999998</v>
      </c>
      <c r="F34" s="221">
        <f>SUM(F32:F33)</f>
        <v>0</v>
      </c>
    </row>
    <row r="35" spans="1:6" ht="15" customHeight="1">
      <c r="A35" s="212" t="s">
        <v>1559</v>
      </c>
      <c r="B35" s="941" t="s">
        <v>1592</v>
      </c>
      <c r="C35" s="941"/>
      <c r="D35" s="941"/>
      <c r="E35" s="218">
        <f>E34*E48</f>
        <v>3.4179389999999997E-2</v>
      </c>
      <c r="F35" s="219">
        <f>F34*E48</f>
        <v>0</v>
      </c>
    </row>
    <row r="36" spans="1:6" ht="15" customHeight="1">
      <c r="A36" s="942" t="s">
        <v>15</v>
      </c>
      <c r="B36" s="942"/>
      <c r="C36" s="942"/>
      <c r="D36" s="942"/>
      <c r="E36" s="220">
        <f>E34+E35</f>
        <v>0.23847938999999999</v>
      </c>
      <c r="F36" s="221">
        <f>SUM(F34:F35)</f>
        <v>0</v>
      </c>
    </row>
    <row r="37" spans="1:6" ht="15" customHeight="1">
      <c r="A37" s="943"/>
      <c r="B37" s="944"/>
      <c r="C37" s="944"/>
      <c r="D37" s="944"/>
      <c r="E37" s="944"/>
      <c r="F37" s="945"/>
    </row>
    <row r="38" spans="1:6" ht="18.600000000000001" customHeight="1">
      <c r="A38" s="946" t="s">
        <v>1593</v>
      </c>
      <c r="B38" s="946"/>
      <c r="C38" s="946"/>
      <c r="D38" s="946"/>
      <c r="E38" s="946"/>
      <c r="F38" s="946"/>
    </row>
    <row r="39" spans="1:6" ht="15" customHeight="1">
      <c r="A39" s="211" t="s">
        <v>782</v>
      </c>
      <c r="B39" s="942" t="s">
        <v>1594</v>
      </c>
      <c r="C39" s="942"/>
      <c r="D39" s="942"/>
      <c r="E39" s="211" t="s">
        <v>1588</v>
      </c>
      <c r="F39" s="211" t="s">
        <v>1576</v>
      </c>
    </row>
    <row r="40" spans="1:6" ht="15" customHeight="1">
      <c r="A40" s="212" t="s">
        <v>1554</v>
      </c>
      <c r="B40" s="953" t="s">
        <v>1595</v>
      </c>
      <c r="C40" s="954"/>
      <c r="D40" s="955"/>
      <c r="E40" s="222">
        <v>0</v>
      </c>
      <c r="F40" s="223">
        <f t="shared" ref="F40:F47" si="0">$F$27*E40</f>
        <v>0</v>
      </c>
    </row>
    <row r="41" spans="1:6" ht="15" customHeight="1">
      <c r="A41" s="212" t="s">
        <v>1556</v>
      </c>
      <c r="B41" s="953" t="s">
        <v>1596</v>
      </c>
      <c r="C41" s="954"/>
      <c r="D41" s="955"/>
      <c r="E41" s="218">
        <v>2.5000000000000001E-2</v>
      </c>
      <c r="F41" s="219">
        <f t="shared" si="0"/>
        <v>0</v>
      </c>
    </row>
    <row r="42" spans="1:6" ht="15" customHeight="1">
      <c r="A42" s="212" t="s">
        <v>1559</v>
      </c>
      <c r="B42" s="953" t="s">
        <v>1597</v>
      </c>
      <c r="C42" s="954"/>
      <c r="D42" s="955"/>
      <c r="E42" s="224">
        <v>2.93E-2</v>
      </c>
      <c r="F42" s="225">
        <f t="shared" si="0"/>
        <v>0</v>
      </c>
    </row>
    <row r="43" spans="1:6" ht="15" customHeight="1">
      <c r="A43" s="212" t="s">
        <v>1562</v>
      </c>
      <c r="B43" s="953" t="s">
        <v>1598</v>
      </c>
      <c r="C43" s="954"/>
      <c r="D43" s="955"/>
      <c r="E43" s="218">
        <v>1.4999999999999999E-2</v>
      </c>
      <c r="F43" s="219">
        <f t="shared" si="0"/>
        <v>0</v>
      </c>
    </row>
    <row r="44" spans="1:6" ht="15" customHeight="1">
      <c r="A44" s="212" t="s">
        <v>1581</v>
      </c>
      <c r="B44" s="953" t="s">
        <v>1599</v>
      </c>
      <c r="C44" s="954"/>
      <c r="D44" s="955"/>
      <c r="E44" s="218">
        <v>0.01</v>
      </c>
      <c r="F44" s="219">
        <f t="shared" si="0"/>
        <v>0</v>
      </c>
    </row>
    <row r="45" spans="1:6" ht="15" customHeight="1">
      <c r="A45" s="212" t="s">
        <v>1583</v>
      </c>
      <c r="B45" s="953" t="s">
        <v>1600</v>
      </c>
      <c r="C45" s="954"/>
      <c r="D45" s="955"/>
      <c r="E45" s="218">
        <v>6.0000000000000001E-3</v>
      </c>
      <c r="F45" s="219">
        <f t="shared" si="0"/>
        <v>0</v>
      </c>
    </row>
    <row r="46" spans="1:6" ht="15" customHeight="1">
      <c r="A46" s="212" t="s">
        <v>1601</v>
      </c>
      <c r="B46" s="953" t="s">
        <v>1602</v>
      </c>
      <c r="C46" s="954"/>
      <c r="D46" s="955"/>
      <c r="E46" s="218">
        <v>2E-3</v>
      </c>
      <c r="F46" s="219">
        <f t="shared" si="0"/>
        <v>0</v>
      </c>
    </row>
    <row r="47" spans="1:6" ht="15" customHeight="1">
      <c r="A47" s="212" t="s">
        <v>1603</v>
      </c>
      <c r="B47" s="953" t="s">
        <v>1604</v>
      </c>
      <c r="C47" s="954"/>
      <c r="D47" s="955"/>
      <c r="E47" s="218">
        <v>0.08</v>
      </c>
      <c r="F47" s="219">
        <f t="shared" si="0"/>
        <v>0</v>
      </c>
    </row>
    <row r="48" spans="1:6" ht="15" customHeight="1">
      <c r="A48" s="956" t="s">
        <v>1605</v>
      </c>
      <c r="B48" s="957"/>
      <c r="C48" s="957"/>
      <c r="D48" s="958"/>
      <c r="E48" s="220">
        <f>SUM(E40:E47)</f>
        <v>0.1673</v>
      </c>
      <c r="F48" s="221">
        <f>SUM(F40:F47)</f>
        <v>0</v>
      </c>
    </row>
    <row r="49" spans="1:7" ht="15" customHeight="1">
      <c r="A49" s="943"/>
      <c r="B49" s="944"/>
      <c r="C49" s="944"/>
      <c r="D49" s="944"/>
      <c r="E49" s="944"/>
      <c r="F49" s="945"/>
    </row>
    <row r="50" spans="1:7" ht="15" customHeight="1">
      <c r="A50" s="946" t="s">
        <v>1606</v>
      </c>
      <c r="B50" s="946"/>
      <c r="C50" s="946"/>
      <c r="D50" s="946"/>
      <c r="E50" s="946"/>
      <c r="F50" s="946"/>
    </row>
    <row r="51" spans="1:7" ht="15" customHeight="1">
      <c r="A51" s="211" t="s">
        <v>789</v>
      </c>
      <c r="B51" s="942" t="s">
        <v>1607</v>
      </c>
      <c r="C51" s="942"/>
      <c r="D51" s="942"/>
      <c r="E51" s="942"/>
      <c r="F51" s="211" t="s">
        <v>1576</v>
      </c>
    </row>
    <row r="52" spans="1:7" ht="15" customHeight="1">
      <c r="A52" s="212" t="s">
        <v>1554</v>
      </c>
      <c r="B52" s="951" t="s">
        <v>1608</v>
      </c>
      <c r="C52" s="951"/>
      <c r="D52" s="951"/>
      <c r="E52" s="951"/>
      <c r="F52" s="226">
        <v>0</v>
      </c>
      <c r="G52" s="227">
        <f>-F21*6%</f>
        <v>0</v>
      </c>
    </row>
    <row r="53" spans="1:7" ht="15" customHeight="1">
      <c r="A53" s="212" t="s">
        <v>1556</v>
      </c>
      <c r="B53" s="952" t="s">
        <v>1609</v>
      </c>
      <c r="C53" s="952"/>
      <c r="D53" s="952"/>
      <c r="E53" s="952"/>
      <c r="F53" s="228"/>
    </row>
    <row r="54" spans="1:7" ht="15" customHeight="1">
      <c r="A54" s="212" t="s">
        <v>1610</v>
      </c>
      <c r="B54" s="941" t="s">
        <v>1611</v>
      </c>
      <c r="C54" s="941"/>
      <c r="D54" s="941"/>
      <c r="E54" s="941"/>
      <c r="F54" s="229"/>
    </row>
    <row r="55" spans="1:7" ht="15" customHeight="1">
      <c r="A55" s="212" t="s">
        <v>1612</v>
      </c>
      <c r="B55" s="949" t="s">
        <v>1613</v>
      </c>
      <c r="C55" s="949"/>
      <c r="D55" s="949"/>
      <c r="E55" s="949"/>
      <c r="F55" s="221"/>
      <c r="G55" s="230"/>
    </row>
    <row r="56" spans="1:7" ht="15" customHeight="1">
      <c r="A56" s="212" t="s">
        <v>1559</v>
      </c>
      <c r="B56" s="952" t="s">
        <v>1614</v>
      </c>
      <c r="C56" s="952"/>
      <c r="D56" s="952"/>
      <c r="E56" s="952"/>
      <c r="F56" s="228"/>
    </row>
    <row r="57" spans="1:7" ht="15" customHeight="1">
      <c r="A57" s="212" t="s">
        <v>1562</v>
      </c>
      <c r="B57" s="952" t="s">
        <v>1615</v>
      </c>
      <c r="C57" s="952"/>
      <c r="D57" s="952"/>
      <c r="E57" s="952"/>
      <c r="F57" s="228"/>
      <c r="G57" s="231"/>
    </row>
    <row r="58" spans="1:7" ht="15" customHeight="1">
      <c r="A58" s="942" t="s">
        <v>15</v>
      </c>
      <c r="B58" s="942"/>
      <c r="C58" s="942"/>
      <c r="D58" s="942"/>
      <c r="E58" s="942"/>
      <c r="F58" s="221">
        <f>F55+F56+F57+F52</f>
        <v>0</v>
      </c>
      <c r="G58" s="230"/>
    </row>
    <row r="59" spans="1:7" ht="15" customHeight="1">
      <c r="A59" s="946" t="s">
        <v>1616</v>
      </c>
      <c r="B59" s="946"/>
      <c r="C59" s="946"/>
      <c r="D59" s="946"/>
      <c r="E59" s="946"/>
      <c r="F59" s="946"/>
    </row>
    <row r="60" spans="1:7" ht="15" customHeight="1">
      <c r="A60" s="211">
        <v>2</v>
      </c>
      <c r="B60" s="949" t="s">
        <v>1617</v>
      </c>
      <c r="C60" s="949"/>
      <c r="D60" s="949"/>
      <c r="E60" s="949"/>
      <c r="F60" s="211" t="s">
        <v>1576</v>
      </c>
    </row>
    <row r="61" spans="1:7" ht="15" customHeight="1">
      <c r="A61" s="212" t="s">
        <v>710</v>
      </c>
      <c r="B61" s="941" t="s">
        <v>1587</v>
      </c>
      <c r="C61" s="941"/>
      <c r="D61" s="941"/>
      <c r="E61" s="941"/>
      <c r="F61" s="219">
        <f>F36</f>
        <v>0</v>
      </c>
    </row>
    <row r="62" spans="1:7" ht="15" customHeight="1">
      <c r="A62" s="212" t="s">
        <v>782</v>
      </c>
      <c r="B62" s="941" t="s">
        <v>1594</v>
      </c>
      <c r="C62" s="941"/>
      <c r="D62" s="941"/>
      <c r="E62" s="941"/>
      <c r="F62" s="219">
        <f>F48</f>
        <v>0</v>
      </c>
    </row>
    <row r="63" spans="1:7" ht="15" customHeight="1">
      <c r="A63" s="212" t="s">
        <v>789</v>
      </c>
      <c r="B63" s="941" t="s">
        <v>1607</v>
      </c>
      <c r="C63" s="941"/>
      <c r="D63" s="941"/>
      <c r="E63" s="941"/>
      <c r="F63" s="219">
        <f>F58</f>
        <v>0</v>
      </c>
    </row>
    <row r="64" spans="1:7" ht="15" customHeight="1">
      <c r="A64" s="942" t="s">
        <v>15</v>
      </c>
      <c r="B64" s="942"/>
      <c r="C64" s="942"/>
      <c r="D64" s="942"/>
      <c r="E64" s="942"/>
      <c r="F64" s="221">
        <f>SUM(F61:F63)</f>
        <v>0</v>
      </c>
    </row>
    <row r="65" spans="1:6" ht="15" customHeight="1">
      <c r="A65" s="943"/>
      <c r="B65" s="944"/>
      <c r="C65" s="944"/>
      <c r="D65" s="944"/>
      <c r="E65" s="944"/>
      <c r="F65" s="945"/>
    </row>
    <row r="66" spans="1:6" ht="15" customHeight="1">
      <c r="A66" s="946" t="s">
        <v>1618</v>
      </c>
      <c r="B66" s="946"/>
      <c r="C66" s="946"/>
      <c r="D66" s="946"/>
      <c r="E66" s="946"/>
      <c r="F66" s="946"/>
    </row>
    <row r="67" spans="1:6" ht="15" customHeight="1">
      <c r="A67" s="211">
        <v>3</v>
      </c>
      <c r="B67" s="942" t="s">
        <v>1619</v>
      </c>
      <c r="C67" s="942"/>
      <c r="D67" s="942"/>
      <c r="E67" s="211" t="s">
        <v>1588</v>
      </c>
      <c r="F67" s="211" t="s">
        <v>1576</v>
      </c>
    </row>
    <row r="68" spans="1:6" ht="15" customHeight="1">
      <c r="A68" s="212" t="s">
        <v>1554</v>
      </c>
      <c r="B68" s="941" t="s">
        <v>1620</v>
      </c>
      <c r="C68" s="941"/>
      <c r="D68" s="941"/>
      <c r="E68" s="232">
        <v>4.1999999999999997E-3</v>
      </c>
      <c r="F68" s="219">
        <f>$F$27*E68</f>
        <v>0</v>
      </c>
    </row>
    <row r="69" spans="1:6" ht="15" customHeight="1">
      <c r="A69" s="212" t="s">
        <v>1556</v>
      </c>
      <c r="B69" s="941" t="s">
        <v>1621</v>
      </c>
      <c r="C69" s="941"/>
      <c r="D69" s="941"/>
      <c r="E69" s="232">
        <f>E47*E68</f>
        <v>3.3599999999999998E-4</v>
      </c>
      <c r="F69" s="219">
        <f>$F$27*(E68*8%)</f>
        <v>0</v>
      </c>
    </row>
    <row r="70" spans="1:6" ht="41.45" customHeight="1">
      <c r="A70" s="212" t="s">
        <v>1559</v>
      </c>
      <c r="B70" s="941" t="s">
        <v>1622</v>
      </c>
      <c r="C70" s="941"/>
      <c r="D70" s="941"/>
      <c r="E70" s="233">
        <f>(8%*40%)*90%*(1+8.33%+12.1%)</f>
        <v>3.4683840000000001E-2</v>
      </c>
      <c r="F70" s="219">
        <f>$F$27*E70</f>
        <v>0</v>
      </c>
    </row>
    <row r="71" spans="1:6" ht="15" customHeight="1">
      <c r="A71" s="212" t="s">
        <v>1562</v>
      </c>
      <c r="B71" s="941" t="s">
        <v>1623</v>
      </c>
      <c r="C71" s="941"/>
      <c r="D71" s="941"/>
      <c r="E71" s="234">
        <v>4.0000000000000002E-4</v>
      </c>
      <c r="F71" s="219">
        <f>$F$27*E71</f>
        <v>0</v>
      </c>
    </row>
    <row r="72" spans="1:6" ht="27.6" customHeight="1">
      <c r="A72" s="212" t="s">
        <v>1581</v>
      </c>
      <c r="B72" s="941" t="s">
        <v>1624</v>
      </c>
      <c r="C72" s="941"/>
      <c r="D72" s="941"/>
      <c r="E72" s="232">
        <f>E48*E71</f>
        <v>6.6920000000000003E-5</v>
      </c>
      <c r="F72" s="219">
        <f>E48*F71</f>
        <v>0</v>
      </c>
    </row>
    <row r="73" spans="1:6" ht="15" customHeight="1">
      <c r="A73" s="212" t="s">
        <v>1583</v>
      </c>
      <c r="B73" s="941" t="s">
        <v>1625</v>
      </c>
      <c r="C73" s="941"/>
      <c r="D73" s="941"/>
      <c r="E73" s="232">
        <v>5.3E-3</v>
      </c>
      <c r="F73" s="219">
        <f>$F$27*E73</f>
        <v>0</v>
      </c>
    </row>
    <row r="74" spans="1:6" ht="15" customHeight="1">
      <c r="A74" s="942" t="s">
        <v>15</v>
      </c>
      <c r="B74" s="942"/>
      <c r="C74" s="942"/>
      <c r="D74" s="942"/>
      <c r="E74" s="235">
        <f>SUM(E68:E73)</f>
        <v>4.4986759999999994E-2</v>
      </c>
      <c r="F74" s="221">
        <f>SUM(F68:F73)</f>
        <v>0</v>
      </c>
    </row>
    <row r="75" spans="1:6" ht="15" customHeight="1">
      <c r="A75" s="943"/>
      <c r="B75" s="944"/>
      <c r="C75" s="944"/>
      <c r="D75" s="944"/>
      <c r="E75" s="944"/>
      <c r="F75" s="945"/>
    </row>
    <row r="76" spans="1:6" ht="15" customHeight="1">
      <c r="A76" s="946" t="s">
        <v>1626</v>
      </c>
      <c r="B76" s="946"/>
      <c r="C76" s="946"/>
      <c r="D76" s="946"/>
      <c r="E76" s="946"/>
      <c r="F76" s="946"/>
    </row>
    <row r="77" spans="1:6" ht="15" customHeight="1">
      <c r="A77" s="946" t="s">
        <v>1627</v>
      </c>
      <c r="B77" s="946"/>
      <c r="C77" s="946"/>
      <c r="D77" s="946"/>
      <c r="E77" s="946"/>
      <c r="F77" s="946"/>
    </row>
    <row r="78" spans="1:6" ht="15" customHeight="1">
      <c r="A78" s="211" t="s">
        <v>1292</v>
      </c>
      <c r="B78" s="949" t="s">
        <v>1628</v>
      </c>
      <c r="C78" s="949"/>
      <c r="D78" s="949"/>
      <c r="E78" s="211" t="s">
        <v>1588</v>
      </c>
      <c r="F78" s="211" t="s">
        <v>1576</v>
      </c>
    </row>
    <row r="79" spans="1:6" ht="15" customHeight="1">
      <c r="A79" s="212" t="s">
        <v>1554</v>
      </c>
      <c r="B79" s="941" t="s">
        <v>1629</v>
      </c>
      <c r="C79" s="941"/>
      <c r="D79" s="941"/>
      <c r="E79" s="232">
        <v>9.2999999999999992E-3</v>
      </c>
      <c r="F79" s="219">
        <f>SUM(F$27*E79)</f>
        <v>0</v>
      </c>
    </row>
    <row r="80" spans="1:6" ht="15" customHeight="1">
      <c r="A80" s="212" t="s">
        <v>1556</v>
      </c>
      <c r="B80" s="941" t="s">
        <v>1630</v>
      </c>
      <c r="C80" s="941"/>
      <c r="D80" s="941"/>
      <c r="E80" s="234">
        <v>1E-3</v>
      </c>
      <c r="F80" s="219">
        <f>$F$27*E80</f>
        <v>0</v>
      </c>
    </row>
    <row r="81" spans="1:6" ht="15" customHeight="1">
      <c r="A81" s="212" t="s">
        <v>1559</v>
      </c>
      <c r="B81" s="941" t="s">
        <v>1631</v>
      </c>
      <c r="C81" s="941"/>
      <c r="D81" s="941"/>
      <c r="E81" s="232">
        <v>8.0000000000000004E-4</v>
      </c>
      <c r="F81" s="219">
        <f>$F$27*E81</f>
        <v>0</v>
      </c>
    </row>
    <row r="82" spans="1:6" ht="15" customHeight="1">
      <c r="A82" s="212" t="s">
        <v>1562</v>
      </c>
      <c r="B82" s="941" t="s">
        <v>1632</v>
      </c>
      <c r="C82" s="941"/>
      <c r="D82" s="941"/>
      <c r="E82" s="232">
        <v>2.9999999999999997E-4</v>
      </c>
      <c r="F82" s="219">
        <f>$F$27*E82</f>
        <v>0</v>
      </c>
    </row>
    <row r="83" spans="1:6" ht="15" customHeight="1">
      <c r="A83" s="212" t="s">
        <v>1581</v>
      </c>
      <c r="B83" s="941" t="s">
        <v>1633</v>
      </c>
      <c r="C83" s="941"/>
      <c r="D83" s="941"/>
      <c r="E83" s="232">
        <v>2.9999999999999997E-4</v>
      </c>
      <c r="F83" s="219">
        <f>$F$27*E83</f>
        <v>0</v>
      </c>
    </row>
    <row r="84" spans="1:6" ht="15" customHeight="1">
      <c r="A84" s="212" t="s">
        <v>1583</v>
      </c>
      <c r="B84" s="941" t="s">
        <v>1634</v>
      </c>
      <c r="C84" s="941"/>
      <c r="D84" s="941"/>
      <c r="E84" s="232">
        <v>1.3899999999999999E-2</v>
      </c>
      <c r="F84" s="219">
        <f>$F$27*E84</f>
        <v>0</v>
      </c>
    </row>
    <row r="85" spans="1:6" ht="15" customHeight="1">
      <c r="A85" s="942" t="s">
        <v>1605</v>
      </c>
      <c r="B85" s="942"/>
      <c r="C85" s="942"/>
      <c r="D85" s="942"/>
      <c r="E85" s="235">
        <f>SUM(E79:E84)</f>
        <v>2.5599999999999998E-2</v>
      </c>
      <c r="F85" s="221">
        <f>SUM(F79:F84)</f>
        <v>0</v>
      </c>
    </row>
    <row r="86" spans="1:6" ht="15" customHeight="1">
      <c r="A86" s="943"/>
      <c r="B86" s="944"/>
      <c r="C86" s="944"/>
      <c r="D86" s="944"/>
      <c r="E86" s="944"/>
      <c r="F86" s="945"/>
    </row>
    <row r="87" spans="1:6" ht="15" customHeight="1">
      <c r="A87" s="946" t="s">
        <v>1635</v>
      </c>
      <c r="B87" s="946"/>
      <c r="C87" s="946"/>
      <c r="D87" s="946"/>
      <c r="E87" s="946"/>
      <c r="F87" s="946"/>
    </row>
    <row r="88" spans="1:6" ht="15" customHeight="1">
      <c r="A88" s="211" t="s">
        <v>1293</v>
      </c>
      <c r="B88" s="949" t="s">
        <v>1636</v>
      </c>
      <c r="C88" s="949"/>
      <c r="D88" s="949"/>
      <c r="E88" s="949"/>
      <c r="F88" s="211" t="s">
        <v>1576</v>
      </c>
    </row>
    <row r="89" spans="1:6" ht="15" customHeight="1">
      <c r="A89" s="212" t="s">
        <v>1554</v>
      </c>
      <c r="B89" s="941" t="s">
        <v>1637</v>
      </c>
      <c r="C89" s="941"/>
      <c r="D89" s="941"/>
      <c r="E89" s="941"/>
      <c r="F89" s="219">
        <v>0</v>
      </c>
    </row>
    <row r="90" spans="1:6" ht="15" customHeight="1">
      <c r="A90" s="942" t="s">
        <v>15</v>
      </c>
      <c r="B90" s="942"/>
      <c r="C90" s="942"/>
      <c r="D90" s="942"/>
      <c r="E90" s="942"/>
      <c r="F90" s="219">
        <f>SUM(F89)</f>
        <v>0</v>
      </c>
    </row>
    <row r="91" spans="1:6" ht="15" customHeight="1">
      <c r="A91" s="943"/>
      <c r="B91" s="944"/>
      <c r="C91" s="944"/>
      <c r="D91" s="944"/>
      <c r="E91" s="944"/>
      <c r="F91" s="945"/>
    </row>
    <row r="92" spans="1:6" ht="15" customHeight="1">
      <c r="A92" s="946" t="s">
        <v>1638</v>
      </c>
      <c r="B92" s="946"/>
      <c r="C92" s="946"/>
      <c r="D92" s="946"/>
      <c r="E92" s="946"/>
      <c r="F92" s="946"/>
    </row>
    <row r="93" spans="1:6" ht="15" customHeight="1">
      <c r="A93" s="211">
        <v>4</v>
      </c>
      <c r="B93" s="949" t="s">
        <v>1639</v>
      </c>
      <c r="C93" s="949"/>
      <c r="D93" s="949"/>
      <c r="E93" s="949"/>
      <c r="F93" s="211" t="s">
        <v>1576</v>
      </c>
    </row>
    <row r="94" spans="1:6" ht="15" customHeight="1">
      <c r="A94" s="212" t="s">
        <v>1292</v>
      </c>
      <c r="B94" s="941" t="s">
        <v>1628</v>
      </c>
      <c r="C94" s="941"/>
      <c r="D94" s="941"/>
      <c r="E94" s="941"/>
      <c r="F94" s="219">
        <f>F85</f>
        <v>0</v>
      </c>
    </row>
    <row r="95" spans="1:6" ht="15" customHeight="1">
      <c r="A95" s="212" t="s">
        <v>1293</v>
      </c>
      <c r="B95" s="941" t="s">
        <v>1636</v>
      </c>
      <c r="C95" s="941"/>
      <c r="D95" s="941"/>
      <c r="E95" s="941"/>
      <c r="F95" s="219">
        <f>F90</f>
        <v>0</v>
      </c>
    </row>
    <row r="96" spans="1:6" ht="15" customHeight="1">
      <c r="A96" s="942" t="s">
        <v>15</v>
      </c>
      <c r="B96" s="942"/>
      <c r="C96" s="942"/>
      <c r="D96" s="942"/>
      <c r="E96" s="942"/>
      <c r="F96" s="219">
        <f>SUM(F94:F95)</f>
        <v>0</v>
      </c>
    </row>
    <row r="97" spans="1:6" ht="15" customHeight="1">
      <c r="A97" s="943"/>
      <c r="B97" s="944"/>
      <c r="C97" s="944"/>
      <c r="D97" s="944"/>
      <c r="E97" s="944"/>
      <c r="F97" s="945"/>
    </row>
    <row r="98" spans="1:6" ht="15" customHeight="1">
      <c r="A98" s="946" t="s">
        <v>1640</v>
      </c>
      <c r="B98" s="946"/>
      <c r="C98" s="946"/>
      <c r="D98" s="946"/>
      <c r="E98" s="946"/>
      <c r="F98" s="946"/>
    </row>
    <row r="99" spans="1:6" ht="15" customHeight="1">
      <c r="A99" s="211">
        <v>5</v>
      </c>
      <c r="B99" s="942" t="s">
        <v>1641</v>
      </c>
      <c r="C99" s="942"/>
      <c r="D99" s="942"/>
      <c r="E99" s="942"/>
      <c r="F99" s="211" t="s">
        <v>1576</v>
      </c>
    </row>
    <row r="100" spans="1:6" ht="15" customHeight="1">
      <c r="A100" s="212" t="s">
        <v>1554</v>
      </c>
      <c r="B100" s="941" t="s">
        <v>1642</v>
      </c>
      <c r="C100" s="941"/>
      <c r="D100" s="941"/>
      <c r="E100" s="941"/>
      <c r="F100" s="223"/>
    </row>
    <row r="101" spans="1:6" ht="15" customHeight="1">
      <c r="A101" s="212" t="s">
        <v>1556</v>
      </c>
      <c r="B101" s="941" t="s">
        <v>1643</v>
      </c>
      <c r="C101" s="941"/>
      <c r="D101" s="941"/>
      <c r="E101" s="941"/>
      <c r="F101" s="223"/>
    </row>
    <row r="102" spans="1:6" ht="15" customHeight="1">
      <c r="A102" s="212" t="s">
        <v>1559</v>
      </c>
      <c r="B102" s="941" t="s">
        <v>1644</v>
      </c>
      <c r="C102" s="941"/>
      <c r="D102" s="941"/>
      <c r="E102" s="941"/>
      <c r="F102" s="223"/>
    </row>
    <row r="103" spans="1:6" ht="15" customHeight="1">
      <c r="A103" s="212" t="s">
        <v>1562</v>
      </c>
      <c r="B103" s="941" t="s">
        <v>1584</v>
      </c>
      <c r="C103" s="941"/>
      <c r="D103" s="941"/>
      <c r="E103" s="941"/>
      <c r="F103" s="219">
        <v>0</v>
      </c>
    </row>
    <row r="104" spans="1:6" ht="15" customHeight="1">
      <c r="A104" s="942" t="s">
        <v>1605</v>
      </c>
      <c r="B104" s="942"/>
      <c r="C104" s="942"/>
      <c r="D104" s="942"/>
      <c r="E104" s="942"/>
      <c r="F104" s="221">
        <f>SUM(F100:F103)</f>
        <v>0</v>
      </c>
    </row>
    <row r="105" spans="1:6" ht="15" customHeight="1">
      <c r="A105" s="943"/>
      <c r="B105" s="944"/>
      <c r="C105" s="944"/>
      <c r="D105" s="944"/>
      <c r="E105" s="944"/>
      <c r="F105" s="945"/>
    </row>
    <row r="106" spans="1:6" ht="15" customHeight="1">
      <c r="A106" s="946" t="s">
        <v>1645</v>
      </c>
      <c r="B106" s="946"/>
      <c r="C106" s="946"/>
      <c r="D106" s="946"/>
      <c r="E106" s="946"/>
      <c r="F106" s="946"/>
    </row>
    <row r="107" spans="1:6" ht="15" customHeight="1">
      <c r="A107" s="211">
        <v>6</v>
      </c>
      <c r="B107" s="949" t="s">
        <v>1646</v>
      </c>
      <c r="C107" s="949"/>
      <c r="D107" s="949"/>
      <c r="E107" s="211" t="s">
        <v>1588</v>
      </c>
      <c r="F107" s="211" t="s">
        <v>1576</v>
      </c>
    </row>
    <row r="108" spans="1:6" ht="15" customHeight="1">
      <c r="A108" s="212" t="s">
        <v>1554</v>
      </c>
      <c r="B108" s="941" t="s">
        <v>1647</v>
      </c>
      <c r="C108" s="941"/>
      <c r="D108" s="941"/>
      <c r="E108" s="236">
        <v>2.28235E-2</v>
      </c>
      <c r="F108" s="219">
        <f>(F104+F96+F74+F64+F27)*E108</f>
        <v>0</v>
      </c>
    </row>
    <row r="109" spans="1:6" ht="15" customHeight="1">
      <c r="A109" s="212" t="s">
        <v>1556</v>
      </c>
      <c r="B109" s="941" t="s">
        <v>1648</v>
      </c>
      <c r="C109" s="941"/>
      <c r="D109" s="941"/>
      <c r="E109" s="236">
        <f>E108</f>
        <v>2.28235E-2</v>
      </c>
      <c r="F109" s="219">
        <f>(F104+F96+F74+F64+F27+F108)*E109</f>
        <v>0</v>
      </c>
    </row>
    <row r="110" spans="1:6" s="240" customFormat="1" ht="15" customHeight="1">
      <c r="A110" s="237" t="s">
        <v>1559</v>
      </c>
      <c r="B110" s="950" t="s">
        <v>1649</v>
      </c>
      <c r="C110" s="950"/>
      <c r="D110" s="950"/>
      <c r="E110" s="238">
        <f>SUM(E111:E113)</f>
        <v>0.13150000000000001</v>
      </c>
      <c r="F110" s="239"/>
    </row>
    <row r="111" spans="1:6" ht="15" customHeight="1">
      <c r="A111" s="212"/>
      <c r="B111" s="941" t="s">
        <v>1650</v>
      </c>
      <c r="C111" s="941"/>
      <c r="D111" s="941"/>
      <c r="E111" s="218">
        <f>0.65%+3%</f>
        <v>3.6499999999999998E-2</v>
      </c>
      <c r="F111" s="219">
        <f>((F104+F96+F74+F64+F27+F108+F109)/(1-E110)*E111)</f>
        <v>0</v>
      </c>
    </row>
    <row r="112" spans="1:6" ht="15" customHeight="1">
      <c r="A112" s="212"/>
      <c r="B112" s="941" t="s">
        <v>1651</v>
      </c>
      <c r="C112" s="941"/>
      <c r="D112" s="941"/>
      <c r="E112" s="218">
        <v>4.4999999999999998E-2</v>
      </c>
      <c r="F112" s="219">
        <f>((F104+F96+F74+F64+F27+F108+F109)/(1-E110)*E112)</f>
        <v>0</v>
      </c>
    </row>
    <row r="113" spans="1:6" ht="15" customHeight="1">
      <c r="A113" s="212"/>
      <c r="B113" s="941" t="s">
        <v>1652</v>
      </c>
      <c r="C113" s="941"/>
      <c r="D113" s="941"/>
      <c r="E113" s="218">
        <v>0.05</v>
      </c>
      <c r="F113" s="219">
        <f>((F104+F96+F74+F64+F27+F108+F109)/(1-E110)*E113)</f>
        <v>0</v>
      </c>
    </row>
    <row r="114" spans="1:6" ht="15" customHeight="1">
      <c r="A114" s="942" t="s">
        <v>1605</v>
      </c>
      <c r="B114" s="942"/>
      <c r="C114" s="942"/>
      <c r="D114" s="942"/>
      <c r="E114" s="220">
        <f>SUM(E108:E110)</f>
        <v>0.177147</v>
      </c>
      <c r="F114" s="221">
        <f>SUM(F108:F113)</f>
        <v>0</v>
      </c>
    </row>
    <row r="115" spans="1:6" ht="15" customHeight="1">
      <c r="A115" s="943"/>
      <c r="B115" s="944"/>
      <c r="C115" s="944"/>
      <c r="D115" s="944"/>
      <c r="E115" s="944"/>
      <c r="F115" s="945"/>
    </row>
    <row r="116" spans="1:6" ht="15" customHeight="1">
      <c r="A116" s="946" t="s">
        <v>1653</v>
      </c>
      <c r="B116" s="946"/>
      <c r="C116" s="946"/>
      <c r="D116" s="946"/>
      <c r="E116" s="946"/>
      <c r="F116" s="946"/>
    </row>
    <row r="117" spans="1:6" ht="15" customHeight="1">
      <c r="A117" s="942" t="s">
        <v>1654</v>
      </c>
      <c r="B117" s="942"/>
      <c r="C117" s="942"/>
      <c r="D117" s="942"/>
      <c r="E117" s="942"/>
      <c r="F117" s="211" t="s">
        <v>1576</v>
      </c>
    </row>
    <row r="118" spans="1:6" ht="15" customHeight="1">
      <c r="A118" s="211" t="s">
        <v>1554</v>
      </c>
      <c r="B118" s="941" t="s">
        <v>1574</v>
      </c>
      <c r="C118" s="941"/>
      <c r="D118" s="941"/>
      <c r="E118" s="941"/>
      <c r="F118" s="214">
        <f>F27</f>
        <v>0</v>
      </c>
    </row>
    <row r="119" spans="1:6" ht="15" customHeight="1">
      <c r="A119" s="211" t="s">
        <v>1556</v>
      </c>
      <c r="B119" s="941" t="s">
        <v>1585</v>
      </c>
      <c r="C119" s="941"/>
      <c r="D119" s="941"/>
      <c r="E119" s="941"/>
      <c r="F119" s="214">
        <f>F64</f>
        <v>0</v>
      </c>
    </row>
    <row r="120" spans="1:6" ht="15" customHeight="1">
      <c r="A120" s="211" t="s">
        <v>1559</v>
      </c>
      <c r="B120" s="941" t="s">
        <v>1618</v>
      </c>
      <c r="C120" s="941"/>
      <c r="D120" s="941"/>
      <c r="E120" s="941"/>
      <c r="F120" s="214">
        <f>F74</f>
        <v>0</v>
      </c>
    </row>
    <row r="121" spans="1:6" ht="15" customHeight="1">
      <c r="A121" s="211" t="s">
        <v>1562</v>
      </c>
      <c r="B121" s="941" t="s">
        <v>1626</v>
      </c>
      <c r="C121" s="941"/>
      <c r="D121" s="941"/>
      <c r="E121" s="941"/>
      <c r="F121" s="214">
        <f>F96</f>
        <v>0</v>
      </c>
    </row>
    <row r="122" spans="1:6" ht="15" customHeight="1">
      <c r="A122" s="211" t="s">
        <v>1581</v>
      </c>
      <c r="B122" s="941" t="s">
        <v>1640</v>
      </c>
      <c r="C122" s="941"/>
      <c r="D122" s="941"/>
      <c r="E122" s="941"/>
      <c r="F122" s="214">
        <f>F104</f>
        <v>0</v>
      </c>
    </row>
    <row r="123" spans="1:6" ht="15" customHeight="1">
      <c r="A123" s="942" t="s">
        <v>1655</v>
      </c>
      <c r="B123" s="942"/>
      <c r="C123" s="942"/>
      <c r="D123" s="942"/>
      <c r="E123" s="942"/>
      <c r="F123" s="217">
        <f>SUM(F118:F122)</f>
        <v>0</v>
      </c>
    </row>
    <row r="124" spans="1:6" ht="15" customHeight="1">
      <c r="A124" s="211" t="s">
        <v>1583</v>
      </c>
      <c r="B124" s="941" t="s">
        <v>1656</v>
      </c>
      <c r="C124" s="941"/>
      <c r="D124" s="941"/>
      <c r="E124" s="941"/>
      <c r="F124" s="214">
        <f>F114</f>
        <v>0</v>
      </c>
    </row>
    <row r="125" spans="1:6" ht="15" customHeight="1">
      <c r="A125" s="942" t="s">
        <v>1657</v>
      </c>
      <c r="B125" s="942"/>
      <c r="C125" s="942"/>
      <c r="D125" s="942"/>
      <c r="E125" s="942"/>
      <c r="F125" s="241">
        <f>SUM(F123:F124)</f>
        <v>0</v>
      </c>
    </row>
    <row r="126" spans="1:6" ht="15" customHeight="1">
      <c r="A126" s="943"/>
      <c r="B126" s="944"/>
      <c r="C126" s="944"/>
      <c r="D126" s="944"/>
      <c r="E126" s="944"/>
      <c r="F126" s="945"/>
    </row>
    <row r="127" spans="1:6" ht="15" customHeight="1">
      <c r="A127" s="946" t="s">
        <v>1658</v>
      </c>
      <c r="B127" s="946"/>
      <c r="C127" s="946"/>
      <c r="D127" s="946"/>
      <c r="E127" s="946"/>
      <c r="F127" s="946"/>
    </row>
    <row r="128" spans="1:6" ht="48" customHeight="1">
      <c r="A128" s="947" t="s">
        <v>1659</v>
      </c>
      <c r="B128" s="947"/>
      <c r="C128" s="242" t="s">
        <v>1660</v>
      </c>
      <c r="D128" s="242" t="s">
        <v>1661</v>
      </c>
      <c r="E128" s="242" t="s">
        <v>1662</v>
      </c>
      <c r="F128" s="242" t="s">
        <v>1663</v>
      </c>
    </row>
    <row r="129" spans="1:6" ht="15" customHeight="1">
      <c r="A129" s="948" t="str">
        <f>E13</f>
        <v>Brigada</v>
      </c>
      <c r="B129" s="948"/>
      <c r="C129" s="243">
        <v>2</v>
      </c>
      <c r="D129" s="244">
        <f>F125*C129</f>
        <v>0</v>
      </c>
      <c r="E129" s="243">
        <v>3</v>
      </c>
      <c r="F129" s="244">
        <f>D129*E129</f>
        <v>0</v>
      </c>
    </row>
    <row r="130" spans="1:6" ht="15" customHeight="1">
      <c r="A130" s="935" t="s">
        <v>1664</v>
      </c>
      <c r="B130" s="935"/>
      <c r="C130" s="935"/>
      <c r="D130" s="935"/>
      <c r="E130" s="935"/>
      <c r="F130" s="245">
        <f>SUM(F129:F129)</f>
        <v>0</v>
      </c>
    </row>
    <row r="131" spans="1:6" ht="15" customHeight="1">
      <c r="A131" s="936"/>
      <c r="B131" s="937"/>
      <c r="C131" s="937"/>
      <c r="D131" s="937"/>
      <c r="E131" s="937"/>
      <c r="F131" s="938"/>
    </row>
    <row r="132" spans="1:6" ht="15" customHeight="1">
      <c r="A132" s="939" t="s">
        <v>1665</v>
      </c>
      <c r="B132" s="939"/>
      <c r="C132" s="939"/>
      <c r="D132" s="939"/>
      <c r="E132" s="939"/>
      <c r="F132" s="939"/>
    </row>
    <row r="133" spans="1:6" ht="15" customHeight="1">
      <c r="A133" s="940" t="s">
        <v>1666</v>
      </c>
      <c r="B133" s="940"/>
      <c r="C133" s="940"/>
      <c r="D133" s="940"/>
      <c r="E133" s="940"/>
      <c r="F133" s="940"/>
    </row>
    <row r="134" spans="1:6" ht="15" customHeight="1">
      <c r="A134" s="940" t="s">
        <v>1</v>
      </c>
      <c r="B134" s="940"/>
      <c r="C134" s="940"/>
      <c r="D134" s="940"/>
      <c r="E134" s="940"/>
      <c r="F134" s="246" t="s">
        <v>1667</v>
      </c>
    </row>
    <row r="135" spans="1:6" ht="15" customHeight="1">
      <c r="A135" s="247" t="s">
        <v>1554</v>
      </c>
      <c r="B135" s="932" t="s">
        <v>1668</v>
      </c>
      <c r="C135" s="932"/>
      <c r="D135" s="932"/>
      <c r="E135" s="932"/>
      <c r="F135" s="248">
        <f>D129</f>
        <v>0</v>
      </c>
    </row>
    <row r="136" spans="1:6" ht="15" customHeight="1">
      <c r="A136" s="247" t="s">
        <v>1556</v>
      </c>
      <c r="B136" s="932" t="s">
        <v>1669</v>
      </c>
      <c r="C136" s="932"/>
      <c r="D136" s="932"/>
      <c r="E136" s="932"/>
      <c r="F136" s="248">
        <f>F130</f>
        <v>0</v>
      </c>
    </row>
    <row r="137" spans="1:6" ht="15" customHeight="1">
      <c r="A137" s="249" t="s">
        <v>1559</v>
      </c>
      <c r="B137" s="933" t="s">
        <v>1670</v>
      </c>
      <c r="C137" s="933"/>
      <c r="D137" s="933"/>
      <c r="E137" s="933"/>
      <c r="F137" s="250">
        <f>F136*12</f>
        <v>0</v>
      </c>
    </row>
    <row r="138" spans="1:6" ht="15" customHeight="1" thickBot="1">
      <c r="A138" s="934"/>
      <c r="B138" s="934"/>
      <c r="C138" s="934"/>
      <c r="D138" s="934"/>
      <c r="E138" s="934"/>
      <c r="F138" s="934"/>
    </row>
    <row r="139" spans="1:6" ht="15" customHeight="1">
      <c r="A139" s="251"/>
      <c r="B139" s="252"/>
      <c r="C139" s="252"/>
      <c r="D139" s="252"/>
      <c r="E139" s="253"/>
      <c r="F139" s="254" t="s">
        <v>1671</v>
      </c>
    </row>
    <row r="140" spans="1:6" ht="15" customHeight="1">
      <c r="A140" s="255" t="s">
        <v>1672</v>
      </c>
      <c r="B140" s="256" t="s">
        <v>1673</v>
      </c>
      <c r="C140" s="256"/>
      <c r="D140" s="257">
        <v>-1</v>
      </c>
      <c r="E140" s="258">
        <f>(1+E146)*(1+E147)/(1-E148)-1</f>
        <v>0.27139101656340836</v>
      </c>
      <c r="F140" s="259"/>
    </row>
    <row r="141" spans="1:6" ht="15" customHeight="1">
      <c r="A141" s="260"/>
      <c r="B141" s="261" t="s">
        <v>1674</v>
      </c>
      <c r="C141" s="261"/>
      <c r="D141" s="257"/>
      <c r="E141" s="262"/>
      <c r="F141" s="263"/>
    </row>
    <row r="142" spans="1:6" ht="15" customHeight="1" thickBot="1">
      <c r="A142" s="264"/>
      <c r="B142" s="265"/>
      <c r="C142" s="265"/>
      <c r="D142" s="265"/>
      <c r="E142" s="266"/>
      <c r="F142" s="267"/>
    </row>
    <row r="143" spans="1:6" ht="15" customHeight="1">
      <c r="A143" s="268"/>
      <c r="B143" s="269"/>
      <c r="C143" s="269"/>
      <c r="D143" s="269"/>
      <c r="E143" s="270"/>
      <c r="F143" s="263"/>
    </row>
    <row r="144" spans="1:6" ht="15" customHeight="1">
      <c r="A144" s="271"/>
      <c r="B144" s="272" t="s">
        <v>1675</v>
      </c>
      <c r="C144" s="272"/>
      <c r="D144" s="272"/>
      <c r="E144" s="273"/>
      <c r="F144" s="274">
        <f>E36+E48+E74+E85</f>
        <v>0.47636614999999999</v>
      </c>
    </row>
    <row r="145" spans="1:6" ht="15" customHeight="1">
      <c r="A145" s="271"/>
      <c r="B145" s="272"/>
      <c r="C145" s="272"/>
      <c r="D145" s="272"/>
      <c r="E145" s="273"/>
      <c r="F145" s="275"/>
    </row>
    <row r="146" spans="1:6" ht="15" customHeight="1">
      <c r="A146" s="276" t="s">
        <v>1676</v>
      </c>
      <c r="B146" s="277" t="s">
        <v>1677</v>
      </c>
      <c r="C146" s="278"/>
      <c r="D146" s="272"/>
      <c r="E146" s="279">
        <f>E108</f>
        <v>2.28235E-2</v>
      </c>
      <c r="F146" s="263"/>
    </row>
    <row r="147" spans="1:6" ht="15" customHeight="1">
      <c r="A147" s="276" t="s">
        <v>1678</v>
      </c>
      <c r="B147" s="277" t="s">
        <v>1679</v>
      </c>
      <c r="C147" s="278"/>
      <c r="D147" s="272"/>
      <c r="E147" s="279">
        <f>E109</f>
        <v>2.28235E-2</v>
      </c>
      <c r="F147" s="263"/>
    </row>
    <row r="148" spans="1:6" ht="15" customHeight="1" thickBot="1">
      <c r="A148" s="280" t="s">
        <v>1680</v>
      </c>
      <c r="B148" s="281" t="s">
        <v>1681</v>
      </c>
      <c r="C148" s="282"/>
      <c r="D148" s="283"/>
      <c r="E148" s="284">
        <f>E114</f>
        <v>0.177147</v>
      </c>
      <c r="F148" s="285"/>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D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3BEF5-6CDC-4B9E-9863-C8D768DA7818}">
  <sheetPr>
    <tabColor rgb="FFFF0000"/>
  </sheetPr>
  <dimension ref="A1:G148"/>
  <sheetViews>
    <sheetView showGridLines="0" view="pageBreakPreview" zoomScaleNormal="115" zoomScaleSheetLayoutView="100" workbookViewId="0">
      <selection activeCell="A2" sqref="A2:F2"/>
    </sheetView>
  </sheetViews>
  <sheetFormatPr defaultColWidth="9.140625" defaultRowHeight="15" customHeight="1"/>
  <cols>
    <col min="1" max="1" width="5.5703125" style="207" customWidth="1"/>
    <col min="2" max="2" width="23.140625" style="207" customWidth="1"/>
    <col min="3" max="3" width="13.85546875" style="207" customWidth="1"/>
    <col min="4" max="4" width="23.140625" style="207" customWidth="1"/>
    <col min="5" max="5" width="17.42578125" style="207" customWidth="1"/>
    <col min="6" max="6" width="23.85546875" style="207" customWidth="1"/>
    <col min="7" max="7" width="8.5703125" style="207" customWidth="1"/>
    <col min="8" max="9" width="6.42578125" style="207" customWidth="1"/>
    <col min="10" max="16384" width="9.140625" style="207"/>
  </cols>
  <sheetData>
    <row r="1" spans="1:6" ht="15" customHeight="1">
      <c r="A1" s="978" t="s">
        <v>1550</v>
      </c>
      <c r="B1" s="978"/>
      <c r="C1" s="978"/>
      <c r="D1" s="978"/>
      <c r="E1" s="978"/>
      <c r="F1" s="978"/>
    </row>
    <row r="2" spans="1:6" ht="15" customHeight="1">
      <c r="A2" s="979"/>
      <c r="B2" s="979"/>
      <c r="C2" s="979"/>
      <c r="D2" s="979"/>
      <c r="E2" s="979"/>
      <c r="F2" s="979"/>
    </row>
    <row r="3" spans="1:6" ht="15" customHeight="1">
      <c r="A3" s="979"/>
      <c r="B3" s="979"/>
      <c r="C3" s="979"/>
      <c r="D3" s="979"/>
      <c r="E3" s="979"/>
      <c r="F3" s="979"/>
    </row>
    <row r="4" spans="1:6" ht="15" customHeight="1">
      <c r="A4" s="974"/>
      <c r="B4" s="974"/>
      <c r="C4" s="974"/>
      <c r="D4" s="974"/>
      <c r="E4" s="974"/>
      <c r="F4" s="974"/>
    </row>
    <row r="5" spans="1:6" ht="15" customHeight="1">
      <c r="A5" s="974" t="s">
        <v>1552</v>
      </c>
      <c r="B5" s="974"/>
      <c r="C5" s="974"/>
      <c r="D5" s="974"/>
      <c r="E5" s="974"/>
      <c r="F5" s="974"/>
    </row>
    <row r="6" spans="1:6" ht="15" customHeight="1">
      <c r="A6" s="960" t="s">
        <v>1553</v>
      </c>
      <c r="B6" s="960"/>
      <c r="C6" s="960"/>
      <c r="D6" s="960"/>
      <c r="E6" s="960"/>
      <c r="F6" s="960"/>
    </row>
    <row r="7" spans="1:6" ht="15" customHeight="1">
      <c r="A7" s="208" t="s">
        <v>1554</v>
      </c>
      <c r="B7" s="972" t="s">
        <v>1555</v>
      </c>
      <c r="C7" s="972"/>
      <c r="D7" s="972"/>
      <c r="E7" s="973">
        <v>45244</v>
      </c>
      <c r="F7" s="973"/>
    </row>
    <row r="8" spans="1:6" ht="15" customHeight="1">
      <c r="A8" s="208" t="s">
        <v>1556</v>
      </c>
      <c r="B8" s="972" t="s">
        <v>1557</v>
      </c>
      <c r="C8" s="972"/>
      <c r="D8" s="972"/>
      <c r="E8" s="974" t="s">
        <v>1558</v>
      </c>
      <c r="F8" s="974"/>
    </row>
    <row r="9" spans="1:6" ht="15" customHeight="1">
      <c r="A9" s="208" t="s">
        <v>1559</v>
      </c>
      <c r="B9" s="975" t="s">
        <v>1560</v>
      </c>
      <c r="C9" s="975"/>
      <c r="D9" s="975"/>
      <c r="E9" s="976" t="e">
        <f>#REF!</f>
        <v>#REF!</v>
      </c>
      <c r="F9" s="977"/>
    </row>
    <row r="10" spans="1:6" ht="15" customHeight="1">
      <c r="A10" s="208" t="s">
        <v>1562</v>
      </c>
      <c r="B10" s="972" t="s">
        <v>1563</v>
      </c>
      <c r="C10" s="972"/>
      <c r="D10" s="972"/>
      <c r="E10" s="974" t="s">
        <v>1564</v>
      </c>
      <c r="F10" s="974"/>
    </row>
    <row r="11" spans="1:6" ht="15" customHeight="1">
      <c r="A11" s="964"/>
      <c r="B11" s="965"/>
      <c r="C11" s="965"/>
      <c r="D11" s="965"/>
      <c r="E11" s="965"/>
      <c r="F11" s="966"/>
    </row>
    <row r="12" spans="1:6" ht="15" customHeight="1">
      <c r="A12" s="960" t="s">
        <v>1565</v>
      </c>
      <c r="B12" s="960"/>
      <c r="C12" s="960"/>
      <c r="D12" s="960"/>
      <c r="E12" s="960"/>
      <c r="F12" s="960"/>
    </row>
    <row r="13" spans="1:6" ht="15" customHeight="1">
      <c r="A13" s="209">
        <v>1</v>
      </c>
      <c r="B13" s="982" t="s">
        <v>1566</v>
      </c>
      <c r="C13" s="982"/>
      <c r="D13" s="982"/>
      <c r="E13" s="971" t="s">
        <v>1567</v>
      </c>
      <c r="F13" s="971"/>
    </row>
    <row r="14" spans="1:6" ht="15" customHeight="1">
      <c r="A14" s="209">
        <v>2</v>
      </c>
      <c r="B14" s="982" t="s">
        <v>1568</v>
      </c>
      <c r="C14" s="982"/>
      <c r="D14" s="982"/>
      <c r="E14" s="968" t="s">
        <v>1569</v>
      </c>
      <c r="F14" s="968"/>
    </row>
    <row r="15" spans="1:6" ht="15" customHeight="1">
      <c r="A15" s="209">
        <v>3</v>
      </c>
      <c r="B15" s="980" t="s">
        <v>1570</v>
      </c>
      <c r="C15" s="980"/>
      <c r="D15" s="980"/>
      <c r="E15" s="969" t="e">
        <f>#REF!</f>
        <v>#REF!</v>
      </c>
      <c r="F15" s="969"/>
    </row>
    <row r="16" spans="1:6" ht="16.149999999999999" customHeight="1">
      <c r="A16" s="209">
        <v>4</v>
      </c>
      <c r="B16" s="982" t="s">
        <v>1571</v>
      </c>
      <c r="C16" s="982"/>
      <c r="D16" s="982"/>
      <c r="E16" s="970" t="s">
        <v>1682</v>
      </c>
      <c r="F16" s="970"/>
    </row>
    <row r="17" spans="1:6" ht="15" customHeight="1">
      <c r="A17" s="209">
        <v>5</v>
      </c>
      <c r="B17" s="980" t="s">
        <v>1573</v>
      </c>
      <c r="C17" s="980"/>
      <c r="D17" s="980"/>
      <c r="E17" s="963">
        <v>45292</v>
      </c>
      <c r="F17" s="981"/>
    </row>
    <row r="18" spans="1:6" ht="15" customHeight="1">
      <c r="A18" s="964"/>
      <c r="B18" s="965"/>
      <c r="C18" s="965"/>
      <c r="D18" s="965"/>
      <c r="E18" s="965"/>
      <c r="F18" s="966"/>
    </row>
    <row r="19" spans="1:6" ht="15" customHeight="1">
      <c r="A19" s="960" t="s">
        <v>1574</v>
      </c>
      <c r="B19" s="960"/>
      <c r="C19" s="960"/>
      <c r="D19" s="960"/>
      <c r="E19" s="960"/>
      <c r="F19" s="960"/>
    </row>
    <row r="20" spans="1:6" ht="15" customHeight="1">
      <c r="A20" s="211">
        <v>1</v>
      </c>
      <c r="B20" s="956" t="s">
        <v>1575</v>
      </c>
      <c r="C20" s="957"/>
      <c r="D20" s="957"/>
      <c r="E20" s="958"/>
      <c r="F20" s="211" t="s">
        <v>1576</v>
      </c>
    </row>
    <row r="21" spans="1:6" ht="15" customHeight="1">
      <c r="A21" s="212" t="s">
        <v>1554</v>
      </c>
      <c r="B21" s="953" t="s">
        <v>1577</v>
      </c>
      <c r="C21" s="954"/>
      <c r="D21" s="955"/>
      <c r="E21" s="213">
        <v>1</v>
      </c>
      <c r="F21" s="219"/>
    </row>
    <row r="22" spans="1:6" ht="15" customHeight="1">
      <c r="A22" s="212" t="s">
        <v>1556</v>
      </c>
      <c r="B22" s="953" t="s">
        <v>1578</v>
      </c>
      <c r="C22" s="954"/>
      <c r="D22" s="955"/>
      <c r="E22" s="213">
        <v>0.3</v>
      </c>
      <c r="F22" s="219">
        <f>F21*E22</f>
        <v>0</v>
      </c>
    </row>
    <row r="23" spans="1:6" ht="15" customHeight="1">
      <c r="A23" s="212" t="s">
        <v>1559</v>
      </c>
      <c r="B23" s="953" t="s">
        <v>1579</v>
      </c>
      <c r="C23" s="954"/>
      <c r="D23" s="955"/>
      <c r="E23" s="213">
        <v>0</v>
      </c>
      <c r="F23" s="219"/>
    </row>
    <row r="24" spans="1:6" ht="15" customHeight="1">
      <c r="A24" s="212" t="s">
        <v>1562</v>
      </c>
      <c r="B24" s="953" t="s">
        <v>1580</v>
      </c>
      <c r="C24" s="954"/>
      <c r="D24" s="955"/>
      <c r="E24" s="213">
        <v>0</v>
      </c>
      <c r="F24" s="219">
        <f>SUM(F21,F22)/220*E24*8*13</f>
        <v>0</v>
      </c>
    </row>
    <row r="25" spans="1:6" ht="15" customHeight="1">
      <c r="A25" s="212" t="s">
        <v>1581</v>
      </c>
      <c r="B25" s="953" t="s">
        <v>1582</v>
      </c>
      <c r="C25" s="954"/>
      <c r="D25" s="955"/>
      <c r="E25" s="213">
        <v>0</v>
      </c>
      <c r="F25" s="219"/>
    </row>
    <row r="26" spans="1:6" ht="15" customHeight="1">
      <c r="A26" s="212" t="s">
        <v>1583</v>
      </c>
      <c r="B26" s="953" t="s">
        <v>1584</v>
      </c>
      <c r="C26" s="954"/>
      <c r="D26" s="955"/>
      <c r="E26" s="213">
        <v>0</v>
      </c>
      <c r="F26" s="219"/>
    </row>
    <row r="27" spans="1:6" ht="15" customHeight="1">
      <c r="A27" s="942" t="s">
        <v>15</v>
      </c>
      <c r="B27" s="942"/>
      <c r="C27" s="942"/>
      <c r="D27" s="942"/>
      <c r="E27" s="942"/>
      <c r="F27" s="221">
        <f>SUM(F21:F26)</f>
        <v>0</v>
      </c>
    </row>
    <row r="28" spans="1:6" ht="15" customHeight="1">
      <c r="A28" s="959"/>
      <c r="B28" s="959"/>
      <c r="C28" s="959"/>
      <c r="D28" s="959"/>
      <c r="E28" s="959"/>
      <c r="F28" s="959"/>
    </row>
    <row r="29" spans="1:6" ht="15" customHeight="1">
      <c r="A29" s="960" t="s">
        <v>1585</v>
      </c>
      <c r="B29" s="960"/>
      <c r="C29" s="960"/>
      <c r="D29" s="960"/>
      <c r="E29" s="960"/>
      <c r="F29" s="960"/>
    </row>
    <row r="30" spans="1:6" ht="15" customHeight="1">
      <c r="A30" s="961" t="s">
        <v>1586</v>
      </c>
      <c r="B30" s="961"/>
      <c r="C30" s="961"/>
      <c r="D30" s="961"/>
      <c r="E30" s="961"/>
      <c r="F30" s="961"/>
    </row>
    <row r="31" spans="1:6" ht="15" customHeight="1">
      <c r="A31" s="211" t="s">
        <v>710</v>
      </c>
      <c r="B31" s="949" t="s">
        <v>1587</v>
      </c>
      <c r="C31" s="949"/>
      <c r="D31" s="949"/>
      <c r="E31" s="211" t="s">
        <v>1588</v>
      </c>
      <c r="F31" s="211" t="s">
        <v>1576</v>
      </c>
    </row>
    <row r="32" spans="1:6" ht="15" customHeight="1">
      <c r="A32" s="212" t="s">
        <v>1554</v>
      </c>
      <c r="B32" s="941" t="s">
        <v>1589</v>
      </c>
      <c r="C32" s="941"/>
      <c r="D32" s="941"/>
      <c r="E32" s="218">
        <v>8.3299999999999999E-2</v>
      </c>
      <c r="F32" s="219">
        <f>F27*E32</f>
        <v>0</v>
      </c>
    </row>
    <row r="33" spans="1:6" ht="15" customHeight="1">
      <c r="A33" s="212" t="s">
        <v>1556</v>
      </c>
      <c r="B33" s="941" t="s">
        <v>1590</v>
      </c>
      <c r="C33" s="941"/>
      <c r="D33" s="941"/>
      <c r="E33" s="218">
        <v>0.121</v>
      </c>
      <c r="F33" s="219">
        <f>F27*E33</f>
        <v>0</v>
      </c>
    </row>
    <row r="34" spans="1:6" ht="15" customHeight="1">
      <c r="A34" s="942" t="s">
        <v>1591</v>
      </c>
      <c r="B34" s="942"/>
      <c r="C34" s="942"/>
      <c r="D34" s="942"/>
      <c r="E34" s="220">
        <f>E32+E33</f>
        <v>0.20429999999999998</v>
      </c>
      <c r="F34" s="221">
        <f>SUM(F32:F33)</f>
        <v>0</v>
      </c>
    </row>
    <row r="35" spans="1:6" ht="15" customHeight="1">
      <c r="A35" s="212" t="s">
        <v>1559</v>
      </c>
      <c r="B35" s="941" t="s">
        <v>1592</v>
      </c>
      <c r="C35" s="941"/>
      <c r="D35" s="941"/>
      <c r="E35" s="218">
        <f>E34*E48</f>
        <v>3.4179389999999997E-2</v>
      </c>
      <c r="F35" s="219">
        <f>F34*E48</f>
        <v>0</v>
      </c>
    </row>
    <row r="36" spans="1:6" ht="15" customHeight="1">
      <c r="A36" s="942" t="s">
        <v>15</v>
      </c>
      <c r="B36" s="942"/>
      <c r="C36" s="942"/>
      <c r="D36" s="942"/>
      <c r="E36" s="220">
        <f>E34+E35</f>
        <v>0.23847938999999999</v>
      </c>
      <c r="F36" s="221">
        <f>SUM(F34:F35)</f>
        <v>0</v>
      </c>
    </row>
    <row r="37" spans="1:6" ht="15" customHeight="1">
      <c r="A37" s="943"/>
      <c r="B37" s="944"/>
      <c r="C37" s="944"/>
      <c r="D37" s="944"/>
      <c r="E37" s="944"/>
      <c r="F37" s="945"/>
    </row>
    <row r="38" spans="1:6" ht="18.600000000000001" customHeight="1">
      <c r="A38" s="946" t="s">
        <v>1593</v>
      </c>
      <c r="B38" s="946"/>
      <c r="C38" s="946"/>
      <c r="D38" s="946"/>
      <c r="E38" s="946"/>
      <c r="F38" s="946"/>
    </row>
    <row r="39" spans="1:6" ht="15" customHeight="1">
      <c r="A39" s="211" t="s">
        <v>782</v>
      </c>
      <c r="B39" s="942" t="s">
        <v>1594</v>
      </c>
      <c r="C39" s="942"/>
      <c r="D39" s="942"/>
      <c r="E39" s="211" t="s">
        <v>1588</v>
      </c>
      <c r="F39" s="211" t="s">
        <v>1576</v>
      </c>
    </row>
    <row r="40" spans="1:6" ht="15" customHeight="1">
      <c r="A40" s="212" t="s">
        <v>1554</v>
      </c>
      <c r="B40" s="953" t="s">
        <v>1595</v>
      </c>
      <c r="C40" s="954"/>
      <c r="D40" s="955"/>
      <c r="E40" s="222">
        <v>0</v>
      </c>
      <c r="F40" s="223">
        <f t="shared" ref="F40:F47" si="0">$F$27*E40</f>
        <v>0</v>
      </c>
    </row>
    <row r="41" spans="1:6" ht="15" customHeight="1">
      <c r="A41" s="212" t="s">
        <v>1556</v>
      </c>
      <c r="B41" s="953" t="s">
        <v>1596</v>
      </c>
      <c r="C41" s="954"/>
      <c r="D41" s="955"/>
      <c r="E41" s="218">
        <v>2.5000000000000001E-2</v>
      </c>
      <c r="F41" s="219">
        <f t="shared" si="0"/>
        <v>0</v>
      </c>
    </row>
    <row r="42" spans="1:6" ht="15" customHeight="1">
      <c r="A42" s="212" t="s">
        <v>1559</v>
      </c>
      <c r="B42" s="953" t="s">
        <v>1597</v>
      </c>
      <c r="C42" s="954"/>
      <c r="D42" s="955"/>
      <c r="E42" s="224">
        <v>2.93E-2</v>
      </c>
      <c r="F42" s="225">
        <f t="shared" si="0"/>
        <v>0</v>
      </c>
    </row>
    <row r="43" spans="1:6" ht="15" customHeight="1">
      <c r="A43" s="212" t="s">
        <v>1562</v>
      </c>
      <c r="B43" s="953" t="s">
        <v>1598</v>
      </c>
      <c r="C43" s="954"/>
      <c r="D43" s="955"/>
      <c r="E43" s="218">
        <v>1.4999999999999999E-2</v>
      </c>
      <c r="F43" s="219">
        <f t="shared" si="0"/>
        <v>0</v>
      </c>
    </row>
    <row r="44" spans="1:6" ht="15" customHeight="1">
      <c r="A44" s="212" t="s">
        <v>1581</v>
      </c>
      <c r="B44" s="953" t="s">
        <v>1599</v>
      </c>
      <c r="C44" s="954"/>
      <c r="D44" s="955"/>
      <c r="E44" s="218">
        <v>0.01</v>
      </c>
      <c r="F44" s="219">
        <f t="shared" si="0"/>
        <v>0</v>
      </c>
    </row>
    <row r="45" spans="1:6" ht="15" customHeight="1">
      <c r="A45" s="212" t="s">
        <v>1583</v>
      </c>
      <c r="B45" s="953" t="s">
        <v>1600</v>
      </c>
      <c r="C45" s="954"/>
      <c r="D45" s="955"/>
      <c r="E45" s="218">
        <v>6.0000000000000001E-3</v>
      </c>
      <c r="F45" s="219">
        <f t="shared" si="0"/>
        <v>0</v>
      </c>
    </row>
    <row r="46" spans="1:6" ht="15" customHeight="1">
      <c r="A46" s="212" t="s">
        <v>1601</v>
      </c>
      <c r="B46" s="953" t="s">
        <v>1602</v>
      </c>
      <c r="C46" s="954"/>
      <c r="D46" s="955"/>
      <c r="E46" s="218">
        <v>2E-3</v>
      </c>
      <c r="F46" s="219">
        <f t="shared" si="0"/>
        <v>0</v>
      </c>
    </row>
    <row r="47" spans="1:6" ht="15" customHeight="1">
      <c r="A47" s="212" t="s">
        <v>1603</v>
      </c>
      <c r="B47" s="953" t="s">
        <v>1604</v>
      </c>
      <c r="C47" s="954"/>
      <c r="D47" s="955"/>
      <c r="E47" s="218">
        <v>0.08</v>
      </c>
      <c r="F47" s="219">
        <f t="shared" si="0"/>
        <v>0</v>
      </c>
    </row>
    <row r="48" spans="1:6" ht="15" customHeight="1">
      <c r="A48" s="956" t="s">
        <v>1605</v>
      </c>
      <c r="B48" s="957"/>
      <c r="C48" s="957"/>
      <c r="D48" s="958"/>
      <c r="E48" s="220">
        <f>SUM(E40:E47)</f>
        <v>0.1673</v>
      </c>
      <c r="F48" s="221">
        <f>SUM(F40:F47)</f>
        <v>0</v>
      </c>
    </row>
    <row r="49" spans="1:7" ht="15" customHeight="1">
      <c r="A49" s="943"/>
      <c r="B49" s="944"/>
      <c r="C49" s="944"/>
      <c r="D49" s="944"/>
      <c r="E49" s="944"/>
      <c r="F49" s="945"/>
    </row>
    <row r="50" spans="1:7" ht="15" customHeight="1">
      <c r="A50" s="946" t="s">
        <v>1606</v>
      </c>
      <c r="B50" s="946"/>
      <c r="C50" s="946"/>
      <c r="D50" s="946"/>
      <c r="E50" s="946"/>
      <c r="F50" s="946"/>
    </row>
    <row r="51" spans="1:7" ht="15" customHeight="1">
      <c r="A51" s="211" t="s">
        <v>789</v>
      </c>
      <c r="B51" s="942" t="s">
        <v>1607</v>
      </c>
      <c r="C51" s="942"/>
      <c r="D51" s="942"/>
      <c r="E51" s="942"/>
      <c r="F51" s="211" t="s">
        <v>1576</v>
      </c>
    </row>
    <row r="52" spans="1:7" ht="15" customHeight="1">
      <c r="A52" s="212" t="s">
        <v>1554</v>
      </c>
      <c r="B52" s="951" t="s">
        <v>1608</v>
      </c>
      <c r="C52" s="951"/>
      <c r="D52" s="951"/>
      <c r="E52" s="951"/>
      <c r="F52" s="226">
        <v>0</v>
      </c>
      <c r="G52" s="286">
        <f>-F21*6%</f>
        <v>0</v>
      </c>
    </row>
    <row r="53" spans="1:7" ht="15" customHeight="1">
      <c r="A53" s="212" t="s">
        <v>1556</v>
      </c>
      <c r="B53" s="952" t="s">
        <v>1609</v>
      </c>
      <c r="C53" s="952"/>
      <c r="D53" s="952"/>
      <c r="E53" s="952"/>
      <c r="F53" s="228"/>
    </row>
    <row r="54" spans="1:7" ht="15" customHeight="1">
      <c r="A54" s="212" t="s">
        <v>1610</v>
      </c>
      <c r="B54" s="941" t="s">
        <v>1683</v>
      </c>
      <c r="C54" s="941"/>
      <c r="D54" s="941"/>
      <c r="E54" s="941"/>
      <c r="F54" s="229"/>
    </row>
    <row r="55" spans="1:7" ht="15" customHeight="1">
      <c r="A55" s="212" t="s">
        <v>1612</v>
      </c>
      <c r="B55" s="949" t="s">
        <v>1613</v>
      </c>
      <c r="C55" s="949"/>
      <c r="D55" s="949"/>
      <c r="E55" s="949"/>
      <c r="F55" s="221">
        <f>SUM(F53:F54)</f>
        <v>0</v>
      </c>
    </row>
    <row r="56" spans="1:7" ht="15" customHeight="1">
      <c r="A56" s="212" t="s">
        <v>1559</v>
      </c>
      <c r="B56" s="952" t="s">
        <v>1614</v>
      </c>
      <c r="C56" s="952"/>
      <c r="D56" s="952"/>
      <c r="E56" s="952"/>
      <c r="F56" s="228"/>
      <c r="G56" s="231"/>
    </row>
    <row r="57" spans="1:7" ht="15" customHeight="1">
      <c r="A57" s="212" t="s">
        <v>1562</v>
      </c>
      <c r="B57" s="952" t="s">
        <v>1615</v>
      </c>
      <c r="C57" s="952"/>
      <c r="D57" s="952"/>
      <c r="E57" s="952"/>
      <c r="F57" s="228"/>
    </row>
    <row r="58" spans="1:7" ht="15" customHeight="1">
      <c r="A58" s="942" t="s">
        <v>15</v>
      </c>
      <c r="B58" s="942"/>
      <c r="C58" s="942"/>
      <c r="D58" s="942"/>
      <c r="E58" s="942"/>
      <c r="F58" s="221">
        <f>F55+F56+F57+F52</f>
        <v>0</v>
      </c>
      <c r="G58" s="230"/>
    </row>
    <row r="59" spans="1:7" ht="15" customHeight="1">
      <c r="A59" s="946" t="s">
        <v>1616</v>
      </c>
      <c r="B59" s="946"/>
      <c r="C59" s="946"/>
      <c r="D59" s="946"/>
      <c r="E59" s="946"/>
      <c r="F59" s="946"/>
    </row>
    <row r="60" spans="1:7" ht="15" customHeight="1">
      <c r="A60" s="211">
        <v>2</v>
      </c>
      <c r="B60" s="942" t="s">
        <v>1617</v>
      </c>
      <c r="C60" s="942"/>
      <c r="D60" s="942"/>
      <c r="E60" s="942"/>
      <c r="F60" s="211" t="s">
        <v>1576</v>
      </c>
    </row>
    <row r="61" spans="1:7" ht="15" customHeight="1">
      <c r="A61" s="212" t="s">
        <v>710</v>
      </c>
      <c r="B61" s="941" t="s">
        <v>1587</v>
      </c>
      <c r="C61" s="941"/>
      <c r="D61" s="941"/>
      <c r="E61" s="941"/>
      <c r="F61" s="219">
        <f>F36</f>
        <v>0</v>
      </c>
    </row>
    <row r="62" spans="1:7" ht="15" customHeight="1">
      <c r="A62" s="212" t="s">
        <v>782</v>
      </c>
      <c r="B62" s="941" t="s">
        <v>1594</v>
      </c>
      <c r="C62" s="941"/>
      <c r="D62" s="941"/>
      <c r="E62" s="941"/>
      <c r="F62" s="219">
        <f>F48</f>
        <v>0</v>
      </c>
    </row>
    <row r="63" spans="1:7" ht="15" customHeight="1">
      <c r="A63" s="212" t="s">
        <v>789</v>
      </c>
      <c r="B63" s="941" t="s">
        <v>1607</v>
      </c>
      <c r="C63" s="941"/>
      <c r="D63" s="941"/>
      <c r="E63" s="941"/>
      <c r="F63" s="219">
        <f>F58</f>
        <v>0</v>
      </c>
    </row>
    <row r="64" spans="1:7" ht="15" customHeight="1">
      <c r="A64" s="942" t="s">
        <v>15</v>
      </c>
      <c r="B64" s="942"/>
      <c r="C64" s="942"/>
      <c r="D64" s="942"/>
      <c r="E64" s="942"/>
      <c r="F64" s="221">
        <f>SUM(F61:F63)</f>
        <v>0</v>
      </c>
    </row>
    <row r="65" spans="1:6" ht="15" customHeight="1">
      <c r="A65" s="943"/>
      <c r="B65" s="944"/>
      <c r="C65" s="944"/>
      <c r="D65" s="944"/>
      <c r="E65" s="944"/>
      <c r="F65" s="945"/>
    </row>
    <row r="66" spans="1:6" ht="15" customHeight="1">
      <c r="A66" s="946" t="s">
        <v>1618</v>
      </c>
      <c r="B66" s="946"/>
      <c r="C66" s="946"/>
      <c r="D66" s="946"/>
      <c r="E66" s="946"/>
      <c r="F66" s="946"/>
    </row>
    <row r="67" spans="1:6" ht="15" customHeight="1">
      <c r="A67" s="211">
        <v>3</v>
      </c>
      <c r="B67" s="942" t="s">
        <v>1619</v>
      </c>
      <c r="C67" s="942"/>
      <c r="D67" s="942"/>
      <c r="E67" s="211" t="s">
        <v>1588</v>
      </c>
      <c r="F67" s="211" t="s">
        <v>1576</v>
      </c>
    </row>
    <row r="68" spans="1:6" ht="15" customHeight="1">
      <c r="A68" s="212" t="s">
        <v>1554</v>
      </c>
      <c r="B68" s="941" t="s">
        <v>1620</v>
      </c>
      <c r="C68" s="941"/>
      <c r="D68" s="941"/>
      <c r="E68" s="232">
        <v>4.1999999999999997E-3</v>
      </c>
      <c r="F68" s="219">
        <f>$F$27*E68</f>
        <v>0</v>
      </c>
    </row>
    <row r="69" spans="1:6" ht="15" customHeight="1">
      <c r="A69" s="212" t="s">
        <v>1556</v>
      </c>
      <c r="B69" s="941" t="s">
        <v>1621</v>
      </c>
      <c r="C69" s="941"/>
      <c r="D69" s="941"/>
      <c r="E69" s="232">
        <f>E47*E68</f>
        <v>3.3599999999999998E-4</v>
      </c>
      <c r="F69" s="219">
        <f>$F$27*(E68*8%)</f>
        <v>0</v>
      </c>
    </row>
    <row r="70" spans="1:6" ht="41.45" customHeight="1">
      <c r="A70" s="212" t="s">
        <v>1559</v>
      </c>
      <c r="B70" s="941" t="s">
        <v>1684</v>
      </c>
      <c r="C70" s="941"/>
      <c r="D70" s="941"/>
      <c r="E70" s="233">
        <f>(8%*40%)*90%*(1+8.33%+12.1%)</f>
        <v>3.4683840000000001E-2</v>
      </c>
      <c r="F70" s="219">
        <f>$F$27*E70</f>
        <v>0</v>
      </c>
    </row>
    <row r="71" spans="1:6" ht="15" customHeight="1">
      <c r="A71" s="212" t="s">
        <v>1562</v>
      </c>
      <c r="B71" s="941" t="s">
        <v>1623</v>
      </c>
      <c r="C71" s="941"/>
      <c r="D71" s="941"/>
      <c r="E71" s="234">
        <v>4.0000000000000002E-4</v>
      </c>
      <c r="F71" s="219">
        <f>$F$27*E71</f>
        <v>0</v>
      </c>
    </row>
    <row r="72" spans="1:6" ht="27.6" customHeight="1">
      <c r="A72" s="212" t="s">
        <v>1581</v>
      </c>
      <c r="B72" s="941" t="s">
        <v>1624</v>
      </c>
      <c r="C72" s="941"/>
      <c r="D72" s="941"/>
      <c r="E72" s="232">
        <f>E71*E48</f>
        <v>6.6920000000000003E-5</v>
      </c>
      <c r="F72" s="219">
        <f>E48*F71</f>
        <v>0</v>
      </c>
    </row>
    <row r="73" spans="1:6" ht="15" customHeight="1">
      <c r="A73" s="212" t="s">
        <v>1583</v>
      </c>
      <c r="B73" s="941" t="s">
        <v>1625</v>
      </c>
      <c r="C73" s="941"/>
      <c r="D73" s="941"/>
      <c r="E73" s="232">
        <v>5.3E-3</v>
      </c>
      <c r="F73" s="219">
        <f>$F$27*E73</f>
        <v>0</v>
      </c>
    </row>
    <row r="74" spans="1:6" ht="15" customHeight="1">
      <c r="A74" s="942" t="s">
        <v>15</v>
      </c>
      <c r="B74" s="942"/>
      <c r="C74" s="942"/>
      <c r="D74" s="942"/>
      <c r="E74" s="235">
        <f>E68+E69+E70+E71+E72+E73</f>
        <v>4.4986759999999994E-2</v>
      </c>
      <c r="F74" s="221">
        <f>SUM(F68:F73)</f>
        <v>0</v>
      </c>
    </row>
    <row r="75" spans="1:6" ht="15" customHeight="1">
      <c r="A75" s="943"/>
      <c r="B75" s="944"/>
      <c r="C75" s="944"/>
      <c r="D75" s="944"/>
      <c r="E75" s="944"/>
      <c r="F75" s="945"/>
    </row>
    <row r="76" spans="1:6" ht="15" customHeight="1">
      <c r="A76" s="946" t="s">
        <v>1626</v>
      </c>
      <c r="B76" s="946"/>
      <c r="C76" s="946"/>
      <c r="D76" s="946"/>
      <c r="E76" s="946"/>
      <c r="F76" s="946"/>
    </row>
    <row r="77" spans="1:6" ht="15" customHeight="1">
      <c r="A77" s="946" t="s">
        <v>1627</v>
      </c>
      <c r="B77" s="946"/>
      <c r="C77" s="946"/>
      <c r="D77" s="946"/>
      <c r="E77" s="946"/>
      <c r="F77" s="946"/>
    </row>
    <row r="78" spans="1:6" ht="15" customHeight="1">
      <c r="A78" s="211" t="s">
        <v>1292</v>
      </c>
      <c r="B78" s="942" t="s">
        <v>1628</v>
      </c>
      <c r="C78" s="942"/>
      <c r="D78" s="942"/>
      <c r="E78" s="211" t="s">
        <v>1588</v>
      </c>
      <c r="F78" s="211" t="s">
        <v>1576</v>
      </c>
    </row>
    <row r="79" spans="1:6" ht="15" customHeight="1">
      <c r="A79" s="212" t="s">
        <v>1554</v>
      </c>
      <c r="B79" s="941" t="s">
        <v>1629</v>
      </c>
      <c r="C79" s="941"/>
      <c r="D79" s="941"/>
      <c r="E79" s="232">
        <v>9.2999999999999992E-3</v>
      </c>
      <c r="F79" s="219">
        <f>SUM(F$27*E79)</f>
        <v>0</v>
      </c>
    </row>
    <row r="80" spans="1:6" ht="15" customHeight="1">
      <c r="A80" s="212" t="s">
        <v>1556</v>
      </c>
      <c r="B80" s="941" t="s">
        <v>1630</v>
      </c>
      <c r="C80" s="941"/>
      <c r="D80" s="941"/>
      <c r="E80" s="234">
        <v>1E-3</v>
      </c>
      <c r="F80" s="219">
        <f>$F$27*E80</f>
        <v>0</v>
      </c>
    </row>
    <row r="81" spans="1:6" ht="15" customHeight="1">
      <c r="A81" s="212" t="s">
        <v>1559</v>
      </c>
      <c r="B81" s="941" t="s">
        <v>1631</v>
      </c>
      <c r="C81" s="941"/>
      <c r="D81" s="941"/>
      <c r="E81" s="232">
        <v>8.0000000000000004E-4</v>
      </c>
      <c r="F81" s="219">
        <f>$F$27*E81</f>
        <v>0</v>
      </c>
    </row>
    <row r="82" spans="1:6" ht="15" customHeight="1">
      <c r="A82" s="212" t="s">
        <v>1562</v>
      </c>
      <c r="B82" s="941" t="s">
        <v>1632</v>
      </c>
      <c r="C82" s="941"/>
      <c r="D82" s="941"/>
      <c r="E82" s="232">
        <v>2.9999999999999997E-4</v>
      </c>
      <c r="F82" s="219">
        <f>$F$27*E82</f>
        <v>0</v>
      </c>
    </row>
    <row r="83" spans="1:6" ht="15" customHeight="1">
      <c r="A83" s="212" t="s">
        <v>1581</v>
      </c>
      <c r="B83" s="941" t="s">
        <v>1633</v>
      </c>
      <c r="C83" s="941"/>
      <c r="D83" s="941"/>
      <c r="E83" s="232">
        <v>2.9999999999999997E-4</v>
      </c>
      <c r="F83" s="219">
        <f>$F$27*E83</f>
        <v>0</v>
      </c>
    </row>
    <row r="84" spans="1:6" ht="15" customHeight="1">
      <c r="A84" s="212" t="s">
        <v>1583</v>
      </c>
      <c r="B84" s="941" t="s">
        <v>1634</v>
      </c>
      <c r="C84" s="941"/>
      <c r="D84" s="941"/>
      <c r="E84" s="232">
        <v>1.3899999999999999E-2</v>
      </c>
      <c r="F84" s="219">
        <f>$F$27*E84</f>
        <v>0</v>
      </c>
    </row>
    <row r="85" spans="1:6" ht="15" customHeight="1">
      <c r="A85" s="942" t="s">
        <v>1605</v>
      </c>
      <c r="B85" s="942"/>
      <c r="C85" s="942"/>
      <c r="D85" s="942"/>
      <c r="E85" s="235">
        <f>SUM(E79:E84)</f>
        <v>2.5599999999999998E-2</v>
      </c>
      <c r="F85" s="221">
        <f>SUM(F79:F84)</f>
        <v>0</v>
      </c>
    </row>
    <row r="86" spans="1:6" ht="15" customHeight="1">
      <c r="A86" s="943"/>
      <c r="B86" s="944"/>
      <c r="C86" s="944"/>
      <c r="D86" s="944"/>
      <c r="E86" s="944"/>
      <c r="F86" s="945"/>
    </row>
    <row r="87" spans="1:6" ht="15" customHeight="1">
      <c r="A87" s="946" t="s">
        <v>1635</v>
      </c>
      <c r="B87" s="946"/>
      <c r="C87" s="946"/>
      <c r="D87" s="946"/>
      <c r="E87" s="946"/>
      <c r="F87" s="946"/>
    </row>
    <row r="88" spans="1:6" ht="15" customHeight="1">
      <c r="A88" s="211" t="s">
        <v>1293</v>
      </c>
      <c r="B88" s="942" t="s">
        <v>1636</v>
      </c>
      <c r="C88" s="942"/>
      <c r="D88" s="942"/>
      <c r="E88" s="942"/>
      <c r="F88" s="211" t="s">
        <v>1576</v>
      </c>
    </row>
    <row r="89" spans="1:6" ht="15" customHeight="1">
      <c r="A89" s="212" t="s">
        <v>1554</v>
      </c>
      <c r="B89" s="941" t="s">
        <v>1637</v>
      </c>
      <c r="C89" s="941"/>
      <c r="D89" s="941"/>
      <c r="E89" s="941"/>
      <c r="F89" s="219">
        <v>0</v>
      </c>
    </row>
    <row r="90" spans="1:6" ht="15" customHeight="1">
      <c r="A90" s="942" t="s">
        <v>15</v>
      </c>
      <c r="B90" s="942"/>
      <c r="C90" s="942"/>
      <c r="D90" s="942"/>
      <c r="E90" s="942"/>
      <c r="F90" s="219">
        <f>SUM(F89)</f>
        <v>0</v>
      </c>
    </row>
    <row r="91" spans="1:6" ht="15" customHeight="1">
      <c r="A91" s="943"/>
      <c r="B91" s="944"/>
      <c r="C91" s="944"/>
      <c r="D91" s="944"/>
      <c r="E91" s="944"/>
      <c r="F91" s="945"/>
    </row>
    <row r="92" spans="1:6" ht="15" customHeight="1">
      <c r="A92" s="946" t="s">
        <v>1638</v>
      </c>
      <c r="B92" s="946"/>
      <c r="C92" s="946"/>
      <c r="D92" s="946"/>
      <c r="E92" s="946"/>
      <c r="F92" s="946"/>
    </row>
    <row r="93" spans="1:6" ht="15" customHeight="1">
      <c r="A93" s="211">
        <v>4</v>
      </c>
      <c r="B93" s="942" t="s">
        <v>1639</v>
      </c>
      <c r="C93" s="942"/>
      <c r="D93" s="942"/>
      <c r="E93" s="942"/>
      <c r="F93" s="211" t="s">
        <v>1576</v>
      </c>
    </row>
    <row r="94" spans="1:6" ht="15" customHeight="1">
      <c r="A94" s="212" t="s">
        <v>1292</v>
      </c>
      <c r="B94" s="941" t="s">
        <v>1628</v>
      </c>
      <c r="C94" s="941"/>
      <c r="D94" s="941"/>
      <c r="E94" s="941"/>
      <c r="F94" s="219">
        <f>F85</f>
        <v>0</v>
      </c>
    </row>
    <row r="95" spans="1:6" ht="15" customHeight="1">
      <c r="A95" s="212" t="s">
        <v>1293</v>
      </c>
      <c r="B95" s="941" t="s">
        <v>1636</v>
      </c>
      <c r="C95" s="941"/>
      <c r="D95" s="941"/>
      <c r="E95" s="941"/>
      <c r="F95" s="219">
        <f>F90</f>
        <v>0</v>
      </c>
    </row>
    <row r="96" spans="1:6" ht="15" customHeight="1">
      <c r="A96" s="942" t="s">
        <v>15</v>
      </c>
      <c r="B96" s="942"/>
      <c r="C96" s="942"/>
      <c r="D96" s="942"/>
      <c r="E96" s="942"/>
      <c r="F96" s="219">
        <f>SUM(F94:F95)</f>
        <v>0</v>
      </c>
    </row>
    <row r="97" spans="1:6" ht="15" customHeight="1">
      <c r="A97" s="943"/>
      <c r="B97" s="944"/>
      <c r="C97" s="944"/>
      <c r="D97" s="944"/>
      <c r="E97" s="944"/>
      <c r="F97" s="945"/>
    </row>
    <row r="98" spans="1:6" ht="15" customHeight="1">
      <c r="A98" s="946" t="s">
        <v>1640</v>
      </c>
      <c r="B98" s="946"/>
      <c r="C98" s="946"/>
      <c r="D98" s="946"/>
      <c r="E98" s="946"/>
      <c r="F98" s="946"/>
    </row>
    <row r="99" spans="1:6" ht="15" customHeight="1">
      <c r="A99" s="211">
        <v>5</v>
      </c>
      <c r="B99" s="942" t="s">
        <v>1641</v>
      </c>
      <c r="C99" s="942"/>
      <c r="D99" s="942"/>
      <c r="E99" s="942"/>
      <c r="F99" s="211" t="s">
        <v>1576</v>
      </c>
    </row>
    <row r="100" spans="1:6" ht="15" customHeight="1">
      <c r="A100" s="212" t="s">
        <v>1554</v>
      </c>
      <c r="B100" s="941" t="s">
        <v>1642</v>
      </c>
      <c r="C100" s="941"/>
      <c r="D100" s="941"/>
      <c r="E100" s="941"/>
      <c r="F100" s="223"/>
    </row>
    <row r="101" spans="1:6" ht="15" customHeight="1">
      <c r="A101" s="212" t="s">
        <v>1556</v>
      </c>
      <c r="B101" s="941" t="s">
        <v>1643</v>
      </c>
      <c r="C101" s="941"/>
      <c r="D101" s="941"/>
      <c r="E101" s="941"/>
      <c r="F101" s="223"/>
    </row>
    <row r="102" spans="1:6" ht="15" customHeight="1">
      <c r="A102" s="212" t="s">
        <v>1559</v>
      </c>
      <c r="B102" s="941" t="s">
        <v>1644</v>
      </c>
      <c r="C102" s="941"/>
      <c r="D102" s="941"/>
      <c r="E102" s="941"/>
      <c r="F102" s="223"/>
    </row>
    <row r="103" spans="1:6" ht="15" customHeight="1">
      <c r="A103" s="212" t="s">
        <v>1562</v>
      </c>
      <c r="B103" s="941" t="s">
        <v>1584</v>
      </c>
      <c r="C103" s="941"/>
      <c r="D103" s="941"/>
      <c r="E103" s="941"/>
      <c r="F103" s="219">
        <v>0</v>
      </c>
    </row>
    <row r="104" spans="1:6" ht="15" customHeight="1">
      <c r="A104" s="942" t="s">
        <v>1605</v>
      </c>
      <c r="B104" s="942"/>
      <c r="C104" s="942"/>
      <c r="D104" s="942"/>
      <c r="E104" s="942"/>
      <c r="F104" s="221">
        <f>SUM(F100:F103)</f>
        <v>0</v>
      </c>
    </row>
    <row r="105" spans="1:6" ht="15" customHeight="1">
      <c r="A105" s="943"/>
      <c r="B105" s="944"/>
      <c r="C105" s="944"/>
      <c r="D105" s="944"/>
      <c r="E105" s="944"/>
      <c r="F105" s="945"/>
    </row>
    <row r="106" spans="1:6" ht="15" customHeight="1">
      <c r="A106" s="946" t="s">
        <v>1645</v>
      </c>
      <c r="B106" s="946"/>
      <c r="C106" s="946"/>
      <c r="D106" s="946"/>
      <c r="E106" s="946"/>
      <c r="F106" s="946"/>
    </row>
    <row r="107" spans="1:6" ht="15" customHeight="1">
      <c r="A107" s="211">
        <v>6</v>
      </c>
      <c r="B107" s="942" t="s">
        <v>1646</v>
      </c>
      <c r="C107" s="942"/>
      <c r="D107" s="942"/>
      <c r="E107" s="211" t="s">
        <v>1588</v>
      </c>
      <c r="F107" s="211" t="s">
        <v>1576</v>
      </c>
    </row>
    <row r="108" spans="1:6" ht="15" customHeight="1">
      <c r="A108" s="212" t="s">
        <v>1554</v>
      </c>
      <c r="B108" s="941" t="s">
        <v>1647</v>
      </c>
      <c r="C108" s="941"/>
      <c r="D108" s="941"/>
      <c r="E108" s="236">
        <v>2.3222E-2</v>
      </c>
      <c r="F108" s="219">
        <f>(F104+F96+F74+F64+F27)*E108</f>
        <v>0</v>
      </c>
    </row>
    <row r="109" spans="1:6" ht="15" customHeight="1">
      <c r="A109" s="212" t="s">
        <v>1556</v>
      </c>
      <c r="B109" s="941" t="s">
        <v>1648</v>
      </c>
      <c r="C109" s="941"/>
      <c r="D109" s="941"/>
      <c r="E109" s="236">
        <f>E108</f>
        <v>2.3222E-2</v>
      </c>
      <c r="F109" s="219">
        <f>(F104+F96+F74+F64+F27+F108)*E109</f>
        <v>0</v>
      </c>
    </row>
    <row r="110" spans="1:6" s="240" customFormat="1" ht="15" customHeight="1">
      <c r="A110" s="237" t="s">
        <v>1559</v>
      </c>
      <c r="B110" s="950" t="s">
        <v>1649</v>
      </c>
      <c r="C110" s="950"/>
      <c r="D110" s="950"/>
      <c r="E110" s="238">
        <f>SUM(E111:E113)</f>
        <v>0.13150000000000001</v>
      </c>
      <c r="F110" s="239"/>
    </row>
    <row r="111" spans="1:6" ht="15" customHeight="1">
      <c r="A111" s="212"/>
      <c r="B111" s="941" t="s">
        <v>1650</v>
      </c>
      <c r="C111" s="941"/>
      <c r="D111" s="941"/>
      <c r="E111" s="218">
        <f>0.65%+3%</f>
        <v>3.6499999999999998E-2</v>
      </c>
      <c r="F111" s="219">
        <f>((F104+F96+F74+F64+F27+F108+F109)/(1-E110)*E111)</f>
        <v>0</v>
      </c>
    </row>
    <row r="112" spans="1:6" ht="15" customHeight="1">
      <c r="A112" s="212"/>
      <c r="B112" s="941" t="s">
        <v>1651</v>
      </c>
      <c r="C112" s="941"/>
      <c r="D112" s="941"/>
      <c r="E112" s="218">
        <v>4.4999999999999998E-2</v>
      </c>
      <c r="F112" s="219">
        <f>((F104+F96+F74+F64+F27+F108+F109)/(1-E110)*E112)</f>
        <v>0</v>
      </c>
    </row>
    <row r="113" spans="1:6" ht="15" customHeight="1">
      <c r="A113" s="212"/>
      <c r="B113" s="941" t="s">
        <v>1652</v>
      </c>
      <c r="C113" s="941"/>
      <c r="D113" s="941"/>
      <c r="E113" s="218">
        <v>0.05</v>
      </c>
      <c r="F113" s="219">
        <f>((F104+F96+F74+F64+F27+F108+F109)/(1-E110)*E113)</f>
        <v>0</v>
      </c>
    </row>
    <row r="114" spans="1:6" ht="15" customHeight="1">
      <c r="A114" s="942" t="s">
        <v>1605</v>
      </c>
      <c r="B114" s="942"/>
      <c r="C114" s="942"/>
      <c r="D114" s="942"/>
      <c r="E114" s="220">
        <f>SUM(E108:E110)</f>
        <v>0.17794399999999999</v>
      </c>
      <c r="F114" s="221">
        <f>SUM(F108:F113)</f>
        <v>0</v>
      </c>
    </row>
    <row r="115" spans="1:6" ht="15" customHeight="1">
      <c r="A115" s="943"/>
      <c r="B115" s="944"/>
      <c r="C115" s="944"/>
      <c r="D115" s="944"/>
      <c r="E115" s="944"/>
      <c r="F115" s="945"/>
    </row>
    <row r="116" spans="1:6" ht="15" customHeight="1">
      <c r="A116" s="946" t="s">
        <v>1653</v>
      </c>
      <c r="B116" s="946"/>
      <c r="C116" s="946"/>
      <c r="D116" s="946"/>
      <c r="E116" s="946"/>
      <c r="F116" s="946"/>
    </row>
    <row r="117" spans="1:6" ht="15" customHeight="1">
      <c r="A117" s="942" t="s">
        <v>1654</v>
      </c>
      <c r="B117" s="942"/>
      <c r="C117" s="942"/>
      <c r="D117" s="942"/>
      <c r="E117" s="942"/>
      <c r="F117" s="287" t="s">
        <v>1576</v>
      </c>
    </row>
    <row r="118" spans="1:6" ht="15" customHeight="1">
      <c r="A118" s="211" t="s">
        <v>1554</v>
      </c>
      <c r="B118" s="941" t="s">
        <v>1574</v>
      </c>
      <c r="C118" s="941"/>
      <c r="D118" s="941"/>
      <c r="E118" s="941"/>
      <c r="F118" s="214">
        <f>F27</f>
        <v>0</v>
      </c>
    </row>
    <row r="119" spans="1:6" ht="15" customHeight="1">
      <c r="A119" s="211" t="s">
        <v>1556</v>
      </c>
      <c r="B119" s="941" t="s">
        <v>1585</v>
      </c>
      <c r="C119" s="941"/>
      <c r="D119" s="941"/>
      <c r="E119" s="941"/>
      <c r="F119" s="214">
        <f>F64</f>
        <v>0</v>
      </c>
    </row>
    <row r="120" spans="1:6" ht="15" customHeight="1">
      <c r="A120" s="211" t="s">
        <v>1559</v>
      </c>
      <c r="B120" s="941" t="s">
        <v>1618</v>
      </c>
      <c r="C120" s="941"/>
      <c r="D120" s="941"/>
      <c r="E120" s="941"/>
      <c r="F120" s="214">
        <f>F74</f>
        <v>0</v>
      </c>
    </row>
    <row r="121" spans="1:6" ht="15" customHeight="1">
      <c r="A121" s="211" t="s">
        <v>1562</v>
      </c>
      <c r="B121" s="941" t="s">
        <v>1626</v>
      </c>
      <c r="C121" s="941"/>
      <c r="D121" s="941"/>
      <c r="E121" s="941"/>
      <c r="F121" s="214">
        <f>F96</f>
        <v>0</v>
      </c>
    </row>
    <row r="122" spans="1:6" ht="15" customHeight="1">
      <c r="A122" s="211" t="s">
        <v>1581</v>
      </c>
      <c r="B122" s="941" t="s">
        <v>1640</v>
      </c>
      <c r="C122" s="941"/>
      <c r="D122" s="941"/>
      <c r="E122" s="941"/>
      <c r="F122" s="214">
        <f>F104</f>
        <v>0</v>
      </c>
    </row>
    <row r="123" spans="1:6" ht="15" customHeight="1">
      <c r="A123" s="942" t="s">
        <v>1655</v>
      </c>
      <c r="B123" s="942"/>
      <c r="C123" s="942"/>
      <c r="D123" s="942"/>
      <c r="E123" s="942"/>
      <c r="F123" s="217">
        <f>SUM(F118:F122)</f>
        <v>0</v>
      </c>
    </row>
    <row r="124" spans="1:6" ht="15" customHeight="1">
      <c r="A124" s="211" t="s">
        <v>1583</v>
      </c>
      <c r="B124" s="941" t="s">
        <v>1656</v>
      </c>
      <c r="C124" s="941"/>
      <c r="D124" s="941"/>
      <c r="E124" s="941"/>
      <c r="F124" s="214">
        <f>F114</f>
        <v>0</v>
      </c>
    </row>
    <row r="125" spans="1:6" ht="15" customHeight="1">
      <c r="A125" s="942" t="s">
        <v>1657</v>
      </c>
      <c r="B125" s="942"/>
      <c r="C125" s="942"/>
      <c r="D125" s="942"/>
      <c r="E125" s="942"/>
      <c r="F125" s="241">
        <f>SUM(F123:F124)</f>
        <v>0</v>
      </c>
    </row>
    <row r="126" spans="1:6" ht="15" customHeight="1">
      <c r="A126" s="943"/>
      <c r="B126" s="944"/>
      <c r="C126" s="944"/>
      <c r="D126" s="944"/>
      <c r="E126" s="944"/>
      <c r="F126" s="945"/>
    </row>
    <row r="127" spans="1:6" ht="15" customHeight="1">
      <c r="A127" s="946" t="s">
        <v>1658</v>
      </c>
      <c r="B127" s="946"/>
      <c r="C127" s="946"/>
      <c r="D127" s="946"/>
      <c r="E127" s="946"/>
      <c r="F127" s="946"/>
    </row>
    <row r="128" spans="1:6" ht="48" customHeight="1">
      <c r="A128" s="947" t="s">
        <v>1659</v>
      </c>
      <c r="B128" s="947"/>
      <c r="C128" s="242" t="s">
        <v>1660</v>
      </c>
      <c r="D128" s="242" t="s">
        <v>1661</v>
      </c>
      <c r="E128" s="242" t="s">
        <v>1662</v>
      </c>
      <c r="F128" s="242" t="s">
        <v>1663</v>
      </c>
    </row>
    <row r="129" spans="1:6" ht="15" customHeight="1">
      <c r="A129" s="948" t="str">
        <f>E13</f>
        <v>Brigada</v>
      </c>
      <c r="B129" s="948"/>
      <c r="C129" s="243">
        <v>2</v>
      </c>
      <c r="D129" s="244">
        <f>F125*C129</f>
        <v>0</v>
      </c>
      <c r="E129" s="243">
        <v>3</v>
      </c>
      <c r="F129" s="244">
        <f>D129*E129</f>
        <v>0</v>
      </c>
    </row>
    <row r="130" spans="1:6" ht="15" customHeight="1">
      <c r="A130" s="935" t="s">
        <v>1664</v>
      </c>
      <c r="B130" s="935"/>
      <c r="C130" s="935"/>
      <c r="D130" s="935"/>
      <c r="E130" s="935"/>
      <c r="F130" s="245">
        <f>SUM(F129:F129)</f>
        <v>0</v>
      </c>
    </row>
    <row r="131" spans="1:6" ht="15" customHeight="1">
      <c r="A131" s="936"/>
      <c r="B131" s="937"/>
      <c r="C131" s="937"/>
      <c r="D131" s="937"/>
      <c r="E131" s="937"/>
      <c r="F131" s="938"/>
    </row>
    <row r="132" spans="1:6" ht="15" customHeight="1">
      <c r="A132" s="939" t="s">
        <v>1665</v>
      </c>
      <c r="B132" s="939"/>
      <c r="C132" s="939"/>
      <c r="D132" s="939"/>
      <c r="E132" s="939"/>
      <c r="F132" s="939"/>
    </row>
    <row r="133" spans="1:6" ht="15" customHeight="1">
      <c r="A133" s="940" t="s">
        <v>1666</v>
      </c>
      <c r="B133" s="940"/>
      <c r="C133" s="940"/>
      <c r="D133" s="940"/>
      <c r="E133" s="940"/>
      <c r="F133" s="940"/>
    </row>
    <row r="134" spans="1:6" ht="15" customHeight="1">
      <c r="A134" s="940" t="s">
        <v>1</v>
      </c>
      <c r="B134" s="940"/>
      <c r="C134" s="940"/>
      <c r="D134" s="940"/>
      <c r="E134" s="940"/>
      <c r="F134" s="246" t="s">
        <v>1667</v>
      </c>
    </row>
    <row r="135" spans="1:6" ht="15" customHeight="1">
      <c r="A135" s="247" t="s">
        <v>1554</v>
      </c>
      <c r="B135" s="932" t="s">
        <v>1668</v>
      </c>
      <c r="C135" s="932"/>
      <c r="D135" s="932"/>
      <c r="E135" s="932"/>
      <c r="F135" s="248">
        <f>D129</f>
        <v>0</v>
      </c>
    </row>
    <row r="136" spans="1:6" ht="15" customHeight="1">
      <c r="A136" s="247" t="s">
        <v>1556</v>
      </c>
      <c r="B136" s="932" t="s">
        <v>1669</v>
      </c>
      <c r="C136" s="932"/>
      <c r="D136" s="932"/>
      <c r="E136" s="932"/>
      <c r="F136" s="248">
        <f>F130</f>
        <v>0</v>
      </c>
    </row>
    <row r="137" spans="1:6" ht="15" customHeight="1">
      <c r="A137" s="249" t="s">
        <v>1559</v>
      </c>
      <c r="B137" s="933" t="s">
        <v>1670</v>
      </c>
      <c r="C137" s="933"/>
      <c r="D137" s="933"/>
      <c r="E137" s="933"/>
      <c r="F137" s="250">
        <f>F136*12</f>
        <v>0</v>
      </c>
    </row>
    <row r="138" spans="1:6" ht="15" customHeight="1" thickBot="1">
      <c r="A138" s="934"/>
      <c r="B138" s="934"/>
      <c r="C138" s="934"/>
      <c r="D138" s="934"/>
      <c r="E138" s="934"/>
      <c r="F138" s="934"/>
    </row>
    <row r="139" spans="1:6" ht="15" customHeight="1">
      <c r="A139" s="251"/>
      <c r="B139" s="252"/>
      <c r="C139" s="252"/>
      <c r="D139" s="252"/>
      <c r="E139" s="253"/>
      <c r="F139" s="254" t="s">
        <v>1671</v>
      </c>
    </row>
    <row r="140" spans="1:6" ht="15" customHeight="1">
      <c r="A140" s="255" t="s">
        <v>1672</v>
      </c>
      <c r="B140" s="256" t="s">
        <v>1673</v>
      </c>
      <c r="C140" s="256"/>
      <c r="D140" s="257">
        <v>-1</v>
      </c>
      <c r="E140" s="258">
        <f>(1+E146)*(1+E147)/(1-E148)-1</f>
        <v>0.27361549734324697</v>
      </c>
      <c r="F140" s="259"/>
    </row>
    <row r="141" spans="1:6" ht="15" customHeight="1">
      <c r="A141" s="260"/>
      <c r="B141" s="261" t="s">
        <v>1674</v>
      </c>
      <c r="C141" s="261"/>
      <c r="D141" s="257"/>
      <c r="E141" s="262"/>
      <c r="F141" s="263"/>
    </row>
    <row r="142" spans="1:6" ht="15" customHeight="1" thickBot="1">
      <c r="A142" s="264"/>
      <c r="B142" s="265"/>
      <c r="C142" s="265"/>
      <c r="D142" s="265"/>
      <c r="E142" s="266"/>
      <c r="F142" s="267"/>
    </row>
    <row r="143" spans="1:6" ht="15" customHeight="1">
      <c r="A143" s="268"/>
      <c r="B143" s="269"/>
      <c r="C143" s="269"/>
      <c r="D143" s="269"/>
      <c r="E143" s="270"/>
      <c r="F143" s="263"/>
    </row>
    <row r="144" spans="1:6" ht="15" customHeight="1">
      <c r="A144" s="271"/>
      <c r="B144" s="272" t="s">
        <v>1675</v>
      </c>
      <c r="C144" s="272"/>
      <c r="D144" s="272"/>
      <c r="E144" s="273"/>
      <c r="F144" s="274">
        <f>E36+E48+E74+E85</f>
        <v>0.47636614999999999</v>
      </c>
    </row>
    <row r="145" spans="1:6" ht="15" customHeight="1">
      <c r="A145" s="271"/>
      <c r="B145" s="272"/>
      <c r="C145" s="272"/>
      <c r="D145" s="272"/>
      <c r="E145" s="273"/>
      <c r="F145" s="275"/>
    </row>
    <row r="146" spans="1:6" ht="15" customHeight="1">
      <c r="A146" s="276" t="s">
        <v>1676</v>
      </c>
      <c r="B146" s="277" t="s">
        <v>1677</v>
      </c>
      <c r="C146" s="278"/>
      <c r="D146" s="272"/>
      <c r="E146" s="279">
        <f>E108</f>
        <v>2.3222E-2</v>
      </c>
      <c r="F146" s="263"/>
    </row>
    <row r="147" spans="1:6" ht="15" customHeight="1">
      <c r="A147" s="276" t="s">
        <v>1678</v>
      </c>
      <c r="B147" s="277" t="s">
        <v>1679</v>
      </c>
      <c r="C147" s="278"/>
      <c r="D147" s="272"/>
      <c r="E147" s="279">
        <f>E109</f>
        <v>2.3222E-2</v>
      </c>
      <c r="F147" s="263"/>
    </row>
    <row r="148" spans="1:6" ht="15" customHeight="1" thickBot="1">
      <c r="A148" s="280" t="s">
        <v>1680</v>
      </c>
      <c r="B148" s="281" t="s">
        <v>1681</v>
      </c>
      <c r="C148" s="282"/>
      <c r="D148" s="283"/>
      <c r="E148" s="284">
        <f>E114</f>
        <v>0.17794399999999999</v>
      </c>
      <c r="F148" s="285"/>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E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D78F0-1979-45AB-9191-DCDA3A313259}">
  <sheetPr>
    <tabColor rgb="FFFF0000"/>
  </sheetPr>
  <dimension ref="A1:G148"/>
  <sheetViews>
    <sheetView showGridLines="0" view="pageBreakPreview" zoomScaleNormal="115" zoomScaleSheetLayoutView="100" workbookViewId="0">
      <selection activeCell="A2" sqref="A2:F2"/>
    </sheetView>
  </sheetViews>
  <sheetFormatPr defaultColWidth="9.140625" defaultRowHeight="15" customHeight="1"/>
  <cols>
    <col min="1" max="1" width="5.5703125" style="207" customWidth="1"/>
    <col min="2" max="2" width="23.140625" style="207" customWidth="1"/>
    <col min="3" max="3" width="13.85546875" style="207" customWidth="1"/>
    <col min="4" max="4" width="23.140625" style="207" customWidth="1"/>
    <col min="5" max="5" width="17.42578125" style="207" customWidth="1"/>
    <col min="6" max="6" width="23.85546875" style="207" customWidth="1"/>
    <col min="7" max="7" width="8.5703125" style="207" customWidth="1"/>
    <col min="8" max="9" width="6.42578125" style="207" customWidth="1"/>
    <col min="10" max="16384" width="9.140625" style="207"/>
  </cols>
  <sheetData>
    <row r="1" spans="1:6" ht="15" customHeight="1">
      <c r="A1" s="978" t="s">
        <v>1550</v>
      </c>
      <c r="B1" s="978"/>
      <c r="C1" s="978"/>
      <c r="D1" s="978"/>
      <c r="E1" s="978"/>
      <c r="F1" s="978"/>
    </row>
    <row r="2" spans="1:6" ht="15" customHeight="1">
      <c r="A2" s="979"/>
      <c r="B2" s="979"/>
      <c r="C2" s="979"/>
      <c r="D2" s="979"/>
      <c r="E2" s="979"/>
      <c r="F2" s="979"/>
    </row>
    <row r="3" spans="1:6" ht="15" customHeight="1">
      <c r="A3" s="979"/>
      <c r="B3" s="979"/>
      <c r="C3" s="979"/>
      <c r="D3" s="979"/>
      <c r="E3" s="979"/>
      <c r="F3" s="979"/>
    </row>
    <row r="4" spans="1:6" ht="15" customHeight="1">
      <c r="A4" s="974"/>
      <c r="B4" s="974"/>
      <c r="C4" s="974"/>
      <c r="D4" s="974"/>
      <c r="E4" s="974"/>
      <c r="F4" s="974"/>
    </row>
    <row r="5" spans="1:6" ht="15" customHeight="1">
      <c r="A5" s="974" t="s">
        <v>1552</v>
      </c>
      <c r="B5" s="974"/>
      <c r="C5" s="974"/>
      <c r="D5" s="974"/>
      <c r="E5" s="974"/>
      <c r="F5" s="974"/>
    </row>
    <row r="6" spans="1:6" ht="15" customHeight="1">
      <c r="A6" s="960" t="s">
        <v>1553</v>
      </c>
      <c r="B6" s="960"/>
      <c r="C6" s="960"/>
      <c r="D6" s="960"/>
      <c r="E6" s="960"/>
      <c r="F6" s="960"/>
    </row>
    <row r="7" spans="1:6" ht="15" customHeight="1">
      <c r="A7" s="208" t="s">
        <v>1554</v>
      </c>
      <c r="B7" s="972" t="s">
        <v>1555</v>
      </c>
      <c r="C7" s="972"/>
      <c r="D7" s="972"/>
      <c r="E7" s="973">
        <v>45244</v>
      </c>
      <c r="F7" s="973"/>
    </row>
    <row r="8" spans="1:6" ht="15" customHeight="1">
      <c r="A8" s="208" t="s">
        <v>1556</v>
      </c>
      <c r="B8" s="972" t="s">
        <v>1557</v>
      </c>
      <c r="C8" s="972"/>
      <c r="D8" s="972"/>
      <c r="E8" s="974" t="s">
        <v>1558</v>
      </c>
      <c r="F8" s="974"/>
    </row>
    <row r="9" spans="1:6" ht="15" customHeight="1">
      <c r="A9" s="208" t="s">
        <v>1559</v>
      </c>
      <c r="B9" s="975" t="s">
        <v>1560</v>
      </c>
      <c r="C9" s="975"/>
      <c r="D9" s="975"/>
      <c r="E9" s="976" t="e">
        <f>#REF!</f>
        <v>#REF!</v>
      </c>
      <c r="F9" s="977"/>
    </row>
    <row r="10" spans="1:6" ht="15" customHeight="1">
      <c r="A10" s="208" t="s">
        <v>1562</v>
      </c>
      <c r="B10" s="972" t="s">
        <v>1563</v>
      </c>
      <c r="C10" s="972"/>
      <c r="D10" s="972"/>
      <c r="E10" s="974" t="s">
        <v>1564</v>
      </c>
      <c r="F10" s="974"/>
    </row>
    <row r="11" spans="1:6" ht="15" customHeight="1">
      <c r="A11" s="964"/>
      <c r="B11" s="965"/>
      <c r="C11" s="965"/>
      <c r="D11" s="965"/>
      <c r="E11" s="965"/>
      <c r="F11" s="966"/>
    </row>
    <row r="12" spans="1:6" ht="15" customHeight="1">
      <c r="A12" s="960" t="s">
        <v>1565</v>
      </c>
      <c r="B12" s="960"/>
      <c r="C12" s="960"/>
      <c r="D12" s="960"/>
      <c r="E12" s="960"/>
      <c r="F12" s="960"/>
    </row>
    <row r="13" spans="1:6" ht="15" customHeight="1">
      <c r="A13" s="209">
        <v>1</v>
      </c>
      <c r="B13" s="967" t="s">
        <v>1566</v>
      </c>
      <c r="C13" s="967"/>
      <c r="D13" s="967"/>
      <c r="E13" s="971" t="s">
        <v>1567</v>
      </c>
      <c r="F13" s="971"/>
    </row>
    <row r="14" spans="1:6" ht="15" customHeight="1">
      <c r="A14" s="209">
        <v>2</v>
      </c>
      <c r="B14" s="967" t="s">
        <v>1568</v>
      </c>
      <c r="C14" s="967"/>
      <c r="D14" s="967"/>
      <c r="E14" s="968" t="s">
        <v>1569</v>
      </c>
      <c r="F14" s="968"/>
    </row>
    <row r="15" spans="1:6" ht="15" customHeight="1">
      <c r="A15" s="209">
        <v>3</v>
      </c>
      <c r="B15" s="962" t="s">
        <v>1570</v>
      </c>
      <c r="C15" s="962"/>
      <c r="D15" s="962"/>
      <c r="E15" s="969">
        <v>4547.13</v>
      </c>
      <c r="F15" s="969"/>
    </row>
    <row r="16" spans="1:6" ht="16.149999999999999" customHeight="1">
      <c r="A16" s="209">
        <v>4</v>
      </c>
      <c r="B16" s="967" t="s">
        <v>1571</v>
      </c>
      <c r="C16" s="967"/>
      <c r="D16" s="967"/>
      <c r="E16" s="970" t="s">
        <v>1685</v>
      </c>
      <c r="F16" s="970"/>
    </row>
    <row r="17" spans="1:6" ht="15" customHeight="1">
      <c r="A17" s="209">
        <v>5</v>
      </c>
      <c r="B17" s="962" t="s">
        <v>1573</v>
      </c>
      <c r="C17" s="962"/>
      <c r="D17" s="962"/>
      <c r="E17" s="963">
        <v>45292</v>
      </c>
      <c r="F17" s="981"/>
    </row>
    <row r="18" spans="1:6" ht="15" customHeight="1">
      <c r="A18" s="964"/>
      <c r="B18" s="965"/>
      <c r="C18" s="965"/>
      <c r="D18" s="965"/>
      <c r="E18" s="965"/>
      <c r="F18" s="966"/>
    </row>
    <row r="19" spans="1:6" ht="15" customHeight="1">
      <c r="A19" s="960" t="s">
        <v>1574</v>
      </c>
      <c r="B19" s="960"/>
      <c r="C19" s="960"/>
      <c r="D19" s="960"/>
      <c r="E19" s="960"/>
      <c r="F19" s="960"/>
    </row>
    <row r="20" spans="1:6" ht="15" customHeight="1">
      <c r="A20" s="211">
        <v>1</v>
      </c>
      <c r="B20" s="956" t="s">
        <v>1575</v>
      </c>
      <c r="C20" s="957"/>
      <c r="D20" s="957"/>
      <c r="E20" s="958"/>
      <c r="F20" s="211" t="s">
        <v>1576</v>
      </c>
    </row>
    <row r="21" spans="1:6" ht="15" customHeight="1">
      <c r="A21" s="212" t="s">
        <v>1554</v>
      </c>
      <c r="B21" s="953" t="s">
        <v>1577</v>
      </c>
      <c r="C21" s="954"/>
      <c r="D21" s="955"/>
      <c r="E21" s="213">
        <v>1</v>
      </c>
      <c r="F21" s="219"/>
    </row>
    <row r="22" spans="1:6" ht="15" customHeight="1">
      <c r="A22" s="212" t="s">
        <v>1556</v>
      </c>
      <c r="B22" s="953" t="s">
        <v>1578</v>
      </c>
      <c r="C22" s="954"/>
      <c r="D22" s="955"/>
      <c r="E22" s="213">
        <v>0.3</v>
      </c>
      <c r="F22" s="219">
        <f>F21*E22</f>
        <v>0</v>
      </c>
    </row>
    <row r="23" spans="1:6" ht="15" customHeight="1">
      <c r="A23" s="212" t="s">
        <v>1559</v>
      </c>
      <c r="B23" s="953" t="s">
        <v>1579</v>
      </c>
      <c r="C23" s="954"/>
      <c r="D23" s="955"/>
      <c r="E23" s="213">
        <v>0</v>
      </c>
      <c r="F23" s="219"/>
    </row>
    <row r="24" spans="1:6" ht="15" customHeight="1">
      <c r="A24" s="212" t="s">
        <v>1562</v>
      </c>
      <c r="B24" s="953" t="s">
        <v>1580</v>
      </c>
      <c r="C24" s="954"/>
      <c r="D24" s="955"/>
      <c r="E24" s="213">
        <v>0</v>
      </c>
      <c r="F24" s="219">
        <f>SUM(F21,F22)/220*E24*8*13</f>
        <v>0</v>
      </c>
    </row>
    <row r="25" spans="1:6" ht="15" customHeight="1">
      <c r="A25" s="212" t="s">
        <v>1581</v>
      </c>
      <c r="B25" s="953" t="s">
        <v>1582</v>
      </c>
      <c r="C25" s="954"/>
      <c r="D25" s="955"/>
      <c r="E25" s="213">
        <v>0</v>
      </c>
      <c r="F25" s="219"/>
    </row>
    <row r="26" spans="1:6" ht="15" customHeight="1">
      <c r="A26" s="212" t="s">
        <v>1583</v>
      </c>
      <c r="B26" s="953" t="s">
        <v>1584</v>
      </c>
      <c r="C26" s="954"/>
      <c r="D26" s="955"/>
      <c r="E26" s="213">
        <v>0</v>
      </c>
      <c r="F26" s="219"/>
    </row>
    <row r="27" spans="1:6" ht="15" customHeight="1">
      <c r="A27" s="942" t="s">
        <v>15</v>
      </c>
      <c r="B27" s="942"/>
      <c r="C27" s="942"/>
      <c r="D27" s="942"/>
      <c r="E27" s="942"/>
      <c r="F27" s="221">
        <f>SUM(F21:F26)</f>
        <v>0</v>
      </c>
    </row>
    <row r="28" spans="1:6" ht="15" customHeight="1">
      <c r="A28" s="959"/>
      <c r="B28" s="959"/>
      <c r="C28" s="959"/>
      <c r="D28" s="959"/>
      <c r="E28" s="959"/>
      <c r="F28" s="959"/>
    </row>
    <row r="29" spans="1:6" ht="15" customHeight="1">
      <c r="A29" s="960" t="s">
        <v>1585</v>
      </c>
      <c r="B29" s="960"/>
      <c r="C29" s="960"/>
      <c r="D29" s="960"/>
      <c r="E29" s="960"/>
      <c r="F29" s="960"/>
    </row>
    <row r="30" spans="1:6" ht="15" customHeight="1">
      <c r="A30" s="961" t="s">
        <v>1586</v>
      </c>
      <c r="B30" s="961"/>
      <c r="C30" s="961"/>
      <c r="D30" s="961"/>
      <c r="E30" s="961"/>
      <c r="F30" s="961"/>
    </row>
    <row r="31" spans="1:6" ht="15" customHeight="1">
      <c r="A31" s="211" t="s">
        <v>710</v>
      </c>
      <c r="B31" s="949" t="s">
        <v>1587</v>
      </c>
      <c r="C31" s="949"/>
      <c r="D31" s="949"/>
      <c r="E31" s="211" t="s">
        <v>1588</v>
      </c>
      <c r="F31" s="211" t="s">
        <v>1576</v>
      </c>
    </row>
    <row r="32" spans="1:6" ht="15" customHeight="1">
      <c r="A32" s="212" t="s">
        <v>1554</v>
      </c>
      <c r="B32" s="941" t="s">
        <v>1589</v>
      </c>
      <c r="C32" s="941"/>
      <c r="D32" s="941"/>
      <c r="E32" s="218">
        <v>8.3299999999999999E-2</v>
      </c>
      <c r="F32" s="219">
        <f>F27*E32</f>
        <v>0</v>
      </c>
    </row>
    <row r="33" spans="1:6" ht="15" customHeight="1">
      <c r="A33" s="212" t="s">
        <v>1556</v>
      </c>
      <c r="B33" s="941" t="s">
        <v>1590</v>
      </c>
      <c r="C33" s="941"/>
      <c r="D33" s="941"/>
      <c r="E33" s="218">
        <v>0.121</v>
      </c>
      <c r="F33" s="219">
        <f>F27*E33</f>
        <v>0</v>
      </c>
    </row>
    <row r="34" spans="1:6" ht="15" customHeight="1">
      <c r="A34" s="942" t="s">
        <v>1591</v>
      </c>
      <c r="B34" s="942"/>
      <c r="C34" s="942"/>
      <c r="D34" s="942"/>
      <c r="E34" s="220">
        <f>E32+E33</f>
        <v>0.20429999999999998</v>
      </c>
      <c r="F34" s="221">
        <f>SUM(F32:F33)</f>
        <v>0</v>
      </c>
    </row>
    <row r="35" spans="1:6" ht="15" customHeight="1">
      <c r="A35" s="212" t="s">
        <v>1559</v>
      </c>
      <c r="B35" s="941" t="s">
        <v>1592</v>
      </c>
      <c r="C35" s="941"/>
      <c r="D35" s="941"/>
      <c r="E35" s="218">
        <f>E34*E48</f>
        <v>3.4179389999999997E-2</v>
      </c>
      <c r="F35" s="219">
        <f>F34*E48</f>
        <v>0</v>
      </c>
    </row>
    <row r="36" spans="1:6" ht="15" customHeight="1">
      <c r="A36" s="942" t="s">
        <v>15</v>
      </c>
      <c r="B36" s="942"/>
      <c r="C36" s="942"/>
      <c r="D36" s="942"/>
      <c r="E36" s="220">
        <f>E34+E35</f>
        <v>0.23847938999999999</v>
      </c>
      <c r="F36" s="221">
        <f>SUM(F34:F35)</f>
        <v>0</v>
      </c>
    </row>
    <row r="37" spans="1:6" ht="15" customHeight="1">
      <c r="A37" s="943"/>
      <c r="B37" s="944"/>
      <c r="C37" s="944"/>
      <c r="D37" s="944"/>
      <c r="E37" s="944"/>
      <c r="F37" s="945"/>
    </row>
    <row r="38" spans="1:6" ht="18.600000000000001" customHeight="1">
      <c r="A38" s="946" t="s">
        <v>1593</v>
      </c>
      <c r="B38" s="946"/>
      <c r="C38" s="946"/>
      <c r="D38" s="946"/>
      <c r="E38" s="946"/>
      <c r="F38" s="946"/>
    </row>
    <row r="39" spans="1:6" ht="15" customHeight="1">
      <c r="A39" s="211" t="s">
        <v>782</v>
      </c>
      <c r="B39" s="942" t="s">
        <v>1594</v>
      </c>
      <c r="C39" s="942"/>
      <c r="D39" s="942"/>
      <c r="E39" s="211" t="s">
        <v>1588</v>
      </c>
      <c r="F39" s="211" t="s">
        <v>1576</v>
      </c>
    </row>
    <row r="40" spans="1:6" ht="15" customHeight="1">
      <c r="A40" s="212" t="s">
        <v>1554</v>
      </c>
      <c r="B40" s="953" t="s">
        <v>1595</v>
      </c>
      <c r="C40" s="954"/>
      <c r="D40" s="955"/>
      <c r="E40" s="222">
        <v>0</v>
      </c>
      <c r="F40" s="223">
        <f t="shared" ref="F40:F47" si="0">$F$27*E40</f>
        <v>0</v>
      </c>
    </row>
    <row r="41" spans="1:6" ht="15" customHeight="1">
      <c r="A41" s="212" t="s">
        <v>1556</v>
      </c>
      <c r="B41" s="953" t="s">
        <v>1596</v>
      </c>
      <c r="C41" s="954"/>
      <c r="D41" s="955"/>
      <c r="E41" s="218">
        <v>2.5000000000000001E-2</v>
      </c>
      <c r="F41" s="219">
        <f t="shared" si="0"/>
        <v>0</v>
      </c>
    </row>
    <row r="42" spans="1:6" ht="15" customHeight="1">
      <c r="A42" s="212" t="s">
        <v>1559</v>
      </c>
      <c r="B42" s="953" t="s">
        <v>1686</v>
      </c>
      <c r="C42" s="954"/>
      <c r="D42" s="955"/>
      <c r="E42" s="224">
        <v>2.93E-2</v>
      </c>
      <c r="F42" s="225">
        <f t="shared" si="0"/>
        <v>0</v>
      </c>
    </row>
    <row r="43" spans="1:6" ht="15" customHeight="1">
      <c r="A43" s="212" t="s">
        <v>1562</v>
      </c>
      <c r="B43" s="953" t="s">
        <v>1598</v>
      </c>
      <c r="C43" s="954"/>
      <c r="D43" s="955"/>
      <c r="E43" s="218">
        <v>1.4999999999999999E-2</v>
      </c>
      <c r="F43" s="219">
        <f t="shared" si="0"/>
        <v>0</v>
      </c>
    </row>
    <row r="44" spans="1:6" ht="15" customHeight="1">
      <c r="A44" s="212" t="s">
        <v>1581</v>
      </c>
      <c r="B44" s="953" t="s">
        <v>1599</v>
      </c>
      <c r="C44" s="954"/>
      <c r="D44" s="955"/>
      <c r="E44" s="218">
        <v>0.01</v>
      </c>
      <c r="F44" s="219">
        <f t="shared" si="0"/>
        <v>0</v>
      </c>
    </row>
    <row r="45" spans="1:6" ht="15" customHeight="1">
      <c r="A45" s="212" t="s">
        <v>1583</v>
      </c>
      <c r="B45" s="953" t="s">
        <v>1600</v>
      </c>
      <c r="C45" s="954"/>
      <c r="D45" s="955"/>
      <c r="E45" s="218">
        <v>6.0000000000000001E-3</v>
      </c>
      <c r="F45" s="219">
        <f t="shared" si="0"/>
        <v>0</v>
      </c>
    </row>
    <row r="46" spans="1:6" ht="15" customHeight="1">
      <c r="A46" s="212" t="s">
        <v>1601</v>
      </c>
      <c r="B46" s="953" t="s">
        <v>1602</v>
      </c>
      <c r="C46" s="954"/>
      <c r="D46" s="955"/>
      <c r="E46" s="218">
        <v>2E-3</v>
      </c>
      <c r="F46" s="219">
        <f t="shared" si="0"/>
        <v>0</v>
      </c>
    </row>
    <row r="47" spans="1:6" ht="15" customHeight="1">
      <c r="A47" s="212" t="s">
        <v>1603</v>
      </c>
      <c r="B47" s="953" t="s">
        <v>1604</v>
      </c>
      <c r="C47" s="954"/>
      <c r="D47" s="955"/>
      <c r="E47" s="218">
        <v>0.08</v>
      </c>
      <c r="F47" s="219">
        <f t="shared" si="0"/>
        <v>0</v>
      </c>
    </row>
    <row r="48" spans="1:6" ht="15" customHeight="1">
      <c r="A48" s="956" t="s">
        <v>1605</v>
      </c>
      <c r="B48" s="957"/>
      <c r="C48" s="957"/>
      <c r="D48" s="958"/>
      <c r="E48" s="220">
        <f>SUM(E40:E47)</f>
        <v>0.1673</v>
      </c>
      <c r="F48" s="221">
        <f>SUM(F40:F47)</f>
        <v>0</v>
      </c>
    </row>
    <row r="49" spans="1:7" ht="15" customHeight="1">
      <c r="A49" s="943"/>
      <c r="B49" s="944"/>
      <c r="C49" s="944"/>
      <c r="D49" s="944"/>
      <c r="E49" s="944"/>
      <c r="F49" s="945"/>
    </row>
    <row r="50" spans="1:7" ht="15" customHeight="1">
      <c r="A50" s="946" t="s">
        <v>1606</v>
      </c>
      <c r="B50" s="946"/>
      <c r="C50" s="946"/>
      <c r="D50" s="946"/>
      <c r="E50" s="946"/>
      <c r="F50" s="946"/>
    </row>
    <row r="51" spans="1:7" ht="15" customHeight="1">
      <c r="A51" s="211" t="s">
        <v>789</v>
      </c>
      <c r="B51" s="942" t="s">
        <v>1607</v>
      </c>
      <c r="C51" s="942"/>
      <c r="D51" s="942"/>
      <c r="E51" s="942"/>
      <c r="F51" s="211" t="s">
        <v>1576</v>
      </c>
    </row>
    <row r="52" spans="1:7" ht="15" customHeight="1">
      <c r="A52" s="212" t="s">
        <v>1554</v>
      </c>
      <c r="B52" s="951" t="s">
        <v>1687</v>
      </c>
      <c r="C52" s="951"/>
      <c r="D52" s="951"/>
      <c r="E52" s="951"/>
      <c r="F52" s="226">
        <v>0</v>
      </c>
      <c r="G52" s="288">
        <f>-F21*6%</f>
        <v>0</v>
      </c>
    </row>
    <row r="53" spans="1:7" ht="15" customHeight="1">
      <c r="A53" s="212" t="s">
        <v>1556</v>
      </c>
      <c r="B53" s="952" t="s">
        <v>1609</v>
      </c>
      <c r="C53" s="952"/>
      <c r="D53" s="952"/>
      <c r="E53" s="952"/>
      <c r="F53" s="228"/>
    </row>
    <row r="54" spans="1:7" ht="15" customHeight="1">
      <c r="A54" s="212" t="s">
        <v>1610</v>
      </c>
      <c r="B54" s="941" t="s">
        <v>1688</v>
      </c>
      <c r="C54" s="941"/>
      <c r="D54" s="941"/>
      <c r="E54" s="941"/>
      <c r="F54" s="229"/>
    </row>
    <row r="55" spans="1:7" ht="15" customHeight="1">
      <c r="A55" s="212" t="s">
        <v>1612</v>
      </c>
      <c r="B55" s="949" t="s">
        <v>1613</v>
      </c>
      <c r="C55" s="949"/>
      <c r="D55" s="949"/>
      <c r="E55" s="949"/>
      <c r="F55" s="221"/>
    </row>
    <row r="56" spans="1:7" ht="15" customHeight="1">
      <c r="A56" s="212" t="s">
        <v>1559</v>
      </c>
      <c r="B56" s="952" t="s">
        <v>1614</v>
      </c>
      <c r="C56" s="952"/>
      <c r="D56" s="952"/>
      <c r="E56" s="952"/>
      <c r="F56" s="228"/>
      <c r="G56" s="231"/>
    </row>
    <row r="57" spans="1:7" ht="15" customHeight="1">
      <c r="A57" s="212" t="s">
        <v>1562</v>
      </c>
      <c r="B57" s="952" t="s">
        <v>1615</v>
      </c>
      <c r="C57" s="952"/>
      <c r="D57" s="952"/>
      <c r="E57" s="952"/>
      <c r="F57" s="228"/>
      <c r="G57" s="289"/>
    </row>
    <row r="58" spans="1:7" ht="15" customHeight="1">
      <c r="A58" s="942" t="s">
        <v>15</v>
      </c>
      <c r="B58" s="942"/>
      <c r="C58" s="942"/>
      <c r="D58" s="942"/>
      <c r="E58" s="942"/>
      <c r="F58" s="221">
        <f>F55+F56+F57+F52</f>
        <v>0</v>
      </c>
      <c r="G58" s="230"/>
    </row>
    <row r="59" spans="1:7" ht="15" customHeight="1">
      <c r="A59" s="946" t="s">
        <v>1616</v>
      </c>
      <c r="B59" s="946"/>
      <c r="C59" s="946"/>
      <c r="D59" s="946"/>
      <c r="E59" s="946"/>
      <c r="F59" s="946"/>
    </row>
    <row r="60" spans="1:7" ht="15" customHeight="1">
      <c r="A60" s="211">
        <v>2</v>
      </c>
      <c r="B60" s="942" t="s">
        <v>1617</v>
      </c>
      <c r="C60" s="942"/>
      <c r="D60" s="942"/>
      <c r="E60" s="942"/>
      <c r="F60" s="211" t="s">
        <v>1576</v>
      </c>
    </row>
    <row r="61" spans="1:7" ht="15" customHeight="1">
      <c r="A61" s="212" t="s">
        <v>710</v>
      </c>
      <c r="B61" s="941" t="s">
        <v>1587</v>
      </c>
      <c r="C61" s="941"/>
      <c r="D61" s="941"/>
      <c r="E61" s="941"/>
      <c r="F61" s="219">
        <f>F36</f>
        <v>0</v>
      </c>
    </row>
    <row r="62" spans="1:7" ht="15" customHeight="1">
      <c r="A62" s="212" t="s">
        <v>782</v>
      </c>
      <c r="B62" s="941" t="s">
        <v>1594</v>
      </c>
      <c r="C62" s="941"/>
      <c r="D62" s="941"/>
      <c r="E62" s="941"/>
      <c r="F62" s="219">
        <f>F48</f>
        <v>0</v>
      </c>
    </row>
    <row r="63" spans="1:7" ht="15" customHeight="1">
      <c r="A63" s="212" t="s">
        <v>789</v>
      </c>
      <c r="B63" s="941" t="s">
        <v>1607</v>
      </c>
      <c r="C63" s="941"/>
      <c r="D63" s="941"/>
      <c r="E63" s="941"/>
      <c r="F63" s="219">
        <f>F58</f>
        <v>0</v>
      </c>
    </row>
    <row r="64" spans="1:7" ht="15" customHeight="1">
      <c r="A64" s="942" t="s">
        <v>15</v>
      </c>
      <c r="B64" s="942"/>
      <c r="C64" s="942"/>
      <c r="D64" s="942"/>
      <c r="E64" s="942"/>
      <c r="F64" s="221">
        <f>SUM(F61:F63)</f>
        <v>0</v>
      </c>
    </row>
    <row r="65" spans="1:6" ht="15" customHeight="1">
      <c r="A65" s="943"/>
      <c r="B65" s="944"/>
      <c r="C65" s="944"/>
      <c r="D65" s="944"/>
      <c r="E65" s="944"/>
      <c r="F65" s="945"/>
    </row>
    <row r="66" spans="1:6" ht="15" customHeight="1">
      <c r="A66" s="946" t="s">
        <v>1618</v>
      </c>
      <c r="B66" s="946"/>
      <c r="C66" s="946"/>
      <c r="D66" s="946"/>
      <c r="E66" s="946"/>
      <c r="F66" s="946"/>
    </row>
    <row r="67" spans="1:6" ht="15" customHeight="1">
      <c r="A67" s="211">
        <v>3</v>
      </c>
      <c r="B67" s="942" t="s">
        <v>1619</v>
      </c>
      <c r="C67" s="942"/>
      <c r="D67" s="942"/>
      <c r="E67" s="211" t="s">
        <v>1588</v>
      </c>
      <c r="F67" s="211" t="s">
        <v>1576</v>
      </c>
    </row>
    <row r="68" spans="1:6" ht="15" customHeight="1">
      <c r="A68" s="212" t="s">
        <v>1554</v>
      </c>
      <c r="B68" s="941" t="s">
        <v>1620</v>
      </c>
      <c r="C68" s="941"/>
      <c r="D68" s="941"/>
      <c r="E68" s="232">
        <v>4.1999999999999997E-3</v>
      </c>
      <c r="F68" s="219">
        <f>$F$27*E68</f>
        <v>0</v>
      </c>
    </row>
    <row r="69" spans="1:6" ht="15" customHeight="1">
      <c r="A69" s="212" t="s">
        <v>1556</v>
      </c>
      <c r="B69" s="941" t="s">
        <v>1621</v>
      </c>
      <c r="C69" s="941"/>
      <c r="D69" s="941"/>
      <c r="E69" s="232">
        <f>E47*E68</f>
        <v>3.3599999999999998E-4</v>
      </c>
      <c r="F69" s="219">
        <f>$F$27*(E68*8%)</f>
        <v>0</v>
      </c>
    </row>
    <row r="70" spans="1:6" ht="41.45" customHeight="1">
      <c r="A70" s="212" t="s">
        <v>1559</v>
      </c>
      <c r="B70" s="941" t="s">
        <v>1684</v>
      </c>
      <c r="C70" s="941"/>
      <c r="D70" s="941"/>
      <c r="E70" s="233">
        <f>(8%*40%)*90%*(1+8.33%+12.1%)</f>
        <v>3.4683840000000001E-2</v>
      </c>
      <c r="F70" s="219">
        <f>$F$27*E70</f>
        <v>0</v>
      </c>
    </row>
    <row r="71" spans="1:6" ht="15" customHeight="1">
      <c r="A71" s="212" t="s">
        <v>1562</v>
      </c>
      <c r="B71" s="941" t="s">
        <v>1689</v>
      </c>
      <c r="C71" s="941"/>
      <c r="D71" s="941"/>
      <c r="E71" s="234">
        <v>4.0000000000000002E-4</v>
      </c>
      <c r="F71" s="219">
        <f>$F$27*E71</f>
        <v>0</v>
      </c>
    </row>
    <row r="72" spans="1:6" ht="27.6" customHeight="1">
      <c r="A72" s="212" t="s">
        <v>1581</v>
      </c>
      <c r="B72" s="941" t="s">
        <v>1624</v>
      </c>
      <c r="C72" s="941"/>
      <c r="D72" s="941"/>
      <c r="E72" s="232">
        <f>E71*E48</f>
        <v>6.6920000000000003E-5</v>
      </c>
      <c r="F72" s="219">
        <f>E48*F71</f>
        <v>0</v>
      </c>
    </row>
    <row r="73" spans="1:6" ht="15" customHeight="1">
      <c r="A73" s="212" t="s">
        <v>1583</v>
      </c>
      <c r="B73" s="941" t="s">
        <v>1625</v>
      </c>
      <c r="C73" s="941"/>
      <c r="D73" s="941"/>
      <c r="E73" s="232">
        <v>5.3E-3</v>
      </c>
      <c r="F73" s="219">
        <f>$F$27*E73</f>
        <v>0</v>
      </c>
    </row>
    <row r="74" spans="1:6" ht="15" customHeight="1">
      <c r="A74" s="942" t="s">
        <v>15</v>
      </c>
      <c r="B74" s="942"/>
      <c r="C74" s="942"/>
      <c r="D74" s="942"/>
      <c r="E74" s="235">
        <f>E68+E69+E70+E71+E72+E73</f>
        <v>4.4986759999999994E-2</v>
      </c>
      <c r="F74" s="221">
        <f>SUM(F68:F73)</f>
        <v>0</v>
      </c>
    </row>
    <row r="75" spans="1:6" ht="15" customHeight="1">
      <c r="A75" s="943"/>
      <c r="B75" s="944"/>
      <c r="C75" s="944"/>
      <c r="D75" s="944"/>
      <c r="E75" s="944"/>
      <c r="F75" s="945"/>
    </row>
    <row r="76" spans="1:6" ht="15" customHeight="1">
      <c r="A76" s="946" t="s">
        <v>1626</v>
      </c>
      <c r="B76" s="946"/>
      <c r="C76" s="946"/>
      <c r="D76" s="946"/>
      <c r="E76" s="946"/>
      <c r="F76" s="946"/>
    </row>
    <row r="77" spans="1:6" ht="15" customHeight="1">
      <c r="A77" s="946" t="s">
        <v>1627</v>
      </c>
      <c r="B77" s="946"/>
      <c r="C77" s="946"/>
      <c r="D77" s="946"/>
      <c r="E77" s="946"/>
      <c r="F77" s="946"/>
    </row>
    <row r="78" spans="1:6" ht="15" customHeight="1">
      <c r="A78" s="211" t="s">
        <v>1292</v>
      </c>
      <c r="B78" s="942" t="s">
        <v>1628</v>
      </c>
      <c r="C78" s="942"/>
      <c r="D78" s="942"/>
      <c r="E78" s="211" t="s">
        <v>1588</v>
      </c>
      <c r="F78" s="211" t="s">
        <v>1576</v>
      </c>
    </row>
    <row r="79" spans="1:6" ht="15" customHeight="1">
      <c r="A79" s="212" t="s">
        <v>1554</v>
      </c>
      <c r="B79" s="941" t="s">
        <v>1690</v>
      </c>
      <c r="C79" s="941"/>
      <c r="D79" s="941"/>
      <c r="E79" s="232">
        <v>9.2999999999999992E-3</v>
      </c>
      <c r="F79" s="219">
        <f>SUM(F$27*E79)</f>
        <v>0</v>
      </c>
    </row>
    <row r="80" spans="1:6" ht="15" customHeight="1">
      <c r="A80" s="212" t="s">
        <v>1556</v>
      </c>
      <c r="B80" s="941" t="s">
        <v>1630</v>
      </c>
      <c r="C80" s="941"/>
      <c r="D80" s="941"/>
      <c r="E80" s="234">
        <v>1E-3</v>
      </c>
      <c r="F80" s="219">
        <f>$F$27*E80</f>
        <v>0</v>
      </c>
    </row>
    <row r="81" spans="1:6" ht="15" customHeight="1">
      <c r="A81" s="212" t="s">
        <v>1559</v>
      </c>
      <c r="B81" s="941" t="s">
        <v>1631</v>
      </c>
      <c r="C81" s="941"/>
      <c r="D81" s="941"/>
      <c r="E81" s="232">
        <v>8.0000000000000004E-4</v>
      </c>
      <c r="F81" s="219">
        <f>$F$27*E81</f>
        <v>0</v>
      </c>
    </row>
    <row r="82" spans="1:6" ht="15" customHeight="1">
      <c r="A82" s="212" t="s">
        <v>1562</v>
      </c>
      <c r="B82" s="941" t="s">
        <v>1632</v>
      </c>
      <c r="C82" s="941"/>
      <c r="D82" s="941"/>
      <c r="E82" s="232">
        <v>2.9999999999999997E-4</v>
      </c>
      <c r="F82" s="219">
        <f>$F$27*E82</f>
        <v>0</v>
      </c>
    </row>
    <row r="83" spans="1:6" ht="15" customHeight="1">
      <c r="A83" s="212" t="s">
        <v>1581</v>
      </c>
      <c r="B83" s="941" t="s">
        <v>1633</v>
      </c>
      <c r="C83" s="941"/>
      <c r="D83" s="941"/>
      <c r="E83" s="232">
        <v>2.9999999999999997E-4</v>
      </c>
      <c r="F83" s="219">
        <f>$F$27*E83</f>
        <v>0</v>
      </c>
    </row>
    <row r="84" spans="1:6" ht="15" customHeight="1">
      <c r="A84" s="212" t="s">
        <v>1583</v>
      </c>
      <c r="B84" s="941" t="s">
        <v>1634</v>
      </c>
      <c r="C84" s="941"/>
      <c r="D84" s="941"/>
      <c r="E84" s="232">
        <v>1.3899999999999999E-2</v>
      </c>
      <c r="F84" s="219">
        <f>$F$27*E84</f>
        <v>0</v>
      </c>
    </row>
    <row r="85" spans="1:6" ht="15" customHeight="1">
      <c r="A85" s="942" t="s">
        <v>1605</v>
      </c>
      <c r="B85" s="942"/>
      <c r="C85" s="942"/>
      <c r="D85" s="942"/>
      <c r="E85" s="235">
        <f>SUM(E79:E84)</f>
        <v>2.5599999999999998E-2</v>
      </c>
      <c r="F85" s="221">
        <f>SUM(F79:F84)</f>
        <v>0</v>
      </c>
    </row>
    <row r="86" spans="1:6" ht="15" customHeight="1">
      <c r="A86" s="943"/>
      <c r="B86" s="944"/>
      <c r="C86" s="944"/>
      <c r="D86" s="944"/>
      <c r="E86" s="944"/>
      <c r="F86" s="945"/>
    </row>
    <row r="87" spans="1:6" ht="15" customHeight="1">
      <c r="A87" s="946" t="s">
        <v>1635</v>
      </c>
      <c r="B87" s="946"/>
      <c r="C87" s="946"/>
      <c r="D87" s="946"/>
      <c r="E87" s="946"/>
      <c r="F87" s="946"/>
    </row>
    <row r="88" spans="1:6" ht="15" customHeight="1">
      <c r="A88" s="211" t="s">
        <v>1293</v>
      </c>
      <c r="B88" s="942" t="s">
        <v>1636</v>
      </c>
      <c r="C88" s="942"/>
      <c r="D88" s="942"/>
      <c r="E88" s="942"/>
      <c r="F88" s="211" t="s">
        <v>1576</v>
      </c>
    </row>
    <row r="89" spans="1:6" ht="15" customHeight="1">
      <c r="A89" s="212" t="s">
        <v>1554</v>
      </c>
      <c r="B89" s="941" t="s">
        <v>1637</v>
      </c>
      <c r="C89" s="941"/>
      <c r="D89" s="941"/>
      <c r="E89" s="941"/>
      <c r="F89" s="219">
        <v>0</v>
      </c>
    </row>
    <row r="90" spans="1:6" ht="15" customHeight="1">
      <c r="A90" s="942" t="s">
        <v>15</v>
      </c>
      <c r="B90" s="942"/>
      <c r="C90" s="942"/>
      <c r="D90" s="942"/>
      <c r="E90" s="942"/>
      <c r="F90" s="219">
        <f>SUM(F89)</f>
        <v>0</v>
      </c>
    </row>
    <row r="91" spans="1:6" ht="15" customHeight="1">
      <c r="A91" s="943"/>
      <c r="B91" s="944"/>
      <c r="C91" s="944"/>
      <c r="D91" s="944"/>
      <c r="E91" s="944"/>
      <c r="F91" s="945"/>
    </row>
    <row r="92" spans="1:6" ht="15" customHeight="1">
      <c r="A92" s="946" t="s">
        <v>1638</v>
      </c>
      <c r="B92" s="946"/>
      <c r="C92" s="946"/>
      <c r="D92" s="946"/>
      <c r="E92" s="946"/>
      <c r="F92" s="946"/>
    </row>
    <row r="93" spans="1:6" ht="15" customHeight="1">
      <c r="A93" s="211">
        <v>4</v>
      </c>
      <c r="B93" s="942" t="s">
        <v>1639</v>
      </c>
      <c r="C93" s="942"/>
      <c r="D93" s="942"/>
      <c r="E93" s="942"/>
      <c r="F93" s="211" t="s">
        <v>1576</v>
      </c>
    </row>
    <row r="94" spans="1:6" ht="15" customHeight="1">
      <c r="A94" s="212" t="s">
        <v>1292</v>
      </c>
      <c r="B94" s="941" t="s">
        <v>1628</v>
      </c>
      <c r="C94" s="941"/>
      <c r="D94" s="941"/>
      <c r="E94" s="941"/>
      <c r="F94" s="219">
        <f>F85</f>
        <v>0</v>
      </c>
    </row>
    <row r="95" spans="1:6" ht="15" customHeight="1">
      <c r="A95" s="212" t="s">
        <v>1293</v>
      </c>
      <c r="B95" s="941" t="s">
        <v>1636</v>
      </c>
      <c r="C95" s="941"/>
      <c r="D95" s="941"/>
      <c r="E95" s="941"/>
      <c r="F95" s="219">
        <f>F90</f>
        <v>0</v>
      </c>
    </row>
    <row r="96" spans="1:6" ht="15" customHeight="1">
      <c r="A96" s="942" t="s">
        <v>15</v>
      </c>
      <c r="B96" s="942"/>
      <c r="C96" s="942"/>
      <c r="D96" s="942"/>
      <c r="E96" s="942"/>
      <c r="F96" s="219">
        <f>SUM(F94:F95)</f>
        <v>0</v>
      </c>
    </row>
    <row r="97" spans="1:6" ht="15" customHeight="1">
      <c r="A97" s="943"/>
      <c r="B97" s="944"/>
      <c r="C97" s="944"/>
      <c r="D97" s="944"/>
      <c r="E97" s="944"/>
      <c r="F97" s="945"/>
    </row>
    <row r="98" spans="1:6" ht="15" customHeight="1">
      <c r="A98" s="946" t="s">
        <v>1640</v>
      </c>
      <c r="B98" s="946"/>
      <c r="C98" s="946"/>
      <c r="D98" s="946"/>
      <c r="E98" s="946"/>
      <c r="F98" s="946"/>
    </row>
    <row r="99" spans="1:6" ht="15" customHeight="1">
      <c r="A99" s="211">
        <v>5</v>
      </c>
      <c r="B99" s="942" t="s">
        <v>1641</v>
      </c>
      <c r="C99" s="942"/>
      <c r="D99" s="942"/>
      <c r="E99" s="942"/>
      <c r="F99" s="211" t="s">
        <v>1576</v>
      </c>
    </row>
    <row r="100" spans="1:6" ht="15" customHeight="1">
      <c r="A100" s="212" t="s">
        <v>1554</v>
      </c>
      <c r="B100" s="941" t="s">
        <v>1642</v>
      </c>
      <c r="C100" s="941"/>
      <c r="D100" s="941"/>
      <c r="E100" s="941"/>
      <c r="F100" s="223"/>
    </row>
    <row r="101" spans="1:6" ht="15" customHeight="1">
      <c r="A101" s="212" t="s">
        <v>1556</v>
      </c>
      <c r="B101" s="941" t="s">
        <v>1643</v>
      </c>
      <c r="C101" s="941"/>
      <c r="D101" s="941"/>
      <c r="E101" s="941"/>
      <c r="F101" s="223"/>
    </row>
    <row r="102" spans="1:6" ht="15" customHeight="1">
      <c r="A102" s="212" t="s">
        <v>1559</v>
      </c>
      <c r="B102" s="941" t="s">
        <v>1644</v>
      </c>
      <c r="C102" s="941"/>
      <c r="D102" s="941"/>
      <c r="E102" s="941"/>
      <c r="F102" s="223"/>
    </row>
    <row r="103" spans="1:6" ht="15" customHeight="1">
      <c r="A103" s="212" t="s">
        <v>1562</v>
      </c>
      <c r="B103" s="941" t="s">
        <v>1584</v>
      </c>
      <c r="C103" s="941"/>
      <c r="D103" s="941"/>
      <c r="E103" s="941"/>
      <c r="F103" s="219">
        <v>0</v>
      </c>
    </row>
    <row r="104" spans="1:6" ht="15" customHeight="1">
      <c r="A104" s="942" t="s">
        <v>1605</v>
      </c>
      <c r="B104" s="942"/>
      <c r="C104" s="942"/>
      <c r="D104" s="942"/>
      <c r="E104" s="942"/>
      <c r="F104" s="221">
        <f>SUM(F100:F103)</f>
        <v>0</v>
      </c>
    </row>
    <row r="105" spans="1:6" ht="15" customHeight="1">
      <c r="A105" s="943"/>
      <c r="B105" s="944"/>
      <c r="C105" s="944"/>
      <c r="D105" s="944"/>
      <c r="E105" s="944"/>
      <c r="F105" s="945"/>
    </row>
    <row r="106" spans="1:6" ht="15" customHeight="1">
      <c r="A106" s="946" t="s">
        <v>1645</v>
      </c>
      <c r="B106" s="946"/>
      <c r="C106" s="946"/>
      <c r="D106" s="946"/>
      <c r="E106" s="946"/>
      <c r="F106" s="946"/>
    </row>
    <row r="107" spans="1:6" ht="15" customHeight="1">
      <c r="A107" s="211">
        <v>6</v>
      </c>
      <c r="B107" s="942" t="s">
        <v>1646</v>
      </c>
      <c r="C107" s="942"/>
      <c r="D107" s="942"/>
      <c r="E107" s="211" t="s">
        <v>1588</v>
      </c>
      <c r="F107" s="211" t="s">
        <v>1576</v>
      </c>
    </row>
    <row r="108" spans="1:6" ht="15" customHeight="1">
      <c r="A108" s="212" t="s">
        <v>1554</v>
      </c>
      <c r="B108" s="941" t="s">
        <v>1647</v>
      </c>
      <c r="C108" s="941"/>
      <c r="D108" s="941"/>
      <c r="E108" s="236">
        <v>2.2321000000000001E-2</v>
      </c>
      <c r="F108" s="219">
        <f>(F104+F96+F74+F64+F27)*E108</f>
        <v>0</v>
      </c>
    </row>
    <row r="109" spans="1:6" ht="15" customHeight="1">
      <c r="A109" s="212" t="s">
        <v>1556</v>
      </c>
      <c r="B109" s="941" t="s">
        <v>1648</v>
      </c>
      <c r="C109" s="941"/>
      <c r="D109" s="941"/>
      <c r="E109" s="236">
        <f>E108</f>
        <v>2.2321000000000001E-2</v>
      </c>
      <c r="F109" s="219">
        <f>(F104+F96+F74+F64+F27+F108)*E109</f>
        <v>0</v>
      </c>
    </row>
    <row r="110" spans="1:6" s="231" customFormat="1" ht="15" customHeight="1">
      <c r="A110" s="211" t="s">
        <v>1559</v>
      </c>
      <c r="B110" s="949" t="s">
        <v>1649</v>
      </c>
      <c r="C110" s="949"/>
      <c r="D110" s="949"/>
      <c r="E110" s="290">
        <f>SUM(E111:E113)</f>
        <v>0.13150000000000001</v>
      </c>
      <c r="F110" s="221"/>
    </row>
    <row r="111" spans="1:6" ht="15" customHeight="1">
      <c r="A111" s="212"/>
      <c r="B111" s="941" t="s">
        <v>1650</v>
      </c>
      <c r="C111" s="941"/>
      <c r="D111" s="941"/>
      <c r="E111" s="218">
        <f>0.65%+3%</f>
        <v>3.6499999999999998E-2</v>
      </c>
      <c r="F111" s="219">
        <f>((F104+F96+F74+F64+F27+F108+F109)/(1-E110)*E111)</f>
        <v>0</v>
      </c>
    </row>
    <row r="112" spans="1:6" ht="15" customHeight="1">
      <c r="A112" s="212"/>
      <c r="B112" s="941" t="s">
        <v>1651</v>
      </c>
      <c r="C112" s="941"/>
      <c r="D112" s="941"/>
      <c r="E112" s="218">
        <v>4.4999999999999998E-2</v>
      </c>
      <c r="F112" s="219">
        <f>((F104+F96+F74+F64+F27+F108+F109)/(1-E110)*E112)</f>
        <v>0</v>
      </c>
    </row>
    <row r="113" spans="1:6" ht="15" customHeight="1">
      <c r="A113" s="212"/>
      <c r="B113" s="941" t="s">
        <v>1652</v>
      </c>
      <c r="C113" s="941"/>
      <c r="D113" s="941"/>
      <c r="E113" s="218">
        <v>0.05</v>
      </c>
      <c r="F113" s="219">
        <f>((F104+F96+F74+F64+F27+F108+F109)/(1-E110)*E113)</f>
        <v>0</v>
      </c>
    </row>
    <row r="114" spans="1:6" ht="15" customHeight="1">
      <c r="A114" s="942" t="s">
        <v>1605</v>
      </c>
      <c r="B114" s="942"/>
      <c r="C114" s="942"/>
      <c r="D114" s="942"/>
      <c r="E114" s="220">
        <f>SUM(E108:E110)</f>
        <v>0.17614200000000002</v>
      </c>
      <c r="F114" s="221">
        <f>SUM(F108:F113)</f>
        <v>0</v>
      </c>
    </row>
    <row r="115" spans="1:6" ht="15" customHeight="1">
      <c r="A115" s="943"/>
      <c r="B115" s="944"/>
      <c r="C115" s="944"/>
      <c r="D115" s="944"/>
      <c r="E115" s="944"/>
      <c r="F115" s="945"/>
    </row>
    <row r="116" spans="1:6" ht="15" customHeight="1">
      <c r="A116" s="946" t="s">
        <v>1653</v>
      </c>
      <c r="B116" s="946"/>
      <c r="C116" s="946"/>
      <c r="D116" s="946"/>
      <c r="E116" s="946"/>
      <c r="F116" s="946"/>
    </row>
    <row r="117" spans="1:6" ht="15" customHeight="1">
      <c r="A117" s="942" t="s">
        <v>1654</v>
      </c>
      <c r="B117" s="942"/>
      <c r="C117" s="942"/>
      <c r="D117" s="942"/>
      <c r="E117" s="942"/>
      <c r="F117" s="211" t="s">
        <v>1576</v>
      </c>
    </row>
    <row r="118" spans="1:6" ht="15" customHeight="1">
      <c r="A118" s="211" t="s">
        <v>1554</v>
      </c>
      <c r="B118" s="941" t="s">
        <v>1574</v>
      </c>
      <c r="C118" s="941"/>
      <c r="D118" s="941"/>
      <c r="E118" s="941"/>
      <c r="F118" s="214">
        <f>F27</f>
        <v>0</v>
      </c>
    </row>
    <row r="119" spans="1:6" ht="15" customHeight="1">
      <c r="A119" s="211" t="s">
        <v>1556</v>
      </c>
      <c r="B119" s="941" t="s">
        <v>1585</v>
      </c>
      <c r="C119" s="941"/>
      <c r="D119" s="941"/>
      <c r="E119" s="941"/>
      <c r="F119" s="214">
        <f>F64</f>
        <v>0</v>
      </c>
    </row>
    <row r="120" spans="1:6" ht="15" customHeight="1">
      <c r="A120" s="211" t="s">
        <v>1559</v>
      </c>
      <c r="B120" s="941" t="s">
        <v>1618</v>
      </c>
      <c r="C120" s="941"/>
      <c r="D120" s="941"/>
      <c r="E120" s="941"/>
      <c r="F120" s="214">
        <f>F74</f>
        <v>0</v>
      </c>
    </row>
    <row r="121" spans="1:6" ht="15" customHeight="1">
      <c r="A121" s="211" t="s">
        <v>1562</v>
      </c>
      <c r="B121" s="941" t="s">
        <v>1626</v>
      </c>
      <c r="C121" s="941"/>
      <c r="D121" s="941"/>
      <c r="E121" s="941"/>
      <c r="F121" s="214">
        <f>F96</f>
        <v>0</v>
      </c>
    </row>
    <row r="122" spans="1:6" ht="15" customHeight="1">
      <c r="A122" s="211" t="s">
        <v>1581</v>
      </c>
      <c r="B122" s="941" t="s">
        <v>1640</v>
      </c>
      <c r="C122" s="941"/>
      <c r="D122" s="941"/>
      <c r="E122" s="941"/>
      <c r="F122" s="214">
        <f>F104</f>
        <v>0</v>
      </c>
    </row>
    <row r="123" spans="1:6" ht="15" customHeight="1">
      <c r="A123" s="942" t="s">
        <v>1655</v>
      </c>
      <c r="B123" s="942"/>
      <c r="C123" s="942"/>
      <c r="D123" s="942"/>
      <c r="E123" s="942"/>
      <c r="F123" s="217">
        <f>SUM(F118:F122)</f>
        <v>0</v>
      </c>
    </row>
    <row r="124" spans="1:6" ht="15" customHeight="1">
      <c r="A124" s="211" t="s">
        <v>1583</v>
      </c>
      <c r="B124" s="941" t="s">
        <v>1656</v>
      </c>
      <c r="C124" s="941"/>
      <c r="D124" s="941"/>
      <c r="E124" s="941"/>
      <c r="F124" s="214">
        <f>F114</f>
        <v>0</v>
      </c>
    </row>
    <row r="125" spans="1:6" ht="15" customHeight="1">
      <c r="A125" s="942" t="s">
        <v>1657</v>
      </c>
      <c r="B125" s="942"/>
      <c r="C125" s="942"/>
      <c r="D125" s="942"/>
      <c r="E125" s="942"/>
      <c r="F125" s="241">
        <f>SUM(F123:F124)</f>
        <v>0</v>
      </c>
    </row>
    <row r="126" spans="1:6" ht="15" customHeight="1">
      <c r="A126" s="943"/>
      <c r="B126" s="944"/>
      <c r="C126" s="944"/>
      <c r="D126" s="944"/>
      <c r="E126" s="944"/>
      <c r="F126" s="945"/>
    </row>
    <row r="127" spans="1:6" ht="15" customHeight="1">
      <c r="A127" s="946" t="s">
        <v>1658</v>
      </c>
      <c r="B127" s="946"/>
      <c r="C127" s="946"/>
      <c r="D127" s="946"/>
      <c r="E127" s="946"/>
      <c r="F127" s="946"/>
    </row>
    <row r="128" spans="1:6" ht="48" customHeight="1">
      <c r="A128" s="947" t="s">
        <v>1659</v>
      </c>
      <c r="B128" s="947"/>
      <c r="C128" s="242" t="s">
        <v>1660</v>
      </c>
      <c r="D128" s="242" t="s">
        <v>1661</v>
      </c>
      <c r="E128" s="242" t="s">
        <v>1662</v>
      </c>
      <c r="F128" s="242" t="s">
        <v>1663</v>
      </c>
    </row>
    <row r="129" spans="1:6" ht="15" customHeight="1">
      <c r="A129" s="948" t="str">
        <f>E13</f>
        <v>Brigada</v>
      </c>
      <c r="B129" s="948"/>
      <c r="C129" s="243">
        <v>2</v>
      </c>
      <c r="D129" s="244">
        <f>F125*C129</f>
        <v>0</v>
      </c>
      <c r="E129" s="243">
        <v>3</v>
      </c>
      <c r="F129" s="244">
        <f>D129*E129</f>
        <v>0</v>
      </c>
    </row>
    <row r="130" spans="1:6" ht="15" customHeight="1">
      <c r="A130" s="935" t="s">
        <v>1664</v>
      </c>
      <c r="B130" s="935"/>
      <c r="C130" s="935"/>
      <c r="D130" s="935"/>
      <c r="E130" s="935"/>
      <c r="F130" s="245">
        <f>SUM(F129:F129)</f>
        <v>0</v>
      </c>
    </row>
    <row r="131" spans="1:6" ht="15" customHeight="1">
      <c r="A131" s="936"/>
      <c r="B131" s="937"/>
      <c r="C131" s="937"/>
      <c r="D131" s="937"/>
      <c r="E131" s="937"/>
      <c r="F131" s="938"/>
    </row>
    <row r="132" spans="1:6" ht="15" customHeight="1">
      <c r="A132" s="939" t="s">
        <v>1665</v>
      </c>
      <c r="B132" s="939"/>
      <c r="C132" s="939"/>
      <c r="D132" s="939"/>
      <c r="E132" s="939"/>
      <c r="F132" s="939"/>
    </row>
    <row r="133" spans="1:6" ht="15" customHeight="1">
      <c r="A133" s="940" t="s">
        <v>1666</v>
      </c>
      <c r="B133" s="940"/>
      <c r="C133" s="940"/>
      <c r="D133" s="940"/>
      <c r="E133" s="940"/>
      <c r="F133" s="940"/>
    </row>
    <row r="134" spans="1:6" ht="15" customHeight="1">
      <c r="A134" s="940" t="s">
        <v>1</v>
      </c>
      <c r="B134" s="940"/>
      <c r="C134" s="940"/>
      <c r="D134" s="940"/>
      <c r="E134" s="940"/>
      <c r="F134" s="246" t="s">
        <v>1667</v>
      </c>
    </row>
    <row r="135" spans="1:6" ht="15" customHeight="1">
      <c r="A135" s="247" t="s">
        <v>1554</v>
      </c>
      <c r="B135" s="932" t="s">
        <v>1668</v>
      </c>
      <c r="C135" s="932"/>
      <c r="D135" s="932"/>
      <c r="E135" s="932"/>
      <c r="F135" s="248">
        <f>D129</f>
        <v>0</v>
      </c>
    </row>
    <row r="136" spans="1:6" ht="15" customHeight="1">
      <c r="A136" s="247" t="s">
        <v>1556</v>
      </c>
      <c r="B136" s="932" t="s">
        <v>1669</v>
      </c>
      <c r="C136" s="932"/>
      <c r="D136" s="932"/>
      <c r="E136" s="932"/>
      <c r="F136" s="248">
        <f>F130</f>
        <v>0</v>
      </c>
    </row>
    <row r="137" spans="1:6" ht="15" customHeight="1">
      <c r="A137" s="249" t="s">
        <v>1559</v>
      </c>
      <c r="B137" s="933" t="s">
        <v>1670</v>
      </c>
      <c r="C137" s="933"/>
      <c r="D137" s="933"/>
      <c r="E137" s="933"/>
      <c r="F137" s="250">
        <f>F136*12</f>
        <v>0</v>
      </c>
    </row>
    <row r="138" spans="1:6" ht="15" customHeight="1" thickBot="1">
      <c r="A138" s="934"/>
      <c r="B138" s="934"/>
      <c r="C138" s="934"/>
      <c r="D138" s="934"/>
      <c r="E138" s="934"/>
      <c r="F138" s="934"/>
    </row>
    <row r="139" spans="1:6" ht="15" customHeight="1">
      <c r="A139" s="251"/>
      <c r="B139" s="252"/>
      <c r="C139" s="252"/>
      <c r="D139" s="252"/>
      <c r="E139" s="253"/>
      <c r="F139" s="254" t="s">
        <v>1671</v>
      </c>
    </row>
    <row r="140" spans="1:6" ht="15" customHeight="1">
      <c r="A140" s="255" t="s">
        <v>1672</v>
      </c>
      <c r="B140" s="256" t="s">
        <v>1673</v>
      </c>
      <c r="C140" s="256"/>
      <c r="D140" s="257">
        <v>-1</v>
      </c>
      <c r="E140" s="258">
        <f>(1+E146)*(1+E147)/(1-E148)-1</f>
        <v>0.26859267864243619</v>
      </c>
      <c r="F140" s="259"/>
    </row>
    <row r="141" spans="1:6" ht="15" customHeight="1">
      <c r="A141" s="260"/>
      <c r="B141" s="261" t="s">
        <v>1674</v>
      </c>
      <c r="C141" s="261"/>
      <c r="D141" s="257"/>
      <c r="E141" s="262"/>
      <c r="F141" s="263"/>
    </row>
    <row r="142" spans="1:6" ht="15" customHeight="1" thickBot="1">
      <c r="A142" s="264"/>
      <c r="B142" s="265"/>
      <c r="C142" s="265"/>
      <c r="D142" s="265"/>
      <c r="E142" s="266"/>
      <c r="F142" s="267"/>
    </row>
    <row r="143" spans="1:6" ht="15" customHeight="1">
      <c r="A143" s="268"/>
      <c r="B143" s="269"/>
      <c r="C143" s="269"/>
      <c r="D143" s="269"/>
      <c r="E143" s="270"/>
      <c r="F143" s="263"/>
    </row>
    <row r="144" spans="1:6" ht="15" customHeight="1">
      <c r="A144" s="271"/>
      <c r="B144" s="272" t="s">
        <v>1675</v>
      </c>
      <c r="C144" s="272"/>
      <c r="D144" s="272"/>
      <c r="E144" s="273"/>
      <c r="F144" s="274">
        <f>E36+E48+E74+E85</f>
        <v>0.47636614999999999</v>
      </c>
    </row>
    <row r="145" spans="1:6" ht="15" customHeight="1">
      <c r="A145" s="271"/>
      <c r="B145" s="272"/>
      <c r="C145" s="272"/>
      <c r="D145" s="272"/>
      <c r="E145" s="273"/>
      <c r="F145" s="275"/>
    </row>
    <row r="146" spans="1:6" ht="15" customHeight="1">
      <c r="A146" s="276" t="s">
        <v>1676</v>
      </c>
      <c r="B146" s="277" t="s">
        <v>1677</v>
      </c>
      <c r="C146" s="278"/>
      <c r="D146" s="272"/>
      <c r="E146" s="279">
        <f>E108</f>
        <v>2.2321000000000001E-2</v>
      </c>
      <c r="F146" s="263"/>
    </row>
    <row r="147" spans="1:6" ht="15" customHeight="1">
      <c r="A147" s="276" t="s">
        <v>1678</v>
      </c>
      <c r="B147" s="277" t="s">
        <v>1679</v>
      </c>
      <c r="C147" s="278"/>
      <c r="D147" s="272"/>
      <c r="E147" s="279">
        <f>E109</f>
        <v>2.2321000000000001E-2</v>
      </c>
      <c r="F147" s="263"/>
    </row>
    <row r="148" spans="1:6" ht="15" customHeight="1" thickBot="1">
      <c r="A148" s="280" t="s">
        <v>1680</v>
      </c>
      <c r="B148" s="281" t="s">
        <v>1681</v>
      </c>
      <c r="C148" s="282"/>
      <c r="D148" s="283"/>
      <c r="E148" s="284">
        <f>E114</f>
        <v>0.17614200000000002</v>
      </c>
      <c r="F148" s="285"/>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E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71D01-F3B8-467F-8005-5CFC1953FFF5}">
  <sheetPr>
    <tabColor rgb="FFFF0000"/>
  </sheetPr>
  <dimension ref="A1:E30"/>
  <sheetViews>
    <sheetView zoomScaleNormal="100" zoomScaleSheetLayoutView="100" workbookViewId="0">
      <selection activeCell="A3" sqref="A3:E3"/>
    </sheetView>
  </sheetViews>
  <sheetFormatPr defaultColWidth="9.140625" defaultRowHeight="15" customHeight="1"/>
  <cols>
    <col min="1" max="1" width="42" style="196" customWidth="1"/>
    <col min="2" max="2" width="14.28515625" style="196" customWidth="1"/>
    <col min="3" max="5" width="15.85546875" style="196" customWidth="1"/>
    <col min="6" max="16384" width="9.140625" style="196"/>
  </cols>
  <sheetData>
    <row r="1" spans="1:5" ht="15" customHeight="1">
      <c r="A1" s="923"/>
      <c r="B1" s="923"/>
      <c r="C1" s="923"/>
      <c r="D1" s="923"/>
      <c r="E1" s="923"/>
    </row>
    <row r="2" spans="1:5" ht="15" customHeight="1">
      <c r="A2" s="924" t="str">
        <f>[1]Proposta.DF!A7</f>
        <v>MINISTÉRIO DAS CIDADES</v>
      </c>
      <c r="B2" s="924"/>
      <c r="C2" s="924"/>
      <c r="D2" s="924"/>
      <c r="E2" s="924"/>
    </row>
    <row r="3" spans="1:5" ht="15" customHeight="1">
      <c r="A3" s="924"/>
      <c r="B3" s="924"/>
      <c r="C3" s="924"/>
      <c r="D3" s="924"/>
      <c r="E3" s="924"/>
    </row>
    <row r="4" spans="1:5" ht="15" customHeight="1">
      <c r="A4" s="923"/>
      <c r="B4" s="923"/>
      <c r="C4" s="923"/>
      <c r="D4" s="923"/>
      <c r="E4" s="923"/>
    </row>
    <row r="5" spans="1:5" ht="15" customHeight="1">
      <c r="A5" s="983" t="s">
        <v>1691</v>
      </c>
      <c r="B5" s="983"/>
      <c r="C5" s="983"/>
      <c r="D5" s="983"/>
      <c r="E5" s="983"/>
    </row>
    <row r="6" spans="1:5" ht="33.6" customHeight="1">
      <c r="A6" s="291" t="s">
        <v>1692</v>
      </c>
      <c r="B6" s="291" t="s">
        <v>706</v>
      </c>
      <c r="C6" s="291" t="s">
        <v>1693</v>
      </c>
      <c r="D6" s="291" t="s">
        <v>1694</v>
      </c>
      <c r="E6" s="291" t="s">
        <v>1695</v>
      </c>
    </row>
    <row r="7" spans="1:5" ht="15" customHeight="1">
      <c r="A7" s="984"/>
      <c r="B7" s="984"/>
      <c r="C7" s="984"/>
      <c r="D7" s="984"/>
      <c r="E7" s="984"/>
    </row>
    <row r="8" spans="1:5" ht="15" customHeight="1">
      <c r="A8" s="210" t="s">
        <v>1696</v>
      </c>
      <c r="B8" s="292">
        <v>1</v>
      </c>
      <c r="C8" s="293"/>
      <c r="D8" s="294">
        <f>B8*C8</f>
        <v>0</v>
      </c>
      <c r="E8" s="204">
        <f t="shared" ref="E8:E14" si="0">D8/12</f>
        <v>0</v>
      </c>
    </row>
    <row r="9" spans="1:5" ht="15" customHeight="1">
      <c r="A9" s="210" t="s">
        <v>1697</v>
      </c>
      <c r="B9" s="292">
        <v>1</v>
      </c>
      <c r="C9" s="293"/>
      <c r="D9" s="294">
        <f t="shared" ref="D9:D14" si="1">B9*C9</f>
        <v>0</v>
      </c>
      <c r="E9" s="204">
        <f t="shared" si="0"/>
        <v>0</v>
      </c>
    </row>
    <row r="10" spans="1:5" ht="28.9" customHeight="1">
      <c r="A10" s="210" t="s">
        <v>1698</v>
      </c>
      <c r="B10" s="292">
        <v>1</v>
      </c>
      <c r="C10" s="293"/>
      <c r="D10" s="294">
        <f t="shared" si="1"/>
        <v>0</v>
      </c>
      <c r="E10" s="204">
        <f t="shared" si="0"/>
        <v>0</v>
      </c>
    </row>
    <row r="11" spans="1:5" ht="15" customHeight="1">
      <c r="A11" s="210" t="s">
        <v>1699</v>
      </c>
      <c r="B11" s="292">
        <v>1</v>
      </c>
      <c r="C11" s="293"/>
      <c r="D11" s="294">
        <f t="shared" si="1"/>
        <v>0</v>
      </c>
      <c r="E11" s="204">
        <f t="shared" si="0"/>
        <v>0</v>
      </c>
    </row>
    <row r="12" spans="1:5" ht="15" customHeight="1">
      <c r="A12" s="210" t="s">
        <v>1700</v>
      </c>
      <c r="B12" s="292">
        <v>2</v>
      </c>
      <c r="C12" s="293"/>
      <c r="D12" s="294">
        <f t="shared" si="1"/>
        <v>0</v>
      </c>
      <c r="E12" s="204">
        <f t="shared" si="0"/>
        <v>0</v>
      </c>
    </row>
    <row r="13" spans="1:5" ht="29.45" customHeight="1">
      <c r="A13" s="210" t="s">
        <v>1701</v>
      </c>
      <c r="B13" s="292">
        <v>1</v>
      </c>
      <c r="C13" s="293"/>
      <c r="D13" s="294">
        <f t="shared" si="1"/>
        <v>0</v>
      </c>
      <c r="E13" s="204">
        <f t="shared" si="0"/>
        <v>0</v>
      </c>
    </row>
    <row r="14" spans="1:5" ht="31.15" customHeight="1">
      <c r="A14" s="210" t="s">
        <v>1702</v>
      </c>
      <c r="B14" s="292">
        <v>1</v>
      </c>
      <c r="C14" s="293"/>
      <c r="D14" s="294">
        <f t="shared" si="1"/>
        <v>0</v>
      </c>
      <c r="E14" s="204">
        <f t="shared" si="0"/>
        <v>0</v>
      </c>
    </row>
    <row r="15" spans="1:5" ht="15" customHeight="1">
      <c r="A15" s="970" t="s">
        <v>1703</v>
      </c>
      <c r="B15" s="970"/>
      <c r="C15" s="970"/>
      <c r="D15" s="970"/>
      <c r="E15" s="295">
        <f>SUM(E8:E14)</f>
        <v>0</v>
      </c>
    </row>
    <row r="16" spans="1:5" ht="15" customHeight="1">
      <c r="A16" s="922"/>
      <c r="B16" s="922"/>
      <c r="C16" s="922"/>
      <c r="D16" s="922"/>
      <c r="E16" s="922"/>
    </row>
    <row r="17" spans="1:5" ht="15" customHeight="1">
      <c r="A17" s="921"/>
      <c r="B17" s="921"/>
      <c r="C17" s="921"/>
      <c r="D17" s="921"/>
      <c r="E17" s="921"/>
    </row>
    <row r="18" spans="1:5" ht="15" customHeight="1">
      <c r="A18" s="921" t="str">
        <f>[1]Proposta.DF!A3</f>
        <v>Brasília-DF, 14 de novembro de 2023.</v>
      </c>
      <c r="B18" s="921"/>
      <c r="C18" s="921"/>
      <c r="D18" s="921"/>
      <c r="E18" s="921"/>
    </row>
    <row r="19" spans="1:5" ht="15" customHeight="1">
      <c r="A19" s="921"/>
      <c r="B19" s="921"/>
      <c r="C19" s="921"/>
      <c r="D19" s="921"/>
      <c r="E19" s="921"/>
    </row>
    <row r="20" spans="1:5" ht="15" customHeight="1">
      <c r="A20" s="921"/>
      <c r="B20" s="921"/>
      <c r="C20" s="921"/>
      <c r="D20" s="921"/>
      <c r="E20" s="921"/>
    </row>
    <row r="21" spans="1:5" ht="15" customHeight="1">
      <c r="A21" s="921"/>
      <c r="B21" s="921"/>
      <c r="C21" s="921"/>
      <c r="D21" s="921"/>
      <c r="E21" s="921"/>
    </row>
    <row r="22" spans="1:5" ht="15" customHeight="1">
      <c r="A22" s="921"/>
      <c r="B22" s="921"/>
      <c r="C22" s="921"/>
      <c r="D22" s="921"/>
      <c r="E22" s="921"/>
    </row>
    <row r="23" spans="1:5" ht="15" customHeight="1">
      <c r="A23" s="921"/>
      <c r="B23" s="921"/>
      <c r="C23" s="921"/>
      <c r="D23" s="921"/>
      <c r="E23" s="921"/>
    </row>
    <row r="24" spans="1:5" ht="15" customHeight="1">
      <c r="A24" s="921"/>
      <c r="B24" s="921"/>
      <c r="C24" s="921"/>
      <c r="D24" s="921"/>
      <c r="E24" s="921"/>
    </row>
    <row r="25" spans="1:5" ht="15" customHeight="1">
      <c r="A25" s="921"/>
      <c r="B25" s="921"/>
      <c r="C25" s="921"/>
      <c r="D25" s="921"/>
      <c r="E25" s="921"/>
    </row>
    <row r="26" spans="1:5" ht="15" customHeight="1">
      <c r="A26" s="921"/>
      <c r="B26" s="921"/>
      <c r="C26" s="921"/>
      <c r="D26" s="921"/>
      <c r="E26" s="921"/>
    </row>
    <row r="27" spans="1:5" ht="15" customHeight="1">
      <c r="A27" s="921"/>
      <c r="B27" s="921"/>
      <c r="C27" s="921"/>
      <c r="D27" s="921"/>
      <c r="E27" s="921"/>
    </row>
    <row r="28" spans="1:5" ht="15" customHeight="1">
      <c r="A28" s="921"/>
      <c r="B28" s="921"/>
      <c r="C28" s="921"/>
      <c r="D28" s="921"/>
      <c r="E28" s="921"/>
    </row>
    <row r="29" spans="1:5" ht="15" customHeight="1">
      <c r="A29" s="921"/>
      <c r="B29" s="921"/>
      <c r="C29" s="921"/>
      <c r="D29" s="921"/>
      <c r="E29" s="921"/>
    </row>
    <row r="30" spans="1:5" ht="15" customHeight="1">
      <c r="A30" s="921"/>
      <c r="B30" s="921"/>
      <c r="C30" s="921"/>
      <c r="D30" s="921"/>
      <c r="E30" s="921"/>
    </row>
  </sheetData>
  <mergeCells count="22">
    <mergeCell ref="A20:E20"/>
    <mergeCell ref="A1:E1"/>
    <mergeCell ref="A2:E2"/>
    <mergeCell ref="A3:E3"/>
    <mergeCell ref="A4:E4"/>
    <mergeCell ref="A5:E5"/>
    <mergeCell ref="A7:E7"/>
    <mergeCell ref="A15:D15"/>
    <mergeCell ref="A16:E16"/>
    <mergeCell ref="A17:E17"/>
    <mergeCell ref="A18:E18"/>
    <mergeCell ref="A19:E19"/>
    <mergeCell ref="A27:E27"/>
    <mergeCell ref="A28:E28"/>
    <mergeCell ref="A29:E29"/>
    <mergeCell ref="A30:E30"/>
    <mergeCell ref="A21:E21"/>
    <mergeCell ref="A22:E22"/>
    <mergeCell ref="A23:E23"/>
    <mergeCell ref="A24:E24"/>
    <mergeCell ref="A25:E25"/>
    <mergeCell ref="A26:E26"/>
  </mergeCells>
  <printOptions horizontalCentered="1"/>
  <pageMargins left="0.19685039370078741" right="0.19685039370078741" top="1.5748031496062993" bottom="0.19685039370078741"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EF74-741B-4726-B7A5-ED03BECE257A}">
  <sheetPr>
    <tabColor rgb="FFFF0000"/>
  </sheetPr>
  <dimension ref="A1:F47"/>
  <sheetViews>
    <sheetView zoomScaleNormal="100" zoomScaleSheetLayoutView="95" workbookViewId="0">
      <selection activeCell="A3" sqref="A3:F3"/>
    </sheetView>
  </sheetViews>
  <sheetFormatPr defaultRowHeight="15" customHeight="1"/>
  <cols>
    <col min="1" max="1" width="6" style="313" customWidth="1"/>
    <col min="2" max="2" width="58.28515625" style="296" customWidth="1"/>
    <col min="3" max="3" width="9.140625" style="314"/>
    <col min="4" max="4" width="13" style="314" customWidth="1"/>
    <col min="5" max="5" width="16.140625" style="296" customWidth="1"/>
    <col min="6" max="6" width="20" style="315" customWidth="1"/>
    <col min="7" max="7" width="9.140625" style="296"/>
    <col min="8" max="8" width="13.42578125" style="296" bestFit="1" customWidth="1"/>
    <col min="9" max="251" width="9.140625" style="296"/>
    <col min="252" max="252" width="7.28515625" style="296" customWidth="1"/>
    <col min="253" max="253" width="81.85546875" style="296" customWidth="1"/>
    <col min="254" max="254" width="9.140625" style="296"/>
    <col min="255" max="262" width="16.140625" style="296" customWidth="1"/>
    <col min="263" max="507" width="9.140625" style="296"/>
    <col min="508" max="508" width="7.28515625" style="296" customWidth="1"/>
    <col min="509" max="509" width="81.85546875" style="296" customWidth="1"/>
    <col min="510" max="510" width="9.140625" style="296"/>
    <col min="511" max="518" width="16.140625" style="296" customWidth="1"/>
    <col min="519" max="763" width="9.140625" style="296"/>
    <col min="764" max="764" width="7.28515625" style="296" customWidth="1"/>
    <col min="765" max="765" width="81.85546875" style="296" customWidth="1"/>
    <col min="766" max="766" width="9.140625" style="296"/>
    <col min="767" max="774" width="16.140625" style="296" customWidth="1"/>
    <col min="775" max="1019" width="9.140625" style="296"/>
    <col min="1020" max="1020" width="7.28515625" style="296" customWidth="1"/>
    <col min="1021" max="1021" width="81.85546875" style="296" customWidth="1"/>
    <col min="1022" max="1022" width="9.140625" style="296"/>
    <col min="1023" max="1030" width="16.140625" style="296" customWidth="1"/>
    <col min="1031" max="1275" width="9.140625" style="296"/>
    <col min="1276" max="1276" width="7.28515625" style="296" customWidth="1"/>
    <col min="1277" max="1277" width="81.85546875" style="296" customWidth="1"/>
    <col min="1278" max="1278" width="9.140625" style="296"/>
    <col min="1279" max="1286" width="16.140625" style="296" customWidth="1"/>
    <col min="1287" max="1531" width="9.140625" style="296"/>
    <col min="1532" max="1532" width="7.28515625" style="296" customWidth="1"/>
    <col min="1533" max="1533" width="81.85546875" style="296" customWidth="1"/>
    <col min="1534" max="1534" width="9.140625" style="296"/>
    <col min="1535" max="1542" width="16.140625" style="296" customWidth="1"/>
    <col min="1543" max="1787" width="9.140625" style="296"/>
    <col min="1788" max="1788" width="7.28515625" style="296" customWidth="1"/>
    <col min="1789" max="1789" width="81.85546875" style="296" customWidth="1"/>
    <col min="1790" max="1790" width="9.140625" style="296"/>
    <col min="1791" max="1798" width="16.140625" style="296" customWidth="1"/>
    <col min="1799" max="2043" width="9.140625" style="296"/>
    <col min="2044" max="2044" width="7.28515625" style="296" customWidth="1"/>
    <col min="2045" max="2045" width="81.85546875" style="296" customWidth="1"/>
    <col min="2046" max="2046" width="9.140625" style="296"/>
    <col min="2047" max="2054" width="16.140625" style="296" customWidth="1"/>
    <col min="2055" max="2299" width="9.140625" style="296"/>
    <col min="2300" max="2300" width="7.28515625" style="296" customWidth="1"/>
    <col min="2301" max="2301" width="81.85546875" style="296" customWidth="1"/>
    <col min="2302" max="2302" width="9.140625" style="296"/>
    <col min="2303" max="2310" width="16.140625" style="296" customWidth="1"/>
    <col min="2311" max="2555" width="9.140625" style="296"/>
    <col min="2556" max="2556" width="7.28515625" style="296" customWidth="1"/>
    <col min="2557" max="2557" width="81.85546875" style="296" customWidth="1"/>
    <col min="2558" max="2558" width="9.140625" style="296"/>
    <col min="2559" max="2566" width="16.140625" style="296" customWidth="1"/>
    <col min="2567" max="2811" width="9.140625" style="296"/>
    <col min="2812" max="2812" width="7.28515625" style="296" customWidth="1"/>
    <col min="2813" max="2813" width="81.85546875" style="296" customWidth="1"/>
    <col min="2814" max="2814" width="9.140625" style="296"/>
    <col min="2815" max="2822" width="16.140625" style="296" customWidth="1"/>
    <col min="2823" max="3067" width="9.140625" style="296"/>
    <col min="3068" max="3068" width="7.28515625" style="296" customWidth="1"/>
    <col min="3069" max="3069" width="81.85546875" style="296" customWidth="1"/>
    <col min="3070" max="3070" width="9.140625" style="296"/>
    <col min="3071" max="3078" width="16.140625" style="296" customWidth="1"/>
    <col min="3079" max="3323" width="9.140625" style="296"/>
    <col min="3324" max="3324" width="7.28515625" style="296" customWidth="1"/>
    <col min="3325" max="3325" width="81.85546875" style="296" customWidth="1"/>
    <col min="3326" max="3326" width="9.140625" style="296"/>
    <col min="3327" max="3334" width="16.140625" style="296" customWidth="1"/>
    <col min="3335" max="3579" width="9.140625" style="296"/>
    <col min="3580" max="3580" width="7.28515625" style="296" customWidth="1"/>
    <col min="3581" max="3581" width="81.85546875" style="296" customWidth="1"/>
    <col min="3582" max="3582" width="9.140625" style="296"/>
    <col min="3583" max="3590" width="16.140625" style="296" customWidth="1"/>
    <col min="3591" max="3835" width="9.140625" style="296"/>
    <col min="3836" max="3836" width="7.28515625" style="296" customWidth="1"/>
    <col min="3837" max="3837" width="81.85546875" style="296" customWidth="1"/>
    <col min="3838" max="3838" width="9.140625" style="296"/>
    <col min="3839" max="3846" width="16.140625" style="296" customWidth="1"/>
    <col min="3847" max="4091" width="9.140625" style="296"/>
    <col min="4092" max="4092" width="7.28515625" style="296" customWidth="1"/>
    <col min="4093" max="4093" width="81.85546875" style="296" customWidth="1"/>
    <col min="4094" max="4094" width="9.140625" style="296"/>
    <col min="4095" max="4102" width="16.140625" style="296" customWidth="1"/>
    <col min="4103" max="4347" width="9.140625" style="296"/>
    <col min="4348" max="4348" width="7.28515625" style="296" customWidth="1"/>
    <col min="4349" max="4349" width="81.85546875" style="296" customWidth="1"/>
    <col min="4350" max="4350" width="9.140625" style="296"/>
    <col min="4351" max="4358" width="16.140625" style="296" customWidth="1"/>
    <col min="4359" max="4603" width="9.140625" style="296"/>
    <col min="4604" max="4604" width="7.28515625" style="296" customWidth="1"/>
    <col min="4605" max="4605" width="81.85546875" style="296" customWidth="1"/>
    <col min="4606" max="4606" width="9.140625" style="296"/>
    <col min="4607" max="4614" width="16.140625" style="296" customWidth="1"/>
    <col min="4615" max="4859" width="9.140625" style="296"/>
    <col min="4860" max="4860" width="7.28515625" style="296" customWidth="1"/>
    <col min="4861" max="4861" width="81.85546875" style="296" customWidth="1"/>
    <col min="4862" max="4862" width="9.140625" style="296"/>
    <col min="4863" max="4870" width="16.140625" style="296" customWidth="1"/>
    <col min="4871" max="5115" width="9.140625" style="296"/>
    <col min="5116" max="5116" width="7.28515625" style="296" customWidth="1"/>
    <col min="5117" max="5117" width="81.85546875" style="296" customWidth="1"/>
    <col min="5118" max="5118" width="9.140625" style="296"/>
    <col min="5119" max="5126" width="16.140625" style="296" customWidth="1"/>
    <col min="5127" max="5371" width="9.140625" style="296"/>
    <col min="5372" max="5372" width="7.28515625" style="296" customWidth="1"/>
    <col min="5373" max="5373" width="81.85546875" style="296" customWidth="1"/>
    <col min="5374" max="5374" width="9.140625" style="296"/>
    <col min="5375" max="5382" width="16.140625" style="296" customWidth="1"/>
    <col min="5383" max="5627" width="9.140625" style="296"/>
    <col min="5628" max="5628" width="7.28515625" style="296" customWidth="1"/>
    <col min="5629" max="5629" width="81.85546875" style="296" customWidth="1"/>
    <col min="5630" max="5630" width="9.140625" style="296"/>
    <col min="5631" max="5638" width="16.140625" style="296" customWidth="1"/>
    <col min="5639" max="5883" width="9.140625" style="296"/>
    <col min="5884" max="5884" width="7.28515625" style="296" customWidth="1"/>
    <col min="5885" max="5885" width="81.85546875" style="296" customWidth="1"/>
    <col min="5886" max="5886" width="9.140625" style="296"/>
    <col min="5887" max="5894" width="16.140625" style="296" customWidth="1"/>
    <col min="5895" max="6139" width="9.140625" style="296"/>
    <col min="6140" max="6140" width="7.28515625" style="296" customWidth="1"/>
    <col min="6141" max="6141" width="81.85546875" style="296" customWidth="1"/>
    <col min="6142" max="6142" width="9.140625" style="296"/>
    <col min="6143" max="6150" width="16.140625" style="296" customWidth="1"/>
    <col min="6151" max="6395" width="9.140625" style="296"/>
    <col min="6396" max="6396" width="7.28515625" style="296" customWidth="1"/>
    <col min="6397" max="6397" width="81.85546875" style="296" customWidth="1"/>
    <col min="6398" max="6398" width="9.140625" style="296"/>
    <col min="6399" max="6406" width="16.140625" style="296" customWidth="1"/>
    <col min="6407" max="6651" width="9.140625" style="296"/>
    <col min="6652" max="6652" width="7.28515625" style="296" customWidth="1"/>
    <col min="6653" max="6653" width="81.85546875" style="296" customWidth="1"/>
    <col min="6654" max="6654" width="9.140625" style="296"/>
    <col min="6655" max="6662" width="16.140625" style="296" customWidth="1"/>
    <col min="6663" max="6907" width="9.140625" style="296"/>
    <col min="6908" max="6908" width="7.28515625" style="296" customWidth="1"/>
    <col min="6909" max="6909" width="81.85546875" style="296" customWidth="1"/>
    <col min="6910" max="6910" width="9.140625" style="296"/>
    <col min="6911" max="6918" width="16.140625" style="296" customWidth="1"/>
    <col min="6919" max="7163" width="9.140625" style="296"/>
    <col min="7164" max="7164" width="7.28515625" style="296" customWidth="1"/>
    <col min="7165" max="7165" width="81.85546875" style="296" customWidth="1"/>
    <col min="7166" max="7166" width="9.140625" style="296"/>
    <col min="7167" max="7174" width="16.140625" style="296" customWidth="1"/>
    <col min="7175" max="7419" width="9.140625" style="296"/>
    <col min="7420" max="7420" width="7.28515625" style="296" customWidth="1"/>
    <col min="7421" max="7421" width="81.85546875" style="296" customWidth="1"/>
    <col min="7422" max="7422" width="9.140625" style="296"/>
    <col min="7423" max="7430" width="16.140625" style="296" customWidth="1"/>
    <col min="7431" max="7675" width="9.140625" style="296"/>
    <col min="7676" max="7676" width="7.28515625" style="296" customWidth="1"/>
    <col min="7677" max="7677" width="81.85546875" style="296" customWidth="1"/>
    <col min="7678" max="7678" width="9.140625" style="296"/>
    <col min="7679" max="7686" width="16.140625" style="296" customWidth="1"/>
    <col min="7687" max="7931" width="9.140625" style="296"/>
    <col min="7932" max="7932" width="7.28515625" style="296" customWidth="1"/>
    <col min="7933" max="7933" width="81.85546875" style="296" customWidth="1"/>
    <col min="7934" max="7934" width="9.140625" style="296"/>
    <col min="7935" max="7942" width="16.140625" style="296" customWidth="1"/>
    <col min="7943" max="8187" width="9.140625" style="296"/>
    <col min="8188" max="8188" width="7.28515625" style="296" customWidth="1"/>
    <col min="8189" max="8189" width="81.85546875" style="296" customWidth="1"/>
    <col min="8190" max="8190" width="9.140625" style="296"/>
    <col min="8191" max="8198" width="16.140625" style="296" customWidth="1"/>
    <col min="8199" max="8443" width="9.140625" style="296"/>
    <col min="8444" max="8444" width="7.28515625" style="296" customWidth="1"/>
    <col min="8445" max="8445" width="81.85546875" style="296" customWidth="1"/>
    <col min="8446" max="8446" width="9.140625" style="296"/>
    <col min="8447" max="8454" width="16.140625" style="296" customWidth="1"/>
    <col min="8455" max="8699" width="9.140625" style="296"/>
    <col min="8700" max="8700" width="7.28515625" style="296" customWidth="1"/>
    <col min="8701" max="8701" width="81.85546875" style="296" customWidth="1"/>
    <col min="8702" max="8702" width="9.140625" style="296"/>
    <col min="8703" max="8710" width="16.140625" style="296" customWidth="1"/>
    <col min="8711" max="8955" width="9.140625" style="296"/>
    <col min="8956" max="8956" width="7.28515625" style="296" customWidth="1"/>
    <col min="8957" max="8957" width="81.85546875" style="296" customWidth="1"/>
    <col min="8958" max="8958" width="9.140625" style="296"/>
    <col min="8959" max="8966" width="16.140625" style="296" customWidth="1"/>
    <col min="8967" max="9211" width="9.140625" style="296"/>
    <col min="9212" max="9212" width="7.28515625" style="296" customWidth="1"/>
    <col min="9213" max="9213" width="81.85546875" style="296" customWidth="1"/>
    <col min="9214" max="9214" width="9.140625" style="296"/>
    <col min="9215" max="9222" width="16.140625" style="296" customWidth="1"/>
    <col min="9223" max="9467" width="9.140625" style="296"/>
    <col min="9468" max="9468" width="7.28515625" style="296" customWidth="1"/>
    <col min="9469" max="9469" width="81.85546875" style="296" customWidth="1"/>
    <col min="9470" max="9470" width="9.140625" style="296"/>
    <col min="9471" max="9478" width="16.140625" style="296" customWidth="1"/>
    <col min="9479" max="9723" width="9.140625" style="296"/>
    <col min="9724" max="9724" width="7.28515625" style="296" customWidth="1"/>
    <col min="9725" max="9725" width="81.85546875" style="296" customWidth="1"/>
    <col min="9726" max="9726" width="9.140625" style="296"/>
    <col min="9727" max="9734" width="16.140625" style="296" customWidth="1"/>
    <col min="9735" max="9979" width="9.140625" style="296"/>
    <col min="9980" max="9980" width="7.28515625" style="296" customWidth="1"/>
    <col min="9981" max="9981" width="81.85546875" style="296" customWidth="1"/>
    <col min="9982" max="9982" width="9.140625" style="296"/>
    <col min="9983" max="9990" width="16.140625" style="296" customWidth="1"/>
    <col min="9991" max="10235" width="9.140625" style="296"/>
    <col min="10236" max="10236" width="7.28515625" style="296" customWidth="1"/>
    <col min="10237" max="10237" width="81.85546875" style="296" customWidth="1"/>
    <col min="10238" max="10238" width="9.140625" style="296"/>
    <col min="10239" max="10246" width="16.140625" style="296" customWidth="1"/>
    <col min="10247" max="10491" width="9.140625" style="296"/>
    <col min="10492" max="10492" width="7.28515625" style="296" customWidth="1"/>
    <col min="10493" max="10493" width="81.85546875" style="296" customWidth="1"/>
    <col min="10494" max="10494" width="9.140625" style="296"/>
    <col min="10495" max="10502" width="16.140625" style="296" customWidth="1"/>
    <col min="10503" max="10747" width="9.140625" style="296"/>
    <col min="10748" max="10748" width="7.28515625" style="296" customWidth="1"/>
    <col min="10749" max="10749" width="81.85546875" style="296" customWidth="1"/>
    <col min="10750" max="10750" width="9.140625" style="296"/>
    <col min="10751" max="10758" width="16.140625" style="296" customWidth="1"/>
    <col min="10759" max="11003" width="9.140625" style="296"/>
    <col min="11004" max="11004" width="7.28515625" style="296" customWidth="1"/>
    <col min="11005" max="11005" width="81.85546875" style="296" customWidth="1"/>
    <col min="11006" max="11006" width="9.140625" style="296"/>
    <col min="11007" max="11014" width="16.140625" style="296" customWidth="1"/>
    <col min="11015" max="11259" width="9.140625" style="296"/>
    <col min="11260" max="11260" width="7.28515625" style="296" customWidth="1"/>
    <col min="11261" max="11261" width="81.85546875" style="296" customWidth="1"/>
    <col min="11262" max="11262" width="9.140625" style="296"/>
    <col min="11263" max="11270" width="16.140625" style="296" customWidth="1"/>
    <col min="11271" max="11515" width="9.140625" style="296"/>
    <col min="11516" max="11516" width="7.28515625" style="296" customWidth="1"/>
    <col min="11517" max="11517" width="81.85546875" style="296" customWidth="1"/>
    <col min="11518" max="11518" width="9.140625" style="296"/>
    <col min="11519" max="11526" width="16.140625" style="296" customWidth="1"/>
    <col min="11527" max="11771" width="9.140625" style="296"/>
    <col min="11772" max="11772" width="7.28515625" style="296" customWidth="1"/>
    <col min="11773" max="11773" width="81.85546875" style="296" customWidth="1"/>
    <col min="11774" max="11774" width="9.140625" style="296"/>
    <col min="11775" max="11782" width="16.140625" style="296" customWidth="1"/>
    <col min="11783" max="12027" width="9.140625" style="296"/>
    <col min="12028" max="12028" width="7.28515625" style="296" customWidth="1"/>
    <col min="12029" max="12029" width="81.85546875" style="296" customWidth="1"/>
    <col min="12030" max="12030" width="9.140625" style="296"/>
    <col min="12031" max="12038" width="16.140625" style="296" customWidth="1"/>
    <col min="12039" max="12283" width="9.140625" style="296"/>
    <col min="12284" max="12284" width="7.28515625" style="296" customWidth="1"/>
    <col min="12285" max="12285" width="81.85546875" style="296" customWidth="1"/>
    <col min="12286" max="12286" width="9.140625" style="296"/>
    <col min="12287" max="12294" width="16.140625" style="296" customWidth="1"/>
    <col min="12295" max="12539" width="9.140625" style="296"/>
    <col min="12540" max="12540" width="7.28515625" style="296" customWidth="1"/>
    <col min="12541" max="12541" width="81.85546875" style="296" customWidth="1"/>
    <col min="12542" max="12542" width="9.140625" style="296"/>
    <col min="12543" max="12550" width="16.140625" style="296" customWidth="1"/>
    <col min="12551" max="12795" width="9.140625" style="296"/>
    <col min="12796" max="12796" width="7.28515625" style="296" customWidth="1"/>
    <col min="12797" max="12797" width="81.85546875" style="296" customWidth="1"/>
    <col min="12798" max="12798" width="9.140625" style="296"/>
    <col min="12799" max="12806" width="16.140625" style="296" customWidth="1"/>
    <col min="12807" max="13051" width="9.140625" style="296"/>
    <col min="13052" max="13052" width="7.28515625" style="296" customWidth="1"/>
    <col min="13053" max="13053" width="81.85546875" style="296" customWidth="1"/>
    <col min="13054" max="13054" width="9.140625" style="296"/>
    <col min="13055" max="13062" width="16.140625" style="296" customWidth="1"/>
    <col min="13063" max="13307" width="9.140625" style="296"/>
    <col min="13308" max="13308" width="7.28515625" style="296" customWidth="1"/>
    <col min="13309" max="13309" width="81.85546875" style="296" customWidth="1"/>
    <col min="13310" max="13310" width="9.140625" style="296"/>
    <col min="13311" max="13318" width="16.140625" style="296" customWidth="1"/>
    <col min="13319" max="13563" width="9.140625" style="296"/>
    <col min="13564" max="13564" width="7.28515625" style="296" customWidth="1"/>
    <col min="13565" max="13565" width="81.85546875" style="296" customWidth="1"/>
    <col min="13566" max="13566" width="9.140625" style="296"/>
    <col min="13567" max="13574" width="16.140625" style="296" customWidth="1"/>
    <col min="13575" max="13819" width="9.140625" style="296"/>
    <col min="13820" max="13820" width="7.28515625" style="296" customWidth="1"/>
    <col min="13821" max="13821" width="81.85546875" style="296" customWidth="1"/>
    <col min="13822" max="13822" width="9.140625" style="296"/>
    <col min="13823" max="13830" width="16.140625" style="296" customWidth="1"/>
    <col min="13831" max="14075" width="9.140625" style="296"/>
    <col min="14076" max="14076" width="7.28515625" style="296" customWidth="1"/>
    <col min="14077" max="14077" width="81.85546875" style="296" customWidth="1"/>
    <col min="14078" max="14078" width="9.140625" style="296"/>
    <col min="14079" max="14086" width="16.140625" style="296" customWidth="1"/>
    <col min="14087" max="14331" width="9.140625" style="296"/>
    <col min="14332" max="14332" width="7.28515625" style="296" customWidth="1"/>
    <col min="14333" max="14333" width="81.85546875" style="296" customWidth="1"/>
    <col min="14334" max="14334" width="9.140625" style="296"/>
    <col min="14335" max="14342" width="16.140625" style="296" customWidth="1"/>
    <col min="14343" max="14587" width="9.140625" style="296"/>
    <col min="14588" max="14588" width="7.28515625" style="296" customWidth="1"/>
    <col min="14589" max="14589" width="81.85546875" style="296" customWidth="1"/>
    <col min="14590" max="14590" width="9.140625" style="296"/>
    <col min="14591" max="14598" width="16.140625" style="296" customWidth="1"/>
    <col min="14599" max="14843" width="9.140625" style="296"/>
    <col min="14844" max="14844" width="7.28515625" style="296" customWidth="1"/>
    <col min="14845" max="14845" width="81.85546875" style="296" customWidth="1"/>
    <col min="14846" max="14846" width="9.140625" style="296"/>
    <col min="14847" max="14854" width="16.140625" style="296" customWidth="1"/>
    <col min="14855" max="15099" width="9.140625" style="296"/>
    <col min="15100" max="15100" width="7.28515625" style="296" customWidth="1"/>
    <col min="15101" max="15101" width="81.85546875" style="296" customWidth="1"/>
    <col min="15102" max="15102" width="9.140625" style="296"/>
    <col min="15103" max="15110" width="16.140625" style="296" customWidth="1"/>
    <col min="15111" max="15355" width="9.140625" style="296"/>
    <col min="15356" max="15356" width="7.28515625" style="296" customWidth="1"/>
    <col min="15357" max="15357" width="81.85546875" style="296" customWidth="1"/>
    <col min="15358" max="15358" width="9.140625" style="296"/>
    <col min="15359" max="15366" width="16.140625" style="296" customWidth="1"/>
    <col min="15367" max="15611" width="9.140625" style="296"/>
    <col min="15612" max="15612" width="7.28515625" style="296" customWidth="1"/>
    <col min="15613" max="15613" width="81.85546875" style="296" customWidth="1"/>
    <col min="15614" max="15614" width="9.140625" style="296"/>
    <col min="15615" max="15622" width="16.140625" style="296" customWidth="1"/>
    <col min="15623" max="15867" width="9.140625" style="296"/>
    <col min="15868" max="15868" width="7.28515625" style="296" customWidth="1"/>
    <col min="15869" max="15869" width="81.85546875" style="296" customWidth="1"/>
    <col min="15870" max="15870" width="9.140625" style="296"/>
    <col min="15871" max="15878" width="16.140625" style="296" customWidth="1"/>
    <col min="15879" max="16123" width="9.140625" style="296"/>
    <col min="16124" max="16124" width="7.28515625" style="296" customWidth="1"/>
    <col min="16125" max="16125" width="81.85546875" style="296" customWidth="1"/>
    <col min="16126" max="16126" width="9.140625" style="296"/>
    <col min="16127" max="16134" width="16.140625" style="296" customWidth="1"/>
    <col min="16135" max="16379" width="9.140625" style="296"/>
    <col min="16380" max="16384" width="9.140625" style="296" customWidth="1"/>
  </cols>
  <sheetData>
    <row r="1" spans="1:6" ht="15" customHeight="1">
      <c r="A1" s="994"/>
      <c r="B1" s="994"/>
      <c r="C1" s="994"/>
      <c r="D1" s="994"/>
      <c r="E1" s="994"/>
      <c r="F1" s="994"/>
    </row>
    <row r="2" spans="1:6" ht="15" customHeight="1">
      <c r="A2" s="995" t="str">
        <f>[1]Proposta.DF!A7</f>
        <v>MINISTÉRIO DAS CIDADES</v>
      </c>
      <c r="B2" s="995"/>
      <c r="C2" s="995"/>
      <c r="D2" s="995"/>
      <c r="E2" s="995"/>
      <c r="F2" s="995"/>
    </row>
    <row r="3" spans="1:6" ht="15" customHeight="1">
      <c r="A3" s="995"/>
      <c r="B3" s="995"/>
      <c r="C3" s="995"/>
      <c r="D3" s="995"/>
      <c r="E3" s="995"/>
      <c r="F3" s="995"/>
    </row>
    <row r="4" spans="1:6" ht="15" customHeight="1">
      <c r="A4" s="995"/>
      <c r="B4" s="995"/>
      <c r="C4" s="995"/>
      <c r="D4" s="995"/>
      <c r="E4" s="995"/>
      <c r="F4" s="995"/>
    </row>
    <row r="5" spans="1:6" s="297" customFormat="1" ht="15" customHeight="1">
      <c r="A5" s="996" t="s">
        <v>1704</v>
      </c>
      <c r="B5" s="996"/>
      <c r="C5" s="996"/>
      <c r="D5" s="996"/>
      <c r="E5" s="996"/>
      <c r="F5" s="996"/>
    </row>
    <row r="6" spans="1:6" s="303" customFormat="1" ht="33.6" customHeight="1">
      <c r="A6" s="298" t="s">
        <v>0</v>
      </c>
      <c r="B6" s="299" t="s">
        <v>1705</v>
      </c>
      <c r="C6" s="300" t="s">
        <v>1706</v>
      </c>
      <c r="D6" s="300" t="s">
        <v>1707</v>
      </c>
      <c r="E6" s="301" t="s">
        <v>1693</v>
      </c>
      <c r="F6" s="302" t="s">
        <v>1708</v>
      </c>
    </row>
    <row r="7" spans="1:6" ht="31.9" customHeight="1">
      <c r="A7" s="304">
        <f>1</f>
        <v>1</v>
      </c>
      <c r="B7" s="305" t="s">
        <v>1709</v>
      </c>
      <c r="C7" s="306" t="s">
        <v>1710</v>
      </c>
      <c r="D7" s="306">
        <v>2</v>
      </c>
      <c r="E7" s="307"/>
      <c r="F7" s="307">
        <f t="shared" ref="F7:F21" si="0">D7*E7</f>
        <v>0</v>
      </c>
    </row>
    <row r="8" spans="1:6" ht="27.6" customHeight="1">
      <c r="A8" s="304">
        <f>A7+1</f>
        <v>2</v>
      </c>
      <c r="B8" s="305" t="s">
        <v>1711</v>
      </c>
      <c r="C8" s="306" t="s">
        <v>1712</v>
      </c>
      <c r="D8" s="306">
        <v>2</v>
      </c>
      <c r="E8" s="307"/>
      <c r="F8" s="307">
        <f t="shared" si="0"/>
        <v>0</v>
      </c>
    </row>
    <row r="9" spans="1:6" ht="39" customHeight="1">
      <c r="A9" s="304">
        <f t="shared" ref="A9:A21" si="1">A8+1</f>
        <v>3</v>
      </c>
      <c r="B9" s="305" t="s">
        <v>1713</v>
      </c>
      <c r="C9" s="306" t="s">
        <v>1710</v>
      </c>
      <c r="D9" s="306">
        <v>2</v>
      </c>
      <c r="E9" s="307"/>
      <c r="F9" s="307">
        <f t="shared" si="0"/>
        <v>0</v>
      </c>
    </row>
    <row r="10" spans="1:6" ht="15" customHeight="1">
      <c r="A10" s="304">
        <f t="shared" si="1"/>
        <v>4</v>
      </c>
      <c r="B10" s="305" t="s">
        <v>1714</v>
      </c>
      <c r="C10" s="306" t="s">
        <v>1715</v>
      </c>
      <c r="D10" s="306">
        <v>2</v>
      </c>
      <c r="E10" s="307"/>
      <c r="F10" s="307">
        <f t="shared" si="0"/>
        <v>0</v>
      </c>
    </row>
    <row r="11" spans="1:6" ht="15" customHeight="1">
      <c r="A11" s="304">
        <f t="shared" si="1"/>
        <v>5</v>
      </c>
      <c r="B11" s="305" t="s">
        <v>1716</v>
      </c>
      <c r="C11" s="306" t="s">
        <v>1715</v>
      </c>
      <c r="D11" s="306">
        <v>2</v>
      </c>
      <c r="E11" s="307"/>
      <c r="F11" s="307">
        <f t="shared" si="0"/>
        <v>0</v>
      </c>
    </row>
    <row r="12" spans="1:6" ht="52.9" customHeight="1">
      <c r="A12" s="304">
        <f t="shared" si="1"/>
        <v>6</v>
      </c>
      <c r="B12" s="305" t="s">
        <v>1717</v>
      </c>
      <c r="C12" s="306" t="s">
        <v>1715</v>
      </c>
      <c r="D12" s="306">
        <v>4</v>
      </c>
      <c r="E12" s="307"/>
      <c r="F12" s="307">
        <f t="shared" si="0"/>
        <v>0</v>
      </c>
    </row>
    <row r="13" spans="1:6" ht="32.450000000000003" customHeight="1">
      <c r="A13" s="304">
        <f t="shared" si="1"/>
        <v>7</v>
      </c>
      <c r="B13" s="305" t="s">
        <v>1718</v>
      </c>
      <c r="C13" s="306" t="s">
        <v>1712</v>
      </c>
      <c r="D13" s="306">
        <v>4</v>
      </c>
      <c r="E13" s="307"/>
      <c r="F13" s="307">
        <f t="shared" si="0"/>
        <v>0</v>
      </c>
    </row>
    <row r="14" spans="1:6" ht="15" customHeight="1">
      <c r="A14" s="304">
        <f t="shared" si="1"/>
        <v>8</v>
      </c>
      <c r="B14" s="305" t="s">
        <v>1719</v>
      </c>
      <c r="C14" s="306" t="s">
        <v>1710</v>
      </c>
      <c r="D14" s="306">
        <v>2</v>
      </c>
      <c r="E14" s="307"/>
      <c r="F14" s="307">
        <f t="shared" si="0"/>
        <v>0</v>
      </c>
    </row>
    <row r="15" spans="1:6" ht="34.15" customHeight="1">
      <c r="A15" s="304">
        <f t="shared" si="1"/>
        <v>9</v>
      </c>
      <c r="B15" s="305" t="s">
        <v>1720</v>
      </c>
      <c r="C15" s="306" t="s">
        <v>1712</v>
      </c>
      <c r="D15" s="306">
        <v>5</v>
      </c>
      <c r="E15" s="307"/>
      <c r="F15" s="307">
        <f t="shared" si="0"/>
        <v>0</v>
      </c>
    </row>
    <row r="16" spans="1:6" ht="46.15" customHeight="1">
      <c r="A16" s="304">
        <f t="shared" si="1"/>
        <v>10</v>
      </c>
      <c r="B16" s="305" t="s">
        <v>1721</v>
      </c>
      <c r="C16" s="306" t="s">
        <v>1722</v>
      </c>
      <c r="D16" s="306">
        <v>1</v>
      </c>
      <c r="E16" s="307"/>
      <c r="F16" s="307">
        <f t="shared" si="0"/>
        <v>0</v>
      </c>
    </row>
    <row r="17" spans="1:6" ht="15" customHeight="1">
      <c r="A17" s="304">
        <f t="shared" si="1"/>
        <v>11</v>
      </c>
      <c r="B17" s="305" t="s">
        <v>1723</v>
      </c>
      <c r="C17" s="306" t="s">
        <v>1724</v>
      </c>
      <c r="D17" s="306">
        <v>10</v>
      </c>
      <c r="E17" s="307"/>
      <c r="F17" s="307">
        <f t="shared" si="0"/>
        <v>0</v>
      </c>
    </row>
    <row r="18" spans="1:6" ht="15" customHeight="1">
      <c r="A18" s="304">
        <f t="shared" si="1"/>
        <v>12</v>
      </c>
      <c r="B18" s="305" t="s">
        <v>1725</v>
      </c>
      <c r="C18" s="306" t="s">
        <v>1715</v>
      </c>
      <c r="D18" s="306">
        <v>10</v>
      </c>
      <c r="E18" s="307"/>
      <c r="F18" s="307">
        <f t="shared" si="0"/>
        <v>0</v>
      </c>
    </row>
    <row r="19" spans="1:6" ht="28.15" customHeight="1">
      <c r="A19" s="304">
        <f t="shared" si="1"/>
        <v>13</v>
      </c>
      <c r="B19" s="305" t="s">
        <v>1726</v>
      </c>
      <c r="C19" s="306" t="s">
        <v>1722</v>
      </c>
      <c r="D19" s="306">
        <v>2</v>
      </c>
      <c r="E19" s="307"/>
      <c r="F19" s="307">
        <f t="shared" si="0"/>
        <v>0</v>
      </c>
    </row>
    <row r="20" spans="1:6" ht="30" customHeight="1">
      <c r="A20" s="304">
        <f t="shared" si="1"/>
        <v>14</v>
      </c>
      <c r="B20" s="305" t="s">
        <v>1727</v>
      </c>
      <c r="C20" s="306" t="s">
        <v>1715</v>
      </c>
      <c r="D20" s="306">
        <v>1</v>
      </c>
      <c r="E20" s="307"/>
      <c r="F20" s="307">
        <f t="shared" si="0"/>
        <v>0</v>
      </c>
    </row>
    <row r="21" spans="1:6" ht="19.149999999999999" customHeight="1">
      <c r="A21" s="304">
        <f t="shared" si="1"/>
        <v>15</v>
      </c>
      <c r="B21" s="305" t="s">
        <v>1728</v>
      </c>
      <c r="C21" s="306" t="s">
        <v>1715</v>
      </c>
      <c r="D21" s="306">
        <v>4</v>
      </c>
      <c r="E21" s="307"/>
      <c r="F21" s="307">
        <f t="shared" si="0"/>
        <v>0</v>
      </c>
    </row>
    <row r="22" spans="1:6" s="309" customFormat="1" ht="15" customHeight="1">
      <c r="A22" s="985" t="s">
        <v>1729</v>
      </c>
      <c r="B22" s="985"/>
      <c r="C22" s="985"/>
      <c r="D22" s="985"/>
      <c r="E22" s="985"/>
      <c r="F22" s="308">
        <f>SUM(F7:F21)</f>
        <v>0</v>
      </c>
    </row>
    <row r="23" spans="1:6" s="309" customFormat="1" ht="15" customHeight="1">
      <c r="A23" s="988" t="s">
        <v>1730</v>
      </c>
      <c r="B23" s="989"/>
      <c r="C23" s="989"/>
      <c r="D23" s="989"/>
      <c r="E23" s="990"/>
      <c r="F23" s="310">
        <f>F22/28</f>
        <v>0</v>
      </c>
    </row>
    <row r="24" spans="1:6" s="309" customFormat="1" ht="15" customHeight="1">
      <c r="A24" s="989"/>
      <c r="B24" s="989"/>
      <c r="C24" s="989"/>
      <c r="D24" s="989"/>
      <c r="E24" s="989"/>
      <c r="F24" s="989"/>
    </row>
    <row r="25" spans="1:6" ht="15" customHeight="1">
      <c r="A25" s="991" t="s">
        <v>1731</v>
      </c>
      <c r="B25" s="992" t="s">
        <v>1732</v>
      </c>
      <c r="C25" s="991" t="s">
        <v>1733</v>
      </c>
      <c r="D25" s="991" t="s">
        <v>1734</v>
      </c>
      <c r="E25" s="993" t="s">
        <v>1735</v>
      </c>
      <c r="F25" s="993" t="s">
        <v>1736</v>
      </c>
    </row>
    <row r="26" spans="1:6" ht="29.45" customHeight="1">
      <c r="A26" s="991"/>
      <c r="B26" s="992"/>
      <c r="C26" s="991"/>
      <c r="D26" s="991"/>
      <c r="E26" s="993"/>
      <c r="F26" s="993"/>
    </row>
    <row r="27" spans="1:6" ht="47.45" customHeight="1">
      <c r="A27" s="311">
        <f>1</f>
        <v>1</v>
      </c>
      <c r="B27" s="305" t="s">
        <v>1737</v>
      </c>
      <c r="C27" s="306" t="s">
        <v>1715</v>
      </c>
      <c r="D27" s="306">
        <v>11</v>
      </c>
      <c r="E27" s="307"/>
      <c r="F27" s="307">
        <f t="shared" ref="F27:F44" si="2">D27*E27</f>
        <v>0</v>
      </c>
    </row>
    <row r="28" spans="1:6" ht="35.450000000000003" customHeight="1">
      <c r="A28" s="311">
        <f>A27+1</f>
        <v>2</v>
      </c>
      <c r="B28" s="305" t="s">
        <v>1738</v>
      </c>
      <c r="C28" s="306" t="s">
        <v>1715</v>
      </c>
      <c r="D28" s="306">
        <v>2</v>
      </c>
      <c r="E28" s="307"/>
      <c r="F28" s="307">
        <f t="shared" si="2"/>
        <v>0</v>
      </c>
    </row>
    <row r="29" spans="1:6" ht="88.9" customHeight="1">
      <c r="A29" s="311">
        <f t="shared" ref="A29:A44" si="3">A28+1</f>
        <v>3</v>
      </c>
      <c r="B29" s="305" t="s">
        <v>1739</v>
      </c>
      <c r="C29" s="306" t="s">
        <v>1715</v>
      </c>
      <c r="D29" s="306">
        <v>1</v>
      </c>
      <c r="E29" s="307"/>
      <c r="F29" s="307">
        <f t="shared" si="2"/>
        <v>0</v>
      </c>
    </row>
    <row r="30" spans="1:6" ht="37.15" customHeight="1">
      <c r="A30" s="311">
        <f t="shared" si="3"/>
        <v>4</v>
      </c>
      <c r="B30" s="305" t="s">
        <v>1740</v>
      </c>
      <c r="C30" s="306" t="s">
        <v>1715</v>
      </c>
      <c r="D30" s="306">
        <v>5</v>
      </c>
      <c r="E30" s="307"/>
      <c r="F30" s="307">
        <f t="shared" si="2"/>
        <v>0</v>
      </c>
    </row>
    <row r="31" spans="1:6" ht="50.45" customHeight="1">
      <c r="A31" s="311">
        <f t="shared" si="3"/>
        <v>5</v>
      </c>
      <c r="B31" s="305" t="s">
        <v>1741</v>
      </c>
      <c r="C31" s="306" t="s">
        <v>1715</v>
      </c>
      <c r="D31" s="306">
        <v>1</v>
      </c>
      <c r="E31" s="307"/>
      <c r="F31" s="307">
        <f t="shared" si="2"/>
        <v>0</v>
      </c>
    </row>
    <row r="32" spans="1:6" ht="94.9" customHeight="1">
      <c r="A32" s="311">
        <f t="shared" si="3"/>
        <v>6</v>
      </c>
      <c r="B32" s="305" t="s">
        <v>1742</v>
      </c>
      <c r="C32" s="306" t="s">
        <v>1715</v>
      </c>
      <c r="D32" s="306">
        <v>22</v>
      </c>
      <c r="E32" s="307"/>
      <c r="F32" s="307">
        <f t="shared" si="2"/>
        <v>0</v>
      </c>
    </row>
    <row r="33" spans="1:6" ht="37.9" customHeight="1">
      <c r="A33" s="311">
        <f t="shared" si="3"/>
        <v>7</v>
      </c>
      <c r="B33" s="305" t="s">
        <v>1743</v>
      </c>
      <c r="C33" s="306" t="s">
        <v>1715</v>
      </c>
      <c r="D33" s="306">
        <v>1</v>
      </c>
      <c r="E33" s="307"/>
      <c r="F33" s="307">
        <f t="shared" si="2"/>
        <v>0</v>
      </c>
    </row>
    <row r="34" spans="1:6" ht="42.6" customHeight="1">
      <c r="A34" s="311">
        <f t="shared" si="3"/>
        <v>8</v>
      </c>
      <c r="B34" s="305" t="s">
        <v>1744</v>
      </c>
      <c r="C34" s="306" t="s">
        <v>1715</v>
      </c>
      <c r="D34" s="306">
        <v>1</v>
      </c>
      <c r="E34" s="307"/>
      <c r="F34" s="307">
        <f t="shared" si="2"/>
        <v>0</v>
      </c>
    </row>
    <row r="35" spans="1:6" ht="33.6" customHeight="1">
      <c r="A35" s="311">
        <f t="shared" si="3"/>
        <v>9</v>
      </c>
      <c r="B35" s="305" t="s">
        <v>1745</v>
      </c>
      <c r="C35" s="306" t="s">
        <v>1715</v>
      </c>
      <c r="D35" s="306">
        <v>1</v>
      </c>
      <c r="E35" s="307"/>
      <c r="F35" s="307">
        <f t="shared" si="2"/>
        <v>0</v>
      </c>
    </row>
    <row r="36" spans="1:6" ht="48.6" customHeight="1">
      <c r="A36" s="311">
        <f t="shared" si="3"/>
        <v>10</v>
      </c>
      <c r="B36" s="305" t="s">
        <v>1746</v>
      </c>
      <c r="C36" s="306" t="s">
        <v>1715</v>
      </c>
      <c r="D36" s="306">
        <v>1</v>
      </c>
      <c r="E36" s="307"/>
      <c r="F36" s="307">
        <f t="shared" si="2"/>
        <v>0</v>
      </c>
    </row>
    <row r="37" spans="1:6" ht="15" customHeight="1">
      <c r="A37" s="311">
        <f t="shared" si="3"/>
        <v>11</v>
      </c>
      <c r="B37" s="305" t="s">
        <v>1747</v>
      </c>
      <c r="C37" s="306" t="s">
        <v>1715</v>
      </c>
      <c r="D37" s="306">
        <v>28</v>
      </c>
      <c r="E37" s="307"/>
      <c r="F37" s="307">
        <f t="shared" si="2"/>
        <v>0</v>
      </c>
    </row>
    <row r="38" spans="1:6" ht="32.450000000000003" customHeight="1">
      <c r="A38" s="311">
        <f t="shared" si="3"/>
        <v>12</v>
      </c>
      <c r="B38" s="305" t="s">
        <v>1748</v>
      </c>
      <c r="C38" s="306" t="s">
        <v>1715</v>
      </c>
      <c r="D38" s="306">
        <v>5</v>
      </c>
      <c r="E38" s="307"/>
      <c r="F38" s="307">
        <f t="shared" si="2"/>
        <v>0</v>
      </c>
    </row>
    <row r="39" spans="1:6" ht="31.9" customHeight="1">
      <c r="A39" s="311">
        <f t="shared" si="3"/>
        <v>13</v>
      </c>
      <c r="B39" s="305" t="s">
        <v>1749</v>
      </c>
      <c r="C39" s="306" t="s">
        <v>1715</v>
      </c>
      <c r="D39" s="306">
        <v>1</v>
      </c>
      <c r="E39" s="307"/>
      <c r="F39" s="307">
        <f t="shared" si="2"/>
        <v>0</v>
      </c>
    </row>
    <row r="40" spans="1:6" ht="46.9" customHeight="1">
      <c r="A40" s="311">
        <f t="shared" si="3"/>
        <v>14</v>
      </c>
      <c r="B40" s="305" t="s">
        <v>1750</v>
      </c>
      <c r="C40" s="306" t="s">
        <v>1715</v>
      </c>
      <c r="D40" s="306">
        <v>3</v>
      </c>
      <c r="E40" s="307"/>
      <c r="F40" s="307">
        <f t="shared" si="2"/>
        <v>0</v>
      </c>
    </row>
    <row r="41" spans="1:6" ht="51" customHeight="1">
      <c r="A41" s="311">
        <f t="shared" si="3"/>
        <v>15</v>
      </c>
      <c r="B41" s="305" t="s">
        <v>1751</v>
      </c>
      <c r="C41" s="306" t="s">
        <v>1715</v>
      </c>
      <c r="D41" s="306">
        <v>2</v>
      </c>
      <c r="E41" s="307"/>
      <c r="F41" s="307">
        <f t="shared" si="2"/>
        <v>0</v>
      </c>
    </row>
    <row r="42" spans="1:6" ht="51" customHeight="1">
      <c r="A42" s="311">
        <f t="shared" si="3"/>
        <v>16</v>
      </c>
      <c r="B42" s="305" t="s">
        <v>1752</v>
      </c>
      <c r="C42" s="306" t="s">
        <v>1715</v>
      </c>
      <c r="D42" s="306">
        <v>1</v>
      </c>
      <c r="E42" s="307"/>
      <c r="F42" s="307">
        <f t="shared" si="2"/>
        <v>0</v>
      </c>
    </row>
    <row r="43" spans="1:6" ht="49.9" customHeight="1">
      <c r="A43" s="311">
        <f t="shared" si="3"/>
        <v>17</v>
      </c>
      <c r="B43" s="305" t="s">
        <v>1753</v>
      </c>
      <c r="C43" s="306" t="s">
        <v>1715</v>
      </c>
      <c r="D43" s="306">
        <v>1</v>
      </c>
      <c r="E43" s="307"/>
      <c r="F43" s="307">
        <f t="shared" si="2"/>
        <v>0</v>
      </c>
    </row>
    <row r="44" spans="1:6" ht="36" customHeight="1">
      <c r="A44" s="311">
        <f t="shared" si="3"/>
        <v>18</v>
      </c>
      <c r="B44" s="305" t="s">
        <v>1754</v>
      </c>
      <c r="C44" s="306" t="s">
        <v>1715</v>
      </c>
      <c r="D44" s="306">
        <v>1</v>
      </c>
      <c r="E44" s="307"/>
      <c r="F44" s="307">
        <f t="shared" si="2"/>
        <v>0</v>
      </c>
    </row>
    <row r="45" spans="1:6" s="309" customFormat="1" ht="15" customHeight="1">
      <c r="A45" s="985" t="s">
        <v>1755</v>
      </c>
      <c r="B45" s="985"/>
      <c r="C45" s="985"/>
      <c r="D45" s="985"/>
      <c r="E45" s="985"/>
      <c r="F45" s="310">
        <f>SUM(F27:F44)</f>
        <v>0</v>
      </c>
    </row>
    <row r="46" spans="1:6" ht="15" customHeight="1">
      <c r="A46" s="986" t="s">
        <v>1756</v>
      </c>
      <c r="B46" s="986"/>
      <c r="C46" s="986"/>
      <c r="D46" s="986"/>
      <c r="E46" s="986"/>
      <c r="F46" s="310">
        <f>(F45*90%)/60/28</f>
        <v>0</v>
      </c>
    </row>
    <row r="47" spans="1:6" ht="15" customHeight="1">
      <c r="A47" s="987"/>
      <c r="B47" s="987"/>
      <c r="C47" s="987"/>
      <c r="D47" s="987"/>
      <c r="E47" s="987"/>
      <c r="F47" s="312"/>
    </row>
  </sheetData>
  <mergeCells count="17">
    <mergeCell ref="A22:E22"/>
    <mergeCell ref="A1:F1"/>
    <mergeCell ref="A2:F2"/>
    <mergeCell ref="A3:F3"/>
    <mergeCell ref="A4:F4"/>
    <mergeCell ref="A5:F5"/>
    <mergeCell ref="A45:E45"/>
    <mergeCell ref="A46:E46"/>
    <mergeCell ref="A47:E47"/>
    <mergeCell ref="A23:E23"/>
    <mergeCell ref="A24:F24"/>
    <mergeCell ref="A25:A26"/>
    <mergeCell ref="B25:B26"/>
    <mergeCell ref="C25:C26"/>
    <mergeCell ref="D25:D26"/>
    <mergeCell ref="E25:E26"/>
    <mergeCell ref="F25:F26"/>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E66F8-73AE-49A8-A63F-F433AC406903}">
  <sheetPr>
    <tabColor rgb="FF00B0F0"/>
  </sheetPr>
  <dimension ref="A1:G27"/>
  <sheetViews>
    <sheetView showGridLines="0" zoomScale="110" zoomScaleNormal="110" zoomScaleSheetLayoutView="130" workbookViewId="0">
      <selection activeCell="A3" sqref="A3:G3"/>
    </sheetView>
  </sheetViews>
  <sheetFormatPr defaultColWidth="9.140625" defaultRowHeight="15" customHeight="1"/>
  <cols>
    <col min="1" max="1" width="5.85546875" style="196" customWidth="1"/>
    <col min="2" max="2" width="28.7109375" style="196" customWidth="1"/>
    <col min="3" max="3" width="19.140625" style="196" customWidth="1"/>
    <col min="4" max="4" width="13.7109375" style="196" customWidth="1"/>
    <col min="5" max="5" width="15.7109375" style="196" customWidth="1"/>
    <col min="6" max="6" width="11.140625" style="196" customWidth="1"/>
    <col min="7" max="7" width="21" style="196" bestFit="1" customWidth="1"/>
    <col min="8" max="11" width="9.140625" style="196"/>
    <col min="12" max="12" width="17.28515625" style="196" bestFit="1" customWidth="1"/>
    <col min="13" max="16384" width="9.140625" style="196"/>
  </cols>
  <sheetData>
    <row r="1" spans="1:7" ht="15" customHeight="1">
      <c r="A1" s="923"/>
      <c r="B1" s="923"/>
      <c r="C1" s="923"/>
      <c r="D1" s="923"/>
      <c r="E1" s="923"/>
      <c r="F1" s="923"/>
      <c r="G1" s="923"/>
    </row>
    <row r="2" spans="1:7" ht="15" customHeight="1">
      <c r="A2" s="924" t="str">
        <f>[2]Proposta.DF!A7</f>
        <v>MINISTÉRIO DAS CIDADES</v>
      </c>
      <c r="B2" s="924"/>
      <c r="C2" s="924"/>
      <c r="D2" s="924"/>
      <c r="E2" s="924"/>
      <c r="F2" s="924"/>
      <c r="G2" s="924"/>
    </row>
    <row r="3" spans="1:7" ht="15" customHeight="1">
      <c r="A3" s="924"/>
      <c r="B3" s="924"/>
      <c r="C3" s="924"/>
      <c r="D3" s="924"/>
      <c r="E3" s="924"/>
      <c r="F3" s="924"/>
      <c r="G3" s="924"/>
    </row>
    <row r="4" spans="1:7" ht="15" customHeight="1">
      <c r="A4" s="923"/>
      <c r="B4" s="923"/>
      <c r="C4" s="923"/>
      <c r="D4" s="923"/>
      <c r="E4" s="923"/>
      <c r="F4" s="923"/>
      <c r="G4" s="923"/>
    </row>
    <row r="5" spans="1:7" ht="15" customHeight="1">
      <c r="A5" s="925" t="s">
        <v>1533</v>
      </c>
      <c r="B5" s="925"/>
      <c r="C5" s="925"/>
      <c r="D5" s="925"/>
      <c r="E5" s="925"/>
      <c r="F5" s="925"/>
      <c r="G5" s="925"/>
    </row>
    <row r="6" spans="1:7" ht="15" customHeight="1">
      <c r="A6" s="926"/>
      <c r="B6" s="926"/>
      <c r="C6" s="926"/>
      <c r="D6" s="926"/>
      <c r="E6" s="926"/>
      <c r="F6" s="926"/>
      <c r="G6" s="926"/>
    </row>
    <row r="7" spans="1:7" ht="45.6" customHeight="1">
      <c r="A7" s="197" t="s">
        <v>0</v>
      </c>
      <c r="B7" s="198" t="s">
        <v>1534</v>
      </c>
      <c r="C7" s="198" t="s">
        <v>1535</v>
      </c>
      <c r="D7" s="198" t="s">
        <v>1536</v>
      </c>
      <c r="E7" s="198" t="s">
        <v>1537</v>
      </c>
      <c r="F7" s="198" t="s">
        <v>1538</v>
      </c>
      <c r="G7" s="198" t="s">
        <v>1539</v>
      </c>
    </row>
    <row r="8" spans="1:7" ht="15" customHeight="1">
      <c r="A8" s="199" t="s">
        <v>1540</v>
      </c>
      <c r="B8" s="200" t="s">
        <v>1757</v>
      </c>
      <c r="C8" s="201"/>
      <c r="D8" s="202">
        <v>2</v>
      </c>
      <c r="E8" s="203">
        <f>C8*D8</f>
        <v>0</v>
      </c>
      <c r="F8" s="199">
        <v>2</v>
      </c>
      <c r="G8" s="204">
        <f>E8*F8</f>
        <v>0</v>
      </c>
    </row>
    <row r="9" spans="1:7" ht="15" customHeight="1">
      <c r="A9" s="199" t="s">
        <v>1542</v>
      </c>
      <c r="B9" s="200" t="s">
        <v>1758</v>
      </c>
      <c r="C9" s="201"/>
      <c r="D9" s="202">
        <v>2</v>
      </c>
      <c r="E9" s="203">
        <f>C9*D9</f>
        <v>0</v>
      </c>
      <c r="F9" s="199">
        <v>2</v>
      </c>
      <c r="G9" s="204">
        <f>E9*F9</f>
        <v>0</v>
      </c>
    </row>
    <row r="10" spans="1:7" ht="15" customHeight="1">
      <c r="A10" s="199" t="s">
        <v>1544</v>
      </c>
      <c r="B10" s="200" t="s">
        <v>1759</v>
      </c>
      <c r="C10" s="201"/>
      <c r="D10" s="202">
        <v>2</v>
      </c>
      <c r="E10" s="203">
        <f>C10*D10</f>
        <v>0</v>
      </c>
      <c r="F10" s="199">
        <v>1</v>
      </c>
      <c r="G10" s="204">
        <f>E10*F10</f>
        <v>0</v>
      </c>
    </row>
    <row r="11" spans="1:7" ht="15" customHeight="1">
      <c r="A11" s="199" t="s">
        <v>1760</v>
      </c>
      <c r="B11" s="200" t="s">
        <v>1761</v>
      </c>
      <c r="C11" s="201"/>
      <c r="D11" s="202">
        <v>1</v>
      </c>
      <c r="E11" s="203">
        <f>C11*D11</f>
        <v>0</v>
      </c>
      <c r="F11" s="199">
        <v>1</v>
      </c>
      <c r="G11" s="204">
        <f>E11*F11</f>
        <v>0</v>
      </c>
    </row>
    <row r="12" spans="1:7" ht="15" customHeight="1">
      <c r="A12" s="927" t="s">
        <v>1546</v>
      </c>
      <c r="B12" s="928"/>
      <c r="C12" s="928"/>
      <c r="D12" s="928"/>
      <c r="E12" s="929"/>
      <c r="F12" s="199">
        <f>SUM(F8:F11)</f>
        <v>6</v>
      </c>
      <c r="G12" s="204" t="s">
        <v>1547</v>
      </c>
    </row>
    <row r="13" spans="1:7" ht="15" customHeight="1">
      <c r="A13" s="930" t="s">
        <v>1762</v>
      </c>
      <c r="B13" s="930"/>
      <c r="C13" s="930"/>
      <c r="D13" s="930"/>
      <c r="E13" s="930"/>
      <c r="F13" s="930"/>
      <c r="G13" s="205">
        <f>SUM(G8:G11)</f>
        <v>0</v>
      </c>
    </row>
    <row r="14" spans="1:7" ht="15" customHeight="1">
      <c r="A14" s="931"/>
      <c r="B14" s="931"/>
      <c r="C14" s="931"/>
      <c r="D14" s="931"/>
      <c r="E14" s="931"/>
      <c r="F14" s="931"/>
      <c r="G14" s="931"/>
    </row>
    <row r="15" spans="1:7" ht="15" customHeight="1">
      <c r="A15" s="930" t="s">
        <v>1763</v>
      </c>
      <c r="B15" s="930"/>
      <c r="C15" s="930"/>
      <c r="D15" s="930"/>
      <c r="E15" s="930"/>
      <c r="F15" s="930"/>
      <c r="G15" s="206">
        <f>G13*12</f>
        <v>0</v>
      </c>
    </row>
    <row r="16" spans="1:7" ht="15" customHeight="1">
      <c r="A16" s="931"/>
      <c r="B16" s="931"/>
      <c r="C16" s="931"/>
      <c r="D16" s="931"/>
      <c r="E16" s="931"/>
      <c r="F16" s="931"/>
      <c r="G16" s="931"/>
    </row>
    <row r="17" spans="1:7" ht="15" customHeight="1">
      <c r="A17" s="922"/>
      <c r="B17" s="922"/>
      <c r="C17" s="922"/>
      <c r="D17" s="922"/>
      <c r="E17" s="922"/>
      <c r="F17" s="922"/>
      <c r="G17" s="922"/>
    </row>
    <row r="18" spans="1:7" ht="15" customHeight="1">
      <c r="A18" s="921"/>
      <c r="B18" s="921"/>
      <c r="C18" s="921"/>
      <c r="D18" s="921"/>
      <c r="E18" s="921"/>
      <c r="F18" s="921"/>
      <c r="G18" s="921"/>
    </row>
    <row r="19" spans="1:7" ht="15" customHeight="1">
      <c r="A19" s="921"/>
      <c r="B19" s="921"/>
      <c r="C19" s="921"/>
      <c r="D19" s="921"/>
      <c r="E19" s="921"/>
      <c r="F19" s="921"/>
      <c r="G19" s="921"/>
    </row>
    <row r="20" spans="1:7" ht="15" customHeight="1">
      <c r="A20" s="921"/>
      <c r="B20" s="921"/>
      <c r="C20" s="921"/>
      <c r="D20" s="921"/>
      <c r="E20" s="921"/>
      <c r="F20" s="921"/>
      <c r="G20" s="921"/>
    </row>
    <row r="21" spans="1:7" ht="15" customHeight="1">
      <c r="A21" s="921"/>
      <c r="B21" s="921"/>
      <c r="C21" s="921"/>
      <c r="D21" s="921"/>
      <c r="E21" s="921"/>
      <c r="F21" s="921"/>
      <c r="G21" s="921"/>
    </row>
    <row r="22" spans="1:7" ht="15" customHeight="1">
      <c r="A22" s="921"/>
      <c r="B22" s="921"/>
      <c r="C22" s="921"/>
      <c r="D22" s="921"/>
      <c r="E22" s="921"/>
      <c r="F22" s="921"/>
      <c r="G22" s="921"/>
    </row>
    <row r="23" spans="1:7" ht="15" customHeight="1">
      <c r="A23" s="921"/>
      <c r="B23" s="921"/>
      <c r="C23" s="921"/>
      <c r="D23" s="921"/>
      <c r="E23" s="921"/>
      <c r="F23" s="921"/>
      <c r="G23" s="921"/>
    </row>
    <row r="24" spans="1:7" ht="15" customHeight="1">
      <c r="A24" s="921"/>
      <c r="B24" s="921"/>
      <c r="C24" s="921"/>
      <c r="D24" s="921"/>
      <c r="E24" s="921"/>
      <c r="F24" s="921"/>
      <c r="G24" s="921"/>
    </row>
    <row r="25" spans="1:7" ht="15" customHeight="1">
      <c r="A25" s="921"/>
      <c r="B25" s="921"/>
      <c r="C25" s="921"/>
      <c r="D25" s="921"/>
      <c r="E25" s="921"/>
      <c r="F25" s="921"/>
      <c r="G25" s="921"/>
    </row>
    <row r="26" spans="1:7" ht="15" customHeight="1">
      <c r="A26" s="921"/>
      <c r="B26" s="921"/>
      <c r="C26" s="921"/>
      <c r="D26" s="921"/>
      <c r="E26" s="921"/>
      <c r="F26" s="921"/>
      <c r="G26" s="921"/>
    </row>
    <row r="27" spans="1:7" ht="15" customHeight="1">
      <c r="A27" s="921"/>
      <c r="B27" s="921"/>
      <c r="C27" s="921"/>
      <c r="D27" s="921"/>
      <c r="E27" s="921"/>
      <c r="F27" s="921"/>
      <c r="G27" s="921"/>
    </row>
  </sheetData>
  <mergeCells count="22">
    <mergeCell ref="A17:G17"/>
    <mergeCell ref="A1:G1"/>
    <mergeCell ref="A2:G2"/>
    <mergeCell ref="A3:G3"/>
    <mergeCell ref="A4:G4"/>
    <mergeCell ref="A5:G5"/>
    <mergeCell ref="A6:G6"/>
    <mergeCell ref="A12:E12"/>
    <mergeCell ref="A13:F13"/>
    <mergeCell ref="A14:G14"/>
    <mergeCell ref="A15:F15"/>
    <mergeCell ref="A16:G16"/>
    <mergeCell ref="A24:G24"/>
    <mergeCell ref="A25:G25"/>
    <mergeCell ref="A26:G26"/>
    <mergeCell ref="A27:G27"/>
    <mergeCell ref="A18:G18"/>
    <mergeCell ref="A19:G19"/>
    <mergeCell ref="A20:G20"/>
    <mergeCell ref="A21:G21"/>
    <mergeCell ref="A22:G22"/>
    <mergeCell ref="A23:G23"/>
  </mergeCells>
  <printOptions horizontalCentered="1"/>
  <pageMargins left="0.19685039370078741" right="0.19685039370078741" top="1.5748031496062993" bottom="0.19685039370078741"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2A67C-6AB6-40F2-9E7A-432AB549D4BE}">
  <sheetPr>
    <tabColor rgb="FF00B0F0"/>
  </sheetPr>
  <dimension ref="A1:H148"/>
  <sheetViews>
    <sheetView showGridLines="0" view="pageBreakPreview" zoomScaleNormal="100" zoomScaleSheetLayoutView="100" workbookViewId="0">
      <selection activeCell="A2" sqref="A2:F2"/>
    </sheetView>
  </sheetViews>
  <sheetFormatPr defaultColWidth="9.140625" defaultRowHeight="15" customHeight="1"/>
  <cols>
    <col min="1" max="1" width="5.7109375" style="207" customWidth="1"/>
    <col min="2" max="2" width="23.7109375" style="207" customWidth="1"/>
    <col min="3" max="3" width="14.7109375" style="207" customWidth="1"/>
    <col min="4" max="4" width="23.7109375" style="207" customWidth="1"/>
    <col min="5" max="5" width="17.7109375" style="207" customWidth="1"/>
    <col min="6" max="6" width="24.7109375" style="207" customWidth="1"/>
    <col min="7" max="7" width="10.5703125" style="207" customWidth="1"/>
    <col min="8" max="9" width="6.42578125" style="207" customWidth="1"/>
    <col min="10" max="16" width="9.140625" style="207"/>
    <col min="17" max="17" width="11.85546875" style="207" bestFit="1" customWidth="1"/>
    <col min="18" max="16384" width="9.140625" style="207"/>
  </cols>
  <sheetData>
    <row r="1" spans="1:6" ht="15" customHeight="1">
      <c r="A1" s="978" t="s">
        <v>1550</v>
      </c>
      <c r="B1" s="978"/>
      <c r="C1" s="978"/>
      <c r="D1" s="978"/>
      <c r="E1" s="978"/>
      <c r="F1" s="978"/>
    </row>
    <row r="2" spans="1:6" ht="15" customHeight="1">
      <c r="A2" s="979"/>
      <c r="B2" s="979"/>
      <c r="C2" s="979"/>
      <c r="D2" s="979"/>
      <c r="E2" s="979"/>
      <c r="F2" s="979"/>
    </row>
    <row r="3" spans="1:6" ht="15" customHeight="1">
      <c r="A3" s="979"/>
      <c r="B3" s="979"/>
      <c r="C3" s="979"/>
      <c r="D3" s="979"/>
      <c r="E3" s="979"/>
      <c r="F3" s="979"/>
    </row>
    <row r="4" spans="1:6" ht="15" customHeight="1">
      <c r="A4" s="979"/>
      <c r="B4" s="979"/>
      <c r="C4" s="979"/>
      <c r="D4" s="979"/>
      <c r="E4" s="979"/>
      <c r="F4" s="979"/>
    </row>
    <row r="5" spans="1:6" ht="15" customHeight="1">
      <c r="A5" s="974" t="s">
        <v>1552</v>
      </c>
      <c r="B5" s="974"/>
      <c r="C5" s="974"/>
      <c r="D5" s="974"/>
      <c r="E5" s="974"/>
      <c r="F5" s="974"/>
    </row>
    <row r="6" spans="1:6" ht="15" customHeight="1">
      <c r="A6" s="960" t="s">
        <v>1553</v>
      </c>
      <c r="B6" s="960"/>
      <c r="C6" s="960"/>
      <c r="D6" s="960"/>
      <c r="E6" s="960"/>
      <c r="F6" s="960"/>
    </row>
    <row r="7" spans="1:6" ht="15" customHeight="1">
      <c r="A7" s="208" t="s">
        <v>1554</v>
      </c>
      <c r="B7" s="972" t="s">
        <v>1555</v>
      </c>
      <c r="C7" s="972"/>
      <c r="D7" s="972"/>
      <c r="E7" s="973">
        <v>45530</v>
      </c>
      <c r="F7" s="973"/>
    </row>
    <row r="8" spans="1:6" ht="15" customHeight="1">
      <c r="A8" s="208" t="s">
        <v>1556</v>
      </c>
      <c r="B8" s="972" t="s">
        <v>1557</v>
      </c>
      <c r="C8" s="972"/>
      <c r="D8" s="972"/>
      <c r="E8" s="974" t="s">
        <v>1558</v>
      </c>
      <c r="F8" s="974"/>
    </row>
    <row r="9" spans="1:6" ht="15" customHeight="1">
      <c r="A9" s="208" t="s">
        <v>1559</v>
      </c>
      <c r="B9" s="975" t="s">
        <v>1560</v>
      </c>
      <c r="C9" s="975"/>
      <c r="D9" s="975"/>
      <c r="E9" s="976" t="s">
        <v>1764</v>
      </c>
      <c r="F9" s="977"/>
    </row>
    <row r="10" spans="1:6" ht="15" customHeight="1">
      <c r="A10" s="208" t="s">
        <v>1562</v>
      </c>
      <c r="B10" s="972" t="s">
        <v>1563</v>
      </c>
      <c r="C10" s="972"/>
      <c r="D10" s="972"/>
      <c r="E10" s="974" t="s">
        <v>1564</v>
      </c>
      <c r="F10" s="974"/>
    </row>
    <row r="11" spans="1:6" ht="15" customHeight="1">
      <c r="A11" s="964"/>
      <c r="B11" s="965"/>
      <c r="C11" s="965"/>
      <c r="D11" s="965"/>
      <c r="E11" s="965"/>
      <c r="F11" s="966"/>
    </row>
    <row r="12" spans="1:6" ht="15" customHeight="1">
      <c r="A12" s="960" t="s">
        <v>1565</v>
      </c>
      <c r="B12" s="960"/>
      <c r="C12" s="960"/>
      <c r="D12" s="960"/>
      <c r="E12" s="960"/>
      <c r="F12" s="960"/>
    </row>
    <row r="13" spans="1:6" ht="15" customHeight="1">
      <c r="A13" s="209">
        <v>1</v>
      </c>
      <c r="B13" s="967" t="s">
        <v>1566</v>
      </c>
      <c r="C13" s="967"/>
      <c r="D13" s="967"/>
      <c r="E13" s="971" t="s">
        <v>1765</v>
      </c>
      <c r="F13" s="971"/>
    </row>
    <row r="14" spans="1:6" ht="15" customHeight="1">
      <c r="A14" s="209">
        <v>2</v>
      </c>
      <c r="B14" s="967" t="s">
        <v>1568</v>
      </c>
      <c r="C14" s="967"/>
      <c r="D14" s="967"/>
      <c r="E14" s="968" t="s">
        <v>1766</v>
      </c>
      <c r="F14" s="968"/>
    </row>
    <row r="15" spans="1:6" ht="15" customHeight="1">
      <c r="A15" s="209">
        <v>3</v>
      </c>
      <c r="B15" s="962" t="s">
        <v>1570</v>
      </c>
      <c r="C15" s="962"/>
      <c r="D15" s="962"/>
      <c r="E15" s="969">
        <v>2723.41</v>
      </c>
      <c r="F15" s="969"/>
    </row>
    <row r="16" spans="1:6" ht="30" customHeight="1">
      <c r="A16" s="209">
        <v>4</v>
      </c>
      <c r="B16" s="967" t="s">
        <v>1571</v>
      </c>
      <c r="C16" s="967"/>
      <c r="D16" s="967"/>
      <c r="E16" s="970" t="s">
        <v>1767</v>
      </c>
      <c r="F16" s="970"/>
    </row>
    <row r="17" spans="1:6" ht="15" customHeight="1">
      <c r="A17" s="209">
        <v>5</v>
      </c>
      <c r="B17" s="962" t="s">
        <v>1573</v>
      </c>
      <c r="C17" s="962"/>
      <c r="D17" s="962"/>
      <c r="E17" s="963">
        <v>45658</v>
      </c>
      <c r="F17" s="963"/>
    </row>
    <row r="18" spans="1:6" ht="15" customHeight="1">
      <c r="A18" s="964"/>
      <c r="B18" s="965"/>
      <c r="C18" s="965"/>
      <c r="D18" s="965"/>
      <c r="E18" s="965"/>
      <c r="F18" s="966"/>
    </row>
    <row r="19" spans="1:6" ht="15" customHeight="1">
      <c r="A19" s="960" t="s">
        <v>1574</v>
      </c>
      <c r="B19" s="960"/>
      <c r="C19" s="960"/>
      <c r="D19" s="960"/>
      <c r="E19" s="960"/>
      <c r="F19" s="960"/>
    </row>
    <row r="20" spans="1:6" ht="15" customHeight="1">
      <c r="A20" s="211">
        <v>1</v>
      </c>
      <c r="B20" s="956" t="s">
        <v>1575</v>
      </c>
      <c r="C20" s="957"/>
      <c r="D20" s="957"/>
      <c r="E20" s="958"/>
      <c r="F20" s="211" t="s">
        <v>1576</v>
      </c>
    </row>
    <row r="21" spans="1:6" ht="15" customHeight="1">
      <c r="A21" s="212" t="s">
        <v>1554</v>
      </c>
      <c r="B21" s="953" t="s">
        <v>1577</v>
      </c>
      <c r="C21" s="954"/>
      <c r="D21" s="955"/>
      <c r="E21" s="213">
        <v>1</v>
      </c>
      <c r="F21" s="214"/>
    </row>
    <row r="22" spans="1:6" ht="15" customHeight="1">
      <c r="A22" s="212" t="s">
        <v>1556</v>
      </c>
      <c r="B22" s="953" t="s">
        <v>1578</v>
      </c>
      <c r="C22" s="954"/>
      <c r="D22" s="955"/>
      <c r="E22" s="213">
        <v>0.3</v>
      </c>
      <c r="F22" s="214">
        <f>F21*E22</f>
        <v>0</v>
      </c>
    </row>
    <row r="23" spans="1:6" ht="15" customHeight="1">
      <c r="A23" s="212" t="s">
        <v>1559</v>
      </c>
      <c r="B23" s="953" t="s">
        <v>1579</v>
      </c>
      <c r="C23" s="954"/>
      <c r="D23" s="955"/>
      <c r="E23" s="213">
        <v>0</v>
      </c>
      <c r="F23" s="215">
        <v>0</v>
      </c>
    </row>
    <row r="24" spans="1:6" ht="15" customHeight="1">
      <c r="A24" s="212" t="s">
        <v>1562</v>
      </c>
      <c r="B24" s="953" t="s">
        <v>1580</v>
      </c>
      <c r="C24" s="954"/>
      <c r="D24" s="955"/>
      <c r="E24" s="213">
        <v>0.2</v>
      </c>
      <c r="F24" s="214">
        <f>SUM(F21,F22)/220*E24*8*13</f>
        <v>0</v>
      </c>
    </row>
    <row r="25" spans="1:6" ht="15" customHeight="1">
      <c r="A25" s="212" t="s">
        <v>1581</v>
      </c>
      <c r="B25" s="953" t="s">
        <v>1582</v>
      </c>
      <c r="C25" s="954"/>
      <c r="D25" s="955"/>
      <c r="E25" s="213">
        <v>0.2</v>
      </c>
      <c r="F25" s="214">
        <f>SUM(F21,F22)/220*E25*1*13</f>
        <v>0</v>
      </c>
    </row>
    <row r="26" spans="1:6" ht="15" customHeight="1">
      <c r="A26" s="212" t="s">
        <v>1583</v>
      </c>
      <c r="B26" s="953" t="s">
        <v>1584</v>
      </c>
      <c r="C26" s="954"/>
      <c r="D26" s="955"/>
      <c r="E26" s="213">
        <v>0</v>
      </c>
      <c r="F26" s="215">
        <v>0</v>
      </c>
    </row>
    <row r="27" spans="1:6" ht="15" customHeight="1">
      <c r="A27" s="942" t="s">
        <v>15</v>
      </c>
      <c r="B27" s="942"/>
      <c r="C27" s="942"/>
      <c r="D27" s="942"/>
      <c r="E27" s="216"/>
      <c r="F27" s="217">
        <f>SUM(F21:F26)</f>
        <v>0</v>
      </c>
    </row>
    <row r="28" spans="1:6" ht="15" customHeight="1">
      <c r="A28" s="959"/>
      <c r="B28" s="959"/>
      <c r="C28" s="959"/>
      <c r="D28" s="959"/>
      <c r="E28" s="959"/>
      <c r="F28" s="959"/>
    </row>
    <row r="29" spans="1:6" ht="15" customHeight="1">
      <c r="A29" s="960" t="s">
        <v>1585</v>
      </c>
      <c r="B29" s="960"/>
      <c r="C29" s="960"/>
      <c r="D29" s="960"/>
      <c r="E29" s="960"/>
      <c r="F29" s="960"/>
    </row>
    <row r="30" spans="1:6" ht="15" customHeight="1">
      <c r="A30" s="961" t="s">
        <v>1586</v>
      </c>
      <c r="B30" s="961"/>
      <c r="C30" s="961"/>
      <c r="D30" s="961"/>
      <c r="E30" s="961"/>
      <c r="F30" s="961"/>
    </row>
    <row r="31" spans="1:6" ht="15" customHeight="1">
      <c r="A31" s="211" t="s">
        <v>710</v>
      </c>
      <c r="B31" s="949" t="s">
        <v>1587</v>
      </c>
      <c r="C31" s="949"/>
      <c r="D31" s="949"/>
      <c r="E31" s="211" t="s">
        <v>1588</v>
      </c>
      <c r="F31" s="211" t="s">
        <v>1576</v>
      </c>
    </row>
    <row r="32" spans="1:6" ht="15" customHeight="1">
      <c r="A32" s="212" t="s">
        <v>1554</v>
      </c>
      <c r="B32" s="941" t="s">
        <v>1589</v>
      </c>
      <c r="C32" s="941"/>
      <c r="D32" s="941"/>
      <c r="E32" s="218">
        <v>8.3299999999999999E-2</v>
      </c>
      <c r="F32" s="219">
        <f>F27*E32</f>
        <v>0</v>
      </c>
    </row>
    <row r="33" spans="1:6" ht="15" customHeight="1">
      <c r="A33" s="212" t="s">
        <v>1556</v>
      </c>
      <c r="B33" s="941" t="s">
        <v>1590</v>
      </c>
      <c r="C33" s="941"/>
      <c r="D33" s="941"/>
      <c r="E33" s="218">
        <v>0.121</v>
      </c>
      <c r="F33" s="219">
        <f>F27*E33</f>
        <v>0</v>
      </c>
    </row>
    <row r="34" spans="1:6" ht="15" customHeight="1">
      <c r="A34" s="942" t="s">
        <v>1591</v>
      </c>
      <c r="B34" s="942"/>
      <c r="C34" s="942"/>
      <c r="D34" s="942"/>
      <c r="E34" s="220">
        <f>E32+E33</f>
        <v>0.20429999999999998</v>
      </c>
      <c r="F34" s="221">
        <f>SUM(F32:F33)</f>
        <v>0</v>
      </c>
    </row>
    <row r="35" spans="1:6" ht="15" customHeight="1">
      <c r="A35" s="212" t="s">
        <v>1559</v>
      </c>
      <c r="B35" s="941" t="s">
        <v>1592</v>
      </c>
      <c r="C35" s="941"/>
      <c r="D35" s="941"/>
      <c r="E35" s="218">
        <f>E34*E48</f>
        <v>7.5182399999999996E-2</v>
      </c>
      <c r="F35" s="219">
        <f>F34*E48</f>
        <v>0</v>
      </c>
    </row>
    <row r="36" spans="1:6" ht="15" customHeight="1">
      <c r="A36" s="942" t="s">
        <v>15</v>
      </c>
      <c r="B36" s="942"/>
      <c r="C36" s="942"/>
      <c r="D36" s="942"/>
      <c r="E36" s="220">
        <f>E34+E35</f>
        <v>0.27948239999999996</v>
      </c>
      <c r="F36" s="221">
        <f>SUM(F34:F35)</f>
        <v>0</v>
      </c>
    </row>
    <row r="37" spans="1:6" ht="15" customHeight="1">
      <c r="A37" s="943"/>
      <c r="B37" s="944"/>
      <c r="C37" s="944"/>
      <c r="D37" s="944"/>
      <c r="E37" s="944"/>
      <c r="F37" s="945"/>
    </row>
    <row r="38" spans="1:6" ht="18.600000000000001" customHeight="1">
      <c r="A38" s="946" t="s">
        <v>1593</v>
      </c>
      <c r="B38" s="946"/>
      <c r="C38" s="946"/>
      <c r="D38" s="946"/>
      <c r="E38" s="946"/>
      <c r="F38" s="946"/>
    </row>
    <row r="39" spans="1:6" ht="15" customHeight="1">
      <c r="A39" s="211" t="s">
        <v>782</v>
      </c>
      <c r="B39" s="942" t="s">
        <v>1594</v>
      </c>
      <c r="C39" s="942"/>
      <c r="D39" s="942"/>
      <c r="E39" s="211" t="s">
        <v>1588</v>
      </c>
      <c r="F39" s="211" t="s">
        <v>1576</v>
      </c>
    </row>
    <row r="40" spans="1:6" ht="15" customHeight="1">
      <c r="A40" s="212" t="s">
        <v>1554</v>
      </c>
      <c r="B40" s="953" t="s">
        <v>1595</v>
      </c>
      <c r="C40" s="954"/>
      <c r="D40" s="955"/>
      <c r="E40" s="222">
        <v>0.2</v>
      </c>
      <c r="F40" s="223">
        <f t="shared" ref="F40:F47" si="0">$F$27*E40</f>
        <v>0</v>
      </c>
    </row>
    <row r="41" spans="1:6" ht="15" customHeight="1">
      <c r="A41" s="212" t="s">
        <v>1556</v>
      </c>
      <c r="B41" s="953" t="s">
        <v>1596</v>
      </c>
      <c r="C41" s="954"/>
      <c r="D41" s="955"/>
      <c r="E41" s="218">
        <v>2.5000000000000001E-2</v>
      </c>
      <c r="F41" s="219">
        <f t="shared" si="0"/>
        <v>0</v>
      </c>
    </row>
    <row r="42" spans="1:6" ht="15" customHeight="1">
      <c r="A42" s="212" t="s">
        <v>1559</v>
      </c>
      <c r="B42" s="953" t="s">
        <v>1768</v>
      </c>
      <c r="C42" s="954"/>
      <c r="D42" s="955"/>
      <c r="E42" s="224">
        <v>0.03</v>
      </c>
      <c r="F42" s="225">
        <f t="shared" si="0"/>
        <v>0</v>
      </c>
    </row>
    <row r="43" spans="1:6" ht="15" customHeight="1">
      <c r="A43" s="212" t="s">
        <v>1562</v>
      </c>
      <c r="B43" s="953" t="s">
        <v>1598</v>
      </c>
      <c r="C43" s="954"/>
      <c r="D43" s="955"/>
      <c r="E43" s="218">
        <v>1.4999999999999999E-2</v>
      </c>
      <c r="F43" s="219">
        <f t="shared" si="0"/>
        <v>0</v>
      </c>
    </row>
    <row r="44" spans="1:6" ht="15" customHeight="1">
      <c r="A44" s="212" t="s">
        <v>1581</v>
      </c>
      <c r="B44" s="953" t="s">
        <v>1599</v>
      </c>
      <c r="C44" s="954"/>
      <c r="D44" s="955"/>
      <c r="E44" s="218">
        <v>0.01</v>
      </c>
      <c r="F44" s="219">
        <f t="shared" si="0"/>
        <v>0</v>
      </c>
    </row>
    <row r="45" spans="1:6" ht="15" customHeight="1">
      <c r="A45" s="212" t="s">
        <v>1583</v>
      </c>
      <c r="B45" s="953" t="s">
        <v>1600</v>
      </c>
      <c r="C45" s="954"/>
      <c r="D45" s="955"/>
      <c r="E45" s="218">
        <v>6.0000000000000001E-3</v>
      </c>
      <c r="F45" s="219">
        <f t="shared" si="0"/>
        <v>0</v>
      </c>
    </row>
    <row r="46" spans="1:6" ht="15" customHeight="1">
      <c r="A46" s="212" t="s">
        <v>1601</v>
      </c>
      <c r="B46" s="953" t="s">
        <v>1602</v>
      </c>
      <c r="C46" s="954"/>
      <c r="D46" s="955"/>
      <c r="E46" s="218">
        <v>2E-3</v>
      </c>
      <c r="F46" s="219">
        <f t="shared" si="0"/>
        <v>0</v>
      </c>
    </row>
    <row r="47" spans="1:6" ht="15" customHeight="1">
      <c r="A47" s="212" t="s">
        <v>1603</v>
      </c>
      <c r="B47" s="953" t="s">
        <v>1604</v>
      </c>
      <c r="C47" s="954"/>
      <c r="D47" s="955"/>
      <c r="E47" s="218">
        <v>0.08</v>
      </c>
      <c r="F47" s="219">
        <f t="shared" si="0"/>
        <v>0</v>
      </c>
    </row>
    <row r="48" spans="1:6" ht="15" customHeight="1">
      <c r="A48" s="956" t="s">
        <v>1605</v>
      </c>
      <c r="B48" s="957"/>
      <c r="C48" s="957"/>
      <c r="D48" s="958"/>
      <c r="E48" s="220">
        <f>SUM(E40:E47)</f>
        <v>0.36800000000000005</v>
      </c>
      <c r="F48" s="221">
        <f>SUM(F40:F47)</f>
        <v>0</v>
      </c>
    </row>
    <row r="49" spans="1:7" ht="15" customHeight="1">
      <c r="A49" s="943"/>
      <c r="B49" s="944"/>
      <c r="C49" s="944"/>
      <c r="D49" s="944"/>
      <c r="E49" s="944"/>
      <c r="F49" s="945"/>
    </row>
    <row r="50" spans="1:7" ht="15" customHeight="1">
      <c r="A50" s="946" t="s">
        <v>1606</v>
      </c>
      <c r="B50" s="946"/>
      <c r="C50" s="946"/>
      <c r="D50" s="946"/>
      <c r="E50" s="946"/>
      <c r="F50" s="946"/>
    </row>
    <row r="51" spans="1:7" ht="15" customHeight="1">
      <c r="A51" s="211" t="s">
        <v>789</v>
      </c>
      <c r="B51" s="942" t="s">
        <v>1607</v>
      </c>
      <c r="C51" s="942"/>
      <c r="D51" s="942"/>
      <c r="E51" s="942"/>
      <c r="F51" s="211" t="s">
        <v>1576</v>
      </c>
    </row>
    <row r="52" spans="1:7" ht="15" customHeight="1">
      <c r="A52" s="212" t="s">
        <v>1554</v>
      </c>
      <c r="B52" s="951" t="s">
        <v>1608</v>
      </c>
      <c r="C52" s="951"/>
      <c r="D52" s="951"/>
      <c r="E52" s="951"/>
      <c r="F52" s="226"/>
      <c r="G52" s="227">
        <f>-F21*6%</f>
        <v>0</v>
      </c>
    </row>
    <row r="53" spans="1:7" ht="15" customHeight="1">
      <c r="A53" s="212" t="s">
        <v>1556</v>
      </c>
      <c r="B53" s="952" t="s">
        <v>1769</v>
      </c>
      <c r="C53" s="952"/>
      <c r="D53" s="952"/>
      <c r="E53" s="952"/>
      <c r="F53" s="228"/>
    </row>
    <row r="54" spans="1:7" ht="15" customHeight="1">
      <c r="A54" s="212" t="s">
        <v>1610</v>
      </c>
      <c r="B54" s="941" t="s">
        <v>1611</v>
      </c>
      <c r="C54" s="941"/>
      <c r="D54" s="941"/>
      <c r="E54" s="941"/>
      <c r="F54" s="229"/>
    </row>
    <row r="55" spans="1:7" ht="15" customHeight="1">
      <c r="A55" s="212" t="s">
        <v>1612</v>
      </c>
      <c r="B55" s="949" t="s">
        <v>1613</v>
      </c>
      <c r="C55" s="949"/>
      <c r="D55" s="949"/>
      <c r="E55" s="949"/>
      <c r="F55" s="221">
        <f>SUM(F53:F54)</f>
        <v>0</v>
      </c>
      <c r="G55" s="230"/>
    </row>
    <row r="56" spans="1:7" ht="15" customHeight="1">
      <c r="A56" s="212" t="s">
        <v>1559</v>
      </c>
      <c r="B56" s="952" t="s">
        <v>1614</v>
      </c>
      <c r="C56" s="952"/>
      <c r="D56" s="952"/>
      <c r="E56" s="952"/>
      <c r="F56" s="228"/>
    </row>
    <row r="57" spans="1:7" ht="15" customHeight="1">
      <c r="A57" s="212" t="s">
        <v>1562</v>
      </c>
      <c r="B57" s="952" t="s">
        <v>1615</v>
      </c>
      <c r="C57" s="952"/>
      <c r="D57" s="952"/>
      <c r="E57" s="952"/>
      <c r="F57" s="228"/>
      <c r="G57" s="231"/>
    </row>
    <row r="58" spans="1:7" ht="15" customHeight="1">
      <c r="A58" s="942" t="s">
        <v>15</v>
      </c>
      <c r="B58" s="942"/>
      <c r="C58" s="942"/>
      <c r="D58" s="942"/>
      <c r="E58" s="942"/>
      <c r="F58" s="221">
        <f>F55+F56+F57+F52</f>
        <v>0</v>
      </c>
      <c r="G58" s="230"/>
    </row>
    <row r="59" spans="1:7" ht="15" customHeight="1">
      <c r="A59" s="946" t="s">
        <v>1616</v>
      </c>
      <c r="B59" s="946"/>
      <c r="C59" s="946"/>
      <c r="D59" s="946"/>
      <c r="E59" s="946"/>
      <c r="F59" s="946"/>
    </row>
    <row r="60" spans="1:7" ht="15" customHeight="1">
      <c r="A60" s="211">
        <v>2</v>
      </c>
      <c r="B60" s="949" t="s">
        <v>1617</v>
      </c>
      <c r="C60" s="949"/>
      <c r="D60" s="949"/>
      <c r="E60" s="949"/>
      <c r="F60" s="211" t="s">
        <v>1576</v>
      </c>
    </row>
    <row r="61" spans="1:7" ht="15" customHeight="1">
      <c r="A61" s="212" t="s">
        <v>710</v>
      </c>
      <c r="B61" s="941" t="s">
        <v>1587</v>
      </c>
      <c r="C61" s="941"/>
      <c r="D61" s="941"/>
      <c r="E61" s="941"/>
      <c r="F61" s="219">
        <f>F36</f>
        <v>0</v>
      </c>
    </row>
    <row r="62" spans="1:7" ht="15" customHeight="1">
      <c r="A62" s="212" t="s">
        <v>782</v>
      </c>
      <c r="B62" s="941" t="s">
        <v>1594</v>
      </c>
      <c r="C62" s="941"/>
      <c r="D62" s="941"/>
      <c r="E62" s="941"/>
      <c r="F62" s="219">
        <f>F48</f>
        <v>0</v>
      </c>
    </row>
    <row r="63" spans="1:7" ht="15" customHeight="1">
      <c r="A63" s="212" t="s">
        <v>789</v>
      </c>
      <c r="B63" s="941" t="s">
        <v>1607</v>
      </c>
      <c r="C63" s="941"/>
      <c r="D63" s="941"/>
      <c r="E63" s="941"/>
      <c r="F63" s="219">
        <f>F58</f>
        <v>0</v>
      </c>
    </row>
    <row r="64" spans="1:7" ht="15" customHeight="1">
      <c r="A64" s="942" t="s">
        <v>15</v>
      </c>
      <c r="B64" s="942"/>
      <c r="C64" s="942"/>
      <c r="D64" s="942"/>
      <c r="E64" s="942"/>
      <c r="F64" s="221">
        <f>SUM(F61:F63)</f>
        <v>0</v>
      </c>
    </row>
    <row r="65" spans="1:6" ht="15" customHeight="1">
      <c r="A65" s="943"/>
      <c r="B65" s="944"/>
      <c r="C65" s="944"/>
      <c r="D65" s="944"/>
      <c r="E65" s="944"/>
      <c r="F65" s="945"/>
    </row>
    <row r="66" spans="1:6" ht="15" customHeight="1">
      <c r="A66" s="946" t="s">
        <v>1618</v>
      </c>
      <c r="B66" s="946"/>
      <c r="C66" s="946"/>
      <c r="D66" s="946"/>
      <c r="E66" s="946"/>
      <c r="F66" s="946"/>
    </row>
    <row r="67" spans="1:6" ht="15" customHeight="1">
      <c r="A67" s="211">
        <v>3</v>
      </c>
      <c r="B67" s="942" t="s">
        <v>1619</v>
      </c>
      <c r="C67" s="942"/>
      <c r="D67" s="942"/>
      <c r="E67" s="211" t="s">
        <v>1588</v>
      </c>
      <c r="F67" s="211" t="s">
        <v>1576</v>
      </c>
    </row>
    <row r="68" spans="1:6" ht="15" customHeight="1">
      <c r="A68" s="212" t="s">
        <v>1554</v>
      </c>
      <c r="B68" s="941" t="s">
        <v>1620</v>
      </c>
      <c r="C68" s="941"/>
      <c r="D68" s="941"/>
      <c r="E68" s="232">
        <v>1.8100000000000002E-2</v>
      </c>
      <c r="F68" s="219">
        <f>$F$27*E68</f>
        <v>0</v>
      </c>
    </row>
    <row r="69" spans="1:6" ht="15" customHeight="1">
      <c r="A69" s="212" t="s">
        <v>1556</v>
      </c>
      <c r="B69" s="941" t="s">
        <v>1621</v>
      </c>
      <c r="C69" s="941"/>
      <c r="D69" s="941"/>
      <c r="E69" s="232">
        <f>E47*E68</f>
        <v>1.4480000000000001E-3</v>
      </c>
      <c r="F69" s="219">
        <f>$F$27*(E68*8%)</f>
        <v>0</v>
      </c>
    </row>
    <row r="70" spans="1:6" ht="41.45" customHeight="1">
      <c r="A70" s="212" t="s">
        <v>1559</v>
      </c>
      <c r="B70" s="941" t="s">
        <v>1622</v>
      </c>
      <c r="C70" s="941"/>
      <c r="D70" s="941"/>
      <c r="E70" s="233">
        <v>3.4000000000000002E-2</v>
      </c>
      <c r="F70" s="219">
        <f>$F$27*E70</f>
        <v>0</v>
      </c>
    </row>
    <row r="71" spans="1:6" ht="15" customHeight="1">
      <c r="A71" s="212" t="s">
        <v>1562</v>
      </c>
      <c r="B71" s="941" t="s">
        <v>1623</v>
      </c>
      <c r="C71" s="941"/>
      <c r="D71" s="941"/>
      <c r="E71" s="234">
        <v>2.8999999999999998E-3</v>
      </c>
      <c r="F71" s="219">
        <f>$F$27*E71</f>
        <v>0</v>
      </c>
    </row>
    <row r="72" spans="1:6" ht="27.6" customHeight="1">
      <c r="A72" s="212" t="s">
        <v>1581</v>
      </c>
      <c r="B72" s="941" t="s">
        <v>1624</v>
      </c>
      <c r="C72" s="941"/>
      <c r="D72" s="941"/>
      <c r="E72" s="232">
        <v>1.1000000000000001E-3</v>
      </c>
      <c r="F72" s="219">
        <f>E48*F71</f>
        <v>0</v>
      </c>
    </row>
    <row r="73" spans="1:6" ht="15" customHeight="1">
      <c r="A73" s="212" t="s">
        <v>1583</v>
      </c>
      <c r="B73" s="941" t="s">
        <v>1625</v>
      </c>
      <c r="C73" s="941"/>
      <c r="D73" s="941"/>
      <c r="E73" s="232">
        <v>6.0000000000000001E-3</v>
      </c>
      <c r="F73" s="219">
        <f>$F$27*E73</f>
        <v>0</v>
      </c>
    </row>
    <row r="74" spans="1:6" ht="15" customHeight="1">
      <c r="A74" s="942" t="s">
        <v>15</v>
      </c>
      <c r="B74" s="942"/>
      <c r="C74" s="942"/>
      <c r="D74" s="942"/>
      <c r="E74" s="235">
        <f>SUM(E68:E73)</f>
        <v>6.3548000000000007E-2</v>
      </c>
      <c r="F74" s="221">
        <f>SUM(F68:F73)</f>
        <v>0</v>
      </c>
    </row>
    <row r="75" spans="1:6" ht="15" customHeight="1">
      <c r="A75" s="943"/>
      <c r="B75" s="944"/>
      <c r="C75" s="944"/>
      <c r="D75" s="944"/>
      <c r="E75" s="944"/>
      <c r="F75" s="945"/>
    </row>
    <row r="76" spans="1:6" ht="15" customHeight="1">
      <c r="A76" s="946" t="s">
        <v>1626</v>
      </c>
      <c r="B76" s="946"/>
      <c r="C76" s="946"/>
      <c r="D76" s="946"/>
      <c r="E76" s="946"/>
      <c r="F76" s="946"/>
    </row>
    <row r="77" spans="1:6" ht="15" customHeight="1">
      <c r="A77" s="946" t="s">
        <v>1627</v>
      </c>
      <c r="B77" s="946"/>
      <c r="C77" s="946"/>
      <c r="D77" s="946"/>
      <c r="E77" s="946"/>
      <c r="F77" s="946"/>
    </row>
    <row r="78" spans="1:6" ht="15" customHeight="1">
      <c r="A78" s="211" t="s">
        <v>1292</v>
      </c>
      <c r="B78" s="949" t="s">
        <v>1628</v>
      </c>
      <c r="C78" s="949"/>
      <c r="D78" s="949"/>
      <c r="E78" s="211" t="s">
        <v>1588</v>
      </c>
      <c r="F78" s="211" t="s">
        <v>1576</v>
      </c>
    </row>
    <row r="79" spans="1:6" ht="15" customHeight="1">
      <c r="A79" s="212" t="s">
        <v>1554</v>
      </c>
      <c r="B79" s="941" t="s">
        <v>1629</v>
      </c>
      <c r="C79" s="941"/>
      <c r="D79" s="941"/>
      <c r="E79" s="232">
        <v>9.4999999999999998E-3</v>
      </c>
      <c r="F79" s="219">
        <f>SUM(F$27*E79)</f>
        <v>0</v>
      </c>
    </row>
    <row r="80" spans="1:6" ht="15" customHeight="1">
      <c r="A80" s="212" t="s">
        <v>1556</v>
      </c>
      <c r="B80" s="941" t="s">
        <v>1630</v>
      </c>
      <c r="C80" s="941"/>
      <c r="D80" s="941"/>
      <c r="E80" s="234">
        <v>3.8800000000000001E-2</v>
      </c>
      <c r="F80" s="219">
        <f>$F$27*E80</f>
        <v>0</v>
      </c>
    </row>
    <row r="81" spans="1:6" ht="15" customHeight="1">
      <c r="A81" s="212" t="s">
        <v>1559</v>
      </c>
      <c r="B81" s="941" t="s">
        <v>1631</v>
      </c>
      <c r="C81" s="941"/>
      <c r="D81" s="941"/>
      <c r="E81" s="232">
        <v>1E-3</v>
      </c>
      <c r="F81" s="219">
        <f>$F$27*E81</f>
        <v>0</v>
      </c>
    </row>
    <row r="82" spans="1:6" ht="15" customHeight="1">
      <c r="A82" s="212" t="s">
        <v>1562</v>
      </c>
      <c r="B82" s="941" t="s">
        <v>1632</v>
      </c>
      <c r="C82" s="941"/>
      <c r="D82" s="941"/>
      <c r="E82" s="232">
        <v>4.1999999999999997E-3</v>
      </c>
      <c r="F82" s="219">
        <f>$F$27*E82</f>
        <v>0</v>
      </c>
    </row>
    <row r="83" spans="1:6" ht="15" customHeight="1">
      <c r="A83" s="212" t="s">
        <v>1581</v>
      </c>
      <c r="B83" s="941" t="s">
        <v>1633</v>
      </c>
      <c r="C83" s="941"/>
      <c r="D83" s="941"/>
      <c r="E83" s="232">
        <v>2.0000000000000001E-4</v>
      </c>
      <c r="F83" s="219">
        <f>$F$27*E83</f>
        <v>0</v>
      </c>
    </row>
    <row r="84" spans="1:6" ht="15" customHeight="1">
      <c r="A84" s="212" t="s">
        <v>1583</v>
      </c>
      <c r="B84" s="941" t="s">
        <v>1634</v>
      </c>
      <c r="C84" s="941"/>
      <c r="D84" s="941"/>
      <c r="E84" s="232">
        <v>9.4899999999999998E-2</v>
      </c>
      <c r="F84" s="219">
        <f>$F$27*E84</f>
        <v>0</v>
      </c>
    </row>
    <row r="85" spans="1:6" ht="15" customHeight="1">
      <c r="A85" s="942" t="s">
        <v>1605</v>
      </c>
      <c r="B85" s="942"/>
      <c r="C85" s="942"/>
      <c r="D85" s="942"/>
      <c r="E85" s="235">
        <f>SUM(E79:E84)</f>
        <v>0.14860000000000001</v>
      </c>
      <c r="F85" s="221">
        <f>SUM(F79:F84)</f>
        <v>0</v>
      </c>
    </row>
    <row r="86" spans="1:6" ht="15" customHeight="1">
      <c r="A86" s="943"/>
      <c r="B86" s="944"/>
      <c r="C86" s="944"/>
      <c r="D86" s="944"/>
      <c r="E86" s="944"/>
      <c r="F86" s="945"/>
    </row>
    <row r="87" spans="1:6" ht="15" customHeight="1">
      <c r="A87" s="946" t="s">
        <v>1635</v>
      </c>
      <c r="B87" s="946"/>
      <c r="C87" s="946"/>
      <c r="D87" s="946"/>
      <c r="E87" s="946"/>
      <c r="F87" s="946"/>
    </row>
    <row r="88" spans="1:6" ht="15" customHeight="1">
      <c r="A88" s="211" t="s">
        <v>1293</v>
      </c>
      <c r="B88" s="949" t="s">
        <v>1636</v>
      </c>
      <c r="C88" s="949"/>
      <c r="D88" s="949"/>
      <c r="E88" s="949"/>
      <c r="F88" s="211" t="s">
        <v>1576</v>
      </c>
    </row>
    <row r="89" spans="1:6" ht="15" customHeight="1">
      <c r="A89" s="212" t="s">
        <v>1554</v>
      </c>
      <c r="B89" s="941" t="s">
        <v>1637</v>
      </c>
      <c r="C89" s="941"/>
      <c r="D89" s="941"/>
      <c r="E89" s="941"/>
      <c r="F89" s="219">
        <v>0</v>
      </c>
    </row>
    <row r="90" spans="1:6" ht="15" customHeight="1">
      <c r="A90" s="942" t="s">
        <v>15</v>
      </c>
      <c r="B90" s="942"/>
      <c r="C90" s="942"/>
      <c r="D90" s="942"/>
      <c r="E90" s="942"/>
      <c r="F90" s="219">
        <f>SUM(F89)</f>
        <v>0</v>
      </c>
    </row>
    <row r="91" spans="1:6" ht="15" customHeight="1">
      <c r="A91" s="943"/>
      <c r="B91" s="944"/>
      <c r="C91" s="944"/>
      <c r="D91" s="944"/>
      <c r="E91" s="944"/>
      <c r="F91" s="945"/>
    </row>
    <row r="92" spans="1:6" ht="15" customHeight="1">
      <c r="A92" s="946" t="s">
        <v>1638</v>
      </c>
      <c r="B92" s="946"/>
      <c r="C92" s="946"/>
      <c r="D92" s="946"/>
      <c r="E92" s="946"/>
      <c r="F92" s="946"/>
    </row>
    <row r="93" spans="1:6" ht="15" customHeight="1">
      <c r="A93" s="211">
        <v>4</v>
      </c>
      <c r="B93" s="949" t="s">
        <v>1639</v>
      </c>
      <c r="C93" s="949"/>
      <c r="D93" s="949"/>
      <c r="E93" s="949"/>
      <c r="F93" s="211" t="s">
        <v>1576</v>
      </c>
    </row>
    <row r="94" spans="1:6" ht="15" customHeight="1">
      <c r="A94" s="212" t="s">
        <v>1292</v>
      </c>
      <c r="B94" s="941" t="s">
        <v>1628</v>
      </c>
      <c r="C94" s="941"/>
      <c r="D94" s="941"/>
      <c r="E94" s="941"/>
      <c r="F94" s="219">
        <f>F85</f>
        <v>0</v>
      </c>
    </row>
    <row r="95" spans="1:6" ht="15" customHeight="1">
      <c r="A95" s="212" t="s">
        <v>1293</v>
      </c>
      <c r="B95" s="941" t="s">
        <v>1636</v>
      </c>
      <c r="C95" s="941"/>
      <c r="D95" s="941"/>
      <c r="E95" s="941"/>
      <c r="F95" s="219">
        <f>F90</f>
        <v>0</v>
      </c>
    </row>
    <row r="96" spans="1:6" ht="15" customHeight="1">
      <c r="A96" s="942" t="s">
        <v>15</v>
      </c>
      <c r="B96" s="942"/>
      <c r="C96" s="942"/>
      <c r="D96" s="942"/>
      <c r="E96" s="942"/>
      <c r="F96" s="219">
        <f>SUM(F94:F95)</f>
        <v>0</v>
      </c>
    </row>
    <row r="97" spans="1:6" ht="15" customHeight="1">
      <c r="A97" s="943"/>
      <c r="B97" s="944"/>
      <c r="C97" s="944"/>
      <c r="D97" s="944"/>
      <c r="E97" s="944"/>
      <c r="F97" s="945"/>
    </row>
    <row r="98" spans="1:6" ht="15" customHeight="1">
      <c r="A98" s="946" t="s">
        <v>1640</v>
      </c>
      <c r="B98" s="946"/>
      <c r="C98" s="946"/>
      <c r="D98" s="946"/>
      <c r="E98" s="946"/>
      <c r="F98" s="946"/>
    </row>
    <row r="99" spans="1:6" ht="15" customHeight="1">
      <c r="A99" s="211">
        <v>5</v>
      </c>
      <c r="B99" s="942" t="s">
        <v>1641</v>
      </c>
      <c r="C99" s="942"/>
      <c r="D99" s="942"/>
      <c r="E99" s="942"/>
      <c r="F99" s="211" t="s">
        <v>1576</v>
      </c>
    </row>
    <row r="100" spans="1:6" ht="15" customHeight="1">
      <c r="A100" s="212" t="s">
        <v>1554</v>
      </c>
      <c r="B100" s="941" t="s">
        <v>1642</v>
      </c>
      <c r="C100" s="941"/>
      <c r="D100" s="941"/>
      <c r="E100" s="941"/>
      <c r="F100" s="223"/>
    </row>
    <row r="101" spans="1:6" ht="15" customHeight="1">
      <c r="A101" s="212" t="s">
        <v>1556</v>
      </c>
      <c r="B101" s="941" t="s">
        <v>1643</v>
      </c>
      <c r="C101" s="941"/>
      <c r="D101" s="941"/>
      <c r="E101" s="941"/>
      <c r="F101" s="223"/>
    </row>
    <row r="102" spans="1:6" ht="15" customHeight="1">
      <c r="A102" s="212" t="s">
        <v>1559</v>
      </c>
      <c r="B102" s="941" t="s">
        <v>1644</v>
      </c>
      <c r="C102" s="941"/>
      <c r="D102" s="941"/>
      <c r="E102" s="941"/>
      <c r="F102" s="223"/>
    </row>
    <row r="103" spans="1:6" ht="15" customHeight="1">
      <c r="A103" s="212" t="s">
        <v>1562</v>
      </c>
      <c r="B103" s="941" t="s">
        <v>1584</v>
      </c>
      <c r="C103" s="941"/>
      <c r="D103" s="941"/>
      <c r="E103" s="941"/>
      <c r="F103" s="219">
        <v>0</v>
      </c>
    </row>
    <row r="104" spans="1:6" ht="15" customHeight="1">
      <c r="A104" s="942" t="s">
        <v>1605</v>
      </c>
      <c r="B104" s="942"/>
      <c r="C104" s="942"/>
      <c r="D104" s="942"/>
      <c r="E104" s="942"/>
      <c r="F104" s="221">
        <f>SUM(F100:F103)</f>
        <v>0</v>
      </c>
    </row>
    <row r="105" spans="1:6" ht="15" customHeight="1">
      <c r="A105" s="943"/>
      <c r="B105" s="944"/>
      <c r="C105" s="944"/>
      <c r="D105" s="944"/>
      <c r="E105" s="944"/>
      <c r="F105" s="945"/>
    </row>
    <row r="106" spans="1:6" ht="15" customHeight="1">
      <c r="A106" s="946" t="s">
        <v>1645</v>
      </c>
      <c r="B106" s="946"/>
      <c r="C106" s="946"/>
      <c r="D106" s="946"/>
      <c r="E106" s="946"/>
      <c r="F106" s="946"/>
    </row>
    <row r="107" spans="1:6" ht="15" customHeight="1">
      <c r="A107" s="211">
        <v>6</v>
      </c>
      <c r="B107" s="949" t="s">
        <v>1646</v>
      </c>
      <c r="C107" s="949"/>
      <c r="D107" s="949"/>
      <c r="E107" s="211" t="s">
        <v>1588</v>
      </c>
      <c r="F107" s="211" t="s">
        <v>1576</v>
      </c>
    </row>
    <row r="108" spans="1:6" ht="15" customHeight="1">
      <c r="A108" s="212" t="s">
        <v>1554</v>
      </c>
      <c r="B108" s="941" t="s">
        <v>1647</v>
      </c>
      <c r="C108" s="941"/>
      <c r="D108" s="941"/>
      <c r="E108" s="236">
        <v>2.28235E-2</v>
      </c>
      <c r="F108" s="219">
        <f>(F104+F96+F74+F64+F27)*E108</f>
        <v>0</v>
      </c>
    </row>
    <row r="109" spans="1:6" ht="15" customHeight="1">
      <c r="A109" s="212" t="s">
        <v>1556</v>
      </c>
      <c r="B109" s="941" t="s">
        <v>1648</v>
      </c>
      <c r="C109" s="941"/>
      <c r="D109" s="941"/>
      <c r="E109" s="236">
        <f>E108</f>
        <v>2.28235E-2</v>
      </c>
      <c r="F109" s="219">
        <f>(F104+F96+F74+F64+F27+F108)*E109</f>
        <v>0</v>
      </c>
    </row>
    <row r="110" spans="1:6" s="240" customFormat="1" ht="15" customHeight="1">
      <c r="A110" s="237" t="s">
        <v>1559</v>
      </c>
      <c r="B110" s="950" t="s">
        <v>1649</v>
      </c>
      <c r="C110" s="950"/>
      <c r="D110" s="950"/>
      <c r="E110" s="238">
        <f>SUM(E111:E113)</f>
        <v>8.6499999999999994E-2</v>
      </c>
      <c r="F110" s="239"/>
    </row>
    <row r="111" spans="1:6" ht="15" customHeight="1">
      <c r="A111" s="212"/>
      <c r="B111" s="941" t="s">
        <v>1650</v>
      </c>
      <c r="C111" s="941"/>
      <c r="D111" s="941"/>
      <c r="E111" s="218">
        <f>0.65%+3%</f>
        <v>3.6499999999999998E-2</v>
      </c>
      <c r="F111" s="219">
        <f>((F104+F96+F74+F64+F27+F108+F109)/(1-E110)*E111)</f>
        <v>0</v>
      </c>
    </row>
    <row r="112" spans="1:6" ht="15" customHeight="1">
      <c r="A112" s="212"/>
      <c r="B112" s="941" t="s">
        <v>1651</v>
      </c>
      <c r="C112" s="941"/>
      <c r="D112" s="941"/>
      <c r="E112" s="218"/>
      <c r="F112" s="219">
        <f>((F104+F96+F74+F64+F27+F108+F109)/(1-E110)*E112)</f>
        <v>0</v>
      </c>
    </row>
    <row r="113" spans="1:8" ht="15" customHeight="1">
      <c r="A113" s="212"/>
      <c r="B113" s="941" t="s">
        <v>1652</v>
      </c>
      <c r="C113" s="941"/>
      <c r="D113" s="941"/>
      <c r="E113" s="218">
        <v>0.05</v>
      </c>
      <c r="F113" s="219">
        <f>((F104+F96+F74+F64+F27+F108+F109)/(1-E110)*E113)</f>
        <v>0</v>
      </c>
    </row>
    <row r="114" spans="1:8" ht="15" customHeight="1">
      <c r="A114" s="942" t="s">
        <v>1605</v>
      </c>
      <c r="B114" s="942"/>
      <c r="C114" s="942"/>
      <c r="D114" s="942"/>
      <c r="E114" s="220">
        <f>SUM(E108:E110)</f>
        <v>0.13214699999999999</v>
      </c>
      <c r="F114" s="221">
        <f>SUM(F108:F113)</f>
        <v>0</v>
      </c>
      <c r="H114" s="316">
        <f>E108+E109+E111+E112+E113</f>
        <v>0.13214700000000001</v>
      </c>
    </row>
    <row r="115" spans="1:8" ht="15" customHeight="1">
      <c r="A115" s="943"/>
      <c r="B115" s="944"/>
      <c r="C115" s="944"/>
      <c r="D115" s="944"/>
      <c r="E115" s="944"/>
      <c r="F115" s="945"/>
    </row>
    <row r="116" spans="1:8" ht="15" customHeight="1">
      <c r="A116" s="946" t="s">
        <v>1653</v>
      </c>
      <c r="B116" s="946"/>
      <c r="C116" s="946"/>
      <c r="D116" s="946"/>
      <c r="E116" s="946"/>
      <c r="F116" s="946"/>
    </row>
    <row r="117" spans="1:8" ht="15" customHeight="1">
      <c r="A117" s="942" t="s">
        <v>1654</v>
      </c>
      <c r="B117" s="942"/>
      <c r="C117" s="942"/>
      <c r="D117" s="942"/>
      <c r="E117" s="942"/>
      <c r="F117" s="211" t="s">
        <v>1576</v>
      </c>
    </row>
    <row r="118" spans="1:8" ht="15" customHeight="1">
      <c r="A118" s="211" t="s">
        <v>1554</v>
      </c>
      <c r="B118" s="941" t="s">
        <v>1574</v>
      </c>
      <c r="C118" s="941"/>
      <c r="D118" s="941"/>
      <c r="E118" s="941"/>
      <c r="F118" s="214">
        <f>F27</f>
        <v>0</v>
      </c>
    </row>
    <row r="119" spans="1:8" ht="15" customHeight="1">
      <c r="A119" s="211" t="s">
        <v>1556</v>
      </c>
      <c r="B119" s="941" t="s">
        <v>1585</v>
      </c>
      <c r="C119" s="941"/>
      <c r="D119" s="941"/>
      <c r="E119" s="941"/>
      <c r="F119" s="214">
        <f>F64</f>
        <v>0</v>
      </c>
    </row>
    <row r="120" spans="1:8" ht="15" customHeight="1">
      <c r="A120" s="211" t="s">
        <v>1559</v>
      </c>
      <c r="B120" s="941" t="s">
        <v>1618</v>
      </c>
      <c r="C120" s="941"/>
      <c r="D120" s="941"/>
      <c r="E120" s="941"/>
      <c r="F120" s="214">
        <f>F74</f>
        <v>0</v>
      </c>
    </row>
    <row r="121" spans="1:8" ht="15" customHeight="1">
      <c r="A121" s="211" t="s">
        <v>1562</v>
      </c>
      <c r="B121" s="941" t="s">
        <v>1626</v>
      </c>
      <c r="C121" s="941"/>
      <c r="D121" s="941"/>
      <c r="E121" s="941"/>
      <c r="F121" s="214">
        <f>F96</f>
        <v>0</v>
      </c>
    </row>
    <row r="122" spans="1:8" ht="15" customHeight="1">
      <c r="A122" s="211" t="s">
        <v>1581</v>
      </c>
      <c r="B122" s="941" t="s">
        <v>1640</v>
      </c>
      <c r="C122" s="941"/>
      <c r="D122" s="941"/>
      <c r="E122" s="941"/>
      <c r="F122" s="214">
        <f>F104</f>
        <v>0</v>
      </c>
    </row>
    <row r="123" spans="1:8" ht="15" customHeight="1">
      <c r="A123" s="942" t="s">
        <v>1655</v>
      </c>
      <c r="B123" s="942"/>
      <c r="C123" s="942"/>
      <c r="D123" s="942"/>
      <c r="E123" s="942"/>
      <c r="F123" s="217">
        <f>SUM(F118:F122)</f>
        <v>0</v>
      </c>
    </row>
    <row r="124" spans="1:8" ht="15" customHeight="1">
      <c r="A124" s="211" t="s">
        <v>1583</v>
      </c>
      <c r="B124" s="941" t="s">
        <v>1656</v>
      </c>
      <c r="C124" s="941"/>
      <c r="D124" s="941"/>
      <c r="E124" s="941"/>
      <c r="F124" s="214">
        <f>F114</f>
        <v>0</v>
      </c>
    </row>
    <row r="125" spans="1:8" ht="15" customHeight="1">
      <c r="A125" s="942" t="s">
        <v>1657</v>
      </c>
      <c r="B125" s="942"/>
      <c r="C125" s="942"/>
      <c r="D125" s="942"/>
      <c r="E125" s="942"/>
      <c r="F125" s="241">
        <f>SUM(F123:F124)</f>
        <v>0</v>
      </c>
    </row>
    <row r="126" spans="1:8" ht="15" customHeight="1">
      <c r="A126" s="943"/>
      <c r="B126" s="944"/>
      <c r="C126" s="944"/>
      <c r="D126" s="944"/>
      <c r="E126" s="944"/>
      <c r="F126" s="945"/>
    </row>
    <row r="127" spans="1:8" ht="15" customHeight="1">
      <c r="A127" s="946" t="s">
        <v>1658</v>
      </c>
      <c r="B127" s="946"/>
      <c r="C127" s="946"/>
      <c r="D127" s="946"/>
      <c r="E127" s="946"/>
      <c r="F127" s="946"/>
    </row>
    <row r="128" spans="1:8" ht="48" customHeight="1">
      <c r="A128" s="947" t="s">
        <v>1659</v>
      </c>
      <c r="B128" s="947"/>
      <c r="C128" s="242" t="s">
        <v>1660</v>
      </c>
      <c r="D128" s="242" t="s">
        <v>1661</v>
      </c>
      <c r="E128" s="242" t="s">
        <v>1662</v>
      </c>
      <c r="F128" s="242" t="s">
        <v>1663</v>
      </c>
    </row>
    <row r="129" spans="1:6" ht="15" customHeight="1">
      <c r="A129" s="948" t="str">
        <f>E13</f>
        <v>Vigilância Noturna</v>
      </c>
      <c r="B129" s="948"/>
      <c r="C129" s="243">
        <v>2</v>
      </c>
      <c r="D129" s="244">
        <f>F125*C129</f>
        <v>0</v>
      </c>
      <c r="E129" s="243">
        <v>3</v>
      </c>
      <c r="F129" s="244">
        <f>D129*E129</f>
        <v>0</v>
      </c>
    </row>
    <row r="130" spans="1:6" ht="15" customHeight="1">
      <c r="A130" s="935" t="s">
        <v>1664</v>
      </c>
      <c r="B130" s="935"/>
      <c r="C130" s="935"/>
      <c r="D130" s="935"/>
      <c r="E130" s="935"/>
      <c r="F130" s="245">
        <f>SUM(F129:F129)</f>
        <v>0</v>
      </c>
    </row>
    <row r="131" spans="1:6" ht="15" customHeight="1">
      <c r="A131" s="936"/>
      <c r="B131" s="937"/>
      <c r="C131" s="937"/>
      <c r="D131" s="937"/>
      <c r="E131" s="937"/>
      <c r="F131" s="938"/>
    </row>
    <row r="132" spans="1:6" ht="15" customHeight="1">
      <c r="A132" s="939" t="s">
        <v>1665</v>
      </c>
      <c r="B132" s="939"/>
      <c r="C132" s="939"/>
      <c r="D132" s="939"/>
      <c r="E132" s="939"/>
      <c r="F132" s="939"/>
    </row>
    <row r="133" spans="1:6" ht="15" customHeight="1">
      <c r="A133" s="940" t="s">
        <v>1666</v>
      </c>
      <c r="B133" s="940"/>
      <c r="C133" s="940"/>
      <c r="D133" s="940"/>
      <c r="E133" s="940"/>
      <c r="F133" s="940"/>
    </row>
    <row r="134" spans="1:6" ht="15" customHeight="1">
      <c r="A134" s="940" t="s">
        <v>1</v>
      </c>
      <c r="B134" s="940"/>
      <c r="C134" s="940"/>
      <c r="D134" s="940"/>
      <c r="E134" s="940"/>
      <c r="F134" s="246" t="s">
        <v>1667</v>
      </c>
    </row>
    <row r="135" spans="1:6" ht="15" customHeight="1">
      <c r="A135" s="247" t="s">
        <v>1554</v>
      </c>
      <c r="B135" s="932" t="s">
        <v>1668</v>
      </c>
      <c r="C135" s="932"/>
      <c r="D135" s="932"/>
      <c r="E135" s="932"/>
      <c r="F135" s="248">
        <f>D129</f>
        <v>0</v>
      </c>
    </row>
    <row r="136" spans="1:6" ht="15" customHeight="1">
      <c r="A136" s="247" t="s">
        <v>1556</v>
      </c>
      <c r="B136" s="932" t="s">
        <v>1669</v>
      </c>
      <c r="C136" s="932"/>
      <c r="D136" s="932"/>
      <c r="E136" s="932"/>
      <c r="F136" s="248">
        <f>F130</f>
        <v>0</v>
      </c>
    </row>
    <row r="137" spans="1:6" ht="15" customHeight="1">
      <c r="A137" s="249" t="s">
        <v>1559</v>
      </c>
      <c r="B137" s="933" t="s">
        <v>1670</v>
      </c>
      <c r="C137" s="933"/>
      <c r="D137" s="933"/>
      <c r="E137" s="933"/>
      <c r="F137" s="250">
        <f>F136*12</f>
        <v>0</v>
      </c>
    </row>
    <row r="138" spans="1:6" ht="15" customHeight="1" thickBot="1">
      <c r="A138" s="934"/>
      <c r="B138" s="934"/>
      <c r="C138" s="934"/>
      <c r="D138" s="934"/>
      <c r="E138" s="934"/>
      <c r="F138" s="934"/>
    </row>
    <row r="139" spans="1:6" ht="15" customHeight="1">
      <c r="A139" s="251"/>
      <c r="B139" s="252"/>
      <c r="C139" s="252"/>
      <c r="D139" s="252"/>
      <c r="E139" s="253"/>
      <c r="F139" s="254" t="s">
        <v>1671</v>
      </c>
    </row>
    <row r="140" spans="1:6" ht="15" customHeight="1">
      <c r="A140" s="255" t="s">
        <v>1672</v>
      </c>
      <c r="B140" s="256" t="s">
        <v>1673</v>
      </c>
      <c r="C140" s="256"/>
      <c r="D140" s="257">
        <v>-1</v>
      </c>
      <c r="E140" s="258">
        <f>((1+E146)*(1+E147))/(1-E148)-1</f>
        <v>0.1452303362367271</v>
      </c>
      <c r="F140" s="259"/>
    </row>
    <row r="141" spans="1:6" ht="15" customHeight="1">
      <c r="A141" s="260"/>
      <c r="B141" s="261" t="s">
        <v>1674</v>
      </c>
      <c r="C141" s="261"/>
      <c r="D141" s="257"/>
      <c r="E141" s="262"/>
      <c r="F141" s="263"/>
    </row>
    <row r="142" spans="1:6" ht="15" customHeight="1" thickBot="1">
      <c r="A142" s="264"/>
      <c r="B142" s="265"/>
      <c r="C142" s="265"/>
      <c r="D142" s="265"/>
      <c r="E142" s="266"/>
      <c r="F142" s="267"/>
    </row>
    <row r="143" spans="1:6" ht="15" customHeight="1">
      <c r="A143" s="268"/>
      <c r="B143" s="269"/>
      <c r="C143" s="269"/>
      <c r="D143" s="269"/>
      <c r="E143" s="270"/>
      <c r="F143" s="263"/>
    </row>
    <row r="144" spans="1:6" ht="15" customHeight="1">
      <c r="A144" s="271"/>
      <c r="B144" s="272" t="s">
        <v>1675</v>
      </c>
      <c r="C144" s="272"/>
      <c r="D144" s="272"/>
      <c r="E144" s="273"/>
      <c r="F144" s="274">
        <f>E36+E48+E74+E85</f>
        <v>0.85963040000000013</v>
      </c>
    </row>
    <row r="145" spans="1:6" ht="15" customHeight="1">
      <c r="A145" s="271"/>
      <c r="B145" s="272"/>
      <c r="C145" s="272"/>
      <c r="D145" s="272"/>
      <c r="E145" s="273"/>
      <c r="F145" s="275"/>
    </row>
    <row r="146" spans="1:6" ht="15" customHeight="1">
      <c r="A146" s="276" t="s">
        <v>1676</v>
      </c>
      <c r="B146" s="277" t="s">
        <v>1677</v>
      </c>
      <c r="C146" s="278"/>
      <c r="D146" s="272"/>
      <c r="E146" s="279">
        <f>E108</f>
        <v>2.28235E-2</v>
      </c>
      <c r="F146" s="263"/>
    </row>
    <row r="147" spans="1:6" ht="15" customHeight="1">
      <c r="A147" s="276" t="s">
        <v>1678</v>
      </c>
      <c r="B147" s="277" t="s">
        <v>1679</v>
      </c>
      <c r="C147" s="278"/>
      <c r="D147" s="272"/>
      <c r="E147" s="279">
        <f>E109</f>
        <v>2.28235E-2</v>
      </c>
      <c r="F147" s="263"/>
    </row>
    <row r="148" spans="1:6" ht="15" customHeight="1" thickBot="1">
      <c r="A148" s="280" t="s">
        <v>1680</v>
      </c>
      <c r="B148" s="281" t="s">
        <v>1681</v>
      </c>
      <c r="C148" s="282"/>
      <c r="D148" s="283"/>
      <c r="E148" s="284">
        <f>E110</f>
        <v>8.6499999999999994E-2</v>
      </c>
      <c r="F148" s="285"/>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D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601DE-3775-466F-9A81-0FF7FB388CDF}">
  <sheetPr>
    <tabColor rgb="FFFFFF00"/>
  </sheetPr>
  <dimension ref="A1:J23"/>
  <sheetViews>
    <sheetView zoomScale="85" zoomScaleNormal="85" workbookViewId="0">
      <selection activeCell="E7" sqref="E7"/>
    </sheetView>
  </sheetViews>
  <sheetFormatPr defaultRowHeight="15"/>
  <cols>
    <col min="1" max="1" width="9.7109375" style="1" customWidth="1"/>
    <col min="2" max="2" width="14.7109375" style="1" customWidth="1"/>
    <col min="3" max="3" width="25.7109375" style="1" customWidth="1"/>
    <col min="4" max="4" width="15.7109375" style="1" customWidth="1"/>
    <col min="5" max="8" width="16.7109375" style="1" customWidth="1"/>
    <col min="9" max="10" width="16.7109375" customWidth="1"/>
  </cols>
  <sheetData>
    <row r="1" spans="1:10" ht="25.5" customHeight="1" thickBot="1">
      <c r="A1" s="768" t="s">
        <v>2</v>
      </c>
      <c r="B1" s="769"/>
      <c r="C1" s="769"/>
      <c r="D1" s="769"/>
      <c r="E1" s="769"/>
      <c r="F1" s="769"/>
      <c r="G1" s="769"/>
      <c r="H1" s="769"/>
      <c r="I1" s="770"/>
      <c r="J1" s="770"/>
    </row>
    <row r="2" spans="1:10" ht="28.5" customHeight="1" thickBot="1">
      <c r="A2" s="773" t="s">
        <v>1240</v>
      </c>
      <c r="B2" s="774"/>
      <c r="C2" s="774"/>
      <c r="D2" s="774"/>
      <c r="E2" s="774"/>
      <c r="F2" s="92" t="s">
        <v>1241</v>
      </c>
      <c r="G2" s="93">
        <v>0.25</v>
      </c>
      <c r="H2" s="771" t="s">
        <v>1242</v>
      </c>
      <c r="I2" s="772"/>
      <c r="J2" s="69">
        <v>0.01</v>
      </c>
    </row>
    <row r="3" spans="1:10" ht="30" customHeight="1">
      <c r="A3" s="762" t="s">
        <v>0</v>
      </c>
      <c r="B3" s="759" t="s">
        <v>3</v>
      </c>
      <c r="C3" s="762" t="s">
        <v>34</v>
      </c>
      <c r="D3" s="759" t="s">
        <v>1168</v>
      </c>
      <c r="E3" s="762" t="s">
        <v>4</v>
      </c>
      <c r="F3" s="763"/>
      <c r="G3" s="763"/>
      <c r="H3" s="762" t="s">
        <v>4</v>
      </c>
      <c r="I3" s="763"/>
      <c r="J3" s="763"/>
    </row>
    <row r="4" spans="1:10" ht="15" customHeight="1">
      <c r="A4" s="764"/>
      <c r="B4" s="760"/>
      <c r="C4" s="765"/>
      <c r="D4" s="760"/>
      <c r="E4" s="766" t="s">
        <v>14</v>
      </c>
      <c r="F4" s="767"/>
      <c r="G4" s="766" t="s">
        <v>1237</v>
      </c>
      <c r="H4" s="766" t="s">
        <v>14</v>
      </c>
      <c r="I4" s="767"/>
      <c r="J4" s="766" t="s">
        <v>1246</v>
      </c>
    </row>
    <row r="5" spans="1:10" ht="25.5">
      <c r="A5" s="764"/>
      <c r="B5" s="761"/>
      <c r="C5" s="765"/>
      <c r="D5" s="761"/>
      <c r="E5" s="9" t="s">
        <v>1238</v>
      </c>
      <c r="F5" s="8" t="s">
        <v>1239</v>
      </c>
      <c r="G5" s="767"/>
      <c r="H5" s="9" t="s">
        <v>1243</v>
      </c>
      <c r="I5" s="8" t="s">
        <v>1245</v>
      </c>
      <c r="J5" s="767"/>
    </row>
    <row r="6" spans="1:10">
      <c r="A6" s="10">
        <v>1</v>
      </c>
      <c r="B6" s="756" t="s">
        <v>30</v>
      </c>
      <c r="C6" s="757"/>
      <c r="D6" s="758"/>
      <c r="E6" s="15"/>
      <c r="F6" s="15"/>
      <c r="G6" s="16"/>
      <c r="H6" s="17"/>
      <c r="I6" s="17"/>
      <c r="J6" s="17"/>
    </row>
    <row r="7" spans="1:10">
      <c r="A7" s="3" t="s">
        <v>16</v>
      </c>
      <c r="B7" s="3">
        <v>88269</v>
      </c>
      <c r="C7" s="4" t="s">
        <v>5</v>
      </c>
      <c r="D7" s="3">
        <v>360</v>
      </c>
      <c r="E7" s="7"/>
      <c r="F7" s="7">
        <f>E7*(1+(G2))</f>
        <v>0</v>
      </c>
      <c r="G7" s="7">
        <f>D7*F7</f>
        <v>0</v>
      </c>
      <c r="H7" s="7">
        <v>0</v>
      </c>
      <c r="I7" s="7">
        <f>H7*(1+(J2))</f>
        <v>0</v>
      </c>
      <c r="J7" s="7">
        <f>D7*I7</f>
        <v>0</v>
      </c>
    </row>
    <row r="8" spans="1:10">
      <c r="A8" s="3" t="s">
        <v>17</v>
      </c>
      <c r="B8" s="3">
        <v>88309</v>
      </c>
      <c r="C8" s="4" t="s">
        <v>6</v>
      </c>
      <c r="D8" s="3">
        <v>360</v>
      </c>
      <c r="E8" s="7"/>
      <c r="F8" s="7">
        <f>E8*(1+(G2))</f>
        <v>0</v>
      </c>
      <c r="G8" s="7">
        <f t="shared" ref="G8:G22" si="0">D8*F8</f>
        <v>0</v>
      </c>
      <c r="H8" s="7">
        <v>0</v>
      </c>
      <c r="I8" s="7">
        <f>H8*(1+(J2))</f>
        <v>0</v>
      </c>
      <c r="J8" s="7">
        <f t="shared" ref="J8:J22" si="1">D8*I8</f>
        <v>0</v>
      </c>
    </row>
    <row r="9" spans="1:10">
      <c r="A9" s="3" t="s">
        <v>18</v>
      </c>
      <c r="B9" s="3">
        <v>88267</v>
      </c>
      <c r="C9" s="4" t="s">
        <v>7</v>
      </c>
      <c r="D9" s="3">
        <v>800</v>
      </c>
      <c r="E9" s="7"/>
      <c r="F9" s="7">
        <f>E9*(1+(G2))</f>
        <v>0</v>
      </c>
      <c r="G9" s="7">
        <f t="shared" si="0"/>
        <v>0</v>
      </c>
      <c r="H9" s="7">
        <v>0</v>
      </c>
      <c r="I9" s="7">
        <f>H9*(1+(J2))</f>
        <v>0</v>
      </c>
      <c r="J9" s="7">
        <f t="shared" si="1"/>
        <v>0</v>
      </c>
    </row>
    <row r="10" spans="1:10">
      <c r="A10" s="3" t="s">
        <v>19</v>
      </c>
      <c r="B10" s="3">
        <v>88310</v>
      </c>
      <c r="C10" s="4" t="s">
        <v>8</v>
      </c>
      <c r="D10" s="3">
        <v>432</v>
      </c>
      <c r="E10" s="7"/>
      <c r="F10" s="7">
        <f>E10*(1+(G2))</f>
        <v>0</v>
      </c>
      <c r="G10" s="7">
        <f t="shared" si="0"/>
        <v>0</v>
      </c>
      <c r="H10" s="7">
        <v>0</v>
      </c>
      <c r="I10" s="7">
        <f>H10*(1+(J2))</f>
        <v>0</v>
      </c>
      <c r="J10" s="7">
        <f t="shared" si="1"/>
        <v>0</v>
      </c>
    </row>
    <row r="11" spans="1:10">
      <c r="A11" s="3" t="s">
        <v>20</v>
      </c>
      <c r="B11" s="3">
        <v>88315</v>
      </c>
      <c r="C11" s="4" t="s">
        <v>9</v>
      </c>
      <c r="D11" s="3">
        <v>220</v>
      </c>
      <c r="E11" s="7"/>
      <c r="F11" s="7">
        <f>E11*(1+(G2))</f>
        <v>0</v>
      </c>
      <c r="G11" s="7">
        <f t="shared" si="0"/>
        <v>0</v>
      </c>
      <c r="H11" s="7">
        <v>0</v>
      </c>
      <c r="I11" s="7">
        <f>H11*(1+(J2))</f>
        <v>0</v>
      </c>
      <c r="J11" s="7">
        <f t="shared" si="1"/>
        <v>0</v>
      </c>
    </row>
    <row r="12" spans="1:10">
      <c r="A12" s="3" t="s">
        <v>21</v>
      </c>
      <c r="B12" s="3">
        <v>88273</v>
      </c>
      <c r="C12" s="4" t="s">
        <v>10</v>
      </c>
      <c r="D12" s="3">
        <v>525</v>
      </c>
      <c r="E12" s="7"/>
      <c r="F12" s="7">
        <f>E12*(1+(G2))</f>
        <v>0</v>
      </c>
      <c r="G12" s="7">
        <f t="shared" si="0"/>
        <v>0</v>
      </c>
      <c r="H12" s="7">
        <v>0</v>
      </c>
      <c r="I12" s="7">
        <f>H12*(1+(J2))</f>
        <v>0</v>
      </c>
      <c r="J12" s="7">
        <f t="shared" si="1"/>
        <v>0</v>
      </c>
    </row>
    <row r="13" spans="1:10">
      <c r="A13" s="3" t="s">
        <v>22</v>
      </c>
      <c r="B13" s="3">
        <v>88264</v>
      </c>
      <c r="C13" s="4" t="s">
        <v>33</v>
      </c>
      <c r="D13" s="3">
        <v>1152</v>
      </c>
      <c r="E13" s="7"/>
      <c r="F13" s="7">
        <f>E13*(1+(G2))</f>
        <v>0</v>
      </c>
      <c r="G13" s="7">
        <f t="shared" si="0"/>
        <v>0</v>
      </c>
      <c r="H13" s="7">
        <v>0</v>
      </c>
      <c r="I13" s="7">
        <f>H13*(1+(J2))</f>
        <v>0</v>
      </c>
      <c r="J13" s="7">
        <f t="shared" si="1"/>
        <v>0</v>
      </c>
    </row>
    <row r="14" spans="1:10" ht="25.5">
      <c r="A14" s="3" t="s">
        <v>23</v>
      </c>
      <c r="B14" s="3">
        <v>88266</v>
      </c>
      <c r="C14" s="4" t="s">
        <v>11</v>
      </c>
      <c r="D14" s="3">
        <v>933</v>
      </c>
      <c r="E14" s="7"/>
      <c r="F14" s="7">
        <f>E14*(1+(G2))</f>
        <v>0</v>
      </c>
      <c r="G14" s="7">
        <f t="shared" si="0"/>
        <v>0</v>
      </c>
      <c r="H14" s="7">
        <v>0</v>
      </c>
      <c r="I14" s="7">
        <f>H14*(1+(J2))</f>
        <v>0</v>
      </c>
      <c r="J14" s="7">
        <f t="shared" si="1"/>
        <v>0</v>
      </c>
    </row>
    <row r="15" spans="1:10">
      <c r="A15" s="3" t="s">
        <v>24</v>
      </c>
      <c r="B15" s="3">
        <v>88266</v>
      </c>
      <c r="C15" s="4" t="s">
        <v>12</v>
      </c>
      <c r="D15" s="3">
        <v>324</v>
      </c>
      <c r="E15" s="7"/>
      <c r="F15" s="7">
        <f>E15*(1+(G2))</f>
        <v>0</v>
      </c>
      <c r="G15" s="7">
        <f t="shared" si="0"/>
        <v>0</v>
      </c>
      <c r="H15" s="7">
        <v>0</v>
      </c>
      <c r="I15" s="7">
        <f>H15*(1+(J2))</f>
        <v>0</v>
      </c>
      <c r="J15" s="7">
        <f t="shared" si="1"/>
        <v>0</v>
      </c>
    </row>
    <row r="16" spans="1:10" ht="25.5">
      <c r="A16" s="3" t="s">
        <v>25</v>
      </c>
      <c r="B16" s="3">
        <v>100307</v>
      </c>
      <c r="C16" s="4" t="s">
        <v>36</v>
      </c>
      <c r="D16" s="3">
        <v>324</v>
      </c>
      <c r="E16" s="7"/>
      <c r="F16" s="7">
        <f>E16*(1+(G2))</f>
        <v>0</v>
      </c>
      <c r="G16" s="7">
        <f t="shared" si="0"/>
        <v>0</v>
      </c>
      <c r="H16" s="7">
        <v>0</v>
      </c>
      <c r="I16" s="7">
        <f>H16*(1+(J2))</f>
        <v>0</v>
      </c>
      <c r="J16" s="7">
        <f t="shared" si="1"/>
        <v>0</v>
      </c>
    </row>
    <row r="17" spans="1:10">
      <c r="A17" s="3" t="s">
        <v>26</v>
      </c>
      <c r="B17" s="3">
        <v>88316</v>
      </c>
      <c r="C17" s="4" t="s">
        <v>37</v>
      </c>
      <c r="D17" s="3">
        <v>1152</v>
      </c>
      <c r="E17" s="7"/>
      <c r="F17" s="7">
        <f>E17*(1+(G2))</f>
        <v>0</v>
      </c>
      <c r="G17" s="7">
        <f t="shared" si="0"/>
        <v>0</v>
      </c>
      <c r="H17" s="7">
        <v>0</v>
      </c>
      <c r="I17" s="7">
        <f>H17*(1+(J2))</f>
        <v>0</v>
      </c>
      <c r="J17" s="7">
        <f t="shared" si="1"/>
        <v>0</v>
      </c>
    </row>
    <row r="18" spans="1:10" ht="26.25">
      <c r="A18" s="3" t="s">
        <v>27</v>
      </c>
      <c r="B18" s="3">
        <v>100308</v>
      </c>
      <c r="C18" s="5" t="s">
        <v>38</v>
      </c>
      <c r="D18" s="3">
        <v>730</v>
      </c>
      <c r="E18" s="7"/>
      <c r="F18" s="7">
        <f>E18*(1+(G2))</f>
        <v>0</v>
      </c>
      <c r="G18" s="7">
        <f t="shared" si="0"/>
        <v>0</v>
      </c>
      <c r="H18" s="7">
        <v>0</v>
      </c>
      <c r="I18" s="7">
        <f>H18*(1+(J2))</f>
        <v>0</v>
      </c>
      <c r="J18" s="7">
        <f t="shared" si="1"/>
        <v>0</v>
      </c>
    </row>
    <row r="19" spans="1:10">
      <c r="A19" s="3" t="s">
        <v>28</v>
      </c>
      <c r="B19" s="3">
        <v>88249</v>
      </c>
      <c r="C19" s="6" t="s">
        <v>13</v>
      </c>
      <c r="D19" s="3">
        <v>730</v>
      </c>
      <c r="E19" s="7"/>
      <c r="F19" s="7">
        <f>E19*(1+(G2))</f>
        <v>0</v>
      </c>
      <c r="G19" s="7">
        <f t="shared" si="0"/>
        <v>0</v>
      </c>
      <c r="H19" s="7">
        <v>0</v>
      </c>
      <c r="I19" s="7">
        <f>H19*(1+(J2))</f>
        <v>0</v>
      </c>
      <c r="J19" s="7">
        <f t="shared" si="1"/>
        <v>0</v>
      </c>
    </row>
    <row r="20" spans="1:10">
      <c r="A20" s="3" t="s">
        <v>29</v>
      </c>
      <c r="B20" s="3">
        <v>90780</v>
      </c>
      <c r="C20" s="2" t="s">
        <v>35</v>
      </c>
      <c r="D20" s="3">
        <v>1152</v>
      </c>
      <c r="E20" s="7"/>
      <c r="F20" s="7">
        <f>E20*(1+(G2))</f>
        <v>0</v>
      </c>
      <c r="G20" s="7">
        <f t="shared" si="0"/>
        <v>0</v>
      </c>
      <c r="H20" s="7">
        <v>0</v>
      </c>
      <c r="I20" s="7">
        <f>H20*(1+(J2))</f>
        <v>0</v>
      </c>
      <c r="J20" s="7">
        <f t="shared" si="1"/>
        <v>0</v>
      </c>
    </row>
    <row r="21" spans="1:10">
      <c r="A21" s="3" t="s">
        <v>31</v>
      </c>
      <c r="B21" s="3">
        <v>90769</v>
      </c>
      <c r="C21" s="2" t="s">
        <v>39</v>
      </c>
      <c r="D21" s="3">
        <v>432</v>
      </c>
      <c r="E21" s="7"/>
      <c r="F21" s="7">
        <f>E21*(1+(G2))</f>
        <v>0</v>
      </c>
      <c r="G21" s="7">
        <f t="shared" si="0"/>
        <v>0</v>
      </c>
      <c r="H21" s="7">
        <v>0</v>
      </c>
      <c r="I21" s="7">
        <f>H21*(1+(J2))</f>
        <v>0</v>
      </c>
      <c r="J21" s="7">
        <f t="shared" si="1"/>
        <v>0</v>
      </c>
    </row>
    <row r="22" spans="1:10" ht="15.75" thickBot="1">
      <c r="A22" s="70" t="s">
        <v>32</v>
      </c>
      <c r="B22" s="71">
        <v>90778</v>
      </c>
      <c r="C22" s="72" t="s">
        <v>40</v>
      </c>
      <c r="D22" s="3">
        <v>432</v>
      </c>
      <c r="E22" s="73"/>
      <c r="F22" s="7">
        <f>E22*(1+(G2))</f>
        <v>0</v>
      </c>
      <c r="G22" s="7">
        <f t="shared" si="0"/>
        <v>0</v>
      </c>
      <c r="H22" s="73">
        <v>0</v>
      </c>
      <c r="I22" s="7">
        <f>H22*(1+(J2))</f>
        <v>0</v>
      </c>
      <c r="J22" s="7">
        <f t="shared" si="1"/>
        <v>0</v>
      </c>
    </row>
    <row r="23" spans="1:10" ht="15.75" thickBot="1">
      <c r="A23" s="752" t="s">
        <v>1247</v>
      </c>
      <c r="B23" s="753"/>
      <c r="C23" s="753"/>
      <c r="D23" s="753"/>
      <c r="E23" s="754" t="s">
        <v>1167</v>
      </c>
      <c r="F23" s="755"/>
      <c r="G23" s="100">
        <f>SUM(G7:G22)</f>
        <v>0</v>
      </c>
      <c r="H23" s="750" t="s">
        <v>1244</v>
      </c>
      <c r="I23" s="751"/>
      <c r="J23" s="101">
        <f>SUM(J7:J22)</f>
        <v>0</v>
      </c>
    </row>
  </sheetData>
  <mergeCells count="17">
    <mergeCell ref="A1:J1"/>
    <mergeCell ref="H2:I2"/>
    <mergeCell ref="A2:E2"/>
    <mergeCell ref="H23:I23"/>
    <mergeCell ref="A23:D23"/>
    <mergeCell ref="E23:F23"/>
    <mergeCell ref="B6:D6"/>
    <mergeCell ref="D3:D5"/>
    <mergeCell ref="B3:B5"/>
    <mergeCell ref="E3:G3"/>
    <mergeCell ref="A3:A5"/>
    <mergeCell ref="C3:C5"/>
    <mergeCell ref="E4:F4"/>
    <mergeCell ref="G4:G5"/>
    <mergeCell ref="H3:J3"/>
    <mergeCell ref="H4:I4"/>
    <mergeCell ref="J4:J5"/>
  </mergeCells>
  <phoneticPr fontId="7" type="noConversion"/>
  <pageMargins left="0.511811024" right="0.511811024" top="0.78740157499999996" bottom="0.78740157499999996" header="0.31496062000000002" footer="0.3149606200000000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20DA3-A24D-4613-9104-B2E00C372BF4}">
  <sheetPr>
    <tabColor rgb="FF00B0F0"/>
  </sheetPr>
  <dimension ref="A1:G148"/>
  <sheetViews>
    <sheetView showGridLines="0" view="pageBreakPreview" zoomScaleNormal="115" zoomScaleSheetLayoutView="100" workbookViewId="0">
      <selection activeCell="A2" sqref="A2:F2"/>
    </sheetView>
  </sheetViews>
  <sheetFormatPr defaultColWidth="9.140625" defaultRowHeight="15" customHeight="1"/>
  <cols>
    <col min="1" max="1" width="5.7109375" style="207" customWidth="1"/>
    <col min="2" max="2" width="23.7109375" style="207" customWidth="1"/>
    <col min="3" max="3" width="14.7109375" style="207" customWidth="1"/>
    <col min="4" max="4" width="23.7109375" style="207" customWidth="1"/>
    <col min="5" max="5" width="17.7109375" style="207" customWidth="1"/>
    <col min="6" max="6" width="24.7109375" style="207" customWidth="1"/>
    <col min="7" max="7" width="8.5703125" style="207" customWidth="1"/>
    <col min="8" max="9" width="6.42578125" style="207" customWidth="1"/>
    <col min="10" max="16384" width="9.140625" style="207"/>
  </cols>
  <sheetData>
    <row r="1" spans="1:6" ht="15" customHeight="1">
      <c r="A1" s="978" t="s">
        <v>1550</v>
      </c>
      <c r="B1" s="978"/>
      <c r="C1" s="978"/>
      <c r="D1" s="978"/>
      <c r="E1" s="978"/>
      <c r="F1" s="978"/>
    </row>
    <row r="2" spans="1:6" ht="15" customHeight="1">
      <c r="A2" s="979"/>
      <c r="B2" s="979"/>
      <c r="C2" s="979"/>
      <c r="D2" s="979"/>
      <c r="E2" s="979"/>
      <c r="F2" s="979"/>
    </row>
    <row r="3" spans="1:6" ht="15" customHeight="1">
      <c r="A3" s="979"/>
      <c r="B3" s="979"/>
      <c r="C3" s="979"/>
      <c r="D3" s="979"/>
      <c r="E3" s="979"/>
      <c r="F3" s="979"/>
    </row>
    <row r="4" spans="1:6" ht="15" customHeight="1">
      <c r="A4" s="974"/>
      <c r="B4" s="974"/>
      <c r="C4" s="974"/>
      <c r="D4" s="974"/>
      <c r="E4" s="974"/>
      <c r="F4" s="974"/>
    </row>
    <row r="5" spans="1:6" ht="15" customHeight="1">
      <c r="A5" s="974" t="s">
        <v>1552</v>
      </c>
      <c r="B5" s="974"/>
      <c r="C5" s="974"/>
      <c r="D5" s="974"/>
      <c r="E5" s="974"/>
      <c r="F5" s="974"/>
    </row>
    <row r="6" spans="1:6" ht="15" customHeight="1">
      <c r="A6" s="960" t="s">
        <v>1553</v>
      </c>
      <c r="B6" s="960"/>
      <c r="C6" s="960"/>
      <c r="D6" s="960"/>
      <c r="E6" s="960"/>
      <c r="F6" s="960"/>
    </row>
    <row r="7" spans="1:6" ht="15" customHeight="1">
      <c r="A7" s="208" t="s">
        <v>1554</v>
      </c>
      <c r="B7" s="972" t="s">
        <v>1555</v>
      </c>
      <c r="C7" s="972"/>
      <c r="D7" s="972"/>
      <c r="E7" s="973">
        <v>45530</v>
      </c>
      <c r="F7" s="973"/>
    </row>
    <row r="8" spans="1:6" ht="15" customHeight="1">
      <c r="A8" s="208" t="s">
        <v>1556</v>
      </c>
      <c r="B8" s="972" t="s">
        <v>1557</v>
      </c>
      <c r="C8" s="972"/>
      <c r="D8" s="972"/>
      <c r="E8" s="974" t="s">
        <v>1558</v>
      </c>
      <c r="F8" s="974"/>
    </row>
    <row r="9" spans="1:6" ht="15" customHeight="1">
      <c r="A9" s="208" t="s">
        <v>1559</v>
      </c>
      <c r="B9" s="975" t="s">
        <v>1560</v>
      </c>
      <c r="C9" s="975"/>
      <c r="D9" s="975"/>
      <c r="E9" s="976" t="str">
        <f>'[2]Vigia 12x36h Noite'!E9:F9</f>
        <v>SINDESV/SINDESP - DF/DF000333/2024</v>
      </c>
      <c r="F9" s="977"/>
    </row>
    <row r="10" spans="1:6" ht="15" customHeight="1">
      <c r="A10" s="208" t="s">
        <v>1562</v>
      </c>
      <c r="B10" s="972" t="s">
        <v>1563</v>
      </c>
      <c r="C10" s="972"/>
      <c r="D10" s="972"/>
      <c r="E10" s="974" t="s">
        <v>1564</v>
      </c>
      <c r="F10" s="974"/>
    </row>
    <row r="11" spans="1:6" ht="15" customHeight="1">
      <c r="A11" s="964"/>
      <c r="B11" s="965"/>
      <c r="C11" s="965"/>
      <c r="D11" s="965"/>
      <c r="E11" s="965"/>
      <c r="F11" s="966"/>
    </row>
    <row r="12" spans="1:6" ht="15" customHeight="1">
      <c r="A12" s="960" t="s">
        <v>1565</v>
      </c>
      <c r="B12" s="960"/>
      <c r="C12" s="960"/>
      <c r="D12" s="960"/>
      <c r="E12" s="960"/>
      <c r="F12" s="960"/>
    </row>
    <row r="13" spans="1:6" ht="15" customHeight="1">
      <c r="A13" s="209">
        <v>1</v>
      </c>
      <c r="B13" s="982" t="s">
        <v>1566</v>
      </c>
      <c r="C13" s="982"/>
      <c r="D13" s="982"/>
      <c r="E13" s="971" t="s">
        <v>1771</v>
      </c>
      <c r="F13" s="971"/>
    </row>
    <row r="14" spans="1:6" ht="15" customHeight="1">
      <c r="A14" s="209">
        <v>2</v>
      </c>
      <c r="B14" s="982" t="s">
        <v>1568</v>
      </c>
      <c r="C14" s="982"/>
      <c r="D14" s="982"/>
      <c r="E14" s="968" t="s">
        <v>1766</v>
      </c>
      <c r="F14" s="968"/>
    </row>
    <row r="15" spans="1:6" ht="15" customHeight="1">
      <c r="A15" s="209">
        <v>3</v>
      </c>
      <c r="B15" s="980" t="s">
        <v>1570</v>
      </c>
      <c r="C15" s="980"/>
      <c r="D15" s="980"/>
      <c r="E15" s="969">
        <v>2723.41</v>
      </c>
      <c r="F15" s="969"/>
    </row>
    <row r="16" spans="1:6" ht="16.149999999999999" customHeight="1">
      <c r="A16" s="209">
        <v>4</v>
      </c>
      <c r="B16" s="982" t="s">
        <v>1571</v>
      </c>
      <c r="C16" s="982"/>
      <c r="D16" s="982"/>
      <c r="E16" s="970" t="s">
        <v>1772</v>
      </c>
      <c r="F16" s="970"/>
    </row>
    <row r="17" spans="1:6" ht="15" customHeight="1">
      <c r="A17" s="209">
        <v>5</v>
      </c>
      <c r="B17" s="980" t="s">
        <v>1573</v>
      </c>
      <c r="C17" s="980"/>
      <c r="D17" s="980"/>
      <c r="E17" s="963">
        <v>45658</v>
      </c>
      <c r="F17" s="981"/>
    </row>
    <row r="18" spans="1:6" ht="15" customHeight="1">
      <c r="A18" s="964"/>
      <c r="B18" s="965"/>
      <c r="C18" s="965"/>
      <c r="D18" s="965"/>
      <c r="E18" s="965"/>
      <c r="F18" s="966"/>
    </row>
    <row r="19" spans="1:6" ht="15" customHeight="1">
      <c r="A19" s="960" t="s">
        <v>1574</v>
      </c>
      <c r="B19" s="960"/>
      <c r="C19" s="960"/>
      <c r="D19" s="960"/>
      <c r="E19" s="960"/>
      <c r="F19" s="960"/>
    </row>
    <row r="20" spans="1:6" ht="15" customHeight="1">
      <c r="A20" s="211">
        <v>1</v>
      </c>
      <c r="B20" s="956" t="s">
        <v>1575</v>
      </c>
      <c r="C20" s="957"/>
      <c r="D20" s="957"/>
      <c r="E20" s="958"/>
      <c r="F20" s="211" t="s">
        <v>1576</v>
      </c>
    </row>
    <row r="21" spans="1:6" ht="15" customHeight="1">
      <c r="A21" s="212" t="s">
        <v>1554</v>
      </c>
      <c r="B21" s="953" t="s">
        <v>1577</v>
      </c>
      <c r="C21" s="954"/>
      <c r="D21" s="955"/>
      <c r="E21" s="213">
        <v>1</v>
      </c>
      <c r="F21" s="219"/>
    </row>
    <row r="22" spans="1:6" ht="15" customHeight="1">
      <c r="A22" s="212" t="s">
        <v>1556</v>
      </c>
      <c r="B22" s="953" t="s">
        <v>1578</v>
      </c>
      <c r="C22" s="954"/>
      <c r="D22" s="955"/>
      <c r="E22" s="213">
        <v>0.3</v>
      </c>
      <c r="F22" s="219">
        <f>F21*E22</f>
        <v>0</v>
      </c>
    </row>
    <row r="23" spans="1:6" ht="15" customHeight="1">
      <c r="A23" s="212" t="s">
        <v>1559</v>
      </c>
      <c r="B23" s="953" t="s">
        <v>1579</v>
      </c>
      <c r="C23" s="954"/>
      <c r="D23" s="955"/>
      <c r="E23" s="213">
        <v>0</v>
      </c>
      <c r="F23" s="219"/>
    </row>
    <row r="24" spans="1:6" ht="15" customHeight="1">
      <c r="A24" s="212" t="s">
        <v>1562</v>
      </c>
      <c r="B24" s="953" t="s">
        <v>1580</v>
      </c>
      <c r="C24" s="954"/>
      <c r="D24" s="955"/>
      <c r="E24" s="213">
        <v>0</v>
      </c>
      <c r="F24" s="219">
        <f>SUM(F21,F22)/220*E24*8*13</f>
        <v>0</v>
      </c>
    </row>
    <row r="25" spans="1:6" ht="15" customHeight="1">
      <c r="A25" s="212" t="s">
        <v>1581</v>
      </c>
      <c r="B25" s="953" t="s">
        <v>1582</v>
      </c>
      <c r="C25" s="954"/>
      <c r="D25" s="955"/>
      <c r="E25" s="213">
        <v>0</v>
      </c>
      <c r="F25" s="219"/>
    </row>
    <row r="26" spans="1:6" ht="15" customHeight="1">
      <c r="A26" s="212" t="s">
        <v>1583</v>
      </c>
      <c r="B26" s="953" t="s">
        <v>1584</v>
      </c>
      <c r="C26" s="954"/>
      <c r="D26" s="955"/>
      <c r="E26" s="213">
        <v>0</v>
      </c>
      <c r="F26" s="219"/>
    </row>
    <row r="27" spans="1:6" ht="15" customHeight="1">
      <c r="A27" s="942" t="s">
        <v>15</v>
      </c>
      <c r="B27" s="942"/>
      <c r="C27" s="942"/>
      <c r="D27" s="942"/>
      <c r="E27" s="942"/>
      <c r="F27" s="221">
        <f>SUM(F21:F26)</f>
        <v>0</v>
      </c>
    </row>
    <row r="28" spans="1:6" ht="15" customHeight="1">
      <c r="A28" s="959"/>
      <c r="B28" s="959"/>
      <c r="C28" s="959"/>
      <c r="D28" s="959"/>
      <c r="E28" s="959"/>
      <c r="F28" s="959"/>
    </row>
    <row r="29" spans="1:6" ht="15" customHeight="1">
      <c r="A29" s="960" t="s">
        <v>1585</v>
      </c>
      <c r="B29" s="960"/>
      <c r="C29" s="960"/>
      <c r="D29" s="960"/>
      <c r="E29" s="960"/>
      <c r="F29" s="960"/>
    </row>
    <row r="30" spans="1:6" ht="15" customHeight="1">
      <c r="A30" s="961" t="s">
        <v>1586</v>
      </c>
      <c r="B30" s="961"/>
      <c r="C30" s="961"/>
      <c r="D30" s="961"/>
      <c r="E30" s="961"/>
      <c r="F30" s="961"/>
    </row>
    <row r="31" spans="1:6" ht="15" customHeight="1">
      <c r="A31" s="211" t="s">
        <v>710</v>
      </c>
      <c r="B31" s="949" t="s">
        <v>1587</v>
      </c>
      <c r="C31" s="949"/>
      <c r="D31" s="949"/>
      <c r="E31" s="211" t="s">
        <v>1588</v>
      </c>
      <c r="F31" s="211" t="s">
        <v>1576</v>
      </c>
    </row>
    <row r="32" spans="1:6" ht="15" customHeight="1">
      <c r="A32" s="212" t="s">
        <v>1554</v>
      </c>
      <c r="B32" s="941" t="s">
        <v>1589</v>
      </c>
      <c r="C32" s="941"/>
      <c r="D32" s="941"/>
      <c r="E32" s="218">
        <v>8.3299999999999999E-2</v>
      </c>
      <c r="F32" s="219">
        <f>F27*E32</f>
        <v>0</v>
      </c>
    </row>
    <row r="33" spans="1:6" ht="15" customHeight="1">
      <c r="A33" s="212" t="s">
        <v>1556</v>
      </c>
      <c r="B33" s="941" t="s">
        <v>1590</v>
      </c>
      <c r="C33" s="941"/>
      <c r="D33" s="941"/>
      <c r="E33" s="218">
        <v>0.121</v>
      </c>
      <c r="F33" s="219">
        <f>F27*E33</f>
        <v>0</v>
      </c>
    </row>
    <row r="34" spans="1:6" ht="15" customHeight="1">
      <c r="A34" s="942" t="s">
        <v>1591</v>
      </c>
      <c r="B34" s="942"/>
      <c r="C34" s="942"/>
      <c r="D34" s="942"/>
      <c r="E34" s="220">
        <f>E32+E33</f>
        <v>0.20429999999999998</v>
      </c>
      <c r="F34" s="221">
        <f>SUM(F32:F33)</f>
        <v>0</v>
      </c>
    </row>
    <row r="35" spans="1:6" ht="15" customHeight="1">
      <c r="A35" s="212" t="s">
        <v>1559</v>
      </c>
      <c r="B35" s="941" t="s">
        <v>1592</v>
      </c>
      <c r="C35" s="941"/>
      <c r="D35" s="941"/>
      <c r="E35" s="218">
        <f>E34*E48</f>
        <v>7.5182399999999996E-2</v>
      </c>
      <c r="F35" s="219">
        <f>F34*E48</f>
        <v>0</v>
      </c>
    </row>
    <row r="36" spans="1:6" ht="15" customHeight="1">
      <c r="A36" s="942" t="s">
        <v>15</v>
      </c>
      <c r="B36" s="942"/>
      <c r="C36" s="942"/>
      <c r="D36" s="942"/>
      <c r="E36" s="220">
        <f>E34+E35</f>
        <v>0.27948239999999996</v>
      </c>
      <c r="F36" s="221">
        <f>SUM(F34:F35)</f>
        <v>0</v>
      </c>
    </row>
    <row r="37" spans="1:6" ht="15" customHeight="1">
      <c r="A37" s="943"/>
      <c r="B37" s="944"/>
      <c r="C37" s="944"/>
      <c r="D37" s="944"/>
      <c r="E37" s="944"/>
      <c r="F37" s="945"/>
    </row>
    <row r="38" spans="1:6" ht="18.600000000000001" customHeight="1">
      <c r="A38" s="946" t="s">
        <v>1593</v>
      </c>
      <c r="B38" s="946"/>
      <c r="C38" s="946"/>
      <c r="D38" s="946"/>
      <c r="E38" s="946"/>
      <c r="F38" s="946"/>
    </row>
    <row r="39" spans="1:6" ht="15" customHeight="1">
      <c r="A39" s="211" t="s">
        <v>782</v>
      </c>
      <c r="B39" s="942" t="s">
        <v>1594</v>
      </c>
      <c r="C39" s="942"/>
      <c r="D39" s="942"/>
      <c r="E39" s="211" t="s">
        <v>1588</v>
      </c>
      <c r="F39" s="211" t="s">
        <v>1576</v>
      </c>
    </row>
    <row r="40" spans="1:6" ht="15" customHeight="1">
      <c r="A40" s="212" t="s">
        <v>1554</v>
      </c>
      <c r="B40" s="953" t="s">
        <v>1595</v>
      </c>
      <c r="C40" s="954"/>
      <c r="D40" s="955"/>
      <c r="E40" s="222">
        <v>0.2</v>
      </c>
      <c r="F40" s="223">
        <f t="shared" ref="F40:F47" si="0">$F$27*E40</f>
        <v>0</v>
      </c>
    </row>
    <row r="41" spans="1:6" ht="15" customHeight="1">
      <c r="A41" s="212" t="s">
        <v>1556</v>
      </c>
      <c r="B41" s="953" t="s">
        <v>1596</v>
      </c>
      <c r="C41" s="954"/>
      <c r="D41" s="955"/>
      <c r="E41" s="218">
        <v>2.5000000000000001E-2</v>
      </c>
      <c r="F41" s="219">
        <f t="shared" si="0"/>
        <v>0</v>
      </c>
    </row>
    <row r="42" spans="1:6" ht="15" customHeight="1">
      <c r="A42" s="212" t="s">
        <v>1559</v>
      </c>
      <c r="B42" s="953" t="s">
        <v>1768</v>
      </c>
      <c r="C42" s="954"/>
      <c r="D42" s="955"/>
      <c r="E42" s="224">
        <v>0.03</v>
      </c>
      <c r="F42" s="225">
        <f t="shared" si="0"/>
        <v>0</v>
      </c>
    </row>
    <row r="43" spans="1:6" ht="15" customHeight="1">
      <c r="A43" s="212" t="s">
        <v>1562</v>
      </c>
      <c r="B43" s="953" t="s">
        <v>1598</v>
      </c>
      <c r="C43" s="954"/>
      <c r="D43" s="955"/>
      <c r="E43" s="218">
        <v>1.4999999999999999E-2</v>
      </c>
      <c r="F43" s="219">
        <f t="shared" si="0"/>
        <v>0</v>
      </c>
    </row>
    <row r="44" spans="1:6" ht="15" customHeight="1">
      <c r="A44" s="212" t="s">
        <v>1581</v>
      </c>
      <c r="B44" s="953" t="s">
        <v>1599</v>
      </c>
      <c r="C44" s="954"/>
      <c r="D44" s="955"/>
      <c r="E44" s="218">
        <v>0.01</v>
      </c>
      <c r="F44" s="219">
        <f t="shared" si="0"/>
        <v>0</v>
      </c>
    </row>
    <row r="45" spans="1:6" ht="15" customHeight="1">
      <c r="A45" s="212" t="s">
        <v>1583</v>
      </c>
      <c r="B45" s="953" t="s">
        <v>1600</v>
      </c>
      <c r="C45" s="954"/>
      <c r="D45" s="955"/>
      <c r="E45" s="218">
        <v>6.0000000000000001E-3</v>
      </c>
      <c r="F45" s="219">
        <f t="shared" si="0"/>
        <v>0</v>
      </c>
    </row>
    <row r="46" spans="1:6" ht="15" customHeight="1">
      <c r="A46" s="212" t="s">
        <v>1601</v>
      </c>
      <c r="B46" s="953" t="s">
        <v>1602</v>
      </c>
      <c r="C46" s="954"/>
      <c r="D46" s="955"/>
      <c r="E46" s="218">
        <v>2E-3</v>
      </c>
      <c r="F46" s="219">
        <f t="shared" si="0"/>
        <v>0</v>
      </c>
    </row>
    <row r="47" spans="1:6" ht="15" customHeight="1">
      <c r="A47" s="212" t="s">
        <v>1603</v>
      </c>
      <c r="B47" s="953" t="s">
        <v>1604</v>
      </c>
      <c r="C47" s="954"/>
      <c r="D47" s="955"/>
      <c r="E47" s="218">
        <v>0.08</v>
      </c>
      <c r="F47" s="219">
        <f t="shared" si="0"/>
        <v>0</v>
      </c>
    </row>
    <row r="48" spans="1:6" ht="15" customHeight="1">
      <c r="A48" s="956" t="s">
        <v>1605</v>
      </c>
      <c r="B48" s="957"/>
      <c r="C48" s="957"/>
      <c r="D48" s="958"/>
      <c r="E48" s="220">
        <f>SUM(E40:E47)</f>
        <v>0.36800000000000005</v>
      </c>
      <c r="F48" s="221">
        <f>SUM(F40:F47)</f>
        <v>0</v>
      </c>
    </row>
    <row r="49" spans="1:7" ht="15" customHeight="1">
      <c r="A49" s="943"/>
      <c r="B49" s="944"/>
      <c r="C49" s="944"/>
      <c r="D49" s="944"/>
      <c r="E49" s="944"/>
      <c r="F49" s="945"/>
    </row>
    <row r="50" spans="1:7" ht="15" customHeight="1">
      <c r="A50" s="946" t="s">
        <v>1606</v>
      </c>
      <c r="B50" s="946"/>
      <c r="C50" s="946"/>
      <c r="D50" s="946"/>
      <c r="E50" s="946"/>
      <c r="F50" s="946"/>
    </row>
    <row r="51" spans="1:7" ht="15" customHeight="1">
      <c r="A51" s="211" t="s">
        <v>789</v>
      </c>
      <c r="B51" s="942" t="s">
        <v>1607</v>
      </c>
      <c r="C51" s="942"/>
      <c r="D51" s="942"/>
      <c r="E51" s="942"/>
      <c r="F51" s="211" t="s">
        <v>1576</v>
      </c>
    </row>
    <row r="52" spans="1:7" ht="15" customHeight="1">
      <c r="A52" s="212" t="s">
        <v>1554</v>
      </c>
      <c r="B52" s="951" t="s">
        <v>1608</v>
      </c>
      <c r="C52" s="951"/>
      <c r="D52" s="951"/>
      <c r="E52" s="951"/>
      <c r="F52" s="226"/>
      <c r="G52" s="286">
        <f>-F21*6%</f>
        <v>0</v>
      </c>
    </row>
    <row r="53" spans="1:7" ht="15" customHeight="1">
      <c r="A53" s="212" t="s">
        <v>1556</v>
      </c>
      <c r="B53" s="952" t="s">
        <v>1769</v>
      </c>
      <c r="C53" s="952"/>
      <c r="D53" s="952"/>
      <c r="E53" s="952"/>
      <c r="F53" s="228"/>
    </row>
    <row r="54" spans="1:7" ht="15" customHeight="1">
      <c r="A54" s="212" t="s">
        <v>1610</v>
      </c>
      <c r="B54" s="941" t="s">
        <v>1683</v>
      </c>
      <c r="C54" s="941"/>
      <c r="D54" s="941"/>
      <c r="E54" s="941"/>
      <c r="F54" s="229"/>
    </row>
    <row r="55" spans="1:7" ht="15" customHeight="1">
      <c r="A55" s="212" t="s">
        <v>1612</v>
      </c>
      <c r="B55" s="949" t="s">
        <v>1613</v>
      </c>
      <c r="C55" s="949"/>
      <c r="D55" s="949"/>
      <c r="E55" s="949"/>
      <c r="F55" s="221">
        <f>SUM(F53:F54)</f>
        <v>0</v>
      </c>
    </row>
    <row r="56" spans="1:7" ht="15" customHeight="1">
      <c r="A56" s="212" t="s">
        <v>1559</v>
      </c>
      <c r="B56" s="952" t="s">
        <v>1614</v>
      </c>
      <c r="C56" s="952"/>
      <c r="D56" s="952"/>
      <c r="E56" s="952"/>
      <c r="F56" s="228"/>
      <c r="G56" s="231"/>
    </row>
    <row r="57" spans="1:7" ht="15" customHeight="1">
      <c r="A57" s="212" t="s">
        <v>1562</v>
      </c>
      <c r="B57" s="952" t="s">
        <v>1615</v>
      </c>
      <c r="C57" s="952"/>
      <c r="D57" s="952"/>
      <c r="E57" s="952"/>
      <c r="F57" s="228"/>
    </row>
    <row r="58" spans="1:7" ht="15" customHeight="1">
      <c r="A58" s="942" t="s">
        <v>15</v>
      </c>
      <c r="B58" s="942"/>
      <c r="C58" s="942"/>
      <c r="D58" s="942"/>
      <c r="E58" s="942"/>
      <c r="F58" s="221">
        <f>F55+F56+F57+F52</f>
        <v>0</v>
      </c>
      <c r="G58" s="230"/>
    </row>
    <row r="59" spans="1:7" ht="15" customHeight="1">
      <c r="A59" s="946" t="s">
        <v>1616</v>
      </c>
      <c r="B59" s="946"/>
      <c r="C59" s="946"/>
      <c r="D59" s="946"/>
      <c r="E59" s="946"/>
      <c r="F59" s="946"/>
    </row>
    <row r="60" spans="1:7" ht="15" customHeight="1">
      <c r="A60" s="211">
        <v>2</v>
      </c>
      <c r="B60" s="942" t="s">
        <v>1617</v>
      </c>
      <c r="C60" s="942"/>
      <c r="D60" s="942"/>
      <c r="E60" s="942"/>
      <c r="F60" s="211" t="s">
        <v>1576</v>
      </c>
    </row>
    <row r="61" spans="1:7" ht="15" customHeight="1">
      <c r="A61" s="212" t="s">
        <v>710</v>
      </c>
      <c r="B61" s="941" t="s">
        <v>1587</v>
      </c>
      <c r="C61" s="941"/>
      <c r="D61" s="941"/>
      <c r="E61" s="941"/>
      <c r="F61" s="219">
        <f>F36</f>
        <v>0</v>
      </c>
    </row>
    <row r="62" spans="1:7" ht="15" customHeight="1">
      <c r="A62" s="212" t="s">
        <v>782</v>
      </c>
      <c r="B62" s="941" t="s">
        <v>1594</v>
      </c>
      <c r="C62" s="941"/>
      <c r="D62" s="941"/>
      <c r="E62" s="941"/>
      <c r="F62" s="219">
        <f>F48</f>
        <v>0</v>
      </c>
    </row>
    <row r="63" spans="1:7" ht="15" customHeight="1">
      <c r="A63" s="212" t="s">
        <v>789</v>
      </c>
      <c r="B63" s="941" t="s">
        <v>1607</v>
      </c>
      <c r="C63" s="941"/>
      <c r="D63" s="941"/>
      <c r="E63" s="941"/>
      <c r="F63" s="219">
        <f>F58</f>
        <v>0</v>
      </c>
    </row>
    <row r="64" spans="1:7" ht="15" customHeight="1">
      <c r="A64" s="942" t="s">
        <v>15</v>
      </c>
      <c r="B64" s="942"/>
      <c r="C64" s="942"/>
      <c r="D64" s="942"/>
      <c r="E64" s="942"/>
      <c r="F64" s="221">
        <f>SUM(F61:F63)</f>
        <v>0</v>
      </c>
    </row>
    <row r="65" spans="1:6" ht="15" customHeight="1">
      <c r="A65" s="943"/>
      <c r="B65" s="944"/>
      <c r="C65" s="944"/>
      <c r="D65" s="944"/>
      <c r="E65" s="944"/>
      <c r="F65" s="945"/>
    </row>
    <row r="66" spans="1:6" ht="15" customHeight="1">
      <c r="A66" s="946" t="s">
        <v>1618</v>
      </c>
      <c r="B66" s="946"/>
      <c r="C66" s="946"/>
      <c r="D66" s="946"/>
      <c r="E66" s="946"/>
      <c r="F66" s="946"/>
    </row>
    <row r="67" spans="1:6" ht="15" customHeight="1">
      <c r="A67" s="211">
        <v>3</v>
      </c>
      <c r="B67" s="942" t="s">
        <v>1619</v>
      </c>
      <c r="C67" s="942"/>
      <c r="D67" s="942"/>
      <c r="E67" s="211" t="s">
        <v>1588</v>
      </c>
      <c r="F67" s="211" t="s">
        <v>1576</v>
      </c>
    </row>
    <row r="68" spans="1:6" ht="15" customHeight="1">
      <c r="A68" s="212" t="s">
        <v>1554</v>
      </c>
      <c r="B68" s="941" t="s">
        <v>1620</v>
      </c>
      <c r="C68" s="941"/>
      <c r="D68" s="941"/>
      <c r="E68" s="232">
        <v>1.8100000000000002E-2</v>
      </c>
      <c r="F68" s="219">
        <f>$F$27*E68</f>
        <v>0</v>
      </c>
    </row>
    <row r="69" spans="1:6" ht="15" customHeight="1">
      <c r="A69" s="212" t="s">
        <v>1556</v>
      </c>
      <c r="B69" s="941" t="s">
        <v>1621</v>
      </c>
      <c r="C69" s="941"/>
      <c r="D69" s="941"/>
      <c r="E69" s="232">
        <f>E47*E68</f>
        <v>1.4480000000000001E-3</v>
      </c>
      <c r="F69" s="219">
        <f>$F$27*(E68*8%)</f>
        <v>0</v>
      </c>
    </row>
    <row r="70" spans="1:6" ht="41.45" customHeight="1">
      <c r="A70" s="212" t="s">
        <v>1559</v>
      </c>
      <c r="B70" s="941" t="s">
        <v>1684</v>
      </c>
      <c r="C70" s="941"/>
      <c r="D70" s="941"/>
      <c r="E70" s="233">
        <v>3.4000000000000002E-2</v>
      </c>
      <c r="F70" s="219">
        <f>$F$27*E70</f>
        <v>0</v>
      </c>
    </row>
    <row r="71" spans="1:6" ht="15" customHeight="1">
      <c r="A71" s="212" t="s">
        <v>1562</v>
      </c>
      <c r="B71" s="941" t="s">
        <v>1623</v>
      </c>
      <c r="C71" s="941"/>
      <c r="D71" s="941"/>
      <c r="E71" s="234">
        <v>2.8999999999999998E-3</v>
      </c>
      <c r="F71" s="219">
        <f>$F$27*E71</f>
        <v>0</v>
      </c>
    </row>
    <row r="72" spans="1:6" ht="27.6" customHeight="1">
      <c r="A72" s="212" t="s">
        <v>1581</v>
      </c>
      <c r="B72" s="941" t="s">
        <v>1624</v>
      </c>
      <c r="C72" s="941"/>
      <c r="D72" s="941"/>
      <c r="E72" s="232">
        <v>1.1000000000000001E-3</v>
      </c>
      <c r="F72" s="219">
        <f>E48*F71</f>
        <v>0</v>
      </c>
    </row>
    <row r="73" spans="1:6" ht="15" customHeight="1">
      <c r="A73" s="212" t="s">
        <v>1583</v>
      </c>
      <c r="B73" s="941" t="s">
        <v>1625</v>
      </c>
      <c r="C73" s="941"/>
      <c r="D73" s="941"/>
      <c r="E73" s="232">
        <v>6.0000000000000001E-3</v>
      </c>
      <c r="F73" s="219">
        <f>$F$27*E73</f>
        <v>0</v>
      </c>
    </row>
    <row r="74" spans="1:6" ht="15" customHeight="1">
      <c r="A74" s="942" t="s">
        <v>15</v>
      </c>
      <c r="B74" s="942"/>
      <c r="C74" s="942"/>
      <c r="D74" s="942"/>
      <c r="E74" s="235">
        <f>E68+E69+E70+E71+E72+E73</f>
        <v>6.3548000000000007E-2</v>
      </c>
      <c r="F74" s="221">
        <f>SUM(F68:F73)</f>
        <v>0</v>
      </c>
    </row>
    <row r="75" spans="1:6" ht="15" customHeight="1">
      <c r="A75" s="943"/>
      <c r="B75" s="944"/>
      <c r="C75" s="944"/>
      <c r="D75" s="944"/>
      <c r="E75" s="944"/>
      <c r="F75" s="945"/>
    </row>
    <row r="76" spans="1:6" ht="15" customHeight="1">
      <c r="A76" s="946" t="s">
        <v>1626</v>
      </c>
      <c r="B76" s="946"/>
      <c r="C76" s="946"/>
      <c r="D76" s="946"/>
      <c r="E76" s="946"/>
      <c r="F76" s="946"/>
    </row>
    <row r="77" spans="1:6" ht="15" customHeight="1">
      <c r="A77" s="946" t="s">
        <v>1627</v>
      </c>
      <c r="B77" s="946"/>
      <c r="C77" s="946"/>
      <c r="D77" s="946"/>
      <c r="E77" s="946"/>
      <c r="F77" s="946"/>
    </row>
    <row r="78" spans="1:6" ht="15" customHeight="1">
      <c r="A78" s="211" t="s">
        <v>1292</v>
      </c>
      <c r="B78" s="942" t="s">
        <v>1628</v>
      </c>
      <c r="C78" s="942"/>
      <c r="D78" s="942"/>
      <c r="E78" s="211" t="s">
        <v>1588</v>
      </c>
      <c r="F78" s="211" t="s">
        <v>1576</v>
      </c>
    </row>
    <row r="79" spans="1:6" ht="15" customHeight="1">
      <c r="A79" s="212" t="s">
        <v>1554</v>
      </c>
      <c r="B79" s="941" t="s">
        <v>1629</v>
      </c>
      <c r="C79" s="941"/>
      <c r="D79" s="941"/>
      <c r="E79" s="232">
        <v>9.4999999999999998E-3</v>
      </c>
      <c r="F79" s="219">
        <f>SUM(F$27*E79)</f>
        <v>0</v>
      </c>
    </row>
    <row r="80" spans="1:6" ht="15" customHeight="1">
      <c r="A80" s="212" t="s">
        <v>1556</v>
      </c>
      <c r="B80" s="941" t="s">
        <v>1630</v>
      </c>
      <c r="C80" s="941"/>
      <c r="D80" s="941"/>
      <c r="E80" s="234">
        <v>3.8800000000000001E-2</v>
      </c>
      <c r="F80" s="219">
        <f>$F$27*E80</f>
        <v>0</v>
      </c>
    </row>
    <row r="81" spans="1:6" ht="15" customHeight="1">
      <c r="A81" s="212" t="s">
        <v>1559</v>
      </c>
      <c r="B81" s="941" t="s">
        <v>1631</v>
      </c>
      <c r="C81" s="941"/>
      <c r="D81" s="941"/>
      <c r="E81" s="232">
        <v>1E-3</v>
      </c>
      <c r="F81" s="219">
        <f>$F$27*E81</f>
        <v>0</v>
      </c>
    </row>
    <row r="82" spans="1:6" ht="15" customHeight="1">
      <c r="A82" s="212" t="s">
        <v>1562</v>
      </c>
      <c r="B82" s="941" t="s">
        <v>1632</v>
      </c>
      <c r="C82" s="941"/>
      <c r="D82" s="941"/>
      <c r="E82" s="232">
        <v>4.1999999999999997E-3</v>
      </c>
      <c r="F82" s="219">
        <f>$F$27*E82</f>
        <v>0</v>
      </c>
    </row>
    <row r="83" spans="1:6" ht="15" customHeight="1">
      <c r="A83" s="212" t="s">
        <v>1581</v>
      </c>
      <c r="B83" s="941" t="s">
        <v>1633</v>
      </c>
      <c r="C83" s="941"/>
      <c r="D83" s="941"/>
      <c r="E83" s="232">
        <v>2.0000000000000001E-4</v>
      </c>
      <c r="F83" s="219">
        <f>$F$27*E83</f>
        <v>0</v>
      </c>
    </row>
    <row r="84" spans="1:6" ht="15" customHeight="1">
      <c r="A84" s="212" t="s">
        <v>1583</v>
      </c>
      <c r="B84" s="941" t="s">
        <v>1634</v>
      </c>
      <c r="C84" s="941"/>
      <c r="D84" s="941"/>
      <c r="E84" s="232">
        <v>9.4899999999999998E-2</v>
      </c>
      <c r="F84" s="219">
        <f>$F$27*E84</f>
        <v>0</v>
      </c>
    </row>
    <row r="85" spans="1:6" ht="15" customHeight="1">
      <c r="A85" s="942" t="s">
        <v>1605</v>
      </c>
      <c r="B85" s="942"/>
      <c r="C85" s="942"/>
      <c r="D85" s="942"/>
      <c r="E85" s="235">
        <f>SUM(E79:E84)</f>
        <v>0.14860000000000001</v>
      </c>
      <c r="F85" s="221">
        <f>SUM(F79:F84)</f>
        <v>0</v>
      </c>
    </row>
    <row r="86" spans="1:6" ht="15" customHeight="1">
      <c r="A86" s="943"/>
      <c r="B86" s="944"/>
      <c r="C86" s="944"/>
      <c r="D86" s="944"/>
      <c r="E86" s="944"/>
      <c r="F86" s="945"/>
    </row>
    <row r="87" spans="1:6" ht="15" customHeight="1">
      <c r="A87" s="946" t="s">
        <v>1635</v>
      </c>
      <c r="B87" s="946"/>
      <c r="C87" s="946"/>
      <c r="D87" s="946"/>
      <c r="E87" s="946"/>
      <c r="F87" s="946"/>
    </row>
    <row r="88" spans="1:6" ht="15" customHeight="1">
      <c r="A88" s="211" t="s">
        <v>1293</v>
      </c>
      <c r="B88" s="942" t="s">
        <v>1636</v>
      </c>
      <c r="C88" s="942"/>
      <c r="D88" s="942"/>
      <c r="E88" s="942"/>
      <c r="F88" s="211" t="s">
        <v>1576</v>
      </c>
    </row>
    <row r="89" spans="1:6" ht="15" customHeight="1">
      <c r="A89" s="212" t="s">
        <v>1554</v>
      </c>
      <c r="B89" s="941" t="s">
        <v>1637</v>
      </c>
      <c r="C89" s="941"/>
      <c r="D89" s="941"/>
      <c r="E89" s="941"/>
      <c r="F89" s="219">
        <v>0</v>
      </c>
    </row>
    <row r="90" spans="1:6" ht="15" customHeight="1">
      <c r="A90" s="942" t="s">
        <v>15</v>
      </c>
      <c r="B90" s="942"/>
      <c r="C90" s="942"/>
      <c r="D90" s="942"/>
      <c r="E90" s="942"/>
      <c r="F90" s="219">
        <f>SUM(F89)</f>
        <v>0</v>
      </c>
    </row>
    <row r="91" spans="1:6" ht="15" customHeight="1">
      <c r="A91" s="943"/>
      <c r="B91" s="944"/>
      <c r="C91" s="944"/>
      <c r="D91" s="944"/>
      <c r="E91" s="944"/>
      <c r="F91" s="945"/>
    </row>
    <row r="92" spans="1:6" ht="15" customHeight="1">
      <c r="A92" s="946" t="s">
        <v>1638</v>
      </c>
      <c r="B92" s="946"/>
      <c r="C92" s="946"/>
      <c r="D92" s="946"/>
      <c r="E92" s="946"/>
      <c r="F92" s="946"/>
    </row>
    <row r="93" spans="1:6" ht="15" customHeight="1">
      <c r="A93" s="211">
        <v>4</v>
      </c>
      <c r="B93" s="942" t="s">
        <v>1639</v>
      </c>
      <c r="C93" s="942"/>
      <c r="D93" s="942"/>
      <c r="E93" s="942"/>
      <c r="F93" s="211" t="s">
        <v>1576</v>
      </c>
    </row>
    <row r="94" spans="1:6" ht="15" customHeight="1">
      <c r="A94" s="212" t="s">
        <v>1292</v>
      </c>
      <c r="B94" s="941" t="s">
        <v>1628</v>
      </c>
      <c r="C94" s="941"/>
      <c r="D94" s="941"/>
      <c r="E94" s="941"/>
      <c r="F94" s="219">
        <f>F85</f>
        <v>0</v>
      </c>
    </row>
    <row r="95" spans="1:6" ht="15" customHeight="1">
      <c r="A95" s="212" t="s">
        <v>1293</v>
      </c>
      <c r="B95" s="941" t="s">
        <v>1636</v>
      </c>
      <c r="C95" s="941"/>
      <c r="D95" s="941"/>
      <c r="E95" s="941"/>
      <c r="F95" s="219">
        <f>F90</f>
        <v>0</v>
      </c>
    </row>
    <row r="96" spans="1:6" ht="15" customHeight="1">
      <c r="A96" s="942" t="s">
        <v>15</v>
      </c>
      <c r="B96" s="942"/>
      <c r="C96" s="942"/>
      <c r="D96" s="942"/>
      <c r="E96" s="942"/>
      <c r="F96" s="219">
        <f>SUM(F94:F95)</f>
        <v>0</v>
      </c>
    </row>
    <row r="97" spans="1:6" ht="15" customHeight="1">
      <c r="A97" s="943"/>
      <c r="B97" s="944"/>
      <c r="C97" s="944"/>
      <c r="D97" s="944"/>
      <c r="E97" s="944"/>
      <c r="F97" s="945"/>
    </row>
    <row r="98" spans="1:6" ht="15" customHeight="1">
      <c r="A98" s="946" t="s">
        <v>1640</v>
      </c>
      <c r="B98" s="946"/>
      <c r="C98" s="946"/>
      <c r="D98" s="946"/>
      <c r="E98" s="946"/>
      <c r="F98" s="946"/>
    </row>
    <row r="99" spans="1:6" ht="15" customHeight="1">
      <c r="A99" s="211">
        <v>5</v>
      </c>
      <c r="B99" s="942" t="s">
        <v>1641</v>
      </c>
      <c r="C99" s="942"/>
      <c r="D99" s="942"/>
      <c r="E99" s="942"/>
      <c r="F99" s="211" t="s">
        <v>1576</v>
      </c>
    </row>
    <row r="100" spans="1:6" ht="15" customHeight="1">
      <c r="A100" s="212" t="s">
        <v>1554</v>
      </c>
      <c r="B100" s="941" t="s">
        <v>1642</v>
      </c>
      <c r="C100" s="941"/>
      <c r="D100" s="941"/>
      <c r="E100" s="941"/>
      <c r="F100" s="223"/>
    </row>
    <row r="101" spans="1:6" ht="15" customHeight="1">
      <c r="A101" s="212" t="s">
        <v>1556</v>
      </c>
      <c r="B101" s="941" t="s">
        <v>1643</v>
      </c>
      <c r="C101" s="941"/>
      <c r="D101" s="941"/>
      <c r="E101" s="941"/>
      <c r="F101" s="223"/>
    </row>
    <row r="102" spans="1:6" ht="15" customHeight="1">
      <c r="A102" s="212" t="s">
        <v>1559</v>
      </c>
      <c r="B102" s="941" t="s">
        <v>1644</v>
      </c>
      <c r="C102" s="941"/>
      <c r="D102" s="941"/>
      <c r="E102" s="941"/>
      <c r="F102" s="223"/>
    </row>
    <row r="103" spans="1:6" ht="15" customHeight="1">
      <c r="A103" s="212" t="s">
        <v>1562</v>
      </c>
      <c r="B103" s="941" t="s">
        <v>1584</v>
      </c>
      <c r="C103" s="941"/>
      <c r="D103" s="941"/>
      <c r="E103" s="941"/>
      <c r="F103" s="219">
        <v>0</v>
      </c>
    </row>
    <row r="104" spans="1:6" ht="15" customHeight="1">
      <c r="A104" s="942" t="s">
        <v>1605</v>
      </c>
      <c r="B104" s="942"/>
      <c r="C104" s="942"/>
      <c r="D104" s="942"/>
      <c r="E104" s="942"/>
      <c r="F104" s="221">
        <f>SUM(F100:F103)</f>
        <v>0</v>
      </c>
    </row>
    <row r="105" spans="1:6" ht="15" customHeight="1">
      <c r="A105" s="943"/>
      <c r="B105" s="944"/>
      <c r="C105" s="944"/>
      <c r="D105" s="944"/>
      <c r="E105" s="944"/>
      <c r="F105" s="945"/>
    </row>
    <row r="106" spans="1:6" ht="15" customHeight="1">
      <c r="A106" s="946" t="s">
        <v>1645</v>
      </c>
      <c r="B106" s="946"/>
      <c r="C106" s="946"/>
      <c r="D106" s="946"/>
      <c r="E106" s="946"/>
      <c r="F106" s="946"/>
    </row>
    <row r="107" spans="1:6" ht="15" customHeight="1">
      <c r="A107" s="211">
        <v>6</v>
      </c>
      <c r="B107" s="942" t="s">
        <v>1646</v>
      </c>
      <c r="C107" s="942"/>
      <c r="D107" s="942"/>
      <c r="E107" s="211" t="s">
        <v>1588</v>
      </c>
      <c r="F107" s="211" t="s">
        <v>1576</v>
      </c>
    </row>
    <row r="108" spans="1:6" ht="15" customHeight="1">
      <c r="A108" s="212" t="s">
        <v>1554</v>
      </c>
      <c r="B108" s="941" t="s">
        <v>1647</v>
      </c>
      <c r="C108" s="941"/>
      <c r="D108" s="941"/>
      <c r="E108" s="236">
        <v>2.3222E-2</v>
      </c>
      <c r="F108" s="219">
        <f>(F104+F96+F74+F64+F27)*E108</f>
        <v>0</v>
      </c>
    </row>
    <row r="109" spans="1:6" ht="15" customHeight="1">
      <c r="A109" s="212" t="s">
        <v>1556</v>
      </c>
      <c r="B109" s="941" t="s">
        <v>1648</v>
      </c>
      <c r="C109" s="941"/>
      <c r="D109" s="941"/>
      <c r="E109" s="236">
        <f>E108</f>
        <v>2.3222E-2</v>
      </c>
      <c r="F109" s="219">
        <f>(F104+F96+F74+F64+F27+F108)*E109</f>
        <v>0</v>
      </c>
    </row>
    <row r="110" spans="1:6" s="240" customFormat="1" ht="15" customHeight="1">
      <c r="A110" s="237" t="s">
        <v>1559</v>
      </c>
      <c r="B110" s="950" t="s">
        <v>1649</v>
      </c>
      <c r="C110" s="950"/>
      <c r="D110" s="950"/>
      <c r="E110" s="238">
        <f>SUM(E111:E113)</f>
        <v>8.6499999999999994E-2</v>
      </c>
      <c r="F110" s="239"/>
    </row>
    <row r="111" spans="1:6" ht="15" customHeight="1">
      <c r="A111" s="212"/>
      <c r="B111" s="941" t="s">
        <v>1650</v>
      </c>
      <c r="C111" s="941"/>
      <c r="D111" s="941"/>
      <c r="E111" s="218">
        <f>0.65%+3%</f>
        <v>3.6499999999999998E-2</v>
      </c>
      <c r="F111" s="219">
        <f>((F104+F96+F74+F64+F27+F108+F109)/(1-E110)*E111)</f>
        <v>0</v>
      </c>
    </row>
    <row r="112" spans="1:6" ht="15" customHeight="1">
      <c r="A112" s="212"/>
      <c r="B112" s="941" t="s">
        <v>1651</v>
      </c>
      <c r="C112" s="941"/>
      <c r="D112" s="941"/>
      <c r="E112" s="218">
        <v>0</v>
      </c>
      <c r="F112" s="219">
        <f>((F104+F96+F74+F64+F27+F108+F109)/(1-E110)*E112)</f>
        <v>0</v>
      </c>
    </row>
    <row r="113" spans="1:6" ht="15" customHeight="1">
      <c r="A113" s="212"/>
      <c r="B113" s="941" t="s">
        <v>1652</v>
      </c>
      <c r="C113" s="941"/>
      <c r="D113" s="941"/>
      <c r="E113" s="218">
        <v>0.05</v>
      </c>
      <c r="F113" s="219">
        <f>((F104+F96+F74+F64+F27+F108+F109)/(1-E110)*E113)</f>
        <v>0</v>
      </c>
    </row>
    <row r="114" spans="1:6" ht="15" customHeight="1">
      <c r="A114" s="942" t="s">
        <v>1605</v>
      </c>
      <c r="B114" s="942"/>
      <c r="C114" s="942"/>
      <c r="D114" s="942"/>
      <c r="E114" s="220">
        <f>SUM(E108:E110)</f>
        <v>0.13294400000000001</v>
      </c>
      <c r="F114" s="221">
        <f>SUM(F108:F113)</f>
        <v>0</v>
      </c>
    </row>
    <row r="115" spans="1:6" ht="15" customHeight="1">
      <c r="A115" s="943"/>
      <c r="B115" s="944"/>
      <c r="C115" s="944"/>
      <c r="D115" s="944"/>
      <c r="E115" s="944"/>
      <c r="F115" s="945"/>
    </row>
    <row r="116" spans="1:6" ht="15" customHeight="1">
      <c r="A116" s="946" t="s">
        <v>1653</v>
      </c>
      <c r="B116" s="946"/>
      <c r="C116" s="946"/>
      <c r="D116" s="946"/>
      <c r="E116" s="946"/>
      <c r="F116" s="946"/>
    </row>
    <row r="117" spans="1:6" ht="15" customHeight="1">
      <c r="A117" s="942" t="s">
        <v>1654</v>
      </c>
      <c r="B117" s="942"/>
      <c r="C117" s="942"/>
      <c r="D117" s="942"/>
      <c r="E117" s="942"/>
      <c r="F117" s="287" t="s">
        <v>1576</v>
      </c>
    </row>
    <row r="118" spans="1:6" ht="15" customHeight="1">
      <c r="A118" s="211" t="s">
        <v>1554</v>
      </c>
      <c r="B118" s="941" t="s">
        <v>1574</v>
      </c>
      <c r="C118" s="941"/>
      <c r="D118" s="941"/>
      <c r="E118" s="941"/>
      <c r="F118" s="214">
        <f>F27</f>
        <v>0</v>
      </c>
    </row>
    <row r="119" spans="1:6" ht="15" customHeight="1">
      <c r="A119" s="211" t="s">
        <v>1556</v>
      </c>
      <c r="B119" s="941" t="s">
        <v>1585</v>
      </c>
      <c r="C119" s="941"/>
      <c r="D119" s="941"/>
      <c r="E119" s="941"/>
      <c r="F119" s="214">
        <f>F64</f>
        <v>0</v>
      </c>
    </row>
    <row r="120" spans="1:6" ht="15" customHeight="1">
      <c r="A120" s="211" t="s">
        <v>1559</v>
      </c>
      <c r="B120" s="941" t="s">
        <v>1618</v>
      </c>
      <c r="C120" s="941"/>
      <c r="D120" s="941"/>
      <c r="E120" s="941"/>
      <c r="F120" s="214">
        <f>F74</f>
        <v>0</v>
      </c>
    </row>
    <row r="121" spans="1:6" ht="15" customHeight="1">
      <c r="A121" s="211" t="s">
        <v>1562</v>
      </c>
      <c r="B121" s="941" t="s">
        <v>1626</v>
      </c>
      <c r="C121" s="941"/>
      <c r="D121" s="941"/>
      <c r="E121" s="941"/>
      <c r="F121" s="214">
        <f>F96</f>
        <v>0</v>
      </c>
    </row>
    <row r="122" spans="1:6" ht="15" customHeight="1">
      <c r="A122" s="211" t="s">
        <v>1581</v>
      </c>
      <c r="B122" s="941" t="s">
        <v>1640</v>
      </c>
      <c r="C122" s="941"/>
      <c r="D122" s="941"/>
      <c r="E122" s="941"/>
      <c r="F122" s="214">
        <f>F104</f>
        <v>0</v>
      </c>
    </row>
    <row r="123" spans="1:6" ht="15" customHeight="1">
      <c r="A123" s="942" t="s">
        <v>1655</v>
      </c>
      <c r="B123" s="942"/>
      <c r="C123" s="942"/>
      <c r="D123" s="942"/>
      <c r="E123" s="942"/>
      <c r="F123" s="217">
        <f>SUM(F118:F122)</f>
        <v>0</v>
      </c>
    </row>
    <row r="124" spans="1:6" ht="15" customHeight="1">
      <c r="A124" s="211" t="s">
        <v>1583</v>
      </c>
      <c r="B124" s="941" t="s">
        <v>1656</v>
      </c>
      <c r="C124" s="941"/>
      <c r="D124" s="941"/>
      <c r="E124" s="941"/>
      <c r="F124" s="214">
        <f>F114</f>
        <v>0</v>
      </c>
    </row>
    <row r="125" spans="1:6" ht="15" customHeight="1">
      <c r="A125" s="942" t="s">
        <v>1657</v>
      </c>
      <c r="B125" s="942"/>
      <c r="C125" s="942"/>
      <c r="D125" s="942"/>
      <c r="E125" s="942"/>
      <c r="F125" s="241">
        <f>SUM(F123:F124)</f>
        <v>0</v>
      </c>
    </row>
    <row r="126" spans="1:6" ht="15" customHeight="1">
      <c r="A126" s="943"/>
      <c r="B126" s="944"/>
      <c r="C126" s="944"/>
      <c r="D126" s="944"/>
      <c r="E126" s="944"/>
      <c r="F126" s="945"/>
    </row>
    <row r="127" spans="1:6" ht="15" customHeight="1">
      <c r="A127" s="946" t="s">
        <v>1658</v>
      </c>
      <c r="B127" s="946"/>
      <c r="C127" s="946"/>
      <c r="D127" s="946"/>
      <c r="E127" s="946"/>
      <c r="F127" s="946"/>
    </row>
    <row r="128" spans="1:6" ht="48" customHeight="1">
      <c r="A128" s="947" t="s">
        <v>1659</v>
      </c>
      <c r="B128" s="947"/>
      <c r="C128" s="242" t="s">
        <v>1660</v>
      </c>
      <c r="D128" s="242" t="s">
        <v>1661</v>
      </c>
      <c r="E128" s="242" t="s">
        <v>1662</v>
      </c>
      <c r="F128" s="242" t="s">
        <v>1663</v>
      </c>
    </row>
    <row r="129" spans="1:6" ht="15" customHeight="1">
      <c r="A129" s="948" t="str">
        <f>E13</f>
        <v>Vigilância Diurna</v>
      </c>
      <c r="B129" s="948"/>
      <c r="C129" s="243">
        <v>2</v>
      </c>
      <c r="D129" s="244">
        <f>F125*C129</f>
        <v>0</v>
      </c>
      <c r="E129" s="243">
        <v>2</v>
      </c>
      <c r="F129" s="244">
        <f>D129*E129</f>
        <v>0</v>
      </c>
    </row>
    <row r="130" spans="1:6" ht="15" customHeight="1">
      <c r="A130" s="935" t="s">
        <v>1664</v>
      </c>
      <c r="B130" s="935"/>
      <c r="C130" s="935"/>
      <c r="D130" s="935"/>
      <c r="E130" s="935"/>
      <c r="F130" s="245">
        <f>SUM(F129:F129)</f>
        <v>0</v>
      </c>
    </row>
    <row r="131" spans="1:6" ht="15" customHeight="1">
      <c r="A131" s="936"/>
      <c r="B131" s="937"/>
      <c r="C131" s="937"/>
      <c r="D131" s="937"/>
      <c r="E131" s="937"/>
      <c r="F131" s="938"/>
    </row>
    <row r="132" spans="1:6" ht="15" customHeight="1">
      <c r="A132" s="939" t="s">
        <v>1665</v>
      </c>
      <c r="B132" s="939"/>
      <c r="C132" s="939"/>
      <c r="D132" s="939"/>
      <c r="E132" s="939"/>
      <c r="F132" s="939"/>
    </row>
    <row r="133" spans="1:6" ht="15" customHeight="1">
      <c r="A133" s="940" t="s">
        <v>1666</v>
      </c>
      <c r="B133" s="940"/>
      <c r="C133" s="940"/>
      <c r="D133" s="940"/>
      <c r="E133" s="940"/>
      <c r="F133" s="940"/>
    </row>
    <row r="134" spans="1:6" ht="15" customHeight="1">
      <c r="A134" s="940" t="s">
        <v>1</v>
      </c>
      <c r="B134" s="940"/>
      <c r="C134" s="940"/>
      <c r="D134" s="940"/>
      <c r="E134" s="940"/>
      <c r="F134" s="246" t="s">
        <v>1667</v>
      </c>
    </row>
    <row r="135" spans="1:6" ht="15" customHeight="1">
      <c r="A135" s="247" t="s">
        <v>1554</v>
      </c>
      <c r="B135" s="932" t="s">
        <v>1668</v>
      </c>
      <c r="C135" s="932"/>
      <c r="D135" s="932"/>
      <c r="E135" s="932"/>
      <c r="F135" s="248">
        <f>D129</f>
        <v>0</v>
      </c>
    </row>
    <row r="136" spans="1:6" ht="15" customHeight="1">
      <c r="A136" s="247" t="s">
        <v>1556</v>
      </c>
      <c r="B136" s="932" t="s">
        <v>1669</v>
      </c>
      <c r="C136" s="932"/>
      <c r="D136" s="932"/>
      <c r="E136" s="932"/>
      <c r="F136" s="248">
        <f>F130</f>
        <v>0</v>
      </c>
    </row>
    <row r="137" spans="1:6" ht="15" customHeight="1">
      <c r="A137" s="249" t="s">
        <v>1559</v>
      </c>
      <c r="B137" s="933" t="s">
        <v>1670</v>
      </c>
      <c r="C137" s="933"/>
      <c r="D137" s="933"/>
      <c r="E137" s="933"/>
      <c r="F137" s="250">
        <f>F136*12</f>
        <v>0</v>
      </c>
    </row>
    <row r="138" spans="1:6" ht="15" customHeight="1" thickBot="1">
      <c r="A138" s="934"/>
      <c r="B138" s="934"/>
      <c r="C138" s="934"/>
      <c r="D138" s="934"/>
      <c r="E138" s="934"/>
      <c r="F138" s="934"/>
    </row>
    <row r="139" spans="1:6" ht="15" customHeight="1">
      <c r="A139" s="251"/>
      <c r="B139" s="252"/>
      <c r="C139" s="252"/>
      <c r="D139" s="252"/>
      <c r="E139" s="253"/>
      <c r="F139" s="254" t="s">
        <v>1671</v>
      </c>
    </row>
    <row r="140" spans="1:6" ht="15" customHeight="1">
      <c r="A140" s="255" t="s">
        <v>1672</v>
      </c>
      <c r="B140" s="256" t="s">
        <v>1673</v>
      </c>
      <c r="C140" s="256"/>
      <c r="D140" s="257">
        <v>-1</v>
      </c>
      <c r="E140" s="258">
        <f>(1+E146)*(1+E147)/(1-E148)-1</f>
        <v>0.14612289138916279</v>
      </c>
      <c r="F140" s="259"/>
    </row>
    <row r="141" spans="1:6" ht="15" customHeight="1">
      <c r="A141" s="260"/>
      <c r="B141" s="261" t="s">
        <v>1674</v>
      </c>
      <c r="C141" s="261"/>
      <c r="D141" s="257"/>
      <c r="E141" s="262"/>
      <c r="F141" s="263"/>
    </row>
    <row r="142" spans="1:6" ht="15" customHeight="1" thickBot="1">
      <c r="A142" s="264"/>
      <c r="B142" s="265"/>
      <c r="C142" s="265"/>
      <c r="D142" s="265"/>
      <c r="E142" s="266"/>
      <c r="F142" s="267"/>
    </row>
    <row r="143" spans="1:6" ht="15" customHeight="1">
      <c r="A143" s="268"/>
      <c r="B143" s="269"/>
      <c r="C143" s="269"/>
      <c r="D143" s="269"/>
      <c r="E143" s="270"/>
      <c r="F143" s="263"/>
    </row>
    <row r="144" spans="1:6" ht="15" customHeight="1">
      <c r="A144" s="271"/>
      <c r="B144" s="272" t="s">
        <v>1675</v>
      </c>
      <c r="C144" s="272"/>
      <c r="D144" s="272"/>
      <c r="E144" s="273"/>
      <c r="F144" s="274">
        <f>E36+E48+E74+E85</f>
        <v>0.85963040000000013</v>
      </c>
    </row>
    <row r="145" spans="1:6" ht="15" customHeight="1">
      <c r="A145" s="271"/>
      <c r="B145" s="272"/>
      <c r="C145" s="272"/>
      <c r="D145" s="272"/>
      <c r="E145" s="273"/>
      <c r="F145" s="275"/>
    </row>
    <row r="146" spans="1:6" ht="15" customHeight="1">
      <c r="A146" s="276" t="s">
        <v>1676</v>
      </c>
      <c r="B146" s="277" t="s">
        <v>1677</v>
      </c>
      <c r="C146" s="278"/>
      <c r="D146" s="272"/>
      <c r="E146" s="279">
        <f>E108</f>
        <v>2.3222E-2</v>
      </c>
      <c r="F146" s="263"/>
    </row>
    <row r="147" spans="1:6" ht="15" customHeight="1">
      <c r="A147" s="276" t="s">
        <v>1678</v>
      </c>
      <c r="B147" s="277" t="s">
        <v>1679</v>
      </c>
      <c r="C147" s="278"/>
      <c r="D147" s="272"/>
      <c r="E147" s="279">
        <f>E109</f>
        <v>2.3222E-2</v>
      </c>
      <c r="F147" s="263"/>
    </row>
    <row r="148" spans="1:6" ht="15" customHeight="1" thickBot="1">
      <c r="A148" s="280" t="s">
        <v>1680</v>
      </c>
      <c r="B148" s="281" t="s">
        <v>1681</v>
      </c>
      <c r="C148" s="282"/>
      <c r="D148" s="283"/>
      <c r="E148" s="284">
        <f>E110</f>
        <v>8.6499999999999994E-2</v>
      </c>
      <c r="F148" s="285"/>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E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CE4BC-651E-49FA-B8DA-E00A18FBA1D9}">
  <sheetPr>
    <tabColor rgb="FF00B0F0"/>
  </sheetPr>
  <dimension ref="A1:G148"/>
  <sheetViews>
    <sheetView showGridLines="0" view="pageBreakPreview" zoomScale="130" zoomScaleNormal="115" zoomScaleSheetLayoutView="130" workbookViewId="0">
      <selection activeCell="F102" sqref="F102"/>
    </sheetView>
  </sheetViews>
  <sheetFormatPr defaultColWidth="9.140625" defaultRowHeight="15" customHeight="1"/>
  <cols>
    <col min="1" max="1" width="5.7109375" style="207" customWidth="1"/>
    <col min="2" max="2" width="23.7109375" style="207" customWidth="1"/>
    <col min="3" max="3" width="14.7109375" style="207" customWidth="1"/>
    <col min="4" max="4" width="23.7109375" style="207" customWidth="1"/>
    <col min="5" max="5" width="17.7109375" style="207" customWidth="1"/>
    <col min="6" max="6" width="24.7109375" style="207" customWidth="1"/>
    <col min="7" max="7" width="8.5703125" style="207" customWidth="1"/>
    <col min="8" max="9" width="6.42578125" style="207" customWidth="1"/>
    <col min="10" max="16384" width="9.140625" style="207"/>
  </cols>
  <sheetData>
    <row r="1" spans="1:6" ht="15" customHeight="1">
      <c r="A1" s="997" t="s">
        <v>1550</v>
      </c>
      <c r="B1" s="997"/>
      <c r="C1" s="997"/>
      <c r="D1" s="997"/>
      <c r="E1" s="997"/>
      <c r="F1" s="997"/>
    </row>
    <row r="2" spans="1:6" ht="15" customHeight="1">
      <c r="A2" s="979" t="s">
        <v>1770</v>
      </c>
      <c r="B2" s="979"/>
      <c r="C2" s="979"/>
      <c r="D2" s="979"/>
      <c r="E2" s="979"/>
      <c r="F2" s="979"/>
    </row>
    <row r="3" spans="1:6" ht="15" customHeight="1">
      <c r="A3" s="979" t="s">
        <v>1773</v>
      </c>
      <c r="B3" s="979"/>
      <c r="C3" s="979"/>
      <c r="D3" s="979"/>
      <c r="E3" s="979"/>
      <c r="F3" s="979"/>
    </row>
    <row r="4" spans="1:6" ht="15" customHeight="1">
      <c r="A4" s="974"/>
      <c r="B4" s="974"/>
      <c r="C4" s="974"/>
      <c r="D4" s="974"/>
      <c r="E4" s="974"/>
      <c r="F4" s="974"/>
    </row>
    <row r="5" spans="1:6" ht="15" customHeight="1">
      <c r="A5" s="974" t="s">
        <v>1552</v>
      </c>
      <c r="B5" s="974"/>
      <c r="C5" s="974"/>
      <c r="D5" s="974"/>
      <c r="E5" s="974"/>
      <c r="F5" s="974"/>
    </row>
    <row r="6" spans="1:6" ht="15" customHeight="1">
      <c r="A6" s="960" t="s">
        <v>1553</v>
      </c>
      <c r="B6" s="960"/>
      <c r="C6" s="960"/>
      <c r="D6" s="960"/>
      <c r="E6" s="960"/>
      <c r="F6" s="960"/>
    </row>
    <row r="7" spans="1:6" ht="15" customHeight="1">
      <c r="A7" s="208" t="s">
        <v>1554</v>
      </c>
      <c r="B7" s="972" t="s">
        <v>1555</v>
      </c>
      <c r="C7" s="972"/>
      <c r="D7" s="972"/>
      <c r="E7" s="973">
        <v>45530</v>
      </c>
      <c r="F7" s="973"/>
    </row>
    <row r="8" spans="1:6" ht="15" customHeight="1">
      <c r="A8" s="208" t="s">
        <v>1556</v>
      </c>
      <c r="B8" s="972" t="s">
        <v>1557</v>
      </c>
      <c r="C8" s="972"/>
      <c r="D8" s="972"/>
      <c r="E8" s="974" t="s">
        <v>1558</v>
      </c>
      <c r="F8" s="974"/>
    </row>
    <row r="9" spans="1:6" ht="15" customHeight="1">
      <c r="A9" s="208" t="s">
        <v>1559</v>
      </c>
      <c r="B9" s="975" t="s">
        <v>1560</v>
      </c>
      <c r="C9" s="975"/>
      <c r="D9" s="975"/>
      <c r="E9" s="976" t="str">
        <f>'[2]Vigia 12x36h Dia'!E9:F9</f>
        <v>SINDESV/SINDESP - DF/DF000333/2024</v>
      </c>
      <c r="F9" s="977"/>
    </row>
    <row r="10" spans="1:6" ht="15" customHeight="1">
      <c r="A10" s="208" t="s">
        <v>1562</v>
      </c>
      <c r="B10" s="972" t="s">
        <v>1563</v>
      </c>
      <c r="C10" s="972"/>
      <c r="D10" s="972"/>
      <c r="E10" s="974" t="s">
        <v>1564</v>
      </c>
      <c r="F10" s="974"/>
    </row>
    <row r="11" spans="1:6" ht="15" customHeight="1">
      <c r="A11" s="964"/>
      <c r="B11" s="965"/>
      <c r="C11" s="965"/>
      <c r="D11" s="965"/>
      <c r="E11" s="965"/>
      <c r="F11" s="966"/>
    </row>
    <row r="12" spans="1:6" ht="15" customHeight="1">
      <c r="A12" s="960" t="s">
        <v>1565</v>
      </c>
      <c r="B12" s="960"/>
      <c r="C12" s="960"/>
      <c r="D12" s="960"/>
      <c r="E12" s="960"/>
      <c r="F12" s="960"/>
    </row>
    <row r="13" spans="1:6" ht="15" customHeight="1">
      <c r="A13" s="209">
        <v>1</v>
      </c>
      <c r="B13" s="967" t="s">
        <v>1566</v>
      </c>
      <c r="C13" s="967"/>
      <c r="D13" s="967"/>
      <c r="E13" s="971" t="s">
        <v>1774</v>
      </c>
      <c r="F13" s="971"/>
    </row>
    <row r="14" spans="1:6" ht="15" customHeight="1">
      <c r="A14" s="209">
        <v>2</v>
      </c>
      <c r="B14" s="967" t="s">
        <v>1568</v>
      </c>
      <c r="C14" s="967"/>
      <c r="D14" s="967"/>
      <c r="E14" s="968" t="s">
        <v>1775</v>
      </c>
      <c r="F14" s="968"/>
    </row>
    <row r="15" spans="1:6" ht="15" customHeight="1">
      <c r="A15" s="209">
        <v>3</v>
      </c>
      <c r="B15" s="962" t="s">
        <v>1570</v>
      </c>
      <c r="C15" s="962"/>
      <c r="D15" s="962"/>
      <c r="E15" s="969">
        <v>3266.67</v>
      </c>
      <c r="F15" s="969"/>
    </row>
    <row r="16" spans="1:6" ht="16.149999999999999" customHeight="1">
      <c r="A16" s="209">
        <v>4</v>
      </c>
      <c r="B16" s="967" t="s">
        <v>1571</v>
      </c>
      <c r="C16" s="967"/>
      <c r="D16" s="967"/>
      <c r="E16" s="970" t="s">
        <v>1685</v>
      </c>
      <c r="F16" s="970"/>
    </row>
    <row r="17" spans="1:6" ht="15" customHeight="1">
      <c r="A17" s="209">
        <v>5</v>
      </c>
      <c r="B17" s="962" t="s">
        <v>1573</v>
      </c>
      <c r="C17" s="962"/>
      <c r="D17" s="962"/>
      <c r="E17" s="963">
        <v>45658</v>
      </c>
      <c r="F17" s="981"/>
    </row>
    <row r="18" spans="1:6" ht="15" customHeight="1">
      <c r="A18" s="964"/>
      <c r="B18" s="965"/>
      <c r="C18" s="965"/>
      <c r="D18" s="965"/>
      <c r="E18" s="965"/>
      <c r="F18" s="966"/>
    </row>
    <row r="19" spans="1:6" ht="15" customHeight="1">
      <c r="A19" s="960" t="s">
        <v>1574</v>
      </c>
      <c r="B19" s="960"/>
      <c r="C19" s="960"/>
      <c r="D19" s="960"/>
      <c r="E19" s="960"/>
      <c r="F19" s="960"/>
    </row>
    <row r="20" spans="1:6" ht="15" customHeight="1">
      <c r="A20" s="211">
        <v>1</v>
      </c>
      <c r="B20" s="956" t="s">
        <v>1575</v>
      </c>
      <c r="C20" s="957"/>
      <c r="D20" s="957"/>
      <c r="E20" s="958"/>
      <c r="F20" s="211" t="s">
        <v>1576</v>
      </c>
    </row>
    <row r="21" spans="1:6" ht="15" customHeight="1">
      <c r="A21" s="212" t="s">
        <v>1554</v>
      </c>
      <c r="B21" s="953" t="s">
        <v>1577</v>
      </c>
      <c r="C21" s="954"/>
      <c r="D21" s="955"/>
      <c r="E21" s="213">
        <v>1</v>
      </c>
      <c r="F21" s="219"/>
    </row>
    <row r="22" spans="1:6" ht="15" customHeight="1">
      <c r="A22" s="212" t="s">
        <v>1556</v>
      </c>
      <c r="B22" s="953" t="s">
        <v>1578</v>
      </c>
      <c r="C22" s="954"/>
      <c r="D22" s="955"/>
      <c r="E22" s="213">
        <v>0.3</v>
      </c>
      <c r="F22" s="219">
        <f>F21*E22</f>
        <v>0</v>
      </c>
    </row>
    <row r="23" spans="1:6" ht="15" customHeight="1">
      <c r="A23" s="212" t="s">
        <v>1559</v>
      </c>
      <c r="B23" s="953" t="s">
        <v>1579</v>
      </c>
      <c r="C23" s="954"/>
      <c r="D23" s="955"/>
      <c r="E23" s="213">
        <v>0</v>
      </c>
      <c r="F23" s="219"/>
    </row>
    <row r="24" spans="1:6" ht="15" customHeight="1">
      <c r="A24" s="212" t="s">
        <v>1562</v>
      </c>
      <c r="B24" s="953" t="s">
        <v>1580</v>
      </c>
      <c r="C24" s="954"/>
      <c r="D24" s="955"/>
      <c r="E24" s="213">
        <v>0</v>
      </c>
      <c r="F24" s="219">
        <f>SUM(F21,F22)/220*E24*8*13</f>
        <v>0</v>
      </c>
    </row>
    <row r="25" spans="1:6" ht="15" customHeight="1">
      <c r="A25" s="212" t="s">
        <v>1581</v>
      </c>
      <c r="B25" s="953" t="s">
        <v>1582</v>
      </c>
      <c r="C25" s="954"/>
      <c r="D25" s="955"/>
      <c r="E25" s="213">
        <v>0</v>
      </c>
      <c r="F25" s="219"/>
    </row>
    <row r="26" spans="1:6" ht="15" customHeight="1">
      <c r="A26" s="212" t="s">
        <v>1583</v>
      </c>
      <c r="B26" s="953" t="s">
        <v>1584</v>
      </c>
      <c r="C26" s="954"/>
      <c r="D26" s="955"/>
      <c r="E26" s="213">
        <v>0</v>
      </c>
      <c r="F26" s="219"/>
    </row>
    <row r="27" spans="1:6" ht="15" customHeight="1">
      <c r="A27" s="942" t="s">
        <v>15</v>
      </c>
      <c r="B27" s="942"/>
      <c r="C27" s="942"/>
      <c r="D27" s="942"/>
      <c r="E27" s="942"/>
      <c r="F27" s="221">
        <f>SUM(F21:F26)</f>
        <v>0</v>
      </c>
    </row>
    <row r="28" spans="1:6" ht="15" customHeight="1">
      <c r="A28" s="959"/>
      <c r="B28" s="959"/>
      <c r="C28" s="959"/>
      <c r="D28" s="959"/>
      <c r="E28" s="959"/>
      <c r="F28" s="959"/>
    </row>
    <row r="29" spans="1:6" ht="15" customHeight="1">
      <c r="A29" s="960" t="s">
        <v>1585</v>
      </c>
      <c r="B29" s="960"/>
      <c r="C29" s="960"/>
      <c r="D29" s="960"/>
      <c r="E29" s="960"/>
      <c r="F29" s="960"/>
    </row>
    <row r="30" spans="1:6" ht="15" customHeight="1">
      <c r="A30" s="961" t="s">
        <v>1586</v>
      </c>
      <c r="B30" s="961"/>
      <c r="C30" s="961"/>
      <c r="D30" s="961"/>
      <c r="E30" s="961"/>
      <c r="F30" s="961"/>
    </row>
    <row r="31" spans="1:6" ht="15" customHeight="1">
      <c r="A31" s="211" t="s">
        <v>710</v>
      </c>
      <c r="B31" s="949" t="s">
        <v>1587</v>
      </c>
      <c r="C31" s="949"/>
      <c r="D31" s="949"/>
      <c r="E31" s="211" t="s">
        <v>1588</v>
      </c>
      <c r="F31" s="211" t="s">
        <v>1576</v>
      </c>
    </row>
    <row r="32" spans="1:6" ht="15" customHeight="1">
      <c r="A32" s="212" t="s">
        <v>1554</v>
      </c>
      <c r="B32" s="941" t="s">
        <v>1589</v>
      </c>
      <c r="C32" s="941"/>
      <c r="D32" s="941"/>
      <c r="E32" s="218">
        <v>8.3299999999999999E-2</v>
      </c>
      <c r="F32" s="219">
        <f>F27*E32</f>
        <v>0</v>
      </c>
    </row>
    <row r="33" spans="1:6" ht="15" customHeight="1">
      <c r="A33" s="212" t="s">
        <v>1556</v>
      </c>
      <c r="B33" s="941" t="s">
        <v>1590</v>
      </c>
      <c r="C33" s="941"/>
      <c r="D33" s="941"/>
      <c r="E33" s="218">
        <v>0.121</v>
      </c>
      <c r="F33" s="219">
        <f>F27*E33</f>
        <v>0</v>
      </c>
    </row>
    <row r="34" spans="1:6" ht="15" customHeight="1">
      <c r="A34" s="942" t="s">
        <v>1591</v>
      </c>
      <c r="B34" s="942"/>
      <c r="C34" s="942"/>
      <c r="D34" s="942"/>
      <c r="E34" s="220">
        <f>E32+E33</f>
        <v>0.20429999999999998</v>
      </c>
      <c r="F34" s="221">
        <f>SUM(F32:F33)</f>
        <v>0</v>
      </c>
    </row>
    <row r="35" spans="1:6" ht="15" customHeight="1">
      <c r="A35" s="212" t="s">
        <v>1559</v>
      </c>
      <c r="B35" s="941" t="s">
        <v>1592</v>
      </c>
      <c r="C35" s="941"/>
      <c r="D35" s="941"/>
      <c r="E35" s="218">
        <f>E34*E48</f>
        <v>7.5182399999999996E-2</v>
      </c>
      <c r="F35" s="219">
        <f>F34*E48</f>
        <v>0</v>
      </c>
    </row>
    <row r="36" spans="1:6" ht="15" customHeight="1">
      <c r="A36" s="942" t="s">
        <v>15</v>
      </c>
      <c r="B36" s="942"/>
      <c r="C36" s="942"/>
      <c r="D36" s="942"/>
      <c r="E36" s="220">
        <f>E34+E35</f>
        <v>0.27948239999999996</v>
      </c>
      <c r="F36" s="221">
        <f>SUM(F34:F35)</f>
        <v>0</v>
      </c>
    </row>
    <row r="37" spans="1:6" ht="15" customHeight="1">
      <c r="A37" s="943"/>
      <c r="B37" s="944"/>
      <c r="C37" s="944"/>
      <c r="D37" s="944"/>
      <c r="E37" s="944"/>
      <c r="F37" s="945"/>
    </row>
    <row r="38" spans="1:6" ht="18.600000000000001" customHeight="1">
      <c r="A38" s="946" t="s">
        <v>1593</v>
      </c>
      <c r="B38" s="946"/>
      <c r="C38" s="946"/>
      <c r="D38" s="946"/>
      <c r="E38" s="946"/>
      <c r="F38" s="946"/>
    </row>
    <row r="39" spans="1:6" ht="15" customHeight="1">
      <c r="A39" s="211" t="s">
        <v>782</v>
      </c>
      <c r="B39" s="942" t="s">
        <v>1594</v>
      </c>
      <c r="C39" s="942"/>
      <c r="D39" s="942"/>
      <c r="E39" s="211" t="s">
        <v>1588</v>
      </c>
      <c r="F39" s="211" t="s">
        <v>1576</v>
      </c>
    </row>
    <row r="40" spans="1:6" ht="15" customHeight="1">
      <c r="A40" s="212" t="s">
        <v>1554</v>
      </c>
      <c r="B40" s="953" t="s">
        <v>1595</v>
      </c>
      <c r="C40" s="954"/>
      <c r="D40" s="955"/>
      <c r="E40" s="222">
        <v>0.2</v>
      </c>
      <c r="F40" s="223">
        <f t="shared" ref="F40:F47" si="0">$F$27*E40</f>
        <v>0</v>
      </c>
    </row>
    <row r="41" spans="1:6" ht="15" customHeight="1">
      <c r="A41" s="212" t="s">
        <v>1556</v>
      </c>
      <c r="B41" s="953" t="s">
        <v>1596</v>
      </c>
      <c r="C41" s="954"/>
      <c r="D41" s="955"/>
      <c r="E41" s="218">
        <v>2.5000000000000001E-2</v>
      </c>
      <c r="F41" s="219">
        <f t="shared" si="0"/>
        <v>0</v>
      </c>
    </row>
    <row r="42" spans="1:6" ht="15" customHeight="1">
      <c r="A42" s="212" t="s">
        <v>1559</v>
      </c>
      <c r="B42" s="953" t="s">
        <v>1776</v>
      </c>
      <c r="C42" s="954"/>
      <c r="D42" s="955"/>
      <c r="E42" s="224">
        <v>0.03</v>
      </c>
      <c r="F42" s="225">
        <f t="shared" si="0"/>
        <v>0</v>
      </c>
    </row>
    <row r="43" spans="1:6" ht="15" customHeight="1">
      <c r="A43" s="212" t="s">
        <v>1562</v>
      </c>
      <c r="B43" s="953" t="s">
        <v>1598</v>
      </c>
      <c r="C43" s="954"/>
      <c r="D43" s="955"/>
      <c r="E43" s="218">
        <v>1.4999999999999999E-2</v>
      </c>
      <c r="F43" s="219">
        <f t="shared" si="0"/>
        <v>0</v>
      </c>
    </row>
    <row r="44" spans="1:6" ht="15" customHeight="1">
      <c r="A44" s="212" t="s">
        <v>1581</v>
      </c>
      <c r="B44" s="953" t="s">
        <v>1599</v>
      </c>
      <c r="C44" s="954"/>
      <c r="D44" s="955"/>
      <c r="E44" s="218">
        <v>0.01</v>
      </c>
      <c r="F44" s="219">
        <f t="shared" si="0"/>
        <v>0</v>
      </c>
    </row>
    <row r="45" spans="1:6" ht="15" customHeight="1">
      <c r="A45" s="212" t="s">
        <v>1583</v>
      </c>
      <c r="B45" s="953" t="s">
        <v>1600</v>
      </c>
      <c r="C45" s="954"/>
      <c r="D45" s="955"/>
      <c r="E45" s="218">
        <v>6.0000000000000001E-3</v>
      </c>
      <c r="F45" s="219">
        <f t="shared" si="0"/>
        <v>0</v>
      </c>
    </row>
    <row r="46" spans="1:6" ht="15" customHeight="1">
      <c r="A46" s="212" t="s">
        <v>1601</v>
      </c>
      <c r="B46" s="953" t="s">
        <v>1602</v>
      </c>
      <c r="C46" s="954"/>
      <c r="D46" s="955"/>
      <c r="E46" s="218">
        <v>2E-3</v>
      </c>
      <c r="F46" s="219">
        <f t="shared" si="0"/>
        <v>0</v>
      </c>
    </row>
    <row r="47" spans="1:6" ht="15" customHeight="1">
      <c r="A47" s="212" t="s">
        <v>1603</v>
      </c>
      <c r="B47" s="953" t="s">
        <v>1604</v>
      </c>
      <c r="C47" s="954"/>
      <c r="D47" s="955"/>
      <c r="E47" s="218">
        <v>0.08</v>
      </c>
      <c r="F47" s="219">
        <f t="shared" si="0"/>
        <v>0</v>
      </c>
    </row>
    <row r="48" spans="1:6" ht="15" customHeight="1">
      <c r="A48" s="956" t="s">
        <v>1605</v>
      </c>
      <c r="B48" s="957"/>
      <c r="C48" s="957"/>
      <c r="D48" s="958"/>
      <c r="E48" s="220">
        <f>SUM(E40:E47)</f>
        <v>0.36800000000000005</v>
      </c>
      <c r="F48" s="221">
        <f>SUM(F40:F47)</f>
        <v>0</v>
      </c>
    </row>
    <row r="49" spans="1:7" ht="15" customHeight="1">
      <c r="A49" s="943"/>
      <c r="B49" s="944"/>
      <c r="C49" s="944"/>
      <c r="D49" s="944"/>
      <c r="E49" s="944"/>
      <c r="F49" s="945"/>
    </row>
    <row r="50" spans="1:7" ht="15" customHeight="1">
      <c r="A50" s="946" t="s">
        <v>1606</v>
      </c>
      <c r="B50" s="946"/>
      <c r="C50" s="946"/>
      <c r="D50" s="946"/>
      <c r="E50" s="946"/>
      <c r="F50" s="946"/>
    </row>
    <row r="51" spans="1:7" ht="15" customHeight="1">
      <c r="A51" s="211" t="s">
        <v>789</v>
      </c>
      <c r="B51" s="942" t="s">
        <v>1607</v>
      </c>
      <c r="C51" s="942"/>
      <c r="D51" s="942"/>
      <c r="E51" s="942"/>
      <c r="F51" s="211" t="s">
        <v>1576</v>
      </c>
    </row>
    <row r="52" spans="1:7" ht="15" customHeight="1">
      <c r="A52" s="212" t="s">
        <v>1554</v>
      </c>
      <c r="B52" s="951" t="s">
        <v>1687</v>
      </c>
      <c r="C52" s="951"/>
      <c r="D52" s="951"/>
      <c r="E52" s="951"/>
      <c r="F52" s="226"/>
      <c r="G52" s="288">
        <f>-F21*6%</f>
        <v>0</v>
      </c>
    </row>
    <row r="53" spans="1:7" ht="15" customHeight="1">
      <c r="A53" s="212" t="s">
        <v>1556</v>
      </c>
      <c r="B53" s="952" t="s">
        <v>1769</v>
      </c>
      <c r="C53" s="952"/>
      <c r="D53" s="952"/>
      <c r="E53" s="952"/>
      <c r="F53" s="228"/>
    </row>
    <row r="54" spans="1:7" ht="15" customHeight="1">
      <c r="A54" s="212" t="s">
        <v>1610</v>
      </c>
      <c r="B54" s="941" t="s">
        <v>1777</v>
      </c>
      <c r="C54" s="941"/>
      <c r="D54" s="941"/>
      <c r="E54" s="941"/>
      <c r="F54" s="229">
        <f>-(F53*0.02)</f>
        <v>0</v>
      </c>
    </row>
    <row r="55" spans="1:7" ht="15" customHeight="1">
      <c r="A55" s="212" t="s">
        <v>1612</v>
      </c>
      <c r="B55" s="949" t="s">
        <v>1613</v>
      </c>
      <c r="C55" s="949"/>
      <c r="D55" s="949"/>
      <c r="E55" s="949"/>
      <c r="F55" s="221">
        <f>SUM(F53:F54)</f>
        <v>0</v>
      </c>
    </row>
    <row r="56" spans="1:7" ht="15" customHeight="1">
      <c r="A56" s="212" t="s">
        <v>1559</v>
      </c>
      <c r="B56" s="952" t="s">
        <v>1614</v>
      </c>
      <c r="C56" s="952"/>
      <c r="D56" s="952"/>
      <c r="E56" s="952"/>
      <c r="F56" s="228"/>
      <c r="G56" s="231"/>
    </row>
    <row r="57" spans="1:7" ht="15" customHeight="1">
      <c r="A57" s="212" t="s">
        <v>1562</v>
      </c>
      <c r="B57" s="952" t="s">
        <v>1615</v>
      </c>
      <c r="C57" s="952"/>
      <c r="D57" s="952"/>
      <c r="E57" s="952"/>
      <c r="F57" s="228"/>
      <c r="G57" s="289"/>
    </row>
    <row r="58" spans="1:7" ht="15" customHeight="1">
      <c r="A58" s="942" t="s">
        <v>15</v>
      </c>
      <c r="B58" s="942"/>
      <c r="C58" s="942"/>
      <c r="D58" s="942"/>
      <c r="E58" s="942"/>
      <c r="F58" s="221">
        <f>F55+F56+F57+F52</f>
        <v>0</v>
      </c>
      <c r="G58" s="230"/>
    </row>
    <row r="59" spans="1:7" ht="15" customHeight="1">
      <c r="A59" s="946" t="s">
        <v>1616</v>
      </c>
      <c r="B59" s="946"/>
      <c r="C59" s="946"/>
      <c r="D59" s="946"/>
      <c r="E59" s="946"/>
      <c r="F59" s="946"/>
    </row>
    <row r="60" spans="1:7" ht="15" customHeight="1">
      <c r="A60" s="211">
        <v>2</v>
      </c>
      <c r="B60" s="942" t="s">
        <v>1617</v>
      </c>
      <c r="C60" s="942"/>
      <c r="D60" s="942"/>
      <c r="E60" s="942"/>
      <c r="F60" s="211" t="s">
        <v>1576</v>
      </c>
    </row>
    <row r="61" spans="1:7" ht="15" customHeight="1">
      <c r="A61" s="212" t="s">
        <v>710</v>
      </c>
      <c r="B61" s="941" t="s">
        <v>1587</v>
      </c>
      <c r="C61" s="941"/>
      <c r="D61" s="941"/>
      <c r="E61" s="941"/>
      <c r="F61" s="219">
        <f>F36</f>
        <v>0</v>
      </c>
    </row>
    <row r="62" spans="1:7" ht="15" customHeight="1">
      <c r="A62" s="212" t="s">
        <v>782</v>
      </c>
      <c r="B62" s="941" t="s">
        <v>1594</v>
      </c>
      <c r="C62" s="941"/>
      <c r="D62" s="941"/>
      <c r="E62" s="941"/>
      <c r="F62" s="219">
        <f>F48</f>
        <v>0</v>
      </c>
    </row>
    <row r="63" spans="1:7" ht="15" customHeight="1">
      <c r="A63" s="212" t="s">
        <v>789</v>
      </c>
      <c r="B63" s="941" t="s">
        <v>1607</v>
      </c>
      <c r="C63" s="941"/>
      <c r="D63" s="941"/>
      <c r="E63" s="941"/>
      <c r="F63" s="219">
        <f>F58</f>
        <v>0</v>
      </c>
    </row>
    <row r="64" spans="1:7" ht="15" customHeight="1">
      <c r="A64" s="942" t="s">
        <v>15</v>
      </c>
      <c r="B64" s="942"/>
      <c r="C64" s="942"/>
      <c r="D64" s="942"/>
      <c r="E64" s="942"/>
      <c r="F64" s="221">
        <f>SUM(F61:F63)</f>
        <v>0</v>
      </c>
    </row>
    <row r="65" spans="1:6" ht="15" customHeight="1">
      <c r="A65" s="943"/>
      <c r="B65" s="944"/>
      <c r="C65" s="944"/>
      <c r="D65" s="944"/>
      <c r="E65" s="944"/>
      <c r="F65" s="945"/>
    </row>
    <row r="66" spans="1:6" ht="15" customHeight="1">
      <c r="A66" s="946" t="s">
        <v>1618</v>
      </c>
      <c r="B66" s="946"/>
      <c r="C66" s="946"/>
      <c r="D66" s="946"/>
      <c r="E66" s="946"/>
      <c r="F66" s="946"/>
    </row>
    <row r="67" spans="1:6" ht="15" customHeight="1">
      <c r="A67" s="211">
        <v>3</v>
      </c>
      <c r="B67" s="942" t="s">
        <v>1619</v>
      </c>
      <c r="C67" s="942"/>
      <c r="D67" s="942"/>
      <c r="E67" s="211" t="s">
        <v>1588</v>
      </c>
      <c r="F67" s="211" t="s">
        <v>1576</v>
      </c>
    </row>
    <row r="68" spans="1:6" ht="15" customHeight="1">
      <c r="A68" s="212" t="s">
        <v>1554</v>
      </c>
      <c r="B68" s="941" t="s">
        <v>1620</v>
      </c>
      <c r="C68" s="941"/>
      <c r="D68" s="941"/>
      <c r="E68" s="232">
        <v>0</v>
      </c>
      <c r="F68" s="219">
        <f>$F$27*E68</f>
        <v>0</v>
      </c>
    </row>
    <row r="69" spans="1:6" ht="15" customHeight="1">
      <c r="A69" s="212" t="s">
        <v>1556</v>
      </c>
      <c r="B69" s="941" t="s">
        <v>1621</v>
      </c>
      <c r="C69" s="941"/>
      <c r="D69" s="941"/>
      <c r="E69" s="232">
        <f>E47*E68</f>
        <v>0</v>
      </c>
      <c r="F69" s="219">
        <f>$F$27*(E68*8%)</f>
        <v>0</v>
      </c>
    </row>
    <row r="70" spans="1:6" ht="41.45" customHeight="1">
      <c r="A70" s="212" t="s">
        <v>1559</v>
      </c>
      <c r="B70" s="941" t="s">
        <v>1684</v>
      </c>
      <c r="C70" s="941"/>
      <c r="D70" s="941"/>
      <c r="E70" s="233">
        <v>3.4000000000000002E-2</v>
      </c>
      <c r="F70" s="219">
        <f>$F$27*E70</f>
        <v>0</v>
      </c>
    </row>
    <row r="71" spans="1:6" ht="15" customHeight="1">
      <c r="A71" s="212" t="s">
        <v>1562</v>
      </c>
      <c r="B71" s="941" t="s">
        <v>1689</v>
      </c>
      <c r="C71" s="941"/>
      <c r="D71" s="941"/>
      <c r="E71" s="234">
        <v>1.9E-3</v>
      </c>
      <c r="F71" s="219">
        <f>$F$27*E71</f>
        <v>0</v>
      </c>
    </row>
    <row r="72" spans="1:6" ht="27.6" customHeight="1">
      <c r="A72" s="212" t="s">
        <v>1581</v>
      </c>
      <c r="B72" s="941" t="s">
        <v>1624</v>
      </c>
      <c r="C72" s="941"/>
      <c r="D72" s="941"/>
      <c r="E72" s="232">
        <f>E71*E48</f>
        <v>6.9920000000000008E-4</v>
      </c>
      <c r="F72" s="219">
        <f>E48*F71</f>
        <v>0</v>
      </c>
    </row>
    <row r="73" spans="1:6" ht="15" customHeight="1">
      <c r="A73" s="212" t="s">
        <v>1583</v>
      </c>
      <c r="B73" s="941" t="s">
        <v>1625</v>
      </c>
      <c r="C73" s="941"/>
      <c r="D73" s="941"/>
      <c r="E73" s="232">
        <v>6.0000000000000001E-3</v>
      </c>
      <c r="F73" s="219">
        <f>$F$27*E73</f>
        <v>0</v>
      </c>
    </row>
    <row r="74" spans="1:6" ht="15" customHeight="1">
      <c r="A74" s="942" t="s">
        <v>15</v>
      </c>
      <c r="B74" s="942"/>
      <c r="C74" s="942"/>
      <c r="D74" s="942"/>
      <c r="E74" s="235">
        <f>E68+E69+E70+E71+E72+E73</f>
        <v>4.2599199999999997E-2</v>
      </c>
      <c r="F74" s="221">
        <f>SUM(F68:F73)</f>
        <v>0</v>
      </c>
    </row>
    <row r="75" spans="1:6" ht="15" customHeight="1">
      <c r="A75" s="943"/>
      <c r="B75" s="944"/>
      <c r="C75" s="944"/>
      <c r="D75" s="944"/>
      <c r="E75" s="944"/>
      <c r="F75" s="945"/>
    </row>
    <row r="76" spans="1:6" ht="15" customHeight="1">
      <c r="A76" s="946" t="s">
        <v>1626</v>
      </c>
      <c r="B76" s="946"/>
      <c r="C76" s="946"/>
      <c r="D76" s="946"/>
      <c r="E76" s="946"/>
      <c r="F76" s="946"/>
    </row>
    <row r="77" spans="1:6" ht="15" customHeight="1">
      <c r="A77" s="946" t="s">
        <v>1627</v>
      </c>
      <c r="B77" s="946"/>
      <c r="C77" s="946"/>
      <c r="D77" s="946"/>
      <c r="E77" s="946"/>
      <c r="F77" s="946"/>
    </row>
    <row r="78" spans="1:6" ht="15" customHeight="1">
      <c r="A78" s="211" t="s">
        <v>1292</v>
      </c>
      <c r="B78" s="942" t="s">
        <v>1628</v>
      </c>
      <c r="C78" s="942"/>
      <c r="D78" s="942"/>
      <c r="E78" s="211" t="s">
        <v>1588</v>
      </c>
      <c r="F78" s="211" t="s">
        <v>1576</v>
      </c>
    </row>
    <row r="79" spans="1:6" ht="15" customHeight="1">
      <c r="A79" s="212" t="s">
        <v>1554</v>
      </c>
      <c r="B79" s="941" t="s">
        <v>1690</v>
      </c>
      <c r="C79" s="941"/>
      <c r="D79" s="941"/>
      <c r="E79" s="232">
        <v>1.01E-2</v>
      </c>
      <c r="F79" s="219">
        <f>SUM(F$27*E79)</f>
        <v>0</v>
      </c>
    </row>
    <row r="80" spans="1:6" ht="15" customHeight="1">
      <c r="A80" s="212" t="s">
        <v>1556</v>
      </c>
      <c r="B80" s="941" t="s">
        <v>1630</v>
      </c>
      <c r="C80" s="941"/>
      <c r="D80" s="941"/>
      <c r="E80" s="234">
        <v>2.12E-2</v>
      </c>
      <c r="F80" s="219">
        <f>$F$27*E80</f>
        <v>0</v>
      </c>
    </row>
    <row r="81" spans="1:6" ht="15" customHeight="1">
      <c r="A81" s="212" t="s">
        <v>1559</v>
      </c>
      <c r="B81" s="941" t="s">
        <v>1631</v>
      </c>
      <c r="C81" s="941"/>
      <c r="D81" s="941"/>
      <c r="E81" s="232">
        <v>8.0000000000000004E-4</v>
      </c>
      <c r="F81" s="219">
        <f>$F$27*E81</f>
        <v>0</v>
      </c>
    </row>
    <row r="82" spans="1:6" ht="15" customHeight="1">
      <c r="A82" s="212" t="s">
        <v>1562</v>
      </c>
      <c r="B82" s="941" t="s">
        <v>1632</v>
      </c>
      <c r="C82" s="941"/>
      <c r="D82" s="941"/>
      <c r="E82" s="232">
        <v>2.9999999999999997E-4</v>
      </c>
      <c r="F82" s="219">
        <f>$F$27*E82</f>
        <v>0</v>
      </c>
    </row>
    <row r="83" spans="1:6" ht="15" customHeight="1">
      <c r="A83" s="212" t="s">
        <v>1581</v>
      </c>
      <c r="B83" s="941" t="s">
        <v>1633</v>
      </c>
      <c r="C83" s="941"/>
      <c r="D83" s="941"/>
      <c r="E83" s="232">
        <v>2.9999999999999997E-4</v>
      </c>
      <c r="F83" s="219">
        <f>$F$27*E83</f>
        <v>0</v>
      </c>
    </row>
    <row r="84" spans="1:6" ht="15" customHeight="1">
      <c r="A84" s="212" t="s">
        <v>1583</v>
      </c>
      <c r="B84" s="941" t="s">
        <v>1634</v>
      </c>
      <c r="C84" s="941"/>
      <c r="D84" s="941"/>
      <c r="E84" s="232">
        <v>1.3899999999999999E-2</v>
      </c>
      <c r="F84" s="219">
        <f>$F$27*E84</f>
        <v>0</v>
      </c>
    </row>
    <row r="85" spans="1:6" ht="15" customHeight="1">
      <c r="A85" s="942" t="s">
        <v>1605</v>
      </c>
      <c r="B85" s="942"/>
      <c r="C85" s="942"/>
      <c r="D85" s="942"/>
      <c r="E85" s="235">
        <f>SUM(E79:E84)</f>
        <v>4.6600000000000003E-2</v>
      </c>
      <c r="F85" s="221">
        <f>SUM(F79:F84)</f>
        <v>0</v>
      </c>
    </row>
    <row r="86" spans="1:6" ht="15" customHeight="1">
      <c r="A86" s="943"/>
      <c r="B86" s="944"/>
      <c r="C86" s="944"/>
      <c r="D86" s="944"/>
      <c r="E86" s="944"/>
      <c r="F86" s="945"/>
    </row>
    <row r="87" spans="1:6" ht="15" customHeight="1">
      <c r="A87" s="946" t="s">
        <v>1635</v>
      </c>
      <c r="B87" s="946"/>
      <c r="C87" s="946"/>
      <c r="D87" s="946"/>
      <c r="E87" s="946"/>
      <c r="F87" s="946"/>
    </row>
    <row r="88" spans="1:6" ht="15" customHeight="1">
      <c r="A88" s="211" t="s">
        <v>1293</v>
      </c>
      <c r="B88" s="942" t="s">
        <v>1636</v>
      </c>
      <c r="C88" s="942"/>
      <c r="D88" s="942"/>
      <c r="E88" s="942"/>
      <c r="F88" s="211" t="s">
        <v>1576</v>
      </c>
    </row>
    <row r="89" spans="1:6" ht="15" customHeight="1">
      <c r="A89" s="212" t="s">
        <v>1554</v>
      </c>
      <c r="B89" s="941" t="s">
        <v>1637</v>
      </c>
      <c r="C89" s="941"/>
      <c r="D89" s="941"/>
      <c r="E89" s="941"/>
      <c r="F89" s="219"/>
    </row>
    <row r="90" spans="1:6" ht="15" customHeight="1">
      <c r="A90" s="942" t="s">
        <v>15</v>
      </c>
      <c r="B90" s="942"/>
      <c r="C90" s="942"/>
      <c r="D90" s="942"/>
      <c r="E90" s="942"/>
      <c r="F90" s="219">
        <f>SUM(F89)</f>
        <v>0</v>
      </c>
    </row>
    <row r="91" spans="1:6" ht="15" customHeight="1">
      <c r="A91" s="943"/>
      <c r="B91" s="944"/>
      <c r="C91" s="944"/>
      <c r="D91" s="944"/>
      <c r="E91" s="944"/>
      <c r="F91" s="945"/>
    </row>
    <row r="92" spans="1:6" ht="15" customHeight="1">
      <c r="A92" s="946" t="s">
        <v>1638</v>
      </c>
      <c r="B92" s="946"/>
      <c r="C92" s="946"/>
      <c r="D92" s="946"/>
      <c r="E92" s="946"/>
      <c r="F92" s="946"/>
    </row>
    <row r="93" spans="1:6" ht="15" customHeight="1">
      <c r="A93" s="211">
        <v>4</v>
      </c>
      <c r="B93" s="942" t="s">
        <v>1639</v>
      </c>
      <c r="C93" s="942"/>
      <c r="D93" s="942"/>
      <c r="E93" s="942"/>
      <c r="F93" s="211" t="s">
        <v>1576</v>
      </c>
    </row>
    <row r="94" spans="1:6" ht="15" customHeight="1">
      <c r="A94" s="212" t="s">
        <v>1292</v>
      </c>
      <c r="B94" s="941" t="s">
        <v>1628</v>
      </c>
      <c r="C94" s="941"/>
      <c r="D94" s="941"/>
      <c r="E94" s="941"/>
      <c r="F94" s="219">
        <f>F85</f>
        <v>0</v>
      </c>
    </row>
    <row r="95" spans="1:6" ht="15" customHeight="1">
      <c r="A95" s="212" t="s">
        <v>1293</v>
      </c>
      <c r="B95" s="941" t="s">
        <v>1636</v>
      </c>
      <c r="C95" s="941"/>
      <c r="D95" s="941"/>
      <c r="E95" s="941"/>
      <c r="F95" s="219">
        <f>F90</f>
        <v>0</v>
      </c>
    </row>
    <row r="96" spans="1:6" ht="15" customHeight="1">
      <c r="A96" s="942" t="s">
        <v>15</v>
      </c>
      <c r="B96" s="942"/>
      <c r="C96" s="942"/>
      <c r="D96" s="942"/>
      <c r="E96" s="942"/>
      <c r="F96" s="219">
        <f>SUM(F94:F95)</f>
        <v>0</v>
      </c>
    </row>
    <row r="97" spans="1:6" ht="15" customHeight="1">
      <c r="A97" s="943"/>
      <c r="B97" s="944"/>
      <c r="C97" s="944"/>
      <c r="D97" s="944"/>
      <c r="E97" s="944"/>
      <c r="F97" s="945"/>
    </row>
    <row r="98" spans="1:6" ht="15" customHeight="1">
      <c r="A98" s="946" t="s">
        <v>1640</v>
      </c>
      <c r="B98" s="946"/>
      <c r="C98" s="946"/>
      <c r="D98" s="946"/>
      <c r="E98" s="946"/>
      <c r="F98" s="946"/>
    </row>
    <row r="99" spans="1:6" ht="15" customHeight="1">
      <c r="A99" s="211">
        <v>5</v>
      </c>
      <c r="B99" s="942" t="s">
        <v>1641</v>
      </c>
      <c r="C99" s="942"/>
      <c r="D99" s="942"/>
      <c r="E99" s="942"/>
      <c r="F99" s="211" t="s">
        <v>1576</v>
      </c>
    </row>
    <row r="100" spans="1:6" ht="15" customHeight="1">
      <c r="A100" s="212" t="s">
        <v>1554</v>
      </c>
      <c r="B100" s="941" t="s">
        <v>1642</v>
      </c>
      <c r="C100" s="941"/>
      <c r="D100" s="941"/>
      <c r="E100" s="941"/>
      <c r="F100" s="223"/>
    </row>
    <row r="101" spans="1:6" ht="15" customHeight="1">
      <c r="A101" s="212" t="s">
        <v>1556</v>
      </c>
      <c r="B101" s="941" t="s">
        <v>1643</v>
      </c>
      <c r="C101" s="941"/>
      <c r="D101" s="941"/>
      <c r="E101" s="941"/>
      <c r="F101" s="223"/>
    </row>
    <row r="102" spans="1:6" ht="15" customHeight="1">
      <c r="A102" s="212" t="s">
        <v>1559</v>
      </c>
      <c r="B102" s="941" t="s">
        <v>1644</v>
      </c>
      <c r="C102" s="941"/>
      <c r="D102" s="941"/>
      <c r="E102" s="941"/>
      <c r="F102" s="223"/>
    </row>
    <row r="103" spans="1:6" ht="15" customHeight="1">
      <c r="A103" s="212" t="s">
        <v>1562</v>
      </c>
      <c r="B103" s="941" t="s">
        <v>1584</v>
      </c>
      <c r="C103" s="941"/>
      <c r="D103" s="941"/>
      <c r="E103" s="941"/>
      <c r="F103" s="219">
        <v>0</v>
      </c>
    </row>
    <row r="104" spans="1:6" ht="15" customHeight="1">
      <c r="A104" s="942" t="s">
        <v>1605</v>
      </c>
      <c r="B104" s="942"/>
      <c r="C104" s="942"/>
      <c r="D104" s="942"/>
      <c r="E104" s="942"/>
      <c r="F104" s="221">
        <f>SUM(F100:F103)</f>
        <v>0</v>
      </c>
    </row>
    <row r="105" spans="1:6" ht="15" customHeight="1">
      <c r="A105" s="943"/>
      <c r="B105" s="944"/>
      <c r="C105" s="944"/>
      <c r="D105" s="944"/>
      <c r="E105" s="944"/>
      <c r="F105" s="945"/>
    </row>
    <row r="106" spans="1:6" ht="15" customHeight="1">
      <c r="A106" s="946" t="s">
        <v>1645</v>
      </c>
      <c r="B106" s="946"/>
      <c r="C106" s="946"/>
      <c r="D106" s="946"/>
      <c r="E106" s="946"/>
      <c r="F106" s="946"/>
    </row>
    <row r="107" spans="1:6" ht="15" customHeight="1">
      <c r="A107" s="211">
        <v>6</v>
      </c>
      <c r="B107" s="942" t="s">
        <v>1646</v>
      </c>
      <c r="C107" s="942"/>
      <c r="D107" s="942"/>
      <c r="E107" s="211" t="s">
        <v>1588</v>
      </c>
      <c r="F107" s="211" t="s">
        <v>1576</v>
      </c>
    </row>
    <row r="108" spans="1:6" ht="15" customHeight="1">
      <c r="A108" s="212" t="s">
        <v>1554</v>
      </c>
      <c r="B108" s="941" t="s">
        <v>1647</v>
      </c>
      <c r="C108" s="941"/>
      <c r="D108" s="941"/>
      <c r="E108" s="236">
        <v>1.6E-2</v>
      </c>
      <c r="F108" s="219">
        <f>(F104+F96+F74+F64+F27)*E108</f>
        <v>0</v>
      </c>
    </row>
    <row r="109" spans="1:6" ht="15" customHeight="1">
      <c r="A109" s="212" t="s">
        <v>1556</v>
      </c>
      <c r="B109" s="941" t="s">
        <v>1648</v>
      </c>
      <c r="C109" s="941"/>
      <c r="D109" s="941"/>
      <c r="E109" s="236">
        <v>6.4999999999999997E-3</v>
      </c>
      <c r="F109" s="219">
        <f>(F104+F96+F74+F64+F27+F108)*E109</f>
        <v>0</v>
      </c>
    </row>
    <row r="110" spans="1:6" s="231" customFormat="1" ht="15" customHeight="1">
      <c r="A110" s="211" t="s">
        <v>1559</v>
      </c>
      <c r="B110" s="949" t="s">
        <v>1649</v>
      </c>
      <c r="C110" s="949"/>
      <c r="D110" s="949"/>
      <c r="E110" s="290">
        <f>SUM(E111:E113)</f>
        <v>8.6499999999999994E-2</v>
      </c>
      <c r="F110" s="221"/>
    </row>
    <row r="111" spans="1:6" ht="15" customHeight="1">
      <c r="A111" s="212"/>
      <c r="B111" s="941" t="s">
        <v>1650</v>
      </c>
      <c r="C111" s="941"/>
      <c r="D111" s="941"/>
      <c r="E111" s="218">
        <f>0.65%+3%</f>
        <v>3.6499999999999998E-2</v>
      </c>
      <c r="F111" s="219">
        <f>((F104+F96+F74+F64+F27+F108+F109)/(1-E110)*E111)</f>
        <v>0</v>
      </c>
    </row>
    <row r="112" spans="1:6" ht="15" customHeight="1">
      <c r="A112" s="212"/>
      <c r="B112" s="941" t="s">
        <v>1651</v>
      </c>
      <c r="C112" s="941"/>
      <c r="D112" s="941"/>
      <c r="E112" s="218">
        <v>0</v>
      </c>
      <c r="F112" s="219">
        <f>((F104+F96+F74+F64+F27+F108+F109)/(1-E110)*E112)</f>
        <v>0</v>
      </c>
    </row>
    <row r="113" spans="1:6" ht="15" customHeight="1">
      <c r="A113" s="212"/>
      <c r="B113" s="941" t="s">
        <v>1652</v>
      </c>
      <c r="C113" s="941"/>
      <c r="D113" s="941"/>
      <c r="E113" s="218">
        <v>0.05</v>
      </c>
      <c r="F113" s="219">
        <f>((F104+F96+F74+F64+F27+F108+F109)/(1-E110)*E113)</f>
        <v>0</v>
      </c>
    </row>
    <row r="114" spans="1:6" ht="15" customHeight="1">
      <c r="A114" s="942" t="s">
        <v>1605</v>
      </c>
      <c r="B114" s="942"/>
      <c r="C114" s="942"/>
      <c r="D114" s="942"/>
      <c r="E114" s="220">
        <f>SUM(E108:E110)</f>
        <v>0.10899999999999999</v>
      </c>
      <c r="F114" s="221">
        <f>SUM(F108:F113)</f>
        <v>0</v>
      </c>
    </row>
    <row r="115" spans="1:6" ht="15" customHeight="1">
      <c r="A115" s="943"/>
      <c r="B115" s="944"/>
      <c r="C115" s="944"/>
      <c r="D115" s="944"/>
      <c r="E115" s="944"/>
      <c r="F115" s="945"/>
    </row>
    <row r="116" spans="1:6" ht="15" customHeight="1">
      <c r="A116" s="946" t="s">
        <v>1653</v>
      </c>
      <c r="B116" s="946"/>
      <c r="C116" s="946"/>
      <c r="D116" s="946"/>
      <c r="E116" s="946"/>
      <c r="F116" s="946"/>
    </row>
    <row r="117" spans="1:6" ht="15" customHeight="1">
      <c r="A117" s="942" t="s">
        <v>1654</v>
      </c>
      <c r="B117" s="942"/>
      <c r="C117" s="942"/>
      <c r="D117" s="942"/>
      <c r="E117" s="942"/>
      <c r="F117" s="211" t="s">
        <v>1576</v>
      </c>
    </row>
    <row r="118" spans="1:6" ht="15" customHeight="1">
      <c r="A118" s="211" t="s">
        <v>1554</v>
      </c>
      <c r="B118" s="941" t="s">
        <v>1574</v>
      </c>
      <c r="C118" s="941"/>
      <c r="D118" s="941"/>
      <c r="E118" s="941"/>
      <c r="F118" s="214">
        <f>F27</f>
        <v>0</v>
      </c>
    </row>
    <row r="119" spans="1:6" ht="15" customHeight="1">
      <c r="A119" s="211" t="s">
        <v>1556</v>
      </c>
      <c r="B119" s="941" t="s">
        <v>1585</v>
      </c>
      <c r="C119" s="941"/>
      <c r="D119" s="941"/>
      <c r="E119" s="941"/>
      <c r="F119" s="214">
        <f>F64</f>
        <v>0</v>
      </c>
    </row>
    <row r="120" spans="1:6" ht="15" customHeight="1">
      <c r="A120" s="211" t="s">
        <v>1559</v>
      </c>
      <c r="B120" s="941" t="s">
        <v>1618</v>
      </c>
      <c r="C120" s="941"/>
      <c r="D120" s="941"/>
      <c r="E120" s="941"/>
      <c r="F120" s="214">
        <f>F74</f>
        <v>0</v>
      </c>
    </row>
    <row r="121" spans="1:6" ht="15" customHeight="1">
      <c r="A121" s="211" t="s">
        <v>1562</v>
      </c>
      <c r="B121" s="941" t="s">
        <v>1626</v>
      </c>
      <c r="C121" s="941"/>
      <c r="D121" s="941"/>
      <c r="E121" s="941"/>
      <c r="F121" s="214">
        <f>F96</f>
        <v>0</v>
      </c>
    </row>
    <row r="122" spans="1:6" ht="15" customHeight="1">
      <c r="A122" s="211" t="s">
        <v>1581</v>
      </c>
      <c r="B122" s="941" t="s">
        <v>1640</v>
      </c>
      <c r="C122" s="941"/>
      <c r="D122" s="941"/>
      <c r="E122" s="941"/>
      <c r="F122" s="214">
        <f>F104</f>
        <v>0</v>
      </c>
    </row>
    <row r="123" spans="1:6" ht="15" customHeight="1">
      <c r="A123" s="942" t="s">
        <v>1655</v>
      </c>
      <c r="B123" s="942"/>
      <c r="C123" s="942"/>
      <c r="D123" s="942"/>
      <c r="E123" s="942"/>
      <c r="F123" s="217">
        <f>SUM(F118:F122)</f>
        <v>0</v>
      </c>
    </row>
    <row r="124" spans="1:6" ht="15" customHeight="1">
      <c r="A124" s="211" t="s">
        <v>1583</v>
      </c>
      <c r="B124" s="941" t="s">
        <v>1656</v>
      </c>
      <c r="C124" s="941"/>
      <c r="D124" s="941"/>
      <c r="E124" s="941"/>
      <c r="F124" s="214">
        <f>F114</f>
        <v>0</v>
      </c>
    </row>
    <row r="125" spans="1:6" ht="15" customHeight="1">
      <c r="A125" s="942" t="s">
        <v>1657</v>
      </c>
      <c r="B125" s="942"/>
      <c r="C125" s="942"/>
      <c r="D125" s="942"/>
      <c r="E125" s="942"/>
      <c r="F125" s="241">
        <f>SUM(F123:F124)</f>
        <v>0</v>
      </c>
    </row>
    <row r="126" spans="1:6" ht="15" customHeight="1">
      <c r="A126" s="943"/>
      <c r="B126" s="944"/>
      <c r="C126" s="944"/>
      <c r="D126" s="944"/>
      <c r="E126" s="944"/>
      <c r="F126" s="945"/>
    </row>
    <row r="127" spans="1:6" ht="15" customHeight="1">
      <c r="A127" s="946" t="s">
        <v>1658</v>
      </c>
      <c r="B127" s="946"/>
      <c r="C127" s="946"/>
      <c r="D127" s="946"/>
      <c r="E127" s="946"/>
      <c r="F127" s="946"/>
    </row>
    <row r="128" spans="1:6" ht="48" customHeight="1">
      <c r="A128" s="947" t="s">
        <v>1659</v>
      </c>
      <c r="B128" s="947"/>
      <c r="C128" s="242" t="s">
        <v>1660</v>
      </c>
      <c r="D128" s="242" t="s">
        <v>1661</v>
      </c>
      <c r="E128" s="242" t="s">
        <v>1662</v>
      </c>
      <c r="F128" s="242" t="s">
        <v>1663</v>
      </c>
    </row>
    <row r="129" spans="1:6" ht="15" customHeight="1">
      <c r="A129" s="948" t="str">
        <f>E13</f>
        <v>Supervisor de Pessoal</v>
      </c>
      <c r="B129" s="948"/>
      <c r="C129" s="243">
        <v>1</v>
      </c>
      <c r="D129" s="244">
        <f>F125*C129</f>
        <v>0</v>
      </c>
      <c r="E129" s="243">
        <v>1</v>
      </c>
      <c r="F129" s="244">
        <f>D129*E129</f>
        <v>0</v>
      </c>
    </row>
    <row r="130" spans="1:6" ht="15" customHeight="1">
      <c r="A130" s="935" t="s">
        <v>1664</v>
      </c>
      <c r="B130" s="935"/>
      <c r="C130" s="935"/>
      <c r="D130" s="935"/>
      <c r="E130" s="935"/>
      <c r="F130" s="245">
        <f>SUM(F129:F129)</f>
        <v>0</v>
      </c>
    </row>
    <row r="131" spans="1:6" ht="15" customHeight="1">
      <c r="A131" s="936"/>
      <c r="B131" s="937"/>
      <c r="C131" s="937"/>
      <c r="D131" s="937"/>
      <c r="E131" s="937"/>
      <c r="F131" s="938"/>
    </row>
    <row r="132" spans="1:6" ht="15" customHeight="1">
      <c r="A132" s="939" t="s">
        <v>1665</v>
      </c>
      <c r="B132" s="939"/>
      <c r="C132" s="939"/>
      <c r="D132" s="939"/>
      <c r="E132" s="939"/>
      <c r="F132" s="939"/>
    </row>
    <row r="133" spans="1:6" ht="15" customHeight="1">
      <c r="A133" s="940" t="s">
        <v>1666</v>
      </c>
      <c r="B133" s="940"/>
      <c r="C133" s="940"/>
      <c r="D133" s="940"/>
      <c r="E133" s="940"/>
      <c r="F133" s="940"/>
    </row>
    <row r="134" spans="1:6" ht="15" customHeight="1">
      <c r="A134" s="940" t="s">
        <v>1</v>
      </c>
      <c r="B134" s="940"/>
      <c r="C134" s="940"/>
      <c r="D134" s="940"/>
      <c r="E134" s="940"/>
      <c r="F134" s="246" t="s">
        <v>1667</v>
      </c>
    </row>
    <row r="135" spans="1:6" ht="15" customHeight="1">
      <c r="A135" s="247" t="s">
        <v>1554</v>
      </c>
      <c r="B135" s="932" t="s">
        <v>1668</v>
      </c>
      <c r="C135" s="932"/>
      <c r="D135" s="932"/>
      <c r="E135" s="932"/>
      <c r="F135" s="248">
        <f>D129</f>
        <v>0</v>
      </c>
    </row>
    <row r="136" spans="1:6" ht="15" customHeight="1">
      <c r="A136" s="247" t="s">
        <v>1556</v>
      </c>
      <c r="B136" s="932" t="s">
        <v>1669</v>
      </c>
      <c r="C136" s="932"/>
      <c r="D136" s="932"/>
      <c r="E136" s="932"/>
      <c r="F136" s="248">
        <f>F130</f>
        <v>0</v>
      </c>
    </row>
    <row r="137" spans="1:6" ht="15" customHeight="1">
      <c r="A137" s="249" t="s">
        <v>1559</v>
      </c>
      <c r="B137" s="933" t="s">
        <v>1670</v>
      </c>
      <c r="C137" s="933"/>
      <c r="D137" s="933"/>
      <c r="E137" s="933"/>
      <c r="F137" s="250">
        <f>F136*12</f>
        <v>0</v>
      </c>
    </row>
    <row r="138" spans="1:6" ht="15" customHeight="1" thickBot="1">
      <c r="A138" s="934"/>
      <c r="B138" s="934"/>
      <c r="C138" s="934"/>
      <c r="D138" s="934"/>
      <c r="E138" s="934"/>
      <c r="F138" s="934"/>
    </row>
    <row r="139" spans="1:6" ht="15" customHeight="1">
      <c r="A139" s="251"/>
      <c r="B139" s="252"/>
      <c r="C139" s="252"/>
      <c r="D139" s="252"/>
      <c r="E139" s="253"/>
      <c r="F139" s="254" t="s">
        <v>1671</v>
      </c>
    </row>
    <row r="140" spans="1:6" ht="15" customHeight="1">
      <c r="A140" s="255" t="s">
        <v>1672</v>
      </c>
      <c r="B140" s="256" t="s">
        <v>1673</v>
      </c>
      <c r="C140" s="256"/>
      <c r="D140" s="257">
        <v>-1</v>
      </c>
      <c r="E140" s="258">
        <f>(1+E146)*(1+E147)/(1-E148)-1</f>
        <v>0.11943513957307061</v>
      </c>
      <c r="F140" s="259"/>
    </row>
    <row r="141" spans="1:6" ht="15" customHeight="1">
      <c r="A141" s="260"/>
      <c r="B141" s="261" t="s">
        <v>1674</v>
      </c>
      <c r="C141" s="261"/>
      <c r="D141" s="257"/>
      <c r="E141" s="262"/>
      <c r="F141" s="263"/>
    </row>
    <row r="142" spans="1:6" ht="15" customHeight="1" thickBot="1">
      <c r="A142" s="264"/>
      <c r="B142" s="265"/>
      <c r="C142" s="265"/>
      <c r="D142" s="265"/>
      <c r="E142" s="266"/>
      <c r="F142" s="267"/>
    </row>
    <row r="143" spans="1:6" ht="15" customHeight="1">
      <c r="A143" s="268"/>
      <c r="B143" s="269"/>
      <c r="C143" s="269"/>
      <c r="D143" s="269"/>
      <c r="E143" s="270"/>
      <c r="F143" s="263"/>
    </row>
    <row r="144" spans="1:6" ht="15" customHeight="1">
      <c r="A144" s="271"/>
      <c r="B144" s="272" t="s">
        <v>1675</v>
      </c>
      <c r="C144" s="272"/>
      <c r="D144" s="272"/>
      <c r="E144" s="273"/>
      <c r="F144" s="274">
        <f>E36+E48+E74+E85</f>
        <v>0.73668159999999994</v>
      </c>
    </row>
    <row r="145" spans="1:6" ht="15" customHeight="1">
      <c r="A145" s="271"/>
      <c r="B145" s="272"/>
      <c r="C145" s="272"/>
      <c r="D145" s="272"/>
      <c r="E145" s="273"/>
      <c r="F145" s="275"/>
    </row>
    <row r="146" spans="1:6" ht="15" customHeight="1">
      <c r="A146" s="276" t="s">
        <v>1676</v>
      </c>
      <c r="B146" s="277" t="s">
        <v>1677</v>
      </c>
      <c r="C146" s="278"/>
      <c r="D146" s="272"/>
      <c r="E146" s="279">
        <f>E108</f>
        <v>1.6E-2</v>
      </c>
      <c r="F146" s="263"/>
    </row>
    <row r="147" spans="1:6" ht="15" customHeight="1">
      <c r="A147" s="276" t="s">
        <v>1678</v>
      </c>
      <c r="B147" s="277" t="s">
        <v>1679</v>
      </c>
      <c r="C147" s="278"/>
      <c r="D147" s="272"/>
      <c r="E147" s="279">
        <f>E109</f>
        <v>6.4999999999999997E-3</v>
      </c>
      <c r="F147" s="263"/>
    </row>
    <row r="148" spans="1:6" ht="15" customHeight="1" thickBot="1">
      <c r="A148" s="280" t="s">
        <v>1680</v>
      </c>
      <c r="B148" s="281" t="s">
        <v>1681</v>
      </c>
      <c r="C148" s="282"/>
      <c r="D148" s="283"/>
      <c r="E148" s="284">
        <f>E110</f>
        <v>8.6499999999999994E-2</v>
      </c>
      <c r="F148" s="285"/>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E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rintOptions horizontalCentered="1"/>
  <pageMargins left="0.19685039370078741" right="0.19685039370078741" top="1.5748031496062993" bottom="1.1811023622047245"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69A4C-86F8-4C70-9B0F-692105FB9A73}">
  <sheetPr>
    <tabColor rgb="FF00B0F0"/>
  </sheetPr>
  <dimension ref="A1:F149"/>
  <sheetViews>
    <sheetView workbookViewId="0">
      <selection activeCell="F102" sqref="F102"/>
    </sheetView>
  </sheetViews>
  <sheetFormatPr defaultRowHeight="15"/>
  <cols>
    <col min="1" max="1" width="5.7109375" customWidth="1"/>
    <col min="2" max="2" width="23.7109375" customWidth="1"/>
    <col min="3" max="3" width="14.7109375" customWidth="1"/>
    <col min="4" max="4" width="23.7109375" customWidth="1"/>
    <col min="5" max="5" width="17.7109375" customWidth="1"/>
    <col min="6" max="6" width="24.7109375" customWidth="1"/>
  </cols>
  <sheetData>
    <row r="1" spans="1:6">
      <c r="A1" s="978" t="s">
        <v>1550</v>
      </c>
      <c r="B1" s="978"/>
      <c r="C1" s="978"/>
      <c r="D1" s="978"/>
      <c r="E1" s="978"/>
      <c r="F1" s="978"/>
    </row>
    <row r="2" spans="1:6">
      <c r="A2" s="979" t="s">
        <v>1770</v>
      </c>
      <c r="B2" s="979"/>
      <c r="C2" s="979"/>
      <c r="D2" s="979"/>
      <c r="E2" s="979"/>
      <c r="F2" s="979"/>
    </row>
    <row r="3" spans="1:6">
      <c r="A3" s="979" t="s">
        <v>1551</v>
      </c>
      <c r="B3" s="979"/>
      <c r="C3" s="979"/>
      <c r="D3" s="979"/>
      <c r="E3" s="979"/>
      <c r="F3" s="979"/>
    </row>
    <row r="4" spans="1:6">
      <c r="A4" s="974"/>
      <c r="B4" s="974"/>
      <c r="C4" s="974"/>
      <c r="D4" s="974"/>
      <c r="E4" s="974"/>
      <c r="F4" s="974"/>
    </row>
    <row r="5" spans="1:6">
      <c r="A5" s="974" t="s">
        <v>1552</v>
      </c>
      <c r="B5" s="974"/>
      <c r="C5" s="974"/>
      <c r="D5" s="974"/>
      <c r="E5" s="974"/>
      <c r="F5" s="974"/>
    </row>
    <row r="6" spans="1:6">
      <c r="A6" s="960" t="s">
        <v>1553</v>
      </c>
      <c r="B6" s="960"/>
      <c r="C6" s="960"/>
      <c r="D6" s="960"/>
      <c r="E6" s="960"/>
      <c r="F6" s="960"/>
    </row>
    <row r="7" spans="1:6">
      <c r="A7" s="208" t="s">
        <v>1554</v>
      </c>
      <c r="B7" s="972" t="s">
        <v>1555</v>
      </c>
      <c r="C7" s="972"/>
      <c r="D7" s="972"/>
      <c r="E7" s="973">
        <v>45530</v>
      </c>
      <c r="F7" s="973"/>
    </row>
    <row r="8" spans="1:6">
      <c r="A8" s="208" t="s">
        <v>1556</v>
      </c>
      <c r="B8" s="972" t="s">
        <v>1557</v>
      </c>
      <c r="C8" s="972"/>
      <c r="D8" s="972"/>
      <c r="E8" s="974" t="s">
        <v>1558</v>
      </c>
      <c r="F8" s="974"/>
    </row>
    <row r="9" spans="1:6">
      <c r="A9" s="208" t="s">
        <v>1559</v>
      </c>
      <c r="B9" s="975" t="s">
        <v>1560</v>
      </c>
      <c r="C9" s="975"/>
      <c r="D9" s="975"/>
      <c r="E9" s="976" t="str">
        <f>'[2]Vigia 12x36h Noite'!E9:F9</f>
        <v>SINDESV/SINDESP - DF/DF000333/2024</v>
      </c>
      <c r="F9" s="977"/>
    </row>
    <row r="10" spans="1:6">
      <c r="A10" s="208" t="s">
        <v>1562</v>
      </c>
      <c r="B10" s="972" t="s">
        <v>1563</v>
      </c>
      <c r="C10" s="972"/>
      <c r="D10" s="972"/>
      <c r="E10" s="974" t="s">
        <v>1564</v>
      </c>
      <c r="F10" s="974"/>
    </row>
    <row r="11" spans="1:6">
      <c r="A11" s="964"/>
      <c r="B11" s="965"/>
      <c r="C11" s="965"/>
      <c r="D11" s="965"/>
      <c r="E11" s="965"/>
      <c r="F11" s="966"/>
    </row>
    <row r="12" spans="1:6">
      <c r="A12" s="960" t="s">
        <v>1565</v>
      </c>
      <c r="B12" s="960"/>
      <c r="C12" s="960"/>
      <c r="D12" s="960"/>
      <c r="E12" s="960"/>
      <c r="F12" s="960"/>
    </row>
    <row r="13" spans="1:6">
      <c r="A13" s="209">
        <v>1</v>
      </c>
      <c r="B13" s="982" t="s">
        <v>1566</v>
      </c>
      <c r="C13" s="982"/>
      <c r="D13" s="982"/>
      <c r="E13" s="971" t="s">
        <v>1771</v>
      </c>
      <c r="F13" s="971"/>
    </row>
    <row r="14" spans="1:6">
      <c r="A14" s="209">
        <v>2</v>
      </c>
      <c r="B14" s="982" t="s">
        <v>1568</v>
      </c>
      <c r="C14" s="982"/>
      <c r="D14" s="982"/>
      <c r="E14" s="968" t="s">
        <v>1766</v>
      </c>
      <c r="F14" s="968"/>
    </row>
    <row r="15" spans="1:6">
      <c r="A15" s="209">
        <v>3</v>
      </c>
      <c r="B15" s="980" t="s">
        <v>1570</v>
      </c>
      <c r="C15" s="980"/>
      <c r="D15" s="980"/>
      <c r="E15" s="969">
        <v>2723.41</v>
      </c>
      <c r="F15" s="969"/>
    </row>
    <row r="16" spans="1:6" ht="50.1" customHeight="1">
      <c r="A16" s="209">
        <v>4</v>
      </c>
      <c r="B16" s="982" t="s">
        <v>1571</v>
      </c>
      <c r="C16" s="982"/>
      <c r="D16" s="982"/>
      <c r="E16" s="970" t="s">
        <v>1781</v>
      </c>
      <c r="F16" s="970"/>
    </row>
    <row r="17" spans="1:6">
      <c r="A17" s="209">
        <v>5</v>
      </c>
      <c r="B17" s="980" t="s">
        <v>1573</v>
      </c>
      <c r="C17" s="980"/>
      <c r="D17" s="980"/>
      <c r="E17" s="963">
        <v>45658</v>
      </c>
      <c r="F17" s="981"/>
    </row>
    <row r="18" spans="1:6">
      <c r="A18" s="964"/>
      <c r="B18" s="965"/>
      <c r="C18" s="965"/>
      <c r="D18" s="965"/>
      <c r="E18" s="965"/>
      <c r="F18" s="966"/>
    </row>
    <row r="19" spans="1:6">
      <c r="A19" s="960" t="s">
        <v>1574</v>
      </c>
      <c r="B19" s="960"/>
      <c r="C19" s="960"/>
      <c r="D19" s="960"/>
      <c r="E19" s="960"/>
      <c r="F19" s="960"/>
    </row>
    <row r="20" spans="1:6">
      <c r="A20" s="211">
        <v>1</v>
      </c>
      <c r="B20" s="956" t="s">
        <v>1575</v>
      </c>
      <c r="C20" s="957"/>
      <c r="D20" s="957"/>
      <c r="E20" s="958"/>
      <c r="F20" s="211" t="s">
        <v>1576</v>
      </c>
    </row>
    <row r="21" spans="1:6">
      <c r="A21" s="212" t="s">
        <v>1554</v>
      </c>
      <c r="B21" s="953" t="s">
        <v>1577</v>
      </c>
      <c r="C21" s="954"/>
      <c r="D21" s="955"/>
      <c r="E21" s="213">
        <v>1</v>
      </c>
      <c r="F21" s="219"/>
    </row>
    <row r="22" spans="1:6">
      <c r="A22" s="212" t="s">
        <v>1556</v>
      </c>
      <c r="B22" s="953" t="s">
        <v>1578</v>
      </c>
      <c r="C22" s="954"/>
      <c r="D22" s="955"/>
      <c r="E22" s="213">
        <v>0.3</v>
      </c>
      <c r="F22" s="219">
        <f>F21*E22</f>
        <v>0</v>
      </c>
    </row>
    <row r="23" spans="1:6">
      <c r="A23" s="212" t="s">
        <v>1559</v>
      </c>
      <c r="B23" s="953" t="s">
        <v>1579</v>
      </c>
      <c r="C23" s="954"/>
      <c r="D23" s="955"/>
      <c r="E23" s="213">
        <v>0</v>
      </c>
      <c r="F23" s="219"/>
    </row>
    <row r="24" spans="1:6">
      <c r="A24" s="212" t="s">
        <v>1562</v>
      </c>
      <c r="B24" s="953" t="s">
        <v>1580</v>
      </c>
      <c r="C24" s="954"/>
      <c r="D24" s="955"/>
      <c r="E24" s="213">
        <v>0</v>
      </c>
      <c r="F24" s="219">
        <f>SUM(F21,F22)/220*E24*8*13</f>
        <v>0</v>
      </c>
    </row>
    <row r="25" spans="1:6">
      <c r="A25" s="212" t="s">
        <v>1581</v>
      </c>
      <c r="B25" s="953" t="s">
        <v>1582</v>
      </c>
      <c r="C25" s="954"/>
      <c r="D25" s="955"/>
      <c r="E25" s="213">
        <v>0</v>
      </c>
      <c r="F25" s="219"/>
    </row>
    <row r="26" spans="1:6">
      <c r="A26" s="212" t="s">
        <v>1583</v>
      </c>
      <c r="B26" s="953" t="s">
        <v>1584</v>
      </c>
      <c r="C26" s="954"/>
      <c r="D26" s="955"/>
      <c r="E26" s="213">
        <v>0</v>
      </c>
      <c r="F26" s="219"/>
    </row>
    <row r="27" spans="1:6">
      <c r="A27" s="942" t="s">
        <v>15</v>
      </c>
      <c r="B27" s="942"/>
      <c r="C27" s="942"/>
      <c r="D27" s="942"/>
      <c r="E27" s="942"/>
      <c r="F27" s="221">
        <f>SUM(F21:F26)</f>
        <v>0</v>
      </c>
    </row>
    <row r="28" spans="1:6">
      <c r="A28" s="959"/>
      <c r="B28" s="959"/>
      <c r="C28" s="959"/>
      <c r="D28" s="959"/>
      <c r="E28" s="959"/>
      <c r="F28" s="959"/>
    </row>
    <row r="29" spans="1:6">
      <c r="A29" s="960" t="s">
        <v>1585</v>
      </c>
      <c r="B29" s="960"/>
      <c r="C29" s="960"/>
      <c r="D29" s="960"/>
      <c r="E29" s="960"/>
      <c r="F29" s="960"/>
    </row>
    <row r="30" spans="1:6">
      <c r="A30" s="961" t="s">
        <v>1586</v>
      </c>
      <c r="B30" s="961"/>
      <c r="C30" s="961"/>
      <c r="D30" s="961"/>
      <c r="E30" s="961"/>
      <c r="F30" s="961"/>
    </row>
    <row r="31" spans="1:6">
      <c r="A31" s="211" t="s">
        <v>710</v>
      </c>
      <c r="B31" s="949" t="s">
        <v>1587</v>
      </c>
      <c r="C31" s="949"/>
      <c r="D31" s="949"/>
      <c r="E31" s="211" t="s">
        <v>1588</v>
      </c>
      <c r="F31" s="211" t="s">
        <v>1576</v>
      </c>
    </row>
    <row r="32" spans="1:6">
      <c r="A32" s="212" t="s">
        <v>1554</v>
      </c>
      <c r="B32" s="941" t="s">
        <v>1589</v>
      </c>
      <c r="C32" s="941"/>
      <c r="D32" s="941"/>
      <c r="E32" s="218">
        <v>8.3299999999999999E-2</v>
      </c>
      <c r="F32" s="219">
        <f>F27*E32</f>
        <v>0</v>
      </c>
    </row>
    <row r="33" spans="1:6">
      <c r="A33" s="212" t="s">
        <v>1556</v>
      </c>
      <c r="B33" s="941" t="s">
        <v>1590</v>
      </c>
      <c r="C33" s="941"/>
      <c r="D33" s="941"/>
      <c r="E33" s="218">
        <v>0.121</v>
      </c>
      <c r="F33" s="219">
        <f>F27*E33</f>
        <v>0</v>
      </c>
    </row>
    <row r="34" spans="1:6">
      <c r="A34" s="942" t="s">
        <v>1591</v>
      </c>
      <c r="B34" s="942"/>
      <c r="C34" s="942"/>
      <c r="D34" s="942"/>
      <c r="E34" s="220">
        <f>E32+E33</f>
        <v>0.20429999999999998</v>
      </c>
      <c r="F34" s="221">
        <f>SUM(F32:F33)</f>
        <v>0</v>
      </c>
    </row>
    <row r="35" spans="1:6">
      <c r="A35" s="212" t="s">
        <v>1559</v>
      </c>
      <c r="B35" s="941" t="s">
        <v>1592</v>
      </c>
      <c r="C35" s="941"/>
      <c r="D35" s="941"/>
      <c r="E35" s="218">
        <f>E34*E48</f>
        <v>7.5182399999999996E-2</v>
      </c>
      <c r="F35" s="219">
        <f>F34*E48</f>
        <v>0</v>
      </c>
    </row>
    <row r="36" spans="1:6">
      <c r="A36" s="942" t="s">
        <v>15</v>
      </c>
      <c r="B36" s="942"/>
      <c r="C36" s="942"/>
      <c r="D36" s="942"/>
      <c r="E36" s="220">
        <f>E34+E35</f>
        <v>0.27948239999999996</v>
      </c>
      <c r="F36" s="221">
        <f>SUM(F34:F35)</f>
        <v>0</v>
      </c>
    </row>
    <row r="37" spans="1:6">
      <c r="A37" s="943"/>
      <c r="B37" s="944"/>
      <c r="C37" s="944"/>
      <c r="D37" s="944"/>
      <c r="E37" s="944"/>
      <c r="F37" s="945"/>
    </row>
    <row r="38" spans="1:6">
      <c r="A38" s="946" t="s">
        <v>1593</v>
      </c>
      <c r="B38" s="946"/>
      <c r="C38" s="946"/>
      <c r="D38" s="946"/>
      <c r="E38" s="946"/>
      <c r="F38" s="946"/>
    </row>
    <row r="39" spans="1:6">
      <c r="A39" s="211" t="s">
        <v>782</v>
      </c>
      <c r="B39" s="942" t="s">
        <v>1594</v>
      </c>
      <c r="C39" s="942"/>
      <c r="D39" s="942"/>
      <c r="E39" s="211" t="s">
        <v>1588</v>
      </c>
      <c r="F39" s="211" t="s">
        <v>1576</v>
      </c>
    </row>
    <row r="40" spans="1:6">
      <c r="A40" s="212" t="s">
        <v>1554</v>
      </c>
      <c r="B40" s="953" t="s">
        <v>1595</v>
      </c>
      <c r="C40" s="954"/>
      <c r="D40" s="955"/>
      <c r="E40" s="222">
        <v>0.2</v>
      </c>
      <c r="F40" s="223">
        <f t="shared" ref="F40:F47" si="0">$F$27*E40</f>
        <v>0</v>
      </c>
    </row>
    <row r="41" spans="1:6">
      <c r="A41" s="212" t="s">
        <v>1556</v>
      </c>
      <c r="B41" s="953" t="s">
        <v>1596</v>
      </c>
      <c r="C41" s="954"/>
      <c r="D41" s="955"/>
      <c r="E41" s="218">
        <v>2.5000000000000001E-2</v>
      </c>
      <c r="F41" s="219">
        <f t="shared" si="0"/>
        <v>0</v>
      </c>
    </row>
    <row r="42" spans="1:6">
      <c r="A42" s="212" t="s">
        <v>1559</v>
      </c>
      <c r="B42" s="953" t="s">
        <v>1768</v>
      </c>
      <c r="C42" s="954"/>
      <c r="D42" s="955"/>
      <c r="E42" s="224">
        <v>0.03</v>
      </c>
      <c r="F42" s="225">
        <f t="shared" si="0"/>
        <v>0</v>
      </c>
    </row>
    <row r="43" spans="1:6">
      <c r="A43" s="212" t="s">
        <v>1562</v>
      </c>
      <c r="B43" s="953" t="s">
        <v>1598</v>
      </c>
      <c r="C43" s="954"/>
      <c r="D43" s="955"/>
      <c r="E43" s="218">
        <v>1.4999999999999999E-2</v>
      </c>
      <c r="F43" s="219">
        <f t="shared" si="0"/>
        <v>0</v>
      </c>
    </row>
    <row r="44" spans="1:6">
      <c r="A44" s="212" t="s">
        <v>1581</v>
      </c>
      <c r="B44" s="953" t="s">
        <v>1599</v>
      </c>
      <c r="C44" s="954"/>
      <c r="D44" s="955"/>
      <c r="E44" s="218">
        <v>0.01</v>
      </c>
      <c r="F44" s="219">
        <f t="shared" si="0"/>
        <v>0</v>
      </c>
    </row>
    <row r="45" spans="1:6">
      <c r="A45" s="212" t="s">
        <v>1583</v>
      </c>
      <c r="B45" s="953" t="s">
        <v>1600</v>
      </c>
      <c r="C45" s="954"/>
      <c r="D45" s="955"/>
      <c r="E45" s="218">
        <v>6.0000000000000001E-3</v>
      </c>
      <c r="F45" s="219">
        <f t="shared" si="0"/>
        <v>0</v>
      </c>
    </row>
    <row r="46" spans="1:6">
      <c r="A46" s="212" t="s">
        <v>1601</v>
      </c>
      <c r="B46" s="953" t="s">
        <v>1602</v>
      </c>
      <c r="C46" s="954"/>
      <c r="D46" s="955"/>
      <c r="E46" s="218">
        <v>2E-3</v>
      </c>
      <c r="F46" s="219">
        <f t="shared" si="0"/>
        <v>0</v>
      </c>
    </row>
    <row r="47" spans="1:6">
      <c r="A47" s="212" t="s">
        <v>1603</v>
      </c>
      <c r="B47" s="953" t="s">
        <v>1604</v>
      </c>
      <c r="C47" s="954"/>
      <c r="D47" s="955"/>
      <c r="E47" s="218">
        <v>0.08</v>
      </c>
      <c r="F47" s="219">
        <f t="shared" si="0"/>
        <v>0</v>
      </c>
    </row>
    <row r="48" spans="1:6">
      <c r="A48" s="956" t="s">
        <v>1605</v>
      </c>
      <c r="B48" s="957"/>
      <c r="C48" s="957"/>
      <c r="D48" s="958"/>
      <c r="E48" s="220">
        <f>SUM(E40:E47)</f>
        <v>0.36800000000000005</v>
      </c>
      <c r="F48" s="221">
        <f>SUM(F40:F47)</f>
        <v>0</v>
      </c>
    </row>
    <row r="49" spans="1:6">
      <c r="A49" s="943"/>
      <c r="B49" s="944"/>
      <c r="C49" s="944"/>
      <c r="D49" s="944"/>
      <c r="E49" s="944"/>
      <c r="F49" s="945"/>
    </row>
    <row r="50" spans="1:6">
      <c r="A50" s="946" t="s">
        <v>1606</v>
      </c>
      <c r="B50" s="946"/>
      <c r="C50" s="946"/>
      <c r="D50" s="946"/>
      <c r="E50" s="946"/>
      <c r="F50" s="946"/>
    </row>
    <row r="51" spans="1:6">
      <c r="A51" s="211" t="s">
        <v>789</v>
      </c>
      <c r="B51" s="942" t="s">
        <v>1607</v>
      </c>
      <c r="C51" s="942"/>
      <c r="D51" s="942"/>
      <c r="E51" s="942"/>
      <c r="F51" s="211" t="s">
        <v>1576</v>
      </c>
    </row>
    <row r="52" spans="1:6">
      <c r="A52" s="212" t="s">
        <v>1554</v>
      </c>
      <c r="B52" s="951" t="s">
        <v>1608</v>
      </c>
      <c r="C52" s="951"/>
      <c r="D52" s="951"/>
      <c r="E52" s="951"/>
      <c r="F52" s="226"/>
    </row>
    <row r="53" spans="1:6">
      <c r="A53" s="212" t="s">
        <v>1556</v>
      </c>
      <c r="B53" s="952" t="s">
        <v>1769</v>
      </c>
      <c r="C53" s="952"/>
      <c r="D53" s="952"/>
      <c r="E53" s="952"/>
      <c r="F53" s="228"/>
    </row>
    <row r="54" spans="1:6">
      <c r="A54" s="212" t="s">
        <v>1610</v>
      </c>
      <c r="B54" s="941" t="s">
        <v>1683</v>
      </c>
      <c r="C54" s="941"/>
      <c r="D54" s="941"/>
      <c r="E54" s="941"/>
      <c r="F54" s="229"/>
    </row>
    <row r="55" spans="1:6">
      <c r="A55" s="212" t="s">
        <v>1612</v>
      </c>
      <c r="B55" s="949" t="s">
        <v>1613</v>
      </c>
      <c r="C55" s="949"/>
      <c r="D55" s="949"/>
      <c r="E55" s="949"/>
      <c r="F55" s="221">
        <f>SUM(F53:F54)</f>
        <v>0</v>
      </c>
    </row>
    <row r="56" spans="1:6">
      <c r="A56" s="212" t="s">
        <v>1559</v>
      </c>
      <c r="B56" s="952" t="s">
        <v>1614</v>
      </c>
      <c r="C56" s="952"/>
      <c r="D56" s="952"/>
      <c r="E56" s="952"/>
      <c r="F56" s="228"/>
    </row>
    <row r="57" spans="1:6">
      <c r="A57" s="212" t="s">
        <v>1562</v>
      </c>
      <c r="B57" s="952" t="s">
        <v>1615</v>
      </c>
      <c r="C57" s="952"/>
      <c r="D57" s="952"/>
      <c r="E57" s="952"/>
      <c r="F57" s="228"/>
    </row>
    <row r="58" spans="1:6">
      <c r="A58" s="942" t="s">
        <v>15</v>
      </c>
      <c r="B58" s="942"/>
      <c r="C58" s="942"/>
      <c r="D58" s="942"/>
      <c r="E58" s="942"/>
      <c r="F58" s="221">
        <f>F55+F56+F57+F52</f>
        <v>0</v>
      </c>
    </row>
    <row r="59" spans="1:6">
      <c r="A59" s="946" t="s">
        <v>1616</v>
      </c>
      <c r="B59" s="946"/>
      <c r="C59" s="946"/>
      <c r="D59" s="946"/>
      <c r="E59" s="946"/>
      <c r="F59" s="946"/>
    </row>
    <row r="60" spans="1:6">
      <c r="A60" s="211">
        <v>2</v>
      </c>
      <c r="B60" s="942" t="s">
        <v>1617</v>
      </c>
      <c r="C60" s="942"/>
      <c r="D60" s="942"/>
      <c r="E60" s="942"/>
      <c r="F60" s="211" t="s">
        <v>1576</v>
      </c>
    </row>
    <row r="61" spans="1:6">
      <c r="A61" s="212" t="s">
        <v>710</v>
      </c>
      <c r="B61" s="941" t="s">
        <v>1587</v>
      </c>
      <c r="C61" s="941"/>
      <c r="D61" s="941"/>
      <c r="E61" s="941"/>
      <c r="F61" s="219">
        <f>F36</f>
        <v>0</v>
      </c>
    </row>
    <row r="62" spans="1:6">
      <c r="A62" s="212" t="s">
        <v>782</v>
      </c>
      <c r="B62" s="941" t="s">
        <v>1594</v>
      </c>
      <c r="C62" s="941"/>
      <c r="D62" s="941"/>
      <c r="E62" s="941"/>
      <c r="F62" s="219">
        <f>F48</f>
        <v>0</v>
      </c>
    </row>
    <row r="63" spans="1:6">
      <c r="A63" s="212" t="s">
        <v>789</v>
      </c>
      <c r="B63" s="941" t="s">
        <v>1607</v>
      </c>
      <c r="C63" s="941"/>
      <c r="D63" s="941"/>
      <c r="E63" s="941"/>
      <c r="F63" s="219">
        <f>F58</f>
        <v>0</v>
      </c>
    </row>
    <row r="64" spans="1:6">
      <c r="A64" s="942" t="s">
        <v>15</v>
      </c>
      <c r="B64" s="942"/>
      <c r="C64" s="942"/>
      <c r="D64" s="942"/>
      <c r="E64" s="942"/>
      <c r="F64" s="221">
        <f>SUM(F61:F63)</f>
        <v>0</v>
      </c>
    </row>
    <row r="65" spans="1:6">
      <c r="A65" s="943"/>
      <c r="B65" s="944"/>
      <c r="C65" s="944"/>
      <c r="D65" s="944"/>
      <c r="E65" s="944"/>
      <c r="F65" s="945"/>
    </row>
    <row r="66" spans="1:6">
      <c r="A66" s="946" t="s">
        <v>1618</v>
      </c>
      <c r="B66" s="946"/>
      <c r="C66" s="946"/>
      <c r="D66" s="946"/>
      <c r="E66" s="946"/>
      <c r="F66" s="946"/>
    </row>
    <row r="67" spans="1:6">
      <c r="A67" s="211">
        <v>3</v>
      </c>
      <c r="B67" s="942" t="s">
        <v>1619</v>
      </c>
      <c r="C67" s="942"/>
      <c r="D67" s="942"/>
      <c r="E67" s="211" t="s">
        <v>1588</v>
      </c>
      <c r="F67" s="211" t="s">
        <v>1576</v>
      </c>
    </row>
    <row r="68" spans="1:6">
      <c r="A68" s="212" t="s">
        <v>1554</v>
      </c>
      <c r="B68" s="941" t="s">
        <v>1620</v>
      </c>
      <c r="C68" s="941"/>
      <c r="D68" s="941"/>
      <c r="E68" s="232">
        <v>1.8100000000000002E-2</v>
      </c>
      <c r="F68" s="219">
        <f>$F$27*E68</f>
        <v>0</v>
      </c>
    </row>
    <row r="69" spans="1:6">
      <c r="A69" s="212" t="s">
        <v>1556</v>
      </c>
      <c r="B69" s="941" t="s">
        <v>1621</v>
      </c>
      <c r="C69" s="941"/>
      <c r="D69" s="941"/>
      <c r="E69" s="232">
        <f>E47*E68</f>
        <v>1.4480000000000001E-3</v>
      </c>
      <c r="F69" s="219">
        <f>$F$27*(E68*8%)</f>
        <v>0</v>
      </c>
    </row>
    <row r="70" spans="1:6">
      <c r="A70" s="212" t="s">
        <v>1559</v>
      </c>
      <c r="B70" s="941" t="s">
        <v>1684</v>
      </c>
      <c r="C70" s="941"/>
      <c r="D70" s="941"/>
      <c r="E70" s="233">
        <v>3.4000000000000002E-2</v>
      </c>
      <c r="F70" s="219">
        <f>$F$27*E70</f>
        <v>0</v>
      </c>
    </row>
    <row r="71" spans="1:6">
      <c r="A71" s="212" t="s">
        <v>1562</v>
      </c>
      <c r="B71" s="941" t="s">
        <v>1623</v>
      </c>
      <c r="C71" s="941"/>
      <c r="D71" s="941"/>
      <c r="E71" s="234">
        <v>2.8999999999999998E-3</v>
      </c>
      <c r="F71" s="219">
        <f>$F$27*E71</f>
        <v>0</v>
      </c>
    </row>
    <row r="72" spans="1:6">
      <c r="A72" s="212" t="s">
        <v>1581</v>
      </c>
      <c r="B72" s="941" t="s">
        <v>1624</v>
      </c>
      <c r="C72" s="941"/>
      <c r="D72" s="941"/>
      <c r="E72" s="232">
        <v>1.1000000000000001E-3</v>
      </c>
      <c r="F72" s="219">
        <f>E48*F71</f>
        <v>0</v>
      </c>
    </row>
    <row r="73" spans="1:6">
      <c r="A73" s="212" t="s">
        <v>1583</v>
      </c>
      <c r="B73" s="941" t="s">
        <v>1625</v>
      </c>
      <c r="C73" s="941"/>
      <c r="D73" s="941"/>
      <c r="E73" s="232">
        <v>6.0000000000000001E-3</v>
      </c>
      <c r="F73" s="219">
        <f>$F$27*E73</f>
        <v>0</v>
      </c>
    </row>
    <row r="74" spans="1:6">
      <c r="A74" s="942" t="s">
        <v>15</v>
      </c>
      <c r="B74" s="942"/>
      <c r="C74" s="942"/>
      <c r="D74" s="942"/>
      <c r="E74" s="235">
        <f>E68+E69+E70+E71+E72+E73</f>
        <v>6.3548000000000007E-2</v>
      </c>
      <c r="F74" s="221">
        <f>SUM(F68:F73)</f>
        <v>0</v>
      </c>
    </row>
    <row r="75" spans="1:6">
      <c r="A75" s="943"/>
      <c r="B75" s="944"/>
      <c r="C75" s="944"/>
      <c r="D75" s="944"/>
      <c r="E75" s="944"/>
      <c r="F75" s="945"/>
    </row>
    <row r="76" spans="1:6">
      <c r="A76" s="946" t="s">
        <v>1626</v>
      </c>
      <c r="B76" s="946"/>
      <c r="C76" s="946"/>
      <c r="D76" s="946"/>
      <c r="E76" s="946"/>
      <c r="F76" s="946"/>
    </row>
    <row r="77" spans="1:6">
      <c r="A77" s="946" t="s">
        <v>1627</v>
      </c>
      <c r="B77" s="946"/>
      <c r="C77" s="946"/>
      <c r="D77" s="946"/>
      <c r="E77" s="946"/>
      <c r="F77" s="946"/>
    </row>
    <row r="78" spans="1:6">
      <c r="A78" s="211" t="s">
        <v>1292</v>
      </c>
      <c r="B78" s="942" t="s">
        <v>1628</v>
      </c>
      <c r="C78" s="942"/>
      <c r="D78" s="942"/>
      <c r="E78" s="211" t="s">
        <v>1588</v>
      </c>
      <c r="F78" s="211" t="s">
        <v>1576</v>
      </c>
    </row>
    <row r="79" spans="1:6">
      <c r="A79" s="212" t="s">
        <v>1554</v>
      </c>
      <c r="B79" s="941" t="s">
        <v>1629</v>
      </c>
      <c r="C79" s="941"/>
      <c r="D79" s="941"/>
      <c r="E79" s="232">
        <v>9.4999999999999998E-3</v>
      </c>
      <c r="F79" s="219">
        <f>SUM(F$27*E79)</f>
        <v>0</v>
      </c>
    </row>
    <row r="80" spans="1:6">
      <c r="A80" s="212" t="s">
        <v>1556</v>
      </c>
      <c r="B80" s="941" t="s">
        <v>1630</v>
      </c>
      <c r="C80" s="941"/>
      <c r="D80" s="941"/>
      <c r="E80" s="234">
        <v>3.8800000000000001E-2</v>
      </c>
      <c r="F80" s="219">
        <f>$F$27*E80</f>
        <v>0</v>
      </c>
    </row>
    <row r="81" spans="1:6">
      <c r="A81" s="212" t="s">
        <v>1559</v>
      </c>
      <c r="B81" s="941" t="s">
        <v>1631</v>
      </c>
      <c r="C81" s="941"/>
      <c r="D81" s="941"/>
      <c r="E81" s="232">
        <v>1E-3</v>
      </c>
      <c r="F81" s="219">
        <f>$F$27*E81</f>
        <v>0</v>
      </c>
    </row>
    <row r="82" spans="1:6">
      <c r="A82" s="212" t="s">
        <v>1562</v>
      </c>
      <c r="B82" s="941" t="s">
        <v>1632</v>
      </c>
      <c r="C82" s="941"/>
      <c r="D82" s="941"/>
      <c r="E82" s="232">
        <v>4.1999999999999997E-3</v>
      </c>
      <c r="F82" s="219">
        <f>$F$27*E82</f>
        <v>0</v>
      </c>
    </row>
    <row r="83" spans="1:6">
      <c r="A83" s="212" t="s">
        <v>1581</v>
      </c>
      <c r="B83" s="941" t="s">
        <v>1633</v>
      </c>
      <c r="C83" s="941"/>
      <c r="D83" s="941"/>
      <c r="E83" s="232">
        <v>2.0000000000000001E-4</v>
      </c>
      <c r="F83" s="219">
        <f>$F$27*E83</f>
        <v>0</v>
      </c>
    </row>
    <row r="84" spans="1:6">
      <c r="A84" s="212" t="s">
        <v>1583</v>
      </c>
      <c r="B84" s="941" t="s">
        <v>1634</v>
      </c>
      <c r="C84" s="941"/>
      <c r="D84" s="941"/>
      <c r="E84" s="232">
        <v>9.4899999999999998E-2</v>
      </c>
      <c r="F84" s="219">
        <f>$F$27*E84</f>
        <v>0</v>
      </c>
    </row>
    <row r="85" spans="1:6">
      <c r="A85" s="942" t="s">
        <v>1605</v>
      </c>
      <c r="B85" s="942"/>
      <c r="C85" s="942"/>
      <c r="D85" s="942"/>
      <c r="E85" s="235">
        <f>SUM(E79:E84)</f>
        <v>0.14860000000000001</v>
      </c>
      <c r="F85" s="221">
        <f>SUM(F79:F84)</f>
        <v>0</v>
      </c>
    </row>
    <row r="86" spans="1:6">
      <c r="A86" s="943"/>
      <c r="B86" s="944"/>
      <c r="C86" s="944"/>
      <c r="D86" s="944"/>
      <c r="E86" s="944"/>
      <c r="F86" s="945"/>
    </row>
    <row r="87" spans="1:6">
      <c r="A87" s="946" t="s">
        <v>1635</v>
      </c>
      <c r="B87" s="946"/>
      <c r="C87" s="946"/>
      <c r="D87" s="946"/>
      <c r="E87" s="946"/>
      <c r="F87" s="946"/>
    </row>
    <row r="88" spans="1:6">
      <c r="A88" s="211" t="s">
        <v>1293</v>
      </c>
      <c r="B88" s="942" t="s">
        <v>1636</v>
      </c>
      <c r="C88" s="942"/>
      <c r="D88" s="942"/>
      <c r="E88" s="942"/>
      <c r="F88" s="211" t="s">
        <v>1576</v>
      </c>
    </row>
    <row r="89" spans="1:6">
      <c r="A89" s="212" t="s">
        <v>1554</v>
      </c>
      <c r="B89" s="941" t="s">
        <v>1637</v>
      </c>
      <c r="C89" s="941"/>
      <c r="D89" s="941"/>
      <c r="E89" s="941"/>
      <c r="F89" s="219">
        <v>0</v>
      </c>
    </row>
    <row r="90" spans="1:6">
      <c r="A90" s="942" t="s">
        <v>15</v>
      </c>
      <c r="B90" s="942"/>
      <c r="C90" s="942"/>
      <c r="D90" s="942"/>
      <c r="E90" s="942"/>
      <c r="F90" s="219">
        <f>SUM(F89)</f>
        <v>0</v>
      </c>
    </row>
    <row r="91" spans="1:6">
      <c r="A91" s="943"/>
      <c r="B91" s="944"/>
      <c r="C91" s="944"/>
      <c r="D91" s="944"/>
      <c r="E91" s="944"/>
      <c r="F91" s="945"/>
    </row>
    <row r="92" spans="1:6">
      <c r="A92" s="946" t="s">
        <v>1638</v>
      </c>
      <c r="B92" s="946"/>
      <c r="C92" s="946"/>
      <c r="D92" s="946"/>
      <c r="E92" s="946"/>
      <c r="F92" s="946"/>
    </row>
    <row r="93" spans="1:6">
      <c r="A93" s="211">
        <v>4</v>
      </c>
      <c r="B93" s="942" t="s">
        <v>1639</v>
      </c>
      <c r="C93" s="942"/>
      <c r="D93" s="942"/>
      <c r="E93" s="942"/>
      <c r="F93" s="211" t="s">
        <v>1576</v>
      </c>
    </row>
    <row r="94" spans="1:6">
      <c r="A94" s="212" t="s">
        <v>1292</v>
      </c>
      <c r="B94" s="941" t="s">
        <v>1628</v>
      </c>
      <c r="C94" s="941"/>
      <c r="D94" s="941"/>
      <c r="E94" s="941"/>
      <c r="F94" s="219">
        <f>F85</f>
        <v>0</v>
      </c>
    </row>
    <row r="95" spans="1:6">
      <c r="A95" s="212" t="s">
        <v>1293</v>
      </c>
      <c r="B95" s="941" t="s">
        <v>1636</v>
      </c>
      <c r="C95" s="941"/>
      <c r="D95" s="941"/>
      <c r="E95" s="941"/>
      <c r="F95" s="219">
        <f>F90</f>
        <v>0</v>
      </c>
    </row>
    <row r="96" spans="1:6">
      <c r="A96" s="942" t="s">
        <v>15</v>
      </c>
      <c r="B96" s="942"/>
      <c r="C96" s="942"/>
      <c r="D96" s="942"/>
      <c r="E96" s="942"/>
      <c r="F96" s="219">
        <f>SUM(F94:F95)</f>
        <v>0</v>
      </c>
    </row>
    <row r="97" spans="1:6">
      <c r="A97" s="943"/>
      <c r="B97" s="944"/>
      <c r="C97" s="944"/>
      <c r="D97" s="944"/>
      <c r="E97" s="944"/>
      <c r="F97" s="945"/>
    </row>
    <row r="98" spans="1:6">
      <c r="A98" s="946" t="s">
        <v>1640</v>
      </c>
      <c r="B98" s="946"/>
      <c r="C98" s="946"/>
      <c r="D98" s="946"/>
      <c r="E98" s="946"/>
      <c r="F98" s="946"/>
    </row>
    <row r="99" spans="1:6">
      <c r="A99" s="211">
        <v>5</v>
      </c>
      <c r="B99" s="942" t="s">
        <v>1641</v>
      </c>
      <c r="C99" s="942"/>
      <c r="D99" s="942"/>
      <c r="E99" s="942"/>
      <c r="F99" s="211" t="s">
        <v>1576</v>
      </c>
    </row>
    <row r="100" spans="1:6">
      <c r="A100" s="212" t="s">
        <v>1554</v>
      </c>
      <c r="B100" s="941" t="s">
        <v>1642</v>
      </c>
      <c r="C100" s="941"/>
      <c r="D100" s="941"/>
      <c r="E100" s="941"/>
      <c r="F100" s="223"/>
    </row>
    <row r="101" spans="1:6">
      <c r="A101" s="212" t="s">
        <v>1556</v>
      </c>
      <c r="B101" s="941" t="s">
        <v>1643</v>
      </c>
      <c r="C101" s="941"/>
      <c r="D101" s="941"/>
      <c r="E101" s="941"/>
      <c r="F101" s="223"/>
    </row>
    <row r="102" spans="1:6">
      <c r="A102" s="212" t="s">
        <v>1559</v>
      </c>
      <c r="B102" s="941" t="s">
        <v>1644</v>
      </c>
      <c r="C102" s="941"/>
      <c r="D102" s="941"/>
      <c r="E102" s="941"/>
      <c r="F102" s="223"/>
    </row>
    <row r="103" spans="1:6">
      <c r="A103" s="212" t="s">
        <v>1562</v>
      </c>
      <c r="B103" s="941" t="s">
        <v>1584</v>
      </c>
      <c r="C103" s="941"/>
      <c r="D103" s="941"/>
      <c r="E103" s="941"/>
      <c r="F103" s="219">
        <v>0</v>
      </c>
    </row>
    <row r="104" spans="1:6">
      <c r="A104" s="942" t="s">
        <v>1605</v>
      </c>
      <c r="B104" s="942"/>
      <c r="C104" s="942"/>
      <c r="D104" s="942"/>
      <c r="E104" s="942"/>
      <c r="F104" s="221">
        <f>SUM(F100:F103)</f>
        <v>0</v>
      </c>
    </row>
    <row r="105" spans="1:6">
      <c r="A105" s="943"/>
      <c r="B105" s="944"/>
      <c r="C105" s="944"/>
      <c r="D105" s="944"/>
      <c r="E105" s="944"/>
      <c r="F105" s="945"/>
    </row>
    <row r="106" spans="1:6">
      <c r="A106" s="946" t="s">
        <v>1645</v>
      </c>
      <c r="B106" s="946"/>
      <c r="C106" s="946"/>
      <c r="D106" s="946"/>
      <c r="E106" s="946"/>
      <c r="F106" s="946"/>
    </row>
    <row r="107" spans="1:6">
      <c r="A107" s="211">
        <v>6</v>
      </c>
      <c r="B107" s="942" t="s">
        <v>1646</v>
      </c>
      <c r="C107" s="942"/>
      <c r="D107" s="942"/>
      <c r="E107" s="211" t="s">
        <v>1588</v>
      </c>
      <c r="F107" s="211" t="s">
        <v>1576</v>
      </c>
    </row>
    <row r="108" spans="1:6">
      <c r="A108" s="212" t="s">
        <v>1554</v>
      </c>
      <c r="B108" s="941" t="s">
        <v>1647</v>
      </c>
      <c r="C108" s="941"/>
      <c r="D108" s="941"/>
      <c r="E108" s="236">
        <v>2.3222E-2</v>
      </c>
      <c r="F108" s="219">
        <f>(F104+F96+F74+F64+F27)*E108</f>
        <v>0</v>
      </c>
    </row>
    <row r="109" spans="1:6">
      <c r="A109" s="212" t="s">
        <v>1556</v>
      </c>
      <c r="B109" s="941" t="s">
        <v>1648</v>
      </c>
      <c r="C109" s="941"/>
      <c r="D109" s="941"/>
      <c r="E109" s="236">
        <f>E108</f>
        <v>2.3222E-2</v>
      </c>
      <c r="F109" s="219">
        <f>(F104+F96+F74+F64+F27+F108)*E109</f>
        <v>0</v>
      </c>
    </row>
    <row r="110" spans="1:6">
      <c r="A110" s="237" t="s">
        <v>1559</v>
      </c>
      <c r="B110" s="950" t="s">
        <v>1649</v>
      </c>
      <c r="C110" s="950"/>
      <c r="D110" s="950"/>
      <c r="E110" s="238">
        <f>SUM(E111:E113)</f>
        <v>0.13150000000000001</v>
      </c>
      <c r="F110" s="239"/>
    </row>
    <row r="111" spans="1:6">
      <c r="A111" s="212"/>
      <c r="B111" s="941" t="s">
        <v>1650</v>
      </c>
      <c r="C111" s="941"/>
      <c r="D111" s="941"/>
      <c r="E111" s="218">
        <f>0.65%+3%</f>
        <v>3.6499999999999998E-2</v>
      </c>
      <c r="F111" s="219">
        <f>((F104+F96+F74+F64+F27+F108+F109)/(1-E110)*E111)</f>
        <v>0</v>
      </c>
    </row>
    <row r="112" spans="1:6">
      <c r="A112" s="212"/>
      <c r="B112" s="941" t="s">
        <v>1651</v>
      </c>
      <c r="C112" s="941"/>
      <c r="D112" s="941"/>
      <c r="E112" s="218">
        <v>4.4999999999999998E-2</v>
      </c>
      <c r="F112" s="219">
        <f>((F104+F96+F74+F64+F27+F108+F109)/(1-E110)*E112)</f>
        <v>0</v>
      </c>
    </row>
    <row r="113" spans="1:6">
      <c r="A113" s="212"/>
      <c r="B113" s="941" t="s">
        <v>1652</v>
      </c>
      <c r="C113" s="941"/>
      <c r="D113" s="941"/>
      <c r="E113" s="218">
        <v>0.05</v>
      </c>
      <c r="F113" s="219">
        <f>((F104+F96+F74+F64+F27+F108+F109)/(1-E110)*E113)</f>
        <v>0</v>
      </c>
    </row>
    <row r="114" spans="1:6">
      <c r="A114" s="942" t="s">
        <v>1605</v>
      </c>
      <c r="B114" s="942"/>
      <c r="C114" s="942"/>
      <c r="D114" s="942"/>
      <c r="E114" s="220">
        <f>SUM(E108:E110)</f>
        <v>0.17794399999999999</v>
      </c>
      <c r="F114" s="221">
        <f>SUM(F108:F113)</f>
        <v>0</v>
      </c>
    </row>
    <row r="115" spans="1:6">
      <c r="A115" s="943"/>
      <c r="B115" s="944"/>
      <c r="C115" s="944"/>
      <c r="D115" s="944"/>
      <c r="E115" s="944"/>
      <c r="F115" s="945"/>
    </row>
    <row r="116" spans="1:6">
      <c r="A116" s="946" t="s">
        <v>1653</v>
      </c>
      <c r="B116" s="946"/>
      <c r="C116" s="946"/>
      <c r="D116" s="946"/>
      <c r="E116" s="946"/>
      <c r="F116" s="946"/>
    </row>
    <row r="117" spans="1:6">
      <c r="A117" s="942" t="s">
        <v>1654</v>
      </c>
      <c r="B117" s="942"/>
      <c r="C117" s="942"/>
      <c r="D117" s="942"/>
      <c r="E117" s="942"/>
      <c r="F117" s="287" t="s">
        <v>1576</v>
      </c>
    </row>
    <row r="118" spans="1:6">
      <c r="A118" s="211" t="s">
        <v>1554</v>
      </c>
      <c r="B118" s="941" t="s">
        <v>1574</v>
      </c>
      <c r="C118" s="941"/>
      <c r="D118" s="941"/>
      <c r="E118" s="941"/>
      <c r="F118" s="214">
        <f>F27</f>
        <v>0</v>
      </c>
    </row>
    <row r="119" spans="1:6">
      <c r="A119" s="211" t="s">
        <v>1556</v>
      </c>
      <c r="B119" s="941" t="s">
        <v>1585</v>
      </c>
      <c r="C119" s="941"/>
      <c r="D119" s="941"/>
      <c r="E119" s="941"/>
      <c r="F119" s="214">
        <f>F64</f>
        <v>0</v>
      </c>
    </row>
    <row r="120" spans="1:6">
      <c r="A120" s="211" t="s">
        <v>1559</v>
      </c>
      <c r="B120" s="941" t="s">
        <v>1618</v>
      </c>
      <c r="C120" s="941"/>
      <c r="D120" s="941"/>
      <c r="E120" s="941"/>
      <c r="F120" s="214">
        <f>F74</f>
        <v>0</v>
      </c>
    </row>
    <row r="121" spans="1:6">
      <c r="A121" s="211" t="s">
        <v>1562</v>
      </c>
      <c r="B121" s="941" t="s">
        <v>1626</v>
      </c>
      <c r="C121" s="941"/>
      <c r="D121" s="941"/>
      <c r="E121" s="941"/>
      <c r="F121" s="214">
        <f>F96</f>
        <v>0</v>
      </c>
    </row>
    <row r="122" spans="1:6">
      <c r="A122" s="211" t="s">
        <v>1581</v>
      </c>
      <c r="B122" s="941" t="s">
        <v>1640</v>
      </c>
      <c r="C122" s="941"/>
      <c r="D122" s="941"/>
      <c r="E122" s="941"/>
      <c r="F122" s="214">
        <f>F104</f>
        <v>0</v>
      </c>
    </row>
    <row r="123" spans="1:6">
      <c r="A123" s="942" t="s">
        <v>1655</v>
      </c>
      <c r="B123" s="942"/>
      <c r="C123" s="942"/>
      <c r="D123" s="942"/>
      <c r="E123" s="942"/>
      <c r="F123" s="217">
        <f>SUM(F118:F122)</f>
        <v>0</v>
      </c>
    </row>
    <row r="124" spans="1:6">
      <c r="A124" s="211" t="s">
        <v>1583</v>
      </c>
      <c r="B124" s="941" t="s">
        <v>1656</v>
      </c>
      <c r="C124" s="941"/>
      <c r="D124" s="941"/>
      <c r="E124" s="941"/>
      <c r="F124" s="214">
        <f>F114</f>
        <v>0</v>
      </c>
    </row>
    <row r="125" spans="1:6">
      <c r="A125" s="942" t="s">
        <v>1657</v>
      </c>
      <c r="B125" s="942"/>
      <c r="C125" s="942"/>
      <c r="D125" s="942"/>
      <c r="E125" s="942"/>
      <c r="F125" s="241">
        <f>SUM(F123:F124)</f>
        <v>0</v>
      </c>
    </row>
    <row r="126" spans="1:6">
      <c r="A126" s="943"/>
      <c r="B126" s="944"/>
      <c r="C126" s="944"/>
      <c r="D126" s="944"/>
      <c r="E126" s="944"/>
      <c r="F126" s="945"/>
    </row>
    <row r="127" spans="1:6">
      <c r="A127" s="946" t="s">
        <v>1658</v>
      </c>
      <c r="B127" s="946"/>
      <c r="C127" s="946"/>
      <c r="D127" s="946"/>
      <c r="E127" s="946"/>
      <c r="F127" s="946"/>
    </row>
    <row r="128" spans="1:6" ht="38.25">
      <c r="A128" s="947" t="s">
        <v>1659</v>
      </c>
      <c r="B128" s="947"/>
      <c r="C128" s="242" t="s">
        <v>1660</v>
      </c>
      <c r="D128" s="242" t="s">
        <v>1661</v>
      </c>
      <c r="E128" s="242" t="s">
        <v>1662</v>
      </c>
      <c r="F128" s="242" t="s">
        <v>1663</v>
      </c>
    </row>
    <row r="129" spans="1:6">
      <c r="A129" s="948" t="str">
        <f>E13</f>
        <v>Vigilância Diurna</v>
      </c>
      <c r="B129" s="948"/>
      <c r="C129" s="243">
        <v>2</v>
      </c>
      <c r="D129" s="244">
        <f>F125*C129</f>
        <v>0</v>
      </c>
      <c r="E129" s="243">
        <v>2</v>
      </c>
      <c r="F129" s="244">
        <f>D129*E129</f>
        <v>0</v>
      </c>
    </row>
    <row r="130" spans="1:6">
      <c r="A130" s="935" t="s">
        <v>1664</v>
      </c>
      <c r="B130" s="935"/>
      <c r="C130" s="935"/>
      <c r="D130" s="935"/>
      <c r="E130" s="935"/>
      <c r="F130" s="245">
        <f>SUM(F129:F129)</f>
        <v>0</v>
      </c>
    </row>
    <row r="131" spans="1:6">
      <c r="A131" s="936"/>
      <c r="B131" s="937"/>
      <c r="C131" s="937"/>
      <c r="D131" s="937"/>
      <c r="E131" s="937"/>
      <c r="F131" s="938"/>
    </row>
    <row r="132" spans="1:6">
      <c r="A132" s="939" t="s">
        <v>1665</v>
      </c>
      <c r="B132" s="939"/>
      <c r="C132" s="939"/>
      <c r="D132" s="939"/>
      <c r="E132" s="939"/>
      <c r="F132" s="939"/>
    </row>
    <row r="133" spans="1:6">
      <c r="A133" s="940" t="s">
        <v>1666</v>
      </c>
      <c r="B133" s="940"/>
      <c r="C133" s="940"/>
      <c r="D133" s="940"/>
      <c r="E133" s="940"/>
      <c r="F133" s="940"/>
    </row>
    <row r="134" spans="1:6">
      <c r="A134" s="940" t="s">
        <v>1</v>
      </c>
      <c r="B134" s="940"/>
      <c r="C134" s="940"/>
      <c r="D134" s="940"/>
      <c r="E134" s="940"/>
      <c r="F134" s="246" t="s">
        <v>1667</v>
      </c>
    </row>
    <row r="135" spans="1:6">
      <c r="A135" s="247" t="s">
        <v>1554</v>
      </c>
      <c r="B135" s="932" t="s">
        <v>1668</v>
      </c>
      <c r="C135" s="932"/>
      <c r="D135" s="932"/>
      <c r="E135" s="932"/>
      <c r="F135" s="248">
        <f>D129</f>
        <v>0</v>
      </c>
    </row>
    <row r="136" spans="1:6">
      <c r="A136" s="247" t="s">
        <v>1556</v>
      </c>
      <c r="B136" s="932" t="s">
        <v>1669</v>
      </c>
      <c r="C136" s="932"/>
      <c r="D136" s="932"/>
      <c r="E136" s="932"/>
      <c r="F136" s="248">
        <f>F130</f>
        <v>0</v>
      </c>
    </row>
    <row r="137" spans="1:6">
      <c r="A137" s="249" t="s">
        <v>1559</v>
      </c>
      <c r="B137" s="933" t="s">
        <v>1670</v>
      </c>
      <c r="C137" s="933"/>
      <c r="D137" s="933"/>
      <c r="E137" s="933"/>
      <c r="F137" s="250">
        <f>F136*12</f>
        <v>0</v>
      </c>
    </row>
    <row r="138" spans="1:6" ht="15.75" thickBot="1">
      <c r="A138" s="934"/>
      <c r="B138" s="934"/>
      <c r="C138" s="934"/>
      <c r="D138" s="934"/>
      <c r="E138" s="934"/>
      <c r="F138" s="934"/>
    </row>
    <row r="139" spans="1:6">
      <c r="A139" s="251"/>
      <c r="B139" s="252"/>
      <c r="C139" s="252"/>
      <c r="D139" s="252"/>
      <c r="E139" s="253"/>
      <c r="F139" s="254" t="s">
        <v>1671</v>
      </c>
    </row>
    <row r="140" spans="1:6">
      <c r="A140" s="255" t="s">
        <v>1672</v>
      </c>
      <c r="B140" s="256" t="s">
        <v>1673</v>
      </c>
      <c r="C140" s="256"/>
      <c r="D140" s="257">
        <v>-1</v>
      </c>
      <c r="E140" s="258">
        <f>(1+E146)*(1+E147)/(1-E148)-1</f>
        <v>0.20550749716062189</v>
      </c>
      <c r="F140" s="259"/>
    </row>
    <row r="141" spans="1:6">
      <c r="A141" s="260"/>
      <c r="B141" s="261" t="s">
        <v>1674</v>
      </c>
      <c r="C141" s="261"/>
      <c r="D141" s="257"/>
      <c r="E141" s="262"/>
      <c r="F141" s="263"/>
    </row>
    <row r="142" spans="1:6" ht="15.75" thickBot="1">
      <c r="A142" s="264"/>
      <c r="B142" s="265"/>
      <c r="C142" s="265"/>
      <c r="D142" s="265"/>
      <c r="E142" s="266"/>
      <c r="F142" s="267"/>
    </row>
    <row r="143" spans="1:6">
      <c r="A143" s="268"/>
      <c r="B143" s="269"/>
      <c r="C143" s="269"/>
      <c r="D143" s="269"/>
      <c r="E143" s="270"/>
      <c r="F143" s="263"/>
    </row>
    <row r="144" spans="1:6">
      <c r="A144" s="271"/>
      <c r="B144" s="272" t="s">
        <v>1675</v>
      </c>
      <c r="C144" s="272"/>
      <c r="D144" s="272"/>
      <c r="E144" s="273"/>
      <c r="F144" s="274">
        <f>E36+E48+E74+E85</f>
        <v>0.85963040000000013</v>
      </c>
    </row>
    <row r="145" spans="1:6">
      <c r="A145" s="271"/>
      <c r="B145" s="272"/>
      <c r="C145" s="272"/>
      <c r="D145" s="272"/>
      <c r="E145" s="273"/>
      <c r="F145" s="275"/>
    </row>
    <row r="146" spans="1:6">
      <c r="A146" s="276" t="s">
        <v>1676</v>
      </c>
      <c r="B146" s="277" t="s">
        <v>1677</v>
      </c>
      <c r="C146" s="278"/>
      <c r="D146" s="272"/>
      <c r="E146" s="279">
        <f>E108</f>
        <v>2.3222E-2</v>
      </c>
      <c r="F146" s="263"/>
    </row>
    <row r="147" spans="1:6">
      <c r="A147" s="276" t="s">
        <v>1678</v>
      </c>
      <c r="B147" s="277" t="s">
        <v>1679</v>
      </c>
      <c r="C147" s="278"/>
      <c r="D147" s="272"/>
      <c r="E147" s="279">
        <f>E109</f>
        <v>2.3222E-2</v>
      </c>
      <c r="F147" s="263"/>
    </row>
    <row r="148" spans="1:6" ht="15.75" thickBot="1">
      <c r="A148" s="280" t="s">
        <v>1680</v>
      </c>
      <c r="B148" s="281" t="s">
        <v>1681</v>
      </c>
      <c r="C148" s="282"/>
      <c r="D148" s="283"/>
      <c r="E148" s="284">
        <f>E110</f>
        <v>0.13150000000000001</v>
      </c>
      <c r="F148" s="285"/>
    </row>
    <row r="149" spans="1:6">
      <c r="A149" s="207"/>
      <c r="B149" s="207"/>
      <c r="C149" s="207"/>
      <c r="D149" s="207"/>
      <c r="E149" s="207"/>
      <c r="F149" s="207"/>
    </row>
  </sheetData>
  <mergeCells count="147">
    <mergeCell ref="A1:F1"/>
    <mergeCell ref="A2:F2"/>
    <mergeCell ref="A3:F3"/>
    <mergeCell ref="A4:F4"/>
    <mergeCell ref="A5:F5"/>
    <mergeCell ref="A6:F6"/>
    <mergeCell ref="B10:D10"/>
    <mergeCell ref="E10:F10"/>
    <mergeCell ref="A11:F11"/>
    <mergeCell ref="A12:F12"/>
    <mergeCell ref="B13:D13"/>
    <mergeCell ref="E13:F13"/>
    <mergeCell ref="B7:D7"/>
    <mergeCell ref="E7:F7"/>
    <mergeCell ref="B8:D8"/>
    <mergeCell ref="E8:F8"/>
    <mergeCell ref="B9:D9"/>
    <mergeCell ref="E9:F9"/>
    <mergeCell ref="B17:D17"/>
    <mergeCell ref="E17:F17"/>
    <mergeCell ref="A18:F18"/>
    <mergeCell ref="A19:F19"/>
    <mergeCell ref="B20:E20"/>
    <mergeCell ref="B21:D21"/>
    <mergeCell ref="B14:D14"/>
    <mergeCell ref="E14:F14"/>
    <mergeCell ref="B15:D15"/>
    <mergeCell ref="E15:F15"/>
    <mergeCell ref="B16:D16"/>
    <mergeCell ref="E16:F16"/>
    <mergeCell ref="A28:F28"/>
    <mergeCell ref="A29:F29"/>
    <mergeCell ref="A30:F30"/>
    <mergeCell ref="B31:D31"/>
    <mergeCell ref="B32:D32"/>
    <mergeCell ref="B33:D33"/>
    <mergeCell ref="B22:D22"/>
    <mergeCell ref="B23:D23"/>
    <mergeCell ref="B24:D24"/>
    <mergeCell ref="B25:D25"/>
    <mergeCell ref="B26:D26"/>
    <mergeCell ref="A27:E27"/>
    <mergeCell ref="B40:D40"/>
    <mergeCell ref="B41:D41"/>
    <mergeCell ref="B42:D42"/>
    <mergeCell ref="B43:D43"/>
    <mergeCell ref="B44:D44"/>
    <mergeCell ref="B45:D45"/>
    <mergeCell ref="A34:D34"/>
    <mergeCell ref="B35:D35"/>
    <mergeCell ref="A36:D36"/>
    <mergeCell ref="A37:F37"/>
    <mergeCell ref="A38:F38"/>
    <mergeCell ref="B39:D39"/>
    <mergeCell ref="B52:E52"/>
    <mergeCell ref="B53:E53"/>
    <mergeCell ref="B54:E54"/>
    <mergeCell ref="B55:E55"/>
    <mergeCell ref="B56:E56"/>
    <mergeCell ref="B57:E57"/>
    <mergeCell ref="B46:D46"/>
    <mergeCell ref="B47:D47"/>
    <mergeCell ref="A48:D48"/>
    <mergeCell ref="A49:F49"/>
    <mergeCell ref="A50:F50"/>
    <mergeCell ref="B51:E51"/>
    <mergeCell ref="A64:E64"/>
    <mergeCell ref="A65:F65"/>
    <mergeCell ref="A66:F66"/>
    <mergeCell ref="B67:D67"/>
    <mergeCell ref="B68:D68"/>
    <mergeCell ref="B69:D69"/>
    <mergeCell ref="A58:E58"/>
    <mergeCell ref="A59:F59"/>
    <mergeCell ref="B60:E60"/>
    <mergeCell ref="B61:E61"/>
    <mergeCell ref="B62:E62"/>
    <mergeCell ref="B63:E63"/>
    <mergeCell ref="A76:F76"/>
    <mergeCell ref="A77:F77"/>
    <mergeCell ref="B78:D78"/>
    <mergeCell ref="B79:D79"/>
    <mergeCell ref="B80:D80"/>
    <mergeCell ref="B81:D81"/>
    <mergeCell ref="B70:D70"/>
    <mergeCell ref="B71:D71"/>
    <mergeCell ref="B72:D72"/>
    <mergeCell ref="B73:D73"/>
    <mergeCell ref="A74:D74"/>
    <mergeCell ref="A75:F75"/>
    <mergeCell ref="B88:E88"/>
    <mergeCell ref="B89:E89"/>
    <mergeCell ref="A90:E90"/>
    <mergeCell ref="A91:F91"/>
    <mergeCell ref="A92:F92"/>
    <mergeCell ref="B93:E93"/>
    <mergeCell ref="B82:D82"/>
    <mergeCell ref="B83:D83"/>
    <mergeCell ref="B84:D84"/>
    <mergeCell ref="A85:D85"/>
    <mergeCell ref="A86:F86"/>
    <mergeCell ref="A87:F87"/>
    <mergeCell ref="B100:E100"/>
    <mergeCell ref="B101:E101"/>
    <mergeCell ref="B102:E102"/>
    <mergeCell ref="B103:E103"/>
    <mergeCell ref="A104:E104"/>
    <mergeCell ref="A105:F105"/>
    <mergeCell ref="B94:E94"/>
    <mergeCell ref="B95:E95"/>
    <mergeCell ref="A96:E96"/>
    <mergeCell ref="A97:F97"/>
    <mergeCell ref="A98:F98"/>
    <mergeCell ref="B99:E99"/>
    <mergeCell ref="B112:D112"/>
    <mergeCell ref="B113:D113"/>
    <mergeCell ref="A114:D114"/>
    <mergeCell ref="A115:F115"/>
    <mergeCell ref="A116:F116"/>
    <mergeCell ref="A117:E117"/>
    <mergeCell ref="A106:F106"/>
    <mergeCell ref="B107:D107"/>
    <mergeCell ref="B108:D108"/>
    <mergeCell ref="B109:D109"/>
    <mergeCell ref="B110:D110"/>
    <mergeCell ref="B111:D111"/>
    <mergeCell ref="B124:E124"/>
    <mergeCell ref="A125:E125"/>
    <mergeCell ref="A126:F126"/>
    <mergeCell ref="A127:F127"/>
    <mergeCell ref="A128:B128"/>
    <mergeCell ref="A129:B129"/>
    <mergeCell ref="B118:E118"/>
    <mergeCell ref="B119:E119"/>
    <mergeCell ref="B120:E120"/>
    <mergeCell ref="B121:E121"/>
    <mergeCell ref="B122:E122"/>
    <mergeCell ref="A123:E123"/>
    <mergeCell ref="B136:E136"/>
    <mergeCell ref="B137:E137"/>
    <mergeCell ref="A138:F138"/>
    <mergeCell ref="A130:E130"/>
    <mergeCell ref="A131:F131"/>
    <mergeCell ref="A132:F132"/>
    <mergeCell ref="A133:F133"/>
    <mergeCell ref="A134:E134"/>
    <mergeCell ref="B135:E135"/>
  </mergeCells>
  <pageMargins left="0.511811024" right="0.511811024" top="0.78740157499999996" bottom="0.78740157499999996" header="0.31496062000000002" footer="0.3149606200000000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D281-C550-42E3-A5CA-C1E7ED62C498}">
  <sheetPr>
    <tabColor rgb="FF00B0F0"/>
  </sheetPr>
  <dimension ref="A1:E30"/>
  <sheetViews>
    <sheetView view="pageBreakPreview" zoomScaleNormal="100" zoomScaleSheetLayoutView="100" workbookViewId="0">
      <selection activeCell="A3" sqref="A3:E3"/>
    </sheetView>
  </sheetViews>
  <sheetFormatPr defaultColWidth="9.140625" defaultRowHeight="15" customHeight="1"/>
  <cols>
    <col min="1" max="1" width="42" style="196" customWidth="1"/>
    <col min="2" max="2" width="14.28515625" style="196" customWidth="1"/>
    <col min="3" max="5" width="15.85546875" style="196" customWidth="1"/>
    <col min="6" max="16384" width="9.140625" style="196"/>
  </cols>
  <sheetData>
    <row r="1" spans="1:5" ht="15" customHeight="1">
      <c r="A1" s="923"/>
      <c r="B1" s="923"/>
      <c r="C1" s="923"/>
      <c r="D1" s="923"/>
      <c r="E1" s="923"/>
    </row>
    <row r="2" spans="1:5" ht="15" customHeight="1">
      <c r="A2" s="924" t="str">
        <f>[2]Proposta.DF!A7</f>
        <v>MINISTÉRIO DAS CIDADES</v>
      </c>
      <c r="B2" s="924"/>
      <c r="C2" s="924"/>
      <c r="D2" s="924"/>
      <c r="E2" s="924"/>
    </row>
    <row r="3" spans="1:5" ht="15" customHeight="1">
      <c r="A3" s="924"/>
      <c r="B3" s="924"/>
      <c r="C3" s="924"/>
      <c r="D3" s="924"/>
      <c r="E3" s="924"/>
    </row>
    <row r="4" spans="1:5" ht="15" customHeight="1">
      <c r="A4" s="923"/>
      <c r="B4" s="923"/>
      <c r="C4" s="923"/>
      <c r="D4" s="923"/>
      <c r="E4" s="923"/>
    </row>
    <row r="5" spans="1:5" ht="15" customHeight="1">
      <c r="A5" s="983" t="s">
        <v>1691</v>
      </c>
      <c r="B5" s="983"/>
      <c r="C5" s="983"/>
      <c r="D5" s="983"/>
      <c r="E5" s="983"/>
    </row>
    <row r="6" spans="1:5" ht="33.6" customHeight="1">
      <c r="A6" s="291" t="s">
        <v>1692</v>
      </c>
      <c r="B6" s="291" t="s">
        <v>706</v>
      </c>
      <c r="C6" s="291" t="s">
        <v>1693</v>
      </c>
      <c r="D6" s="291" t="s">
        <v>1694</v>
      </c>
      <c r="E6" s="291" t="s">
        <v>1695</v>
      </c>
    </row>
    <row r="7" spans="1:5" ht="15" customHeight="1">
      <c r="A7" s="984"/>
      <c r="B7" s="984"/>
      <c r="C7" s="984"/>
      <c r="D7" s="984"/>
      <c r="E7" s="984"/>
    </row>
    <row r="8" spans="1:5" ht="30" customHeight="1">
      <c r="A8" s="317" t="s">
        <v>1778</v>
      </c>
      <c r="B8" s="318">
        <v>2</v>
      </c>
      <c r="C8" s="319"/>
      <c r="D8" s="320">
        <f>B8*C8</f>
        <v>0</v>
      </c>
      <c r="E8" s="321">
        <f t="shared" ref="E8:E14" si="0">D8/12</f>
        <v>0</v>
      </c>
    </row>
    <row r="9" spans="1:5" ht="50.1" customHeight="1">
      <c r="A9" s="317" t="s">
        <v>1779</v>
      </c>
      <c r="B9" s="318">
        <v>2</v>
      </c>
      <c r="C9" s="319"/>
      <c r="D9" s="320">
        <f t="shared" ref="D9:D14" si="1">B9*C9</f>
        <v>0</v>
      </c>
      <c r="E9" s="321">
        <f t="shared" si="0"/>
        <v>0</v>
      </c>
    </row>
    <row r="10" spans="1:5" ht="28.9" customHeight="1">
      <c r="A10" s="322" t="s">
        <v>1780</v>
      </c>
      <c r="B10" s="318">
        <v>1</v>
      </c>
      <c r="C10" s="319"/>
      <c r="D10" s="320">
        <f t="shared" si="1"/>
        <v>0</v>
      </c>
      <c r="E10" s="321">
        <f t="shared" si="0"/>
        <v>0</v>
      </c>
    </row>
    <row r="11" spans="1:5" ht="15" customHeight="1">
      <c r="A11" s="322" t="s">
        <v>1699</v>
      </c>
      <c r="B11" s="318">
        <v>1</v>
      </c>
      <c r="C11" s="319"/>
      <c r="D11" s="320">
        <f t="shared" si="1"/>
        <v>0</v>
      </c>
      <c r="E11" s="321">
        <f t="shared" si="0"/>
        <v>0</v>
      </c>
    </row>
    <row r="12" spans="1:5" ht="15" customHeight="1">
      <c r="A12" s="322" t="s">
        <v>1700</v>
      </c>
      <c r="B12" s="318">
        <v>2</v>
      </c>
      <c r="C12" s="319"/>
      <c r="D12" s="320">
        <f t="shared" si="1"/>
        <v>0</v>
      </c>
      <c r="E12" s="321">
        <f t="shared" si="0"/>
        <v>0</v>
      </c>
    </row>
    <row r="13" spans="1:5" ht="29.45" customHeight="1">
      <c r="A13" s="322" t="s">
        <v>1701</v>
      </c>
      <c r="B13" s="318">
        <v>1</v>
      </c>
      <c r="C13" s="319"/>
      <c r="D13" s="320">
        <f t="shared" si="1"/>
        <v>0</v>
      </c>
      <c r="E13" s="321">
        <f t="shared" si="0"/>
        <v>0</v>
      </c>
    </row>
    <row r="14" spans="1:5" ht="31.15" customHeight="1">
      <c r="A14" s="322" t="s">
        <v>1702</v>
      </c>
      <c r="B14" s="318">
        <v>2</v>
      </c>
      <c r="C14" s="319"/>
      <c r="D14" s="320">
        <f t="shared" si="1"/>
        <v>0</v>
      </c>
      <c r="E14" s="321">
        <f t="shared" si="0"/>
        <v>0</v>
      </c>
    </row>
    <row r="15" spans="1:5" ht="15" customHeight="1">
      <c r="A15" s="998" t="s">
        <v>1703</v>
      </c>
      <c r="B15" s="998"/>
      <c r="C15" s="998"/>
      <c r="D15" s="998"/>
      <c r="E15" s="323">
        <f>SUM(E8:E14)</f>
        <v>0</v>
      </c>
    </row>
    <row r="16" spans="1:5" ht="15" customHeight="1">
      <c r="A16" s="922"/>
      <c r="B16" s="922"/>
      <c r="C16" s="922"/>
      <c r="D16" s="922"/>
      <c r="E16" s="922"/>
    </row>
    <row r="17" spans="1:5" ht="15" customHeight="1">
      <c r="A17" s="921"/>
      <c r="B17" s="921"/>
      <c r="C17" s="921"/>
      <c r="D17" s="921"/>
      <c r="E17" s="921"/>
    </row>
    <row r="18" spans="1:5" ht="15" customHeight="1">
      <c r="A18" s="921" t="str">
        <f>[2]Proposta.DF!A3</f>
        <v>Brasília-DF, 14 de novembro de 2023.</v>
      </c>
      <c r="B18" s="921"/>
      <c r="C18" s="921"/>
      <c r="D18" s="921"/>
      <c r="E18" s="921"/>
    </row>
    <row r="19" spans="1:5" ht="15" customHeight="1">
      <c r="A19" s="921"/>
      <c r="B19" s="921"/>
      <c r="C19" s="921"/>
      <c r="D19" s="921"/>
      <c r="E19" s="921"/>
    </row>
    <row r="20" spans="1:5" ht="15" customHeight="1">
      <c r="A20" s="921"/>
      <c r="B20" s="921"/>
      <c r="C20" s="921"/>
      <c r="D20" s="921"/>
      <c r="E20" s="921"/>
    </row>
    <row r="21" spans="1:5" ht="15" customHeight="1">
      <c r="A21" s="921"/>
      <c r="B21" s="921"/>
      <c r="C21" s="921"/>
      <c r="D21" s="921"/>
      <c r="E21" s="921"/>
    </row>
    <row r="22" spans="1:5" ht="15" customHeight="1">
      <c r="A22" s="921"/>
      <c r="B22" s="921"/>
      <c r="C22" s="921"/>
      <c r="D22" s="921"/>
      <c r="E22" s="921"/>
    </row>
    <row r="23" spans="1:5" ht="15" customHeight="1">
      <c r="A23" s="921"/>
      <c r="B23" s="921"/>
      <c r="C23" s="921"/>
      <c r="D23" s="921"/>
      <c r="E23" s="921"/>
    </row>
    <row r="24" spans="1:5" ht="15" customHeight="1">
      <c r="A24" s="921"/>
      <c r="B24" s="921"/>
      <c r="C24" s="921"/>
      <c r="D24" s="921"/>
      <c r="E24" s="921"/>
    </row>
    <row r="25" spans="1:5" ht="15" customHeight="1">
      <c r="A25" s="921"/>
      <c r="B25" s="921"/>
      <c r="C25" s="921"/>
      <c r="D25" s="921"/>
      <c r="E25" s="921"/>
    </row>
    <row r="26" spans="1:5" ht="15" customHeight="1">
      <c r="A26" s="921"/>
      <c r="B26" s="921"/>
      <c r="C26" s="921"/>
      <c r="D26" s="921"/>
      <c r="E26" s="921"/>
    </row>
    <row r="27" spans="1:5" ht="15" customHeight="1">
      <c r="A27" s="921"/>
      <c r="B27" s="921"/>
      <c r="C27" s="921"/>
      <c r="D27" s="921"/>
      <c r="E27" s="921"/>
    </row>
    <row r="28" spans="1:5" ht="15" customHeight="1">
      <c r="A28" s="921"/>
      <c r="B28" s="921"/>
      <c r="C28" s="921"/>
      <c r="D28" s="921"/>
      <c r="E28" s="921"/>
    </row>
    <row r="29" spans="1:5" ht="15" customHeight="1">
      <c r="A29" s="921"/>
      <c r="B29" s="921"/>
      <c r="C29" s="921"/>
      <c r="D29" s="921"/>
      <c r="E29" s="921"/>
    </row>
    <row r="30" spans="1:5" ht="15" customHeight="1">
      <c r="A30" s="921"/>
      <c r="B30" s="921"/>
      <c r="C30" s="921"/>
      <c r="D30" s="921"/>
      <c r="E30" s="921"/>
    </row>
  </sheetData>
  <mergeCells count="22">
    <mergeCell ref="A20:E20"/>
    <mergeCell ref="A1:E1"/>
    <mergeCell ref="A2:E2"/>
    <mergeCell ref="A3:E3"/>
    <mergeCell ref="A4:E4"/>
    <mergeCell ref="A5:E5"/>
    <mergeCell ref="A7:E7"/>
    <mergeCell ref="A15:D15"/>
    <mergeCell ref="A16:E16"/>
    <mergeCell ref="A17:E17"/>
    <mergeCell ref="A18:E18"/>
    <mergeCell ref="A19:E19"/>
    <mergeCell ref="A27:E27"/>
    <mergeCell ref="A28:E28"/>
    <mergeCell ref="A29:E29"/>
    <mergeCell ref="A30:E30"/>
    <mergeCell ref="A21:E21"/>
    <mergeCell ref="A22:E22"/>
    <mergeCell ref="A23:E23"/>
    <mergeCell ref="A24:E24"/>
    <mergeCell ref="A25:E25"/>
    <mergeCell ref="A26:E26"/>
  </mergeCells>
  <conditionalFormatting sqref="A8">
    <cfRule type="expression" dxfId="18" priority="2" stopIfTrue="1">
      <formula>#REF!=TRUE</formula>
    </cfRule>
  </conditionalFormatting>
  <conditionalFormatting sqref="A9">
    <cfRule type="expression" dxfId="17" priority="1" stopIfTrue="1">
      <formula>#REF!=TRUE</formula>
    </cfRule>
  </conditionalFormatting>
  <printOptions horizontalCentered="1"/>
  <pageMargins left="0.19685039370078741" right="0.19685039370078741" top="1.5748031496062993" bottom="0.19685039370078741" header="0.31496062992125984" footer="0.31496062992125984"/>
  <pageSetup paperSize="9" scale="70" orientation="portrait" r:id="rId1"/>
  <headerFooter>
    <oddHeader>&amp;C&amp;G</oddHeader>
    <oddFooter xml:space="preserve">&amp;C&amp;"-,Negrito"TR SIA TRECHO 17 RUA 14 LOTE 170 – Brasília/DF – CEP: 71200-240 – (61) 3142-0377
licitacao.servicos@r7facilities.com.br
</oddFooter>
  </headerFooter>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3FEAC-6FBF-4DE0-9724-3BEE92E748BE}">
  <sheetPr>
    <tabColor rgb="FF7030A0"/>
    <pageSetUpPr fitToPage="1"/>
  </sheetPr>
  <dimension ref="B2:H17"/>
  <sheetViews>
    <sheetView workbookViewId="0">
      <selection activeCell="B5" sqref="B5:C8"/>
    </sheetView>
  </sheetViews>
  <sheetFormatPr defaultRowHeight="15"/>
  <cols>
    <col min="3" max="3" width="26.28515625" customWidth="1"/>
    <col min="4" max="4" width="22" customWidth="1"/>
    <col min="5" max="6" width="21.85546875" customWidth="1"/>
    <col min="7" max="7" width="23.28515625" customWidth="1"/>
    <col min="8" max="8" width="45" customWidth="1"/>
    <col min="259" max="259" width="26.28515625" customWidth="1"/>
    <col min="260" max="260" width="22" customWidth="1"/>
    <col min="261" max="262" width="21.85546875" customWidth="1"/>
    <col min="263" max="263" width="23.28515625" customWidth="1"/>
    <col min="264" max="264" width="45" customWidth="1"/>
    <col min="515" max="515" width="26.28515625" customWidth="1"/>
    <col min="516" max="516" width="22" customWidth="1"/>
    <col min="517" max="518" width="21.85546875" customWidth="1"/>
    <col min="519" max="519" width="23.28515625" customWidth="1"/>
    <col min="520" max="520" width="45" customWidth="1"/>
    <col min="771" max="771" width="26.28515625" customWidth="1"/>
    <col min="772" max="772" width="22" customWidth="1"/>
    <col min="773" max="774" width="21.85546875" customWidth="1"/>
    <col min="775" max="775" width="23.28515625" customWidth="1"/>
    <col min="776" max="776" width="45" customWidth="1"/>
    <col min="1027" max="1027" width="26.28515625" customWidth="1"/>
    <col min="1028" max="1028" width="22" customWidth="1"/>
    <col min="1029" max="1030" width="21.85546875" customWidth="1"/>
    <col min="1031" max="1031" width="23.28515625" customWidth="1"/>
    <col min="1032" max="1032" width="45" customWidth="1"/>
    <col min="1283" max="1283" width="26.28515625" customWidth="1"/>
    <col min="1284" max="1284" width="22" customWidth="1"/>
    <col min="1285" max="1286" width="21.85546875" customWidth="1"/>
    <col min="1287" max="1287" width="23.28515625" customWidth="1"/>
    <col min="1288" max="1288" width="45" customWidth="1"/>
    <col min="1539" max="1539" width="26.28515625" customWidth="1"/>
    <col min="1540" max="1540" width="22" customWidth="1"/>
    <col min="1541" max="1542" width="21.85546875" customWidth="1"/>
    <col min="1543" max="1543" width="23.28515625" customWidth="1"/>
    <col min="1544" max="1544" width="45" customWidth="1"/>
    <col min="1795" max="1795" width="26.28515625" customWidth="1"/>
    <col min="1796" max="1796" width="22" customWidth="1"/>
    <col min="1797" max="1798" width="21.85546875" customWidth="1"/>
    <col min="1799" max="1799" width="23.28515625" customWidth="1"/>
    <col min="1800" max="1800" width="45" customWidth="1"/>
    <col min="2051" max="2051" width="26.28515625" customWidth="1"/>
    <col min="2052" max="2052" width="22" customWidth="1"/>
    <col min="2053" max="2054" width="21.85546875" customWidth="1"/>
    <col min="2055" max="2055" width="23.28515625" customWidth="1"/>
    <col min="2056" max="2056" width="45" customWidth="1"/>
    <col min="2307" max="2307" width="26.28515625" customWidth="1"/>
    <col min="2308" max="2308" width="22" customWidth="1"/>
    <col min="2309" max="2310" width="21.85546875" customWidth="1"/>
    <col min="2311" max="2311" width="23.28515625" customWidth="1"/>
    <col min="2312" max="2312" width="45" customWidth="1"/>
    <col min="2563" max="2563" width="26.28515625" customWidth="1"/>
    <col min="2564" max="2564" width="22" customWidth="1"/>
    <col min="2565" max="2566" width="21.85546875" customWidth="1"/>
    <col min="2567" max="2567" width="23.28515625" customWidth="1"/>
    <col min="2568" max="2568" width="45" customWidth="1"/>
    <col min="2819" max="2819" width="26.28515625" customWidth="1"/>
    <col min="2820" max="2820" width="22" customWidth="1"/>
    <col min="2821" max="2822" width="21.85546875" customWidth="1"/>
    <col min="2823" max="2823" width="23.28515625" customWidth="1"/>
    <col min="2824" max="2824" width="45" customWidth="1"/>
    <col min="3075" max="3075" width="26.28515625" customWidth="1"/>
    <col min="3076" max="3076" width="22" customWidth="1"/>
    <col min="3077" max="3078" width="21.85546875" customWidth="1"/>
    <col min="3079" max="3079" width="23.28515625" customWidth="1"/>
    <col min="3080" max="3080" width="45" customWidth="1"/>
    <col min="3331" max="3331" width="26.28515625" customWidth="1"/>
    <col min="3332" max="3332" width="22" customWidth="1"/>
    <col min="3333" max="3334" width="21.85546875" customWidth="1"/>
    <col min="3335" max="3335" width="23.28515625" customWidth="1"/>
    <col min="3336" max="3336" width="45" customWidth="1"/>
    <col min="3587" max="3587" width="26.28515625" customWidth="1"/>
    <col min="3588" max="3588" width="22" customWidth="1"/>
    <col min="3589" max="3590" width="21.85546875" customWidth="1"/>
    <col min="3591" max="3591" width="23.28515625" customWidth="1"/>
    <col min="3592" max="3592" width="45" customWidth="1"/>
    <col min="3843" max="3843" width="26.28515625" customWidth="1"/>
    <col min="3844" max="3844" width="22" customWidth="1"/>
    <col min="3845" max="3846" width="21.85546875" customWidth="1"/>
    <col min="3847" max="3847" width="23.28515625" customWidth="1"/>
    <col min="3848" max="3848" width="45" customWidth="1"/>
    <col min="4099" max="4099" width="26.28515625" customWidth="1"/>
    <col min="4100" max="4100" width="22" customWidth="1"/>
    <col min="4101" max="4102" width="21.85546875" customWidth="1"/>
    <col min="4103" max="4103" width="23.28515625" customWidth="1"/>
    <col min="4104" max="4104" width="45" customWidth="1"/>
    <col min="4355" max="4355" width="26.28515625" customWidth="1"/>
    <col min="4356" max="4356" width="22" customWidth="1"/>
    <col min="4357" max="4358" width="21.85546875" customWidth="1"/>
    <col min="4359" max="4359" width="23.28515625" customWidth="1"/>
    <col min="4360" max="4360" width="45" customWidth="1"/>
    <col min="4611" max="4611" width="26.28515625" customWidth="1"/>
    <col min="4612" max="4612" width="22" customWidth="1"/>
    <col min="4613" max="4614" width="21.85546875" customWidth="1"/>
    <col min="4615" max="4615" width="23.28515625" customWidth="1"/>
    <col min="4616" max="4616" width="45" customWidth="1"/>
    <col min="4867" max="4867" width="26.28515625" customWidth="1"/>
    <col min="4868" max="4868" width="22" customWidth="1"/>
    <col min="4869" max="4870" width="21.85546875" customWidth="1"/>
    <col min="4871" max="4871" width="23.28515625" customWidth="1"/>
    <col min="4872" max="4872" width="45" customWidth="1"/>
    <col min="5123" max="5123" width="26.28515625" customWidth="1"/>
    <col min="5124" max="5124" width="22" customWidth="1"/>
    <col min="5125" max="5126" width="21.85546875" customWidth="1"/>
    <col min="5127" max="5127" width="23.28515625" customWidth="1"/>
    <col min="5128" max="5128" width="45" customWidth="1"/>
    <col min="5379" max="5379" width="26.28515625" customWidth="1"/>
    <col min="5380" max="5380" width="22" customWidth="1"/>
    <col min="5381" max="5382" width="21.85546875" customWidth="1"/>
    <col min="5383" max="5383" width="23.28515625" customWidth="1"/>
    <col min="5384" max="5384" width="45" customWidth="1"/>
    <col min="5635" max="5635" width="26.28515625" customWidth="1"/>
    <col min="5636" max="5636" width="22" customWidth="1"/>
    <col min="5637" max="5638" width="21.85546875" customWidth="1"/>
    <col min="5639" max="5639" width="23.28515625" customWidth="1"/>
    <col min="5640" max="5640" width="45" customWidth="1"/>
    <col min="5891" max="5891" width="26.28515625" customWidth="1"/>
    <col min="5892" max="5892" width="22" customWidth="1"/>
    <col min="5893" max="5894" width="21.85546875" customWidth="1"/>
    <col min="5895" max="5895" width="23.28515625" customWidth="1"/>
    <col min="5896" max="5896" width="45" customWidth="1"/>
    <col min="6147" max="6147" width="26.28515625" customWidth="1"/>
    <col min="6148" max="6148" width="22" customWidth="1"/>
    <col min="6149" max="6150" width="21.85546875" customWidth="1"/>
    <col min="6151" max="6151" width="23.28515625" customWidth="1"/>
    <col min="6152" max="6152" width="45" customWidth="1"/>
    <col min="6403" max="6403" width="26.28515625" customWidth="1"/>
    <col min="6404" max="6404" width="22" customWidth="1"/>
    <col min="6405" max="6406" width="21.85546875" customWidth="1"/>
    <col min="6407" max="6407" width="23.28515625" customWidth="1"/>
    <col min="6408" max="6408" width="45" customWidth="1"/>
    <col min="6659" max="6659" width="26.28515625" customWidth="1"/>
    <col min="6660" max="6660" width="22" customWidth="1"/>
    <col min="6661" max="6662" width="21.85546875" customWidth="1"/>
    <col min="6663" max="6663" width="23.28515625" customWidth="1"/>
    <col min="6664" max="6664" width="45" customWidth="1"/>
    <col min="6915" max="6915" width="26.28515625" customWidth="1"/>
    <col min="6916" max="6916" width="22" customWidth="1"/>
    <col min="6917" max="6918" width="21.85546875" customWidth="1"/>
    <col min="6919" max="6919" width="23.28515625" customWidth="1"/>
    <col min="6920" max="6920" width="45" customWidth="1"/>
    <col min="7171" max="7171" width="26.28515625" customWidth="1"/>
    <col min="7172" max="7172" width="22" customWidth="1"/>
    <col min="7173" max="7174" width="21.85546875" customWidth="1"/>
    <col min="7175" max="7175" width="23.28515625" customWidth="1"/>
    <col min="7176" max="7176" width="45" customWidth="1"/>
    <col min="7427" max="7427" width="26.28515625" customWidth="1"/>
    <col min="7428" max="7428" width="22" customWidth="1"/>
    <col min="7429" max="7430" width="21.85546875" customWidth="1"/>
    <col min="7431" max="7431" width="23.28515625" customWidth="1"/>
    <col min="7432" max="7432" width="45" customWidth="1"/>
    <col min="7683" max="7683" width="26.28515625" customWidth="1"/>
    <col min="7684" max="7684" width="22" customWidth="1"/>
    <col min="7685" max="7686" width="21.85546875" customWidth="1"/>
    <col min="7687" max="7687" width="23.28515625" customWidth="1"/>
    <col min="7688" max="7688" width="45" customWidth="1"/>
    <col min="7939" max="7939" width="26.28515625" customWidth="1"/>
    <col min="7940" max="7940" width="22" customWidth="1"/>
    <col min="7941" max="7942" width="21.85546875" customWidth="1"/>
    <col min="7943" max="7943" width="23.28515625" customWidth="1"/>
    <col min="7944" max="7944" width="45" customWidth="1"/>
    <col min="8195" max="8195" width="26.28515625" customWidth="1"/>
    <col min="8196" max="8196" width="22" customWidth="1"/>
    <col min="8197" max="8198" width="21.85546875" customWidth="1"/>
    <col min="8199" max="8199" width="23.28515625" customWidth="1"/>
    <col min="8200" max="8200" width="45" customWidth="1"/>
    <col min="8451" max="8451" width="26.28515625" customWidth="1"/>
    <col min="8452" max="8452" width="22" customWidth="1"/>
    <col min="8453" max="8454" width="21.85546875" customWidth="1"/>
    <col min="8455" max="8455" width="23.28515625" customWidth="1"/>
    <col min="8456" max="8456" width="45" customWidth="1"/>
    <col min="8707" max="8707" width="26.28515625" customWidth="1"/>
    <col min="8708" max="8708" width="22" customWidth="1"/>
    <col min="8709" max="8710" width="21.85546875" customWidth="1"/>
    <col min="8711" max="8711" width="23.28515625" customWidth="1"/>
    <col min="8712" max="8712" width="45" customWidth="1"/>
    <col min="8963" max="8963" width="26.28515625" customWidth="1"/>
    <col min="8964" max="8964" width="22" customWidth="1"/>
    <col min="8965" max="8966" width="21.85546875" customWidth="1"/>
    <col min="8967" max="8967" width="23.28515625" customWidth="1"/>
    <col min="8968" max="8968" width="45" customWidth="1"/>
    <col min="9219" max="9219" width="26.28515625" customWidth="1"/>
    <col min="9220" max="9220" width="22" customWidth="1"/>
    <col min="9221" max="9222" width="21.85546875" customWidth="1"/>
    <col min="9223" max="9223" width="23.28515625" customWidth="1"/>
    <col min="9224" max="9224" width="45" customWidth="1"/>
    <col min="9475" max="9475" width="26.28515625" customWidth="1"/>
    <col min="9476" max="9476" width="22" customWidth="1"/>
    <col min="9477" max="9478" width="21.85546875" customWidth="1"/>
    <col min="9479" max="9479" width="23.28515625" customWidth="1"/>
    <col min="9480" max="9480" width="45" customWidth="1"/>
    <col min="9731" max="9731" width="26.28515625" customWidth="1"/>
    <col min="9732" max="9732" width="22" customWidth="1"/>
    <col min="9733" max="9734" width="21.85546875" customWidth="1"/>
    <col min="9735" max="9735" width="23.28515625" customWidth="1"/>
    <col min="9736" max="9736" width="45" customWidth="1"/>
    <col min="9987" max="9987" width="26.28515625" customWidth="1"/>
    <col min="9988" max="9988" width="22" customWidth="1"/>
    <col min="9989" max="9990" width="21.85546875" customWidth="1"/>
    <col min="9991" max="9991" width="23.28515625" customWidth="1"/>
    <col min="9992" max="9992" width="45" customWidth="1"/>
    <col min="10243" max="10243" width="26.28515625" customWidth="1"/>
    <col min="10244" max="10244" width="22" customWidth="1"/>
    <col min="10245" max="10246" width="21.85546875" customWidth="1"/>
    <col min="10247" max="10247" width="23.28515625" customWidth="1"/>
    <col min="10248" max="10248" width="45" customWidth="1"/>
    <col min="10499" max="10499" width="26.28515625" customWidth="1"/>
    <col min="10500" max="10500" width="22" customWidth="1"/>
    <col min="10501" max="10502" width="21.85546875" customWidth="1"/>
    <col min="10503" max="10503" width="23.28515625" customWidth="1"/>
    <col min="10504" max="10504" width="45" customWidth="1"/>
    <col min="10755" max="10755" width="26.28515625" customWidth="1"/>
    <col min="10756" max="10756" width="22" customWidth="1"/>
    <col min="10757" max="10758" width="21.85546875" customWidth="1"/>
    <col min="10759" max="10759" width="23.28515625" customWidth="1"/>
    <col min="10760" max="10760" width="45" customWidth="1"/>
    <col min="11011" max="11011" width="26.28515625" customWidth="1"/>
    <col min="11012" max="11012" width="22" customWidth="1"/>
    <col min="11013" max="11014" width="21.85546875" customWidth="1"/>
    <col min="11015" max="11015" width="23.28515625" customWidth="1"/>
    <col min="11016" max="11016" width="45" customWidth="1"/>
    <col min="11267" max="11267" width="26.28515625" customWidth="1"/>
    <col min="11268" max="11268" width="22" customWidth="1"/>
    <col min="11269" max="11270" width="21.85546875" customWidth="1"/>
    <col min="11271" max="11271" width="23.28515625" customWidth="1"/>
    <col min="11272" max="11272" width="45" customWidth="1"/>
    <col min="11523" max="11523" width="26.28515625" customWidth="1"/>
    <col min="11524" max="11524" width="22" customWidth="1"/>
    <col min="11525" max="11526" width="21.85546875" customWidth="1"/>
    <col min="11527" max="11527" width="23.28515625" customWidth="1"/>
    <col min="11528" max="11528" width="45" customWidth="1"/>
    <col min="11779" max="11779" width="26.28515625" customWidth="1"/>
    <col min="11780" max="11780" width="22" customWidth="1"/>
    <col min="11781" max="11782" width="21.85546875" customWidth="1"/>
    <col min="11783" max="11783" width="23.28515625" customWidth="1"/>
    <col min="11784" max="11784" width="45" customWidth="1"/>
    <col min="12035" max="12035" width="26.28515625" customWidth="1"/>
    <col min="12036" max="12036" width="22" customWidth="1"/>
    <col min="12037" max="12038" width="21.85546875" customWidth="1"/>
    <col min="12039" max="12039" width="23.28515625" customWidth="1"/>
    <col min="12040" max="12040" width="45" customWidth="1"/>
    <col min="12291" max="12291" width="26.28515625" customWidth="1"/>
    <col min="12292" max="12292" width="22" customWidth="1"/>
    <col min="12293" max="12294" width="21.85546875" customWidth="1"/>
    <col min="12295" max="12295" width="23.28515625" customWidth="1"/>
    <col min="12296" max="12296" width="45" customWidth="1"/>
    <col min="12547" max="12547" width="26.28515625" customWidth="1"/>
    <col min="12548" max="12548" width="22" customWidth="1"/>
    <col min="12549" max="12550" width="21.85546875" customWidth="1"/>
    <col min="12551" max="12551" width="23.28515625" customWidth="1"/>
    <col min="12552" max="12552" width="45" customWidth="1"/>
    <col min="12803" max="12803" width="26.28515625" customWidth="1"/>
    <col min="12804" max="12804" width="22" customWidth="1"/>
    <col min="12805" max="12806" width="21.85546875" customWidth="1"/>
    <col min="12807" max="12807" width="23.28515625" customWidth="1"/>
    <col min="12808" max="12808" width="45" customWidth="1"/>
    <col min="13059" max="13059" width="26.28515625" customWidth="1"/>
    <col min="13060" max="13060" width="22" customWidth="1"/>
    <col min="13061" max="13062" width="21.85546875" customWidth="1"/>
    <col min="13063" max="13063" width="23.28515625" customWidth="1"/>
    <col min="13064" max="13064" width="45" customWidth="1"/>
    <col min="13315" max="13315" width="26.28515625" customWidth="1"/>
    <col min="13316" max="13316" width="22" customWidth="1"/>
    <col min="13317" max="13318" width="21.85546875" customWidth="1"/>
    <col min="13319" max="13319" width="23.28515625" customWidth="1"/>
    <col min="13320" max="13320" width="45" customWidth="1"/>
    <col min="13571" max="13571" width="26.28515625" customWidth="1"/>
    <col min="13572" max="13572" width="22" customWidth="1"/>
    <col min="13573" max="13574" width="21.85546875" customWidth="1"/>
    <col min="13575" max="13575" width="23.28515625" customWidth="1"/>
    <col min="13576" max="13576" width="45" customWidth="1"/>
    <col min="13827" max="13827" width="26.28515625" customWidth="1"/>
    <col min="13828" max="13828" width="22" customWidth="1"/>
    <col min="13829" max="13830" width="21.85546875" customWidth="1"/>
    <col min="13831" max="13831" width="23.28515625" customWidth="1"/>
    <col min="13832" max="13832" width="45" customWidth="1"/>
    <col min="14083" max="14083" width="26.28515625" customWidth="1"/>
    <col min="14084" max="14084" width="22" customWidth="1"/>
    <col min="14085" max="14086" width="21.85546875" customWidth="1"/>
    <col min="14087" max="14087" width="23.28515625" customWidth="1"/>
    <col min="14088" max="14088" width="45" customWidth="1"/>
    <col min="14339" max="14339" width="26.28515625" customWidth="1"/>
    <col min="14340" max="14340" width="22" customWidth="1"/>
    <col min="14341" max="14342" width="21.85546875" customWidth="1"/>
    <col min="14343" max="14343" width="23.28515625" customWidth="1"/>
    <col min="14344" max="14344" width="45" customWidth="1"/>
    <col min="14595" max="14595" width="26.28515625" customWidth="1"/>
    <col min="14596" max="14596" width="22" customWidth="1"/>
    <col min="14597" max="14598" width="21.85546875" customWidth="1"/>
    <col min="14599" max="14599" width="23.28515625" customWidth="1"/>
    <col min="14600" max="14600" width="45" customWidth="1"/>
    <col min="14851" max="14851" width="26.28515625" customWidth="1"/>
    <col min="14852" max="14852" width="22" customWidth="1"/>
    <col min="14853" max="14854" width="21.85546875" customWidth="1"/>
    <col min="14855" max="14855" width="23.28515625" customWidth="1"/>
    <col min="14856" max="14856" width="45" customWidth="1"/>
    <col min="15107" max="15107" width="26.28515625" customWidth="1"/>
    <col min="15108" max="15108" width="22" customWidth="1"/>
    <col min="15109" max="15110" width="21.85546875" customWidth="1"/>
    <col min="15111" max="15111" width="23.28515625" customWidth="1"/>
    <col min="15112" max="15112" width="45" customWidth="1"/>
    <col min="15363" max="15363" width="26.28515625" customWidth="1"/>
    <col min="15364" max="15364" width="22" customWidth="1"/>
    <col min="15365" max="15366" width="21.85546875" customWidth="1"/>
    <col min="15367" max="15367" width="23.28515625" customWidth="1"/>
    <col min="15368" max="15368" width="45" customWidth="1"/>
    <col min="15619" max="15619" width="26.28515625" customWidth="1"/>
    <col min="15620" max="15620" width="22" customWidth="1"/>
    <col min="15621" max="15622" width="21.85546875" customWidth="1"/>
    <col min="15623" max="15623" width="23.28515625" customWidth="1"/>
    <col min="15624" max="15624" width="45" customWidth="1"/>
    <col min="15875" max="15875" width="26.28515625" customWidth="1"/>
    <col min="15876" max="15876" width="22" customWidth="1"/>
    <col min="15877" max="15878" width="21.85546875" customWidth="1"/>
    <col min="15879" max="15879" width="23.28515625" customWidth="1"/>
    <col min="15880" max="15880" width="45" customWidth="1"/>
    <col min="16131" max="16131" width="26.28515625" customWidth="1"/>
    <col min="16132" max="16132" width="22" customWidth="1"/>
    <col min="16133" max="16134" width="21.85546875" customWidth="1"/>
    <col min="16135" max="16135" width="23.28515625" customWidth="1"/>
    <col min="16136" max="16136" width="45" customWidth="1"/>
  </cols>
  <sheetData>
    <row r="2" spans="2:8">
      <c r="B2" s="1001" t="s">
        <v>1934</v>
      </c>
      <c r="C2" s="1001"/>
      <c r="D2" s="1001"/>
      <c r="E2" s="1001"/>
      <c r="F2" s="1001"/>
      <c r="G2" s="1001"/>
    </row>
    <row r="3" spans="2:8">
      <c r="B3" s="1001"/>
      <c r="C3" s="1001"/>
      <c r="D3" s="1001"/>
      <c r="E3" s="1001"/>
      <c r="F3" s="1001"/>
      <c r="G3" s="1001"/>
    </row>
    <row r="4" spans="2:8" ht="63.75">
      <c r="B4" s="1005" t="s">
        <v>1935</v>
      </c>
      <c r="C4" s="1005"/>
      <c r="D4" s="430" t="s">
        <v>1936</v>
      </c>
      <c r="E4" s="430" t="s">
        <v>1937</v>
      </c>
      <c r="F4" s="430" t="s">
        <v>1938</v>
      </c>
      <c r="G4" s="430" t="s">
        <v>1939</v>
      </c>
    </row>
    <row r="5" spans="2:8" ht="38.25" customHeight="1">
      <c r="B5" s="1004" t="s">
        <v>1940</v>
      </c>
      <c r="C5" s="1004"/>
      <c r="D5" s="431">
        <f>[3]Copeira!I149</f>
        <v>4565.01</v>
      </c>
      <c r="E5" s="432">
        <v>10</v>
      </c>
      <c r="F5" s="433">
        <f>D5*E5</f>
        <v>45650.100000000006</v>
      </c>
      <c r="G5" s="431">
        <f>F5*12</f>
        <v>547801.20000000007</v>
      </c>
    </row>
    <row r="6" spans="2:8" ht="38.25" customHeight="1">
      <c r="B6" s="1004" t="s">
        <v>1941</v>
      </c>
      <c r="C6" s="1004"/>
      <c r="D6" s="431">
        <f>[3]Garçom!I149</f>
        <v>5975.39</v>
      </c>
      <c r="E6" s="432">
        <v>10</v>
      </c>
      <c r="F6" s="433">
        <f>D6*E6</f>
        <v>59753.9</v>
      </c>
      <c r="G6" s="431">
        <f>F6*12</f>
        <v>717046.8</v>
      </c>
    </row>
    <row r="7" spans="2:8" ht="38.25" customHeight="1">
      <c r="B7" s="1004" t="s">
        <v>1942</v>
      </c>
      <c r="C7" s="1004"/>
      <c r="D7" s="431">
        <f>[3]Carregador!I143</f>
        <v>4549.78</v>
      </c>
      <c r="E7" s="432">
        <v>4</v>
      </c>
      <c r="F7" s="433">
        <f>D7*E7</f>
        <v>18199.12</v>
      </c>
      <c r="G7" s="431">
        <f>F7*12</f>
        <v>218389.44</v>
      </c>
    </row>
    <row r="8" spans="2:8" ht="38.25" customHeight="1">
      <c r="B8" s="1004" t="s">
        <v>1943</v>
      </c>
      <c r="C8" s="1004"/>
      <c r="D8" s="431">
        <f>'[3]ENCARREGADO - Geral '!I154</f>
        <v>7695.57</v>
      </c>
      <c r="E8" s="432">
        <v>1</v>
      </c>
      <c r="F8" s="433">
        <f>D8*E8</f>
        <v>7695.57</v>
      </c>
      <c r="G8" s="431">
        <f>F8*12</f>
        <v>92346.84</v>
      </c>
    </row>
    <row r="9" spans="2:8" ht="38.25" customHeight="1">
      <c r="B9" s="999" t="s">
        <v>2089</v>
      </c>
      <c r="C9" s="999"/>
      <c r="D9" s="999"/>
      <c r="E9" s="1000">
        <f>(SUM(G5:G8))</f>
        <v>1575584.28</v>
      </c>
      <c r="F9" s="1000"/>
      <c r="G9" s="999"/>
    </row>
    <row r="10" spans="2:8" ht="38.25" customHeight="1">
      <c r="B10" s="999" t="s">
        <v>1944</v>
      </c>
      <c r="C10" s="999"/>
      <c r="D10" s="999"/>
      <c r="E10" s="1000">
        <f>'[3]materiais '!I28*12</f>
        <v>273705.12</v>
      </c>
      <c r="F10" s="1000"/>
      <c r="G10" s="999"/>
    </row>
    <row r="11" spans="2:8" ht="38.25" customHeight="1">
      <c r="B11" s="1001" t="s">
        <v>1945</v>
      </c>
      <c r="C11" s="1001"/>
      <c r="D11" s="1001"/>
      <c r="E11" s="1001"/>
      <c r="F11" s="1002">
        <f>E9+E10</f>
        <v>1849289.4</v>
      </c>
      <c r="G11" s="1003"/>
    </row>
    <row r="12" spans="2:8" ht="38.25" customHeight="1">
      <c r="B12" s="999" t="s">
        <v>1946</v>
      </c>
      <c r="C12" s="999"/>
      <c r="D12" s="999"/>
      <c r="E12" s="1000">
        <f>E9/12</f>
        <v>131298.69</v>
      </c>
      <c r="F12" s="1000"/>
      <c r="G12" s="999"/>
      <c r="H12" s="149"/>
    </row>
    <row r="13" spans="2:8" ht="38.25" customHeight="1">
      <c r="B13" s="999" t="s">
        <v>1947</v>
      </c>
      <c r="C13" s="999"/>
      <c r="D13" s="999"/>
      <c r="E13" s="1000">
        <f>'[3]materiais '!I28</f>
        <v>22808.76</v>
      </c>
      <c r="F13" s="1000"/>
      <c r="G13" s="999"/>
      <c r="H13" s="149"/>
    </row>
    <row r="14" spans="2:8" ht="38.25" customHeight="1">
      <c r="B14" s="1001" t="s">
        <v>1948</v>
      </c>
      <c r="C14" s="1001"/>
      <c r="D14" s="1001"/>
      <c r="E14" s="1001"/>
      <c r="F14" s="1002">
        <f>E12+E13</f>
        <v>154107.45000000001</v>
      </c>
      <c r="G14" s="1003"/>
    </row>
    <row r="17" spans="7:7">
      <c r="G17" s="329"/>
    </row>
  </sheetData>
  <mergeCells count="18">
    <mergeCell ref="B8:C8"/>
    <mergeCell ref="B2:G3"/>
    <mergeCell ref="B4:C4"/>
    <mergeCell ref="B5:C5"/>
    <mergeCell ref="B6:C6"/>
    <mergeCell ref="B7:C7"/>
    <mergeCell ref="B9:D9"/>
    <mergeCell ref="E9:G9"/>
    <mergeCell ref="B10:D10"/>
    <mergeCell ref="E10:G10"/>
    <mergeCell ref="B11:E11"/>
    <mergeCell ref="F11:G11"/>
    <mergeCell ref="B12:D12"/>
    <mergeCell ref="E12:G12"/>
    <mergeCell ref="B13:D13"/>
    <mergeCell ref="E13:G13"/>
    <mergeCell ref="B14:E14"/>
    <mergeCell ref="F14:G14"/>
  </mergeCells>
  <pageMargins left="0.511811024" right="0.511811024" top="0.78740157499999996" bottom="0.78740157499999996" header="0.31496062000000002" footer="0.31496062000000002"/>
  <pageSetup paperSize="9" scale="74"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EE5E7-DA24-4DF4-B7DF-08B2068804D5}">
  <sheetPr>
    <tabColor rgb="FF7030A0"/>
    <pageSetUpPr fitToPage="1"/>
  </sheetPr>
  <dimension ref="A1:AS164"/>
  <sheetViews>
    <sheetView zoomScale="70" zoomScaleNormal="70" workbookViewId="0">
      <selection activeCell="I2" sqref="I2"/>
    </sheetView>
  </sheetViews>
  <sheetFormatPr defaultRowHeight="15"/>
  <cols>
    <col min="4" max="4" width="28.140625" customWidth="1"/>
    <col min="5" max="5" width="40.28515625" customWidth="1"/>
    <col min="6" max="6" width="28.42578125" customWidth="1"/>
    <col min="7" max="7" width="17" customWidth="1"/>
    <col min="8" max="8" width="14.140625" customWidth="1"/>
    <col min="9" max="9" width="37.85546875" bestFit="1" customWidth="1"/>
    <col min="10" max="10" width="13.42578125" customWidth="1"/>
    <col min="11" max="11" width="12.42578125" customWidth="1"/>
    <col min="13" max="13" width="20.28515625" customWidth="1"/>
    <col min="260" max="260" width="28.140625" customWidth="1"/>
    <col min="261" max="261" width="40.28515625" customWidth="1"/>
    <col min="262" max="262" width="28.42578125" customWidth="1"/>
    <col min="263" max="263" width="17" customWidth="1"/>
    <col min="264" max="264" width="14.140625" customWidth="1"/>
    <col min="265" max="265" width="37.85546875" bestFit="1" customWidth="1"/>
    <col min="266" max="266" width="13.42578125" customWidth="1"/>
    <col min="267" max="267" width="12.42578125" customWidth="1"/>
    <col min="269" max="269" width="20.28515625" customWidth="1"/>
    <col min="516" max="516" width="28.140625" customWidth="1"/>
    <col min="517" max="517" width="40.28515625" customWidth="1"/>
    <col min="518" max="518" width="28.42578125" customWidth="1"/>
    <col min="519" max="519" width="17" customWidth="1"/>
    <col min="520" max="520" width="14.140625" customWidth="1"/>
    <col min="521" max="521" width="37.85546875" bestFit="1" customWidth="1"/>
    <col min="522" max="522" width="13.42578125" customWidth="1"/>
    <col min="523" max="523" width="12.42578125" customWidth="1"/>
    <col min="525" max="525" width="20.28515625" customWidth="1"/>
    <col min="772" max="772" width="28.140625" customWidth="1"/>
    <col min="773" max="773" width="40.28515625" customWidth="1"/>
    <col min="774" max="774" width="28.42578125" customWidth="1"/>
    <col min="775" max="775" width="17" customWidth="1"/>
    <col min="776" max="776" width="14.140625" customWidth="1"/>
    <col min="777" max="777" width="37.85546875" bestFit="1" customWidth="1"/>
    <col min="778" max="778" width="13.42578125" customWidth="1"/>
    <col min="779" max="779" width="12.42578125" customWidth="1"/>
    <col min="781" max="781" width="20.28515625" customWidth="1"/>
    <col min="1028" max="1028" width="28.140625" customWidth="1"/>
    <col min="1029" max="1029" width="40.28515625" customWidth="1"/>
    <col min="1030" max="1030" width="28.42578125" customWidth="1"/>
    <col min="1031" max="1031" width="17" customWidth="1"/>
    <col min="1032" max="1032" width="14.140625" customWidth="1"/>
    <col min="1033" max="1033" width="37.85546875" bestFit="1" customWidth="1"/>
    <col min="1034" max="1034" width="13.42578125" customWidth="1"/>
    <col min="1035" max="1035" width="12.42578125" customWidth="1"/>
    <col min="1037" max="1037" width="20.28515625" customWidth="1"/>
    <col min="1284" max="1284" width="28.140625" customWidth="1"/>
    <col min="1285" max="1285" width="40.28515625" customWidth="1"/>
    <col min="1286" max="1286" width="28.42578125" customWidth="1"/>
    <col min="1287" max="1287" width="17" customWidth="1"/>
    <col min="1288" max="1288" width="14.140625" customWidth="1"/>
    <col min="1289" max="1289" width="37.85546875" bestFit="1" customWidth="1"/>
    <col min="1290" max="1290" width="13.42578125" customWidth="1"/>
    <col min="1291" max="1291" width="12.42578125" customWidth="1"/>
    <col min="1293" max="1293" width="20.28515625" customWidth="1"/>
    <col min="1540" max="1540" width="28.140625" customWidth="1"/>
    <col min="1541" max="1541" width="40.28515625" customWidth="1"/>
    <col min="1542" max="1542" width="28.42578125" customWidth="1"/>
    <col min="1543" max="1543" width="17" customWidth="1"/>
    <col min="1544" max="1544" width="14.140625" customWidth="1"/>
    <col min="1545" max="1545" width="37.85546875" bestFit="1" customWidth="1"/>
    <col min="1546" max="1546" width="13.42578125" customWidth="1"/>
    <col min="1547" max="1547" width="12.42578125" customWidth="1"/>
    <col min="1549" max="1549" width="20.28515625" customWidth="1"/>
    <col min="1796" max="1796" width="28.140625" customWidth="1"/>
    <col min="1797" max="1797" width="40.28515625" customWidth="1"/>
    <col min="1798" max="1798" width="28.42578125" customWidth="1"/>
    <col min="1799" max="1799" width="17" customWidth="1"/>
    <col min="1800" max="1800" width="14.140625" customWidth="1"/>
    <col min="1801" max="1801" width="37.85546875" bestFit="1" customWidth="1"/>
    <col min="1802" max="1802" width="13.42578125" customWidth="1"/>
    <col min="1803" max="1803" width="12.42578125" customWidth="1"/>
    <col min="1805" max="1805" width="20.28515625" customWidth="1"/>
    <col min="2052" max="2052" width="28.140625" customWidth="1"/>
    <col min="2053" max="2053" width="40.28515625" customWidth="1"/>
    <col min="2054" max="2054" width="28.42578125" customWidth="1"/>
    <col min="2055" max="2055" width="17" customWidth="1"/>
    <col min="2056" max="2056" width="14.140625" customWidth="1"/>
    <col min="2057" max="2057" width="37.85546875" bestFit="1" customWidth="1"/>
    <col min="2058" max="2058" width="13.42578125" customWidth="1"/>
    <col min="2059" max="2059" width="12.42578125" customWidth="1"/>
    <col min="2061" max="2061" width="20.28515625" customWidth="1"/>
    <col min="2308" max="2308" width="28.140625" customWidth="1"/>
    <col min="2309" max="2309" width="40.28515625" customWidth="1"/>
    <col min="2310" max="2310" width="28.42578125" customWidth="1"/>
    <col min="2311" max="2311" width="17" customWidth="1"/>
    <col min="2312" max="2312" width="14.140625" customWidth="1"/>
    <col min="2313" max="2313" width="37.85546875" bestFit="1" customWidth="1"/>
    <col min="2314" max="2314" width="13.42578125" customWidth="1"/>
    <col min="2315" max="2315" width="12.42578125" customWidth="1"/>
    <col min="2317" max="2317" width="20.28515625" customWidth="1"/>
    <col min="2564" max="2564" width="28.140625" customWidth="1"/>
    <col min="2565" max="2565" width="40.28515625" customWidth="1"/>
    <col min="2566" max="2566" width="28.42578125" customWidth="1"/>
    <col min="2567" max="2567" width="17" customWidth="1"/>
    <col min="2568" max="2568" width="14.140625" customWidth="1"/>
    <col min="2569" max="2569" width="37.85546875" bestFit="1" customWidth="1"/>
    <col min="2570" max="2570" width="13.42578125" customWidth="1"/>
    <col min="2571" max="2571" width="12.42578125" customWidth="1"/>
    <col min="2573" max="2573" width="20.28515625" customWidth="1"/>
    <col min="2820" max="2820" width="28.140625" customWidth="1"/>
    <col min="2821" max="2821" width="40.28515625" customWidth="1"/>
    <col min="2822" max="2822" width="28.42578125" customWidth="1"/>
    <col min="2823" max="2823" width="17" customWidth="1"/>
    <col min="2824" max="2824" width="14.140625" customWidth="1"/>
    <col min="2825" max="2825" width="37.85546875" bestFit="1" customWidth="1"/>
    <col min="2826" max="2826" width="13.42578125" customWidth="1"/>
    <col min="2827" max="2827" width="12.42578125" customWidth="1"/>
    <col min="2829" max="2829" width="20.28515625" customWidth="1"/>
    <col min="3076" max="3076" width="28.140625" customWidth="1"/>
    <col min="3077" max="3077" width="40.28515625" customWidth="1"/>
    <col min="3078" max="3078" width="28.42578125" customWidth="1"/>
    <col min="3079" max="3079" width="17" customWidth="1"/>
    <col min="3080" max="3080" width="14.140625" customWidth="1"/>
    <col min="3081" max="3081" width="37.85546875" bestFit="1" customWidth="1"/>
    <col min="3082" max="3082" width="13.42578125" customWidth="1"/>
    <col min="3083" max="3083" width="12.42578125" customWidth="1"/>
    <col min="3085" max="3085" width="20.28515625" customWidth="1"/>
    <col min="3332" max="3332" width="28.140625" customWidth="1"/>
    <col min="3333" max="3333" width="40.28515625" customWidth="1"/>
    <col min="3334" max="3334" width="28.42578125" customWidth="1"/>
    <col min="3335" max="3335" width="17" customWidth="1"/>
    <col min="3336" max="3336" width="14.140625" customWidth="1"/>
    <col min="3337" max="3337" width="37.85546875" bestFit="1" customWidth="1"/>
    <col min="3338" max="3338" width="13.42578125" customWidth="1"/>
    <col min="3339" max="3339" width="12.42578125" customWidth="1"/>
    <col min="3341" max="3341" width="20.28515625" customWidth="1"/>
    <col min="3588" max="3588" width="28.140625" customWidth="1"/>
    <col min="3589" max="3589" width="40.28515625" customWidth="1"/>
    <col min="3590" max="3590" width="28.42578125" customWidth="1"/>
    <col min="3591" max="3591" width="17" customWidth="1"/>
    <col min="3592" max="3592" width="14.140625" customWidth="1"/>
    <col min="3593" max="3593" width="37.85546875" bestFit="1" customWidth="1"/>
    <col min="3594" max="3594" width="13.42578125" customWidth="1"/>
    <col min="3595" max="3595" width="12.42578125" customWidth="1"/>
    <col min="3597" max="3597" width="20.28515625" customWidth="1"/>
    <col min="3844" max="3844" width="28.140625" customWidth="1"/>
    <col min="3845" max="3845" width="40.28515625" customWidth="1"/>
    <col min="3846" max="3846" width="28.42578125" customWidth="1"/>
    <col min="3847" max="3847" width="17" customWidth="1"/>
    <col min="3848" max="3848" width="14.140625" customWidth="1"/>
    <col min="3849" max="3849" width="37.85546875" bestFit="1" customWidth="1"/>
    <col min="3850" max="3850" width="13.42578125" customWidth="1"/>
    <col min="3851" max="3851" width="12.42578125" customWidth="1"/>
    <col min="3853" max="3853" width="20.28515625" customWidth="1"/>
    <col min="4100" max="4100" width="28.140625" customWidth="1"/>
    <col min="4101" max="4101" width="40.28515625" customWidth="1"/>
    <col min="4102" max="4102" width="28.42578125" customWidth="1"/>
    <col min="4103" max="4103" width="17" customWidth="1"/>
    <col min="4104" max="4104" width="14.140625" customWidth="1"/>
    <col min="4105" max="4105" width="37.85546875" bestFit="1" customWidth="1"/>
    <col min="4106" max="4106" width="13.42578125" customWidth="1"/>
    <col min="4107" max="4107" width="12.42578125" customWidth="1"/>
    <col min="4109" max="4109" width="20.28515625" customWidth="1"/>
    <col min="4356" max="4356" width="28.140625" customWidth="1"/>
    <col min="4357" max="4357" width="40.28515625" customWidth="1"/>
    <col min="4358" max="4358" width="28.42578125" customWidth="1"/>
    <col min="4359" max="4359" width="17" customWidth="1"/>
    <col min="4360" max="4360" width="14.140625" customWidth="1"/>
    <col min="4361" max="4361" width="37.85546875" bestFit="1" customWidth="1"/>
    <col min="4362" max="4362" width="13.42578125" customWidth="1"/>
    <col min="4363" max="4363" width="12.42578125" customWidth="1"/>
    <col min="4365" max="4365" width="20.28515625" customWidth="1"/>
    <col min="4612" max="4612" width="28.140625" customWidth="1"/>
    <col min="4613" max="4613" width="40.28515625" customWidth="1"/>
    <col min="4614" max="4614" width="28.42578125" customWidth="1"/>
    <col min="4615" max="4615" width="17" customWidth="1"/>
    <col min="4616" max="4616" width="14.140625" customWidth="1"/>
    <col min="4617" max="4617" width="37.85546875" bestFit="1" customWidth="1"/>
    <col min="4618" max="4618" width="13.42578125" customWidth="1"/>
    <col min="4619" max="4619" width="12.42578125" customWidth="1"/>
    <col min="4621" max="4621" width="20.28515625" customWidth="1"/>
    <col min="4868" max="4868" width="28.140625" customWidth="1"/>
    <col min="4869" max="4869" width="40.28515625" customWidth="1"/>
    <col min="4870" max="4870" width="28.42578125" customWidth="1"/>
    <col min="4871" max="4871" width="17" customWidth="1"/>
    <col min="4872" max="4872" width="14.140625" customWidth="1"/>
    <col min="4873" max="4873" width="37.85546875" bestFit="1" customWidth="1"/>
    <col min="4874" max="4874" width="13.42578125" customWidth="1"/>
    <col min="4875" max="4875" width="12.42578125" customWidth="1"/>
    <col min="4877" max="4877" width="20.28515625" customWidth="1"/>
    <col min="5124" max="5124" width="28.140625" customWidth="1"/>
    <col min="5125" max="5125" width="40.28515625" customWidth="1"/>
    <col min="5126" max="5126" width="28.42578125" customWidth="1"/>
    <col min="5127" max="5127" width="17" customWidth="1"/>
    <col min="5128" max="5128" width="14.140625" customWidth="1"/>
    <col min="5129" max="5129" width="37.85546875" bestFit="1" customWidth="1"/>
    <col min="5130" max="5130" width="13.42578125" customWidth="1"/>
    <col min="5131" max="5131" width="12.42578125" customWidth="1"/>
    <col min="5133" max="5133" width="20.28515625" customWidth="1"/>
    <col min="5380" max="5380" width="28.140625" customWidth="1"/>
    <col min="5381" max="5381" width="40.28515625" customWidth="1"/>
    <col min="5382" max="5382" width="28.42578125" customWidth="1"/>
    <col min="5383" max="5383" width="17" customWidth="1"/>
    <col min="5384" max="5384" width="14.140625" customWidth="1"/>
    <col min="5385" max="5385" width="37.85546875" bestFit="1" customWidth="1"/>
    <col min="5386" max="5386" width="13.42578125" customWidth="1"/>
    <col min="5387" max="5387" width="12.42578125" customWidth="1"/>
    <col min="5389" max="5389" width="20.28515625" customWidth="1"/>
    <col min="5636" max="5636" width="28.140625" customWidth="1"/>
    <col min="5637" max="5637" width="40.28515625" customWidth="1"/>
    <col min="5638" max="5638" width="28.42578125" customWidth="1"/>
    <col min="5639" max="5639" width="17" customWidth="1"/>
    <col min="5640" max="5640" width="14.140625" customWidth="1"/>
    <col min="5641" max="5641" width="37.85546875" bestFit="1" customWidth="1"/>
    <col min="5642" max="5642" width="13.42578125" customWidth="1"/>
    <col min="5643" max="5643" width="12.42578125" customWidth="1"/>
    <col min="5645" max="5645" width="20.28515625" customWidth="1"/>
    <col min="5892" max="5892" width="28.140625" customWidth="1"/>
    <col min="5893" max="5893" width="40.28515625" customWidth="1"/>
    <col min="5894" max="5894" width="28.42578125" customWidth="1"/>
    <col min="5895" max="5895" width="17" customWidth="1"/>
    <col min="5896" max="5896" width="14.140625" customWidth="1"/>
    <col min="5897" max="5897" width="37.85546875" bestFit="1" customWidth="1"/>
    <col min="5898" max="5898" width="13.42578125" customWidth="1"/>
    <col min="5899" max="5899" width="12.42578125" customWidth="1"/>
    <col min="5901" max="5901" width="20.28515625" customWidth="1"/>
    <col min="6148" max="6148" width="28.140625" customWidth="1"/>
    <col min="6149" max="6149" width="40.28515625" customWidth="1"/>
    <col min="6150" max="6150" width="28.42578125" customWidth="1"/>
    <col min="6151" max="6151" width="17" customWidth="1"/>
    <col min="6152" max="6152" width="14.140625" customWidth="1"/>
    <col min="6153" max="6153" width="37.85546875" bestFit="1" customWidth="1"/>
    <col min="6154" max="6154" width="13.42578125" customWidth="1"/>
    <col min="6155" max="6155" width="12.42578125" customWidth="1"/>
    <col min="6157" max="6157" width="20.28515625" customWidth="1"/>
    <col min="6404" max="6404" width="28.140625" customWidth="1"/>
    <col min="6405" max="6405" width="40.28515625" customWidth="1"/>
    <col min="6406" max="6406" width="28.42578125" customWidth="1"/>
    <col min="6407" max="6407" width="17" customWidth="1"/>
    <col min="6408" max="6408" width="14.140625" customWidth="1"/>
    <col min="6409" max="6409" width="37.85546875" bestFit="1" customWidth="1"/>
    <col min="6410" max="6410" width="13.42578125" customWidth="1"/>
    <col min="6411" max="6411" width="12.42578125" customWidth="1"/>
    <col min="6413" max="6413" width="20.28515625" customWidth="1"/>
    <col min="6660" max="6660" width="28.140625" customWidth="1"/>
    <col min="6661" max="6661" width="40.28515625" customWidth="1"/>
    <col min="6662" max="6662" width="28.42578125" customWidth="1"/>
    <col min="6663" max="6663" width="17" customWidth="1"/>
    <col min="6664" max="6664" width="14.140625" customWidth="1"/>
    <col min="6665" max="6665" width="37.85546875" bestFit="1" customWidth="1"/>
    <col min="6666" max="6666" width="13.42578125" customWidth="1"/>
    <col min="6667" max="6667" width="12.42578125" customWidth="1"/>
    <col min="6669" max="6669" width="20.28515625" customWidth="1"/>
    <col min="6916" max="6916" width="28.140625" customWidth="1"/>
    <col min="6917" max="6917" width="40.28515625" customWidth="1"/>
    <col min="6918" max="6918" width="28.42578125" customWidth="1"/>
    <col min="6919" max="6919" width="17" customWidth="1"/>
    <col min="6920" max="6920" width="14.140625" customWidth="1"/>
    <col min="6921" max="6921" width="37.85546875" bestFit="1" customWidth="1"/>
    <col min="6922" max="6922" width="13.42578125" customWidth="1"/>
    <col min="6923" max="6923" width="12.42578125" customWidth="1"/>
    <col min="6925" max="6925" width="20.28515625" customWidth="1"/>
    <col min="7172" max="7172" width="28.140625" customWidth="1"/>
    <col min="7173" max="7173" width="40.28515625" customWidth="1"/>
    <col min="7174" max="7174" width="28.42578125" customWidth="1"/>
    <col min="7175" max="7175" width="17" customWidth="1"/>
    <col min="7176" max="7176" width="14.140625" customWidth="1"/>
    <col min="7177" max="7177" width="37.85546875" bestFit="1" customWidth="1"/>
    <col min="7178" max="7178" width="13.42578125" customWidth="1"/>
    <col min="7179" max="7179" width="12.42578125" customWidth="1"/>
    <col min="7181" max="7181" width="20.28515625" customWidth="1"/>
    <col min="7428" max="7428" width="28.140625" customWidth="1"/>
    <col min="7429" max="7429" width="40.28515625" customWidth="1"/>
    <col min="7430" max="7430" width="28.42578125" customWidth="1"/>
    <col min="7431" max="7431" width="17" customWidth="1"/>
    <col min="7432" max="7432" width="14.140625" customWidth="1"/>
    <col min="7433" max="7433" width="37.85546875" bestFit="1" customWidth="1"/>
    <col min="7434" max="7434" width="13.42578125" customWidth="1"/>
    <col min="7435" max="7435" width="12.42578125" customWidth="1"/>
    <col min="7437" max="7437" width="20.28515625" customWidth="1"/>
    <col min="7684" max="7684" width="28.140625" customWidth="1"/>
    <col min="7685" max="7685" width="40.28515625" customWidth="1"/>
    <col min="7686" max="7686" width="28.42578125" customWidth="1"/>
    <col min="7687" max="7687" width="17" customWidth="1"/>
    <col min="7688" max="7688" width="14.140625" customWidth="1"/>
    <col min="7689" max="7689" width="37.85546875" bestFit="1" customWidth="1"/>
    <col min="7690" max="7690" width="13.42578125" customWidth="1"/>
    <col min="7691" max="7691" width="12.42578125" customWidth="1"/>
    <col min="7693" max="7693" width="20.28515625" customWidth="1"/>
    <col min="7940" max="7940" width="28.140625" customWidth="1"/>
    <col min="7941" max="7941" width="40.28515625" customWidth="1"/>
    <col min="7942" max="7942" width="28.42578125" customWidth="1"/>
    <col min="7943" max="7943" width="17" customWidth="1"/>
    <col min="7944" max="7944" width="14.140625" customWidth="1"/>
    <col min="7945" max="7945" width="37.85546875" bestFit="1" customWidth="1"/>
    <col min="7946" max="7946" width="13.42578125" customWidth="1"/>
    <col min="7947" max="7947" width="12.42578125" customWidth="1"/>
    <col min="7949" max="7949" width="20.28515625" customWidth="1"/>
    <col min="8196" max="8196" width="28.140625" customWidth="1"/>
    <col min="8197" max="8197" width="40.28515625" customWidth="1"/>
    <col min="8198" max="8198" width="28.42578125" customWidth="1"/>
    <col min="8199" max="8199" width="17" customWidth="1"/>
    <col min="8200" max="8200" width="14.140625" customWidth="1"/>
    <col min="8201" max="8201" width="37.85546875" bestFit="1" customWidth="1"/>
    <col min="8202" max="8202" width="13.42578125" customWidth="1"/>
    <col min="8203" max="8203" width="12.42578125" customWidth="1"/>
    <col min="8205" max="8205" width="20.28515625" customWidth="1"/>
    <col min="8452" max="8452" width="28.140625" customWidth="1"/>
    <col min="8453" max="8453" width="40.28515625" customWidth="1"/>
    <col min="8454" max="8454" width="28.42578125" customWidth="1"/>
    <col min="8455" max="8455" width="17" customWidth="1"/>
    <col min="8456" max="8456" width="14.140625" customWidth="1"/>
    <col min="8457" max="8457" width="37.85546875" bestFit="1" customWidth="1"/>
    <col min="8458" max="8458" width="13.42578125" customWidth="1"/>
    <col min="8459" max="8459" width="12.42578125" customWidth="1"/>
    <col min="8461" max="8461" width="20.28515625" customWidth="1"/>
    <col min="8708" max="8708" width="28.140625" customWidth="1"/>
    <col min="8709" max="8709" width="40.28515625" customWidth="1"/>
    <col min="8710" max="8710" width="28.42578125" customWidth="1"/>
    <col min="8711" max="8711" width="17" customWidth="1"/>
    <col min="8712" max="8712" width="14.140625" customWidth="1"/>
    <col min="8713" max="8713" width="37.85546875" bestFit="1" customWidth="1"/>
    <col min="8714" max="8714" width="13.42578125" customWidth="1"/>
    <col min="8715" max="8715" width="12.42578125" customWidth="1"/>
    <col min="8717" max="8717" width="20.28515625" customWidth="1"/>
    <col min="8964" max="8964" width="28.140625" customWidth="1"/>
    <col min="8965" max="8965" width="40.28515625" customWidth="1"/>
    <col min="8966" max="8966" width="28.42578125" customWidth="1"/>
    <col min="8967" max="8967" width="17" customWidth="1"/>
    <col min="8968" max="8968" width="14.140625" customWidth="1"/>
    <col min="8969" max="8969" width="37.85546875" bestFit="1" customWidth="1"/>
    <col min="8970" max="8970" width="13.42578125" customWidth="1"/>
    <col min="8971" max="8971" width="12.42578125" customWidth="1"/>
    <col min="8973" max="8973" width="20.28515625" customWidth="1"/>
    <col min="9220" max="9220" width="28.140625" customWidth="1"/>
    <col min="9221" max="9221" width="40.28515625" customWidth="1"/>
    <col min="9222" max="9222" width="28.42578125" customWidth="1"/>
    <col min="9223" max="9223" width="17" customWidth="1"/>
    <col min="9224" max="9224" width="14.140625" customWidth="1"/>
    <col min="9225" max="9225" width="37.85546875" bestFit="1" customWidth="1"/>
    <col min="9226" max="9226" width="13.42578125" customWidth="1"/>
    <col min="9227" max="9227" width="12.42578125" customWidth="1"/>
    <col min="9229" max="9229" width="20.28515625" customWidth="1"/>
    <col min="9476" max="9476" width="28.140625" customWidth="1"/>
    <col min="9477" max="9477" width="40.28515625" customWidth="1"/>
    <col min="9478" max="9478" width="28.42578125" customWidth="1"/>
    <col min="9479" max="9479" width="17" customWidth="1"/>
    <col min="9480" max="9480" width="14.140625" customWidth="1"/>
    <col min="9481" max="9481" width="37.85546875" bestFit="1" customWidth="1"/>
    <col min="9482" max="9482" width="13.42578125" customWidth="1"/>
    <col min="9483" max="9483" width="12.42578125" customWidth="1"/>
    <col min="9485" max="9485" width="20.28515625" customWidth="1"/>
    <col min="9732" max="9732" width="28.140625" customWidth="1"/>
    <col min="9733" max="9733" width="40.28515625" customWidth="1"/>
    <col min="9734" max="9734" width="28.42578125" customWidth="1"/>
    <col min="9735" max="9735" width="17" customWidth="1"/>
    <col min="9736" max="9736" width="14.140625" customWidth="1"/>
    <col min="9737" max="9737" width="37.85546875" bestFit="1" customWidth="1"/>
    <col min="9738" max="9738" width="13.42578125" customWidth="1"/>
    <col min="9739" max="9739" width="12.42578125" customWidth="1"/>
    <col min="9741" max="9741" width="20.28515625" customWidth="1"/>
    <col min="9988" max="9988" width="28.140625" customWidth="1"/>
    <col min="9989" max="9989" width="40.28515625" customWidth="1"/>
    <col min="9990" max="9990" width="28.42578125" customWidth="1"/>
    <col min="9991" max="9991" width="17" customWidth="1"/>
    <col min="9992" max="9992" width="14.140625" customWidth="1"/>
    <col min="9993" max="9993" width="37.85546875" bestFit="1" customWidth="1"/>
    <col min="9994" max="9994" width="13.42578125" customWidth="1"/>
    <col min="9995" max="9995" width="12.42578125" customWidth="1"/>
    <col min="9997" max="9997" width="20.28515625" customWidth="1"/>
    <col min="10244" max="10244" width="28.140625" customWidth="1"/>
    <col min="10245" max="10245" width="40.28515625" customWidth="1"/>
    <col min="10246" max="10246" width="28.42578125" customWidth="1"/>
    <col min="10247" max="10247" width="17" customWidth="1"/>
    <col min="10248" max="10248" width="14.140625" customWidth="1"/>
    <col min="10249" max="10249" width="37.85546875" bestFit="1" customWidth="1"/>
    <col min="10250" max="10250" width="13.42578125" customWidth="1"/>
    <col min="10251" max="10251" width="12.42578125" customWidth="1"/>
    <col min="10253" max="10253" width="20.28515625" customWidth="1"/>
    <col min="10500" max="10500" width="28.140625" customWidth="1"/>
    <col min="10501" max="10501" width="40.28515625" customWidth="1"/>
    <col min="10502" max="10502" width="28.42578125" customWidth="1"/>
    <col min="10503" max="10503" width="17" customWidth="1"/>
    <col min="10504" max="10504" width="14.140625" customWidth="1"/>
    <col min="10505" max="10505" width="37.85546875" bestFit="1" customWidth="1"/>
    <col min="10506" max="10506" width="13.42578125" customWidth="1"/>
    <col min="10507" max="10507" width="12.42578125" customWidth="1"/>
    <col min="10509" max="10509" width="20.28515625" customWidth="1"/>
    <col min="10756" max="10756" width="28.140625" customWidth="1"/>
    <col min="10757" max="10757" width="40.28515625" customWidth="1"/>
    <col min="10758" max="10758" width="28.42578125" customWidth="1"/>
    <col min="10759" max="10759" width="17" customWidth="1"/>
    <col min="10760" max="10760" width="14.140625" customWidth="1"/>
    <col min="10761" max="10761" width="37.85546875" bestFit="1" customWidth="1"/>
    <col min="10762" max="10762" width="13.42578125" customWidth="1"/>
    <col min="10763" max="10763" width="12.42578125" customWidth="1"/>
    <col min="10765" max="10765" width="20.28515625" customWidth="1"/>
    <col min="11012" max="11012" width="28.140625" customWidth="1"/>
    <col min="11013" max="11013" width="40.28515625" customWidth="1"/>
    <col min="11014" max="11014" width="28.42578125" customWidth="1"/>
    <col min="11015" max="11015" width="17" customWidth="1"/>
    <col min="11016" max="11016" width="14.140625" customWidth="1"/>
    <col min="11017" max="11017" width="37.85546875" bestFit="1" customWidth="1"/>
    <col min="11018" max="11018" width="13.42578125" customWidth="1"/>
    <col min="11019" max="11019" width="12.42578125" customWidth="1"/>
    <col min="11021" max="11021" width="20.28515625" customWidth="1"/>
    <col min="11268" max="11268" width="28.140625" customWidth="1"/>
    <col min="11269" max="11269" width="40.28515625" customWidth="1"/>
    <col min="11270" max="11270" width="28.42578125" customWidth="1"/>
    <col min="11271" max="11271" width="17" customWidth="1"/>
    <col min="11272" max="11272" width="14.140625" customWidth="1"/>
    <col min="11273" max="11273" width="37.85546875" bestFit="1" customWidth="1"/>
    <col min="11274" max="11274" width="13.42578125" customWidth="1"/>
    <col min="11275" max="11275" width="12.42578125" customWidth="1"/>
    <col min="11277" max="11277" width="20.28515625" customWidth="1"/>
    <col min="11524" max="11524" width="28.140625" customWidth="1"/>
    <col min="11525" max="11525" width="40.28515625" customWidth="1"/>
    <col min="11526" max="11526" width="28.42578125" customWidth="1"/>
    <col min="11527" max="11527" width="17" customWidth="1"/>
    <col min="11528" max="11528" width="14.140625" customWidth="1"/>
    <col min="11529" max="11529" width="37.85546875" bestFit="1" customWidth="1"/>
    <col min="11530" max="11530" width="13.42578125" customWidth="1"/>
    <col min="11531" max="11531" width="12.42578125" customWidth="1"/>
    <col min="11533" max="11533" width="20.28515625" customWidth="1"/>
    <col min="11780" max="11780" width="28.140625" customWidth="1"/>
    <col min="11781" max="11781" width="40.28515625" customWidth="1"/>
    <col min="11782" max="11782" width="28.42578125" customWidth="1"/>
    <col min="11783" max="11783" width="17" customWidth="1"/>
    <col min="11784" max="11784" width="14.140625" customWidth="1"/>
    <col min="11785" max="11785" width="37.85546875" bestFit="1" customWidth="1"/>
    <col min="11786" max="11786" width="13.42578125" customWidth="1"/>
    <col min="11787" max="11787" width="12.42578125" customWidth="1"/>
    <col min="11789" max="11789" width="20.28515625" customWidth="1"/>
    <col min="12036" max="12036" width="28.140625" customWidth="1"/>
    <col min="12037" max="12037" width="40.28515625" customWidth="1"/>
    <col min="12038" max="12038" width="28.42578125" customWidth="1"/>
    <col min="12039" max="12039" width="17" customWidth="1"/>
    <col min="12040" max="12040" width="14.140625" customWidth="1"/>
    <col min="12041" max="12041" width="37.85546875" bestFit="1" customWidth="1"/>
    <col min="12042" max="12042" width="13.42578125" customWidth="1"/>
    <col min="12043" max="12043" width="12.42578125" customWidth="1"/>
    <col min="12045" max="12045" width="20.28515625" customWidth="1"/>
    <col min="12292" max="12292" width="28.140625" customWidth="1"/>
    <col min="12293" max="12293" width="40.28515625" customWidth="1"/>
    <col min="12294" max="12294" width="28.42578125" customWidth="1"/>
    <col min="12295" max="12295" width="17" customWidth="1"/>
    <col min="12296" max="12296" width="14.140625" customWidth="1"/>
    <col min="12297" max="12297" width="37.85546875" bestFit="1" customWidth="1"/>
    <col min="12298" max="12298" width="13.42578125" customWidth="1"/>
    <col min="12299" max="12299" width="12.42578125" customWidth="1"/>
    <col min="12301" max="12301" width="20.28515625" customWidth="1"/>
    <col min="12548" max="12548" width="28.140625" customWidth="1"/>
    <col min="12549" max="12549" width="40.28515625" customWidth="1"/>
    <col min="12550" max="12550" width="28.42578125" customWidth="1"/>
    <col min="12551" max="12551" width="17" customWidth="1"/>
    <col min="12552" max="12552" width="14.140625" customWidth="1"/>
    <col min="12553" max="12553" width="37.85546875" bestFit="1" customWidth="1"/>
    <col min="12554" max="12554" width="13.42578125" customWidth="1"/>
    <col min="12555" max="12555" width="12.42578125" customWidth="1"/>
    <col min="12557" max="12557" width="20.28515625" customWidth="1"/>
    <col min="12804" max="12804" width="28.140625" customWidth="1"/>
    <col min="12805" max="12805" width="40.28515625" customWidth="1"/>
    <col min="12806" max="12806" width="28.42578125" customWidth="1"/>
    <col min="12807" max="12807" width="17" customWidth="1"/>
    <col min="12808" max="12808" width="14.140625" customWidth="1"/>
    <col min="12809" max="12809" width="37.85546875" bestFit="1" customWidth="1"/>
    <col min="12810" max="12810" width="13.42578125" customWidth="1"/>
    <col min="12811" max="12811" width="12.42578125" customWidth="1"/>
    <col min="12813" max="12813" width="20.28515625" customWidth="1"/>
    <col min="13060" max="13060" width="28.140625" customWidth="1"/>
    <col min="13061" max="13061" width="40.28515625" customWidth="1"/>
    <col min="13062" max="13062" width="28.42578125" customWidth="1"/>
    <col min="13063" max="13063" width="17" customWidth="1"/>
    <col min="13064" max="13064" width="14.140625" customWidth="1"/>
    <col min="13065" max="13065" width="37.85546875" bestFit="1" customWidth="1"/>
    <col min="13066" max="13066" width="13.42578125" customWidth="1"/>
    <col min="13067" max="13067" width="12.42578125" customWidth="1"/>
    <col min="13069" max="13069" width="20.28515625" customWidth="1"/>
    <col min="13316" max="13316" width="28.140625" customWidth="1"/>
    <col min="13317" max="13317" width="40.28515625" customWidth="1"/>
    <col min="13318" max="13318" width="28.42578125" customWidth="1"/>
    <col min="13319" max="13319" width="17" customWidth="1"/>
    <col min="13320" max="13320" width="14.140625" customWidth="1"/>
    <col min="13321" max="13321" width="37.85546875" bestFit="1" customWidth="1"/>
    <col min="13322" max="13322" width="13.42578125" customWidth="1"/>
    <col min="13323" max="13323" width="12.42578125" customWidth="1"/>
    <col min="13325" max="13325" width="20.28515625" customWidth="1"/>
    <col min="13572" max="13572" width="28.140625" customWidth="1"/>
    <col min="13573" max="13573" width="40.28515625" customWidth="1"/>
    <col min="13574" max="13574" width="28.42578125" customWidth="1"/>
    <col min="13575" max="13575" width="17" customWidth="1"/>
    <col min="13576" max="13576" width="14.140625" customWidth="1"/>
    <col min="13577" max="13577" width="37.85546875" bestFit="1" customWidth="1"/>
    <col min="13578" max="13578" width="13.42578125" customWidth="1"/>
    <col min="13579" max="13579" width="12.42578125" customWidth="1"/>
    <col min="13581" max="13581" width="20.28515625" customWidth="1"/>
    <col min="13828" max="13828" width="28.140625" customWidth="1"/>
    <col min="13829" max="13829" width="40.28515625" customWidth="1"/>
    <col min="13830" max="13830" width="28.42578125" customWidth="1"/>
    <col min="13831" max="13831" width="17" customWidth="1"/>
    <col min="13832" max="13832" width="14.140625" customWidth="1"/>
    <col min="13833" max="13833" width="37.85546875" bestFit="1" customWidth="1"/>
    <col min="13834" max="13834" width="13.42578125" customWidth="1"/>
    <col min="13835" max="13835" width="12.42578125" customWidth="1"/>
    <col min="13837" max="13837" width="20.28515625" customWidth="1"/>
    <col min="14084" max="14084" width="28.140625" customWidth="1"/>
    <col min="14085" max="14085" width="40.28515625" customWidth="1"/>
    <col min="14086" max="14086" width="28.42578125" customWidth="1"/>
    <col min="14087" max="14087" width="17" customWidth="1"/>
    <col min="14088" max="14088" width="14.140625" customWidth="1"/>
    <col min="14089" max="14089" width="37.85546875" bestFit="1" customWidth="1"/>
    <col min="14090" max="14090" width="13.42578125" customWidth="1"/>
    <col min="14091" max="14091" width="12.42578125" customWidth="1"/>
    <col min="14093" max="14093" width="20.28515625" customWidth="1"/>
    <col min="14340" max="14340" width="28.140625" customWidth="1"/>
    <col min="14341" max="14341" width="40.28515625" customWidth="1"/>
    <col min="14342" max="14342" width="28.42578125" customWidth="1"/>
    <col min="14343" max="14343" width="17" customWidth="1"/>
    <col min="14344" max="14344" width="14.140625" customWidth="1"/>
    <col min="14345" max="14345" width="37.85546875" bestFit="1" customWidth="1"/>
    <col min="14346" max="14346" width="13.42578125" customWidth="1"/>
    <col min="14347" max="14347" width="12.42578125" customWidth="1"/>
    <col min="14349" max="14349" width="20.28515625" customWidth="1"/>
    <col min="14596" max="14596" width="28.140625" customWidth="1"/>
    <col min="14597" max="14597" width="40.28515625" customWidth="1"/>
    <col min="14598" max="14598" width="28.42578125" customWidth="1"/>
    <col min="14599" max="14599" width="17" customWidth="1"/>
    <col min="14600" max="14600" width="14.140625" customWidth="1"/>
    <col min="14601" max="14601" width="37.85546875" bestFit="1" customWidth="1"/>
    <col min="14602" max="14602" width="13.42578125" customWidth="1"/>
    <col min="14603" max="14603" width="12.42578125" customWidth="1"/>
    <col min="14605" max="14605" width="20.28515625" customWidth="1"/>
    <col min="14852" max="14852" width="28.140625" customWidth="1"/>
    <col min="14853" max="14853" width="40.28515625" customWidth="1"/>
    <col min="14854" max="14854" width="28.42578125" customWidth="1"/>
    <col min="14855" max="14855" width="17" customWidth="1"/>
    <col min="14856" max="14856" width="14.140625" customWidth="1"/>
    <col min="14857" max="14857" width="37.85546875" bestFit="1" customWidth="1"/>
    <col min="14858" max="14858" width="13.42578125" customWidth="1"/>
    <col min="14859" max="14859" width="12.42578125" customWidth="1"/>
    <col min="14861" max="14861" width="20.28515625" customWidth="1"/>
    <col min="15108" max="15108" width="28.140625" customWidth="1"/>
    <col min="15109" max="15109" width="40.28515625" customWidth="1"/>
    <col min="15110" max="15110" width="28.42578125" customWidth="1"/>
    <col min="15111" max="15111" width="17" customWidth="1"/>
    <col min="15112" max="15112" width="14.140625" customWidth="1"/>
    <col min="15113" max="15113" width="37.85546875" bestFit="1" customWidth="1"/>
    <col min="15114" max="15114" width="13.42578125" customWidth="1"/>
    <col min="15115" max="15115" width="12.42578125" customWidth="1"/>
    <col min="15117" max="15117" width="20.28515625" customWidth="1"/>
    <col min="15364" max="15364" width="28.140625" customWidth="1"/>
    <col min="15365" max="15365" width="40.28515625" customWidth="1"/>
    <col min="15366" max="15366" width="28.42578125" customWidth="1"/>
    <col min="15367" max="15367" width="17" customWidth="1"/>
    <col min="15368" max="15368" width="14.140625" customWidth="1"/>
    <col min="15369" max="15369" width="37.85546875" bestFit="1" customWidth="1"/>
    <col min="15370" max="15370" width="13.42578125" customWidth="1"/>
    <col min="15371" max="15371" width="12.42578125" customWidth="1"/>
    <col min="15373" max="15373" width="20.28515625" customWidth="1"/>
    <col min="15620" max="15620" width="28.140625" customWidth="1"/>
    <col min="15621" max="15621" width="40.28515625" customWidth="1"/>
    <col min="15622" max="15622" width="28.42578125" customWidth="1"/>
    <col min="15623" max="15623" width="17" customWidth="1"/>
    <col min="15624" max="15624" width="14.140625" customWidth="1"/>
    <col min="15625" max="15625" width="37.85546875" bestFit="1" customWidth="1"/>
    <col min="15626" max="15626" width="13.42578125" customWidth="1"/>
    <col min="15627" max="15627" width="12.42578125" customWidth="1"/>
    <col min="15629" max="15629" width="20.28515625" customWidth="1"/>
    <col min="15876" max="15876" width="28.140625" customWidth="1"/>
    <col min="15877" max="15877" width="40.28515625" customWidth="1"/>
    <col min="15878" max="15878" width="28.42578125" customWidth="1"/>
    <col min="15879" max="15879" width="17" customWidth="1"/>
    <col min="15880" max="15880" width="14.140625" customWidth="1"/>
    <col min="15881" max="15881" width="37.85546875" bestFit="1" customWidth="1"/>
    <col min="15882" max="15882" width="13.42578125" customWidth="1"/>
    <col min="15883" max="15883" width="12.42578125" customWidth="1"/>
    <col min="15885" max="15885" width="20.28515625" customWidth="1"/>
    <col min="16132" max="16132" width="28.140625" customWidth="1"/>
    <col min="16133" max="16133" width="40.28515625" customWidth="1"/>
    <col min="16134" max="16134" width="28.42578125" customWidth="1"/>
    <col min="16135" max="16135" width="17" customWidth="1"/>
    <col min="16136" max="16136" width="14.140625" customWidth="1"/>
    <col min="16137" max="16137" width="37.85546875" bestFit="1" customWidth="1"/>
    <col min="16138" max="16138" width="13.42578125" customWidth="1"/>
    <col min="16139" max="16139" width="12.42578125" customWidth="1"/>
    <col min="16141" max="16141" width="20.28515625" customWidth="1"/>
  </cols>
  <sheetData>
    <row r="1" spans="1:9" s="335" customFormat="1" ht="23.25" customHeight="1" thickBot="1">
      <c r="A1" s="1310" t="s">
        <v>1807</v>
      </c>
      <c r="B1" s="1311"/>
      <c r="C1" s="1311"/>
      <c r="D1" s="1311"/>
      <c r="E1" s="1311"/>
      <c r="F1" s="1311"/>
      <c r="G1" s="1311"/>
      <c r="H1" s="1311"/>
      <c r="I1" s="1312"/>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1810</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1815</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21</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1534</v>
      </c>
      <c r="B14" s="1322"/>
      <c r="C14" s="1323"/>
      <c r="D14" s="1324" t="s">
        <v>1819</v>
      </c>
      <c r="E14" s="1322"/>
      <c r="F14" s="1323"/>
      <c r="G14" s="1325" t="s">
        <v>1820</v>
      </c>
      <c r="H14" s="1326"/>
      <c r="I14" s="1327"/>
    </row>
    <row r="15" spans="1:9" s="335" customFormat="1" ht="30" customHeight="1">
      <c r="A15" s="1301" t="s">
        <v>1821</v>
      </c>
      <c r="B15" s="1302"/>
      <c r="C15" s="1303"/>
      <c r="D15" s="1304" t="s">
        <v>1822</v>
      </c>
      <c r="E15" s="1302"/>
      <c r="F15" s="1303"/>
      <c r="G15" s="1304">
        <v>1</v>
      </c>
      <c r="H15" s="1302"/>
      <c r="I15" s="1305"/>
    </row>
    <row r="16" spans="1:9" s="335" customFormat="1" ht="8.25" customHeight="1">
      <c r="A16" s="1044"/>
      <c r="B16" s="1045"/>
      <c r="C16" s="1045"/>
      <c r="D16" s="1045"/>
      <c r="E16" s="1045"/>
      <c r="F16" s="1045"/>
      <c r="G16" s="1045"/>
      <c r="H16" s="1045"/>
      <c r="I16" s="1046"/>
    </row>
    <row r="17" spans="1:10" s="335" customFormat="1" ht="26.25" customHeight="1">
      <c r="A17" s="1290" t="s">
        <v>1823</v>
      </c>
      <c r="B17" s="1291"/>
      <c r="C17" s="1291"/>
      <c r="D17" s="1291"/>
      <c r="E17" s="1291"/>
      <c r="F17" s="1291"/>
      <c r="G17" s="1292"/>
      <c r="H17" s="1292"/>
      <c r="I17" s="1293"/>
    </row>
    <row r="18" spans="1:10" s="335" customFormat="1" ht="32.25" customHeight="1">
      <c r="A18" s="1294" t="s">
        <v>1824</v>
      </c>
      <c r="B18" s="1295"/>
      <c r="C18" s="1295"/>
      <c r="D18" s="1295"/>
      <c r="E18" s="1295"/>
      <c r="F18" s="1295"/>
      <c r="G18" s="1292"/>
      <c r="H18" s="1292"/>
      <c r="I18" s="1293"/>
    </row>
    <row r="19" spans="1:10" s="335" customFormat="1" ht="27.75" customHeight="1">
      <c r="A19" s="1296" t="s">
        <v>1825</v>
      </c>
      <c r="B19" s="1297"/>
      <c r="C19" s="1297"/>
      <c r="D19" s="1297"/>
      <c r="E19" s="1297"/>
      <c r="F19" s="1297"/>
      <c r="G19" s="1298"/>
      <c r="H19" s="1299"/>
      <c r="I19" s="1300"/>
    </row>
    <row r="20" spans="1:10" s="335" customFormat="1" ht="33.75" customHeight="1">
      <c r="A20" s="343">
        <v>1</v>
      </c>
      <c r="B20" s="1274" t="s">
        <v>1566</v>
      </c>
      <c r="C20" s="1275"/>
      <c r="D20" s="1275"/>
      <c r="E20" s="1275"/>
      <c r="F20" s="1275"/>
      <c r="G20" s="1284" t="s">
        <v>1826</v>
      </c>
      <c r="H20" s="1285"/>
      <c r="I20" s="1286"/>
    </row>
    <row r="21" spans="1:10" s="335" customFormat="1" ht="30.75" customHeight="1">
      <c r="A21" s="343">
        <v>2</v>
      </c>
      <c r="B21" s="1274" t="s">
        <v>1827</v>
      </c>
      <c r="C21" s="1275"/>
      <c r="D21" s="1275"/>
      <c r="E21" s="1275"/>
      <c r="F21" s="1275"/>
      <c r="G21" s="1276" t="s">
        <v>1828</v>
      </c>
      <c r="H21" s="1277"/>
      <c r="I21" s="1278"/>
    </row>
    <row r="22" spans="1:10" s="335" customFormat="1" ht="27" customHeight="1">
      <c r="A22" s="343">
        <v>3</v>
      </c>
      <c r="B22" s="1274" t="s">
        <v>1570</v>
      </c>
      <c r="C22" s="1275"/>
      <c r="D22" s="1275"/>
      <c r="E22" s="1275"/>
      <c r="F22" s="1275"/>
      <c r="G22" s="1287">
        <v>1629.62</v>
      </c>
      <c r="H22" s="1288"/>
      <c r="I22" s="1289"/>
      <c r="J22" s="350"/>
    </row>
    <row r="23" spans="1:10" s="335" customFormat="1" ht="29.25" customHeight="1">
      <c r="A23" s="343">
        <v>4</v>
      </c>
      <c r="B23" s="1274" t="s">
        <v>1829</v>
      </c>
      <c r="C23" s="1275"/>
      <c r="D23" s="1275"/>
      <c r="E23" s="1275"/>
      <c r="F23" s="1275"/>
      <c r="G23" s="1276" t="s">
        <v>1830</v>
      </c>
      <c r="H23" s="1277"/>
      <c r="I23" s="1278"/>
      <c r="J23" s="350"/>
    </row>
    <row r="24" spans="1:10" s="335" customFormat="1" ht="28.5" customHeight="1" thickBot="1">
      <c r="A24" s="343">
        <v>5</v>
      </c>
      <c r="B24" s="1274" t="s">
        <v>1573</v>
      </c>
      <c r="C24" s="1275"/>
      <c r="D24" s="1275"/>
      <c r="E24" s="1275"/>
      <c r="F24" s="1275"/>
      <c r="G24" s="1279" t="s">
        <v>1831</v>
      </c>
      <c r="H24" s="1280"/>
      <c r="I24" s="1281"/>
    </row>
    <row r="25" spans="1:10" s="335" customFormat="1" ht="8.25" customHeight="1">
      <c r="A25" s="1044"/>
      <c r="B25" s="1045"/>
      <c r="C25" s="1045"/>
      <c r="D25" s="1045"/>
      <c r="E25" s="1045"/>
      <c r="F25" s="1045"/>
      <c r="G25" s="1045"/>
      <c r="H25" s="1045"/>
      <c r="I25" s="351"/>
    </row>
    <row r="26" spans="1:10" s="335" customFormat="1" ht="30" customHeight="1">
      <c r="A26" s="1282" t="s">
        <v>1832</v>
      </c>
      <c r="B26" s="1283"/>
      <c r="C26" s="1283"/>
      <c r="D26" s="1283"/>
      <c r="E26" s="1283"/>
      <c r="F26" s="1283"/>
      <c r="G26" s="1283"/>
      <c r="H26" s="1283"/>
      <c r="I26" s="352"/>
    </row>
    <row r="27" spans="1:10" s="335" customFormat="1" ht="24" customHeight="1">
      <c r="A27" s="1266" t="s">
        <v>1833</v>
      </c>
      <c r="B27" s="1267"/>
      <c r="C27" s="1267"/>
      <c r="D27" s="1267"/>
      <c r="E27" s="1267"/>
      <c r="F27" s="1267"/>
      <c r="G27" s="1267"/>
      <c r="H27" s="1267"/>
      <c r="I27" s="352"/>
    </row>
    <row r="28" spans="1:10" s="335" customFormat="1" ht="12.75" customHeight="1" thickBot="1">
      <c r="A28" s="1268"/>
      <c r="B28" s="1269"/>
      <c r="C28" s="1269"/>
      <c r="D28" s="1269"/>
      <c r="E28" s="1269"/>
      <c r="F28" s="1269"/>
      <c r="G28" s="1269"/>
      <c r="H28" s="1269"/>
      <c r="I28" s="353"/>
    </row>
    <row r="29" spans="1:10" s="335" customFormat="1" ht="27" thickBot="1">
      <c r="A29" s="1092" t="s">
        <v>1834</v>
      </c>
      <c r="B29" s="1093"/>
      <c r="C29" s="1093"/>
      <c r="D29" s="1093"/>
      <c r="E29" s="1093"/>
      <c r="F29" s="1093"/>
      <c r="G29" s="1093"/>
      <c r="H29" s="1094"/>
      <c r="I29" s="352"/>
    </row>
    <row r="30" spans="1:10" s="335" customFormat="1" ht="28.5" customHeight="1">
      <c r="A30" s="1270" t="s">
        <v>1575</v>
      </c>
      <c r="B30" s="1271"/>
      <c r="C30" s="1271"/>
      <c r="D30" s="1271"/>
      <c r="E30" s="1271"/>
      <c r="F30" s="1271" t="s">
        <v>1576</v>
      </c>
      <c r="G30" s="1271"/>
      <c r="H30" s="1271"/>
      <c r="I30" s="352"/>
    </row>
    <row r="31" spans="1:10" s="335" customFormat="1" ht="25.5" customHeight="1">
      <c r="A31" s="343" t="s">
        <v>1554</v>
      </c>
      <c r="B31" s="1101" t="s">
        <v>1835</v>
      </c>
      <c r="C31" s="1102"/>
      <c r="D31" s="1102"/>
      <c r="E31" s="1128"/>
      <c r="F31" s="1272"/>
      <c r="G31" s="1273"/>
      <c r="H31" s="1273"/>
      <c r="I31" s="352"/>
    </row>
    <row r="32" spans="1:10" s="335" customFormat="1" ht="43.5" customHeight="1">
      <c r="A32" s="343" t="s">
        <v>1556</v>
      </c>
      <c r="B32" s="1201" t="s">
        <v>1836</v>
      </c>
      <c r="C32" s="1202"/>
      <c r="D32" s="1202"/>
      <c r="E32" s="1203"/>
      <c r="F32" s="1262">
        <v>0</v>
      </c>
      <c r="G32" s="1263"/>
      <c r="H32" s="1263"/>
      <c r="I32" s="354"/>
    </row>
    <row r="33" spans="1:9" s="335" customFormat="1" ht="44.25" customHeight="1">
      <c r="A33" s="343" t="s">
        <v>1559</v>
      </c>
      <c r="B33" s="1101" t="s">
        <v>1579</v>
      </c>
      <c r="C33" s="1102"/>
      <c r="D33" s="1102"/>
      <c r="E33" s="1128"/>
      <c r="F33" s="1264"/>
      <c r="G33" s="1265"/>
      <c r="H33" s="1265"/>
      <c r="I33" s="355"/>
    </row>
    <row r="34" spans="1:9" s="335" customFormat="1" ht="48" customHeight="1">
      <c r="A34" s="343" t="s">
        <v>1562</v>
      </c>
      <c r="B34" s="1201" t="s">
        <v>1837</v>
      </c>
      <c r="C34" s="1202"/>
      <c r="D34" s="1202"/>
      <c r="E34" s="1203"/>
      <c r="F34" s="1262">
        <v>0</v>
      </c>
      <c r="G34" s="1263"/>
      <c r="H34" s="1263"/>
      <c r="I34" s="1251"/>
    </row>
    <row r="35" spans="1:9" s="335" customFormat="1" ht="45" customHeight="1">
      <c r="A35" s="343" t="s">
        <v>1581</v>
      </c>
      <c r="B35" s="1149" t="s">
        <v>1838</v>
      </c>
      <c r="C35" s="1150"/>
      <c r="D35" s="1150"/>
      <c r="E35" s="1151"/>
      <c r="F35" s="1253">
        <v>0</v>
      </c>
      <c r="G35" s="1254"/>
      <c r="H35" s="1254"/>
      <c r="I35" s="1252"/>
    </row>
    <row r="36" spans="1:9" s="335" customFormat="1" ht="30" customHeight="1">
      <c r="A36" s="343" t="s">
        <v>1583</v>
      </c>
      <c r="B36" s="1101" t="s">
        <v>1584</v>
      </c>
      <c r="C36" s="1102"/>
      <c r="D36" s="1102"/>
      <c r="E36" s="1128"/>
      <c r="F36" s="1255"/>
      <c r="G36" s="1256"/>
      <c r="H36" s="1256"/>
      <c r="I36" s="352"/>
    </row>
    <row r="37" spans="1:9" s="335" customFormat="1" ht="24" thickBot="1">
      <c r="A37" s="356"/>
      <c r="B37" s="1257" t="s">
        <v>1839</v>
      </c>
      <c r="C37" s="1258"/>
      <c r="D37" s="1258"/>
      <c r="E37" s="1259"/>
      <c r="F37" s="1260">
        <f>SUM(F31:H36)</f>
        <v>0</v>
      </c>
      <c r="G37" s="1261"/>
      <c r="H37" s="1261"/>
      <c r="I37" s="352"/>
    </row>
    <row r="38" spans="1:9" s="335" customFormat="1" ht="9.75" customHeight="1" thickBot="1">
      <c r="A38" s="1009" t="s">
        <v>1840</v>
      </c>
      <c r="B38" s="1010"/>
      <c r="C38" s="1010"/>
      <c r="D38" s="1010"/>
      <c r="E38" s="1010"/>
      <c r="F38" s="1010"/>
      <c r="G38" s="1010"/>
      <c r="H38" s="1010"/>
      <c r="I38" s="1011"/>
    </row>
    <row r="39" spans="1:9" s="335" customFormat="1" ht="18.75">
      <c r="A39" s="1239" t="s">
        <v>1841</v>
      </c>
      <c r="B39" s="1240"/>
      <c r="C39" s="1240"/>
      <c r="D39" s="1240"/>
      <c r="E39" s="1240"/>
      <c r="F39" s="1240"/>
      <c r="G39" s="1240"/>
      <c r="H39" s="1240"/>
      <c r="I39" s="1241"/>
    </row>
    <row r="40" spans="1:9" s="335" customFormat="1" ht="1.5" customHeight="1" thickBot="1">
      <c r="A40" s="1242"/>
      <c r="B40" s="1243"/>
      <c r="C40" s="1243"/>
      <c r="D40" s="1243"/>
      <c r="E40" s="1243"/>
      <c r="F40" s="1243"/>
      <c r="G40" s="1243"/>
      <c r="H40" s="1243"/>
      <c r="I40" s="1244"/>
    </row>
    <row r="41" spans="1:9" s="335" customFormat="1" ht="9.75" customHeight="1" thickBot="1">
      <c r="A41" s="1245"/>
      <c r="B41" s="1246"/>
      <c r="C41" s="1246"/>
      <c r="D41" s="1246"/>
      <c r="E41" s="1246"/>
      <c r="F41" s="1246"/>
      <c r="G41" s="1246"/>
      <c r="H41" s="1246"/>
      <c r="I41" s="1247"/>
    </row>
    <row r="42" spans="1:9" s="335" customFormat="1" ht="36" customHeight="1" thickBot="1">
      <c r="A42" s="1092" t="s">
        <v>1842</v>
      </c>
      <c r="B42" s="1093"/>
      <c r="C42" s="1093"/>
      <c r="D42" s="1093"/>
      <c r="E42" s="1093"/>
      <c r="F42" s="1093"/>
      <c r="G42" s="1093"/>
      <c r="H42" s="1093"/>
      <c r="I42" s="1094"/>
    </row>
    <row r="43" spans="1:9" s="335" customFormat="1" ht="34.5" customHeight="1">
      <c r="A43" s="1248" t="s">
        <v>1843</v>
      </c>
      <c r="B43" s="1249"/>
      <c r="C43" s="1249"/>
      <c r="D43" s="1249"/>
      <c r="E43" s="1249"/>
      <c r="F43" s="1249"/>
      <c r="G43" s="1249"/>
      <c r="H43" s="1249"/>
      <c r="I43" s="1250"/>
    </row>
    <row r="44" spans="1:9" s="335" customFormat="1" ht="27" customHeight="1">
      <c r="A44" s="343" t="s">
        <v>710</v>
      </c>
      <c r="B44" s="1236" t="s">
        <v>1844</v>
      </c>
      <c r="C44" s="1237"/>
      <c r="D44" s="1237"/>
      <c r="E44" s="1238"/>
      <c r="F44" s="1236" t="s">
        <v>1845</v>
      </c>
      <c r="G44" s="1237"/>
      <c r="H44" s="1238"/>
      <c r="I44" s="357" t="s">
        <v>1576</v>
      </c>
    </row>
    <row r="45" spans="1:9" s="335" customFormat="1" ht="18.75" customHeight="1">
      <c r="A45" s="358" t="s">
        <v>1554</v>
      </c>
      <c r="B45" s="1207" t="s">
        <v>1846</v>
      </c>
      <c r="C45" s="1208"/>
      <c r="D45" s="1208"/>
      <c r="E45" s="1209"/>
      <c r="F45" s="1154">
        <v>8.3299999999999999E-2</v>
      </c>
      <c r="G45" s="1155"/>
      <c r="H45" s="1156"/>
      <c r="I45" s="359">
        <f>F37*F45</f>
        <v>0</v>
      </c>
    </row>
    <row r="46" spans="1:9" s="335" customFormat="1" ht="18">
      <c r="A46" s="358" t="s">
        <v>1556</v>
      </c>
      <c r="B46" s="1207" t="s">
        <v>1847</v>
      </c>
      <c r="C46" s="1208"/>
      <c r="D46" s="1208"/>
      <c r="E46" s="1209"/>
      <c r="F46" s="1154">
        <v>0.121</v>
      </c>
      <c r="G46" s="1155"/>
      <c r="H46" s="1156"/>
      <c r="I46" s="359">
        <f>F46*F37</f>
        <v>0</v>
      </c>
    </row>
    <row r="47" spans="1:9" s="335" customFormat="1" ht="20.25">
      <c r="A47" s="360"/>
      <c r="B47" s="1221" t="s">
        <v>1848</v>
      </c>
      <c r="C47" s="1222"/>
      <c r="D47" s="1222"/>
      <c r="E47" s="1223"/>
      <c r="F47" s="1224">
        <f>F45+F46</f>
        <v>0.20429999999999998</v>
      </c>
      <c r="G47" s="1225"/>
      <c r="H47" s="1226"/>
      <c r="I47" s="361">
        <f>I45+I46</f>
        <v>0</v>
      </c>
    </row>
    <row r="48" spans="1:9" s="335" customFormat="1" ht="33.75" customHeight="1">
      <c r="A48" s="362"/>
      <c r="B48" s="1227" t="s">
        <v>1849</v>
      </c>
      <c r="C48" s="1228"/>
      <c r="D48" s="1228"/>
      <c r="E48" s="1229"/>
      <c r="F48" s="1230">
        <f>F61*F47</f>
        <v>7.5182399999999996E-2</v>
      </c>
      <c r="G48" s="1231"/>
      <c r="H48" s="1232"/>
      <c r="I48" s="363">
        <f>F61*I47</f>
        <v>0</v>
      </c>
    </row>
    <row r="49" spans="1:17" s="335" customFormat="1" ht="30" customHeight="1" thickBot="1">
      <c r="A49" s="364"/>
      <c r="B49" s="1233" t="s">
        <v>15</v>
      </c>
      <c r="C49" s="1234"/>
      <c r="D49" s="1234"/>
      <c r="E49" s="1235"/>
      <c r="F49" s="1146">
        <f>F47+F48</f>
        <v>0.27948239999999996</v>
      </c>
      <c r="G49" s="1147"/>
      <c r="H49" s="1148"/>
      <c r="I49" s="365">
        <f>I47+I48</f>
        <v>0</v>
      </c>
      <c r="J49" s="366"/>
    </row>
    <row r="50" spans="1:17" s="367" customFormat="1" ht="8.25" customHeight="1" thickBot="1">
      <c r="A50" s="1009"/>
      <c r="B50" s="1010"/>
      <c r="C50" s="1010"/>
      <c r="D50" s="1010"/>
      <c r="E50" s="1010"/>
      <c r="F50" s="1010"/>
      <c r="G50" s="1010"/>
      <c r="H50" s="1010"/>
      <c r="I50" s="1011"/>
      <c r="J50" s="335"/>
      <c r="K50" s="335"/>
      <c r="L50" s="335"/>
      <c r="M50" s="335"/>
      <c r="N50" s="335"/>
      <c r="O50" s="335"/>
      <c r="P50" s="335"/>
      <c r="Q50" s="335"/>
    </row>
    <row r="51" spans="1:17" s="335" customFormat="1" ht="41.25" customHeight="1">
      <c r="A51" s="1217" t="s">
        <v>1850</v>
      </c>
      <c r="B51" s="1218"/>
      <c r="C51" s="1218"/>
      <c r="D51" s="1218"/>
      <c r="E51" s="1218"/>
      <c r="F51" s="1218"/>
      <c r="G51" s="1218"/>
      <c r="H51" s="1218"/>
      <c r="I51" s="1219"/>
      <c r="J51" s="366"/>
    </row>
    <row r="52" spans="1:17" s="335" customFormat="1" ht="24" customHeight="1">
      <c r="A52" s="343" t="s">
        <v>782</v>
      </c>
      <c r="B52" s="1153" t="s">
        <v>1594</v>
      </c>
      <c r="C52" s="1064"/>
      <c r="D52" s="1064"/>
      <c r="E52" s="1065"/>
      <c r="F52" s="1153" t="s">
        <v>1845</v>
      </c>
      <c r="G52" s="1065"/>
      <c r="H52" s="1153" t="s">
        <v>1576</v>
      </c>
      <c r="I52" s="1220"/>
    </row>
    <row r="53" spans="1:17" s="335" customFormat="1" ht="20.25">
      <c r="A53" s="343" t="s">
        <v>1554</v>
      </c>
      <c r="B53" s="1207" t="s">
        <v>1595</v>
      </c>
      <c r="C53" s="1208"/>
      <c r="D53" s="1208"/>
      <c r="E53" s="1209"/>
      <c r="F53" s="1074">
        <v>0.2</v>
      </c>
      <c r="G53" s="1075"/>
      <c r="H53" s="1072">
        <f>$F$37*F53</f>
        <v>0</v>
      </c>
      <c r="I53" s="1073"/>
    </row>
    <row r="54" spans="1:17" s="335" customFormat="1" ht="20.25">
      <c r="A54" s="343" t="s">
        <v>1556</v>
      </c>
      <c r="B54" s="1207" t="s">
        <v>1596</v>
      </c>
      <c r="C54" s="1208"/>
      <c r="D54" s="1208"/>
      <c r="E54" s="1209"/>
      <c r="F54" s="1074">
        <v>2.5000000000000001E-2</v>
      </c>
      <c r="G54" s="1075"/>
      <c r="H54" s="1072">
        <f t="shared" ref="H54:H60" si="0">$F$37*F54</f>
        <v>0</v>
      </c>
      <c r="I54" s="1073"/>
    </row>
    <row r="55" spans="1:17" s="335" customFormat="1" ht="20.25">
      <c r="A55" s="343" t="s">
        <v>1559</v>
      </c>
      <c r="B55" s="1216" t="s">
        <v>1851</v>
      </c>
      <c r="C55" s="1208"/>
      <c r="D55" s="1208"/>
      <c r="E55" s="1209"/>
      <c r="F55" s="1074">
        <v>0.03</v>
      </c>
      <c r="G55" s="1075"/>
      <c r="H55" s="1072">
        <f t="shared" si="0"/>
        <v>0</v>
      </c>
      <c r="I55" s="1073"/>
    </row>
    <row r="56" spans="1:17" s="335" customFormat="1" ht="20.25">
      <c r="A56" s="343" t="s">
        <v>1562</v>
      </c>
      <c r="B56" s="1207" t="s">
        <v>1598</v>
      </c>
      <c r="C56" s="1208"/>
      <c r="D56" s="1208"/>
      <c r="E56" s="1209"/>
      <c r="F56" s="1074">
        <v>1.4999999999999999E-2</v>
      </c>
      <c r="G56" s="1075"/>
      <c r="H56" s="1072">
        <f t="shared" si="0"/>
        <v>0</v>
      </c>
      <c r="I56" s="1073"/>
    </row>
    <row r="57" spans="1:17" s="335" customFormat="1" ht="20.25">
      <c r="A57" s="343" t="s">
        <v>1581</v>
      </c>
      <c r="B57" s="1207" t="s">
        <v>1852</v>
      </c>
      <c r="C57" s="1208"/>
      <c r="D57" s="1208"/>
      <c r="E57" s="1209"/>
      <c r="F57" s="1074">
        <v>0.01</v>
      </c>
      <c r="G57" s="1075"/>
      <c r="H57" s="1072">
        <f t="shared" si="0"/>
        <v>0</v>
      </c>
      <c r="I57" s="1073"/>
    </row>
    <row r="58" spans="1:17" s="335" customFormat="1" ht="20.25">
      <c r="A58" s="343" t="s">
        <v>1583</v>
      </c>
      <c r="B58" s="1207" t="s">
        <v>1600</v>
      </c>
      <c r="C58" s="1208"/>
      <c r="D58" s="1208"/>
      <c r="E58" s="1209"/>
      <c r="F58" s="1074">
        <v>6.0000000000000001E-3</v>
      </c>
      <c r="G58" s="1075"/>
      <c r="H58" s="1072">
        <f t="shared" si="0"/>
        <v>0</v>
      </c>
      <c r="I58" s="1073"/>
    </row>
    <row r="59" spans="1:17" s="335" customFormat="1" ht="20.25">
      <c r="A59" s="343" t="s">
        <v>1601</v>
      </c>
      <c r="B59" s="1207" t="s">
        <v>1602</v>
      </c>
      <c r="C59" s="1208"/>
      <c r="D59" s="1208"/>
      <c r="E59" s="1209"/>
      <c r="F59" s="1074">
        <v>2E-3</v>
      </c>
      <c r="G59" s="1075"/>
      <c r="H59" s="1072">
        <f t="shared" si="0"/>
        <v>0</v>
      </c>
      <c r="I59" s="1073"/>
    </row>
    <row r="60" spans="1:17" s="335" customFormat="1" ht="20.25">
      <c r="A60" s="343" t="s">
        <v>1603</v>
      </c>
      <c r="B60" s="1207" t="s">
        <v>1604</v>
      </c>
      <c r="C60" s="1208"/>
      <c r="D60" s="1208"/>
      <c r="E60" s="1209"/>
      <c r="F60" s="1074">
        <v>0.08</v>
      </c>
      <c r="G60" s="1075"/>
      <c r="H60" s="1072">
        <f t="shared" si="0"/>
        <v>0</v>
      </c>
      <c r="I60" s="1073"/>
    </row>
    <row r="61" spans="1:17" s="335" customFormat="1" ht="21" thickBot="1">
      <c r="A61" s="368"/>
      <c r="B61" s="1210" t="s">
        <v>1853</v>
      </c>
      <c r="C61" s="1211"/>
      <c r="D61" s="1211"/>
      <c r="E61" s="1212"/>
      <c r="F61" s="1213">
        <f>SUM(F53:G60)</f>
        <v>0.36800000000000005</v>
      </c>
      <c r="G61" s="1214"/>
      <c r="H61" s="1118">
        <f>SUM(H53:I60)</f>
        <v>0</v>
      </c>
      <c r="I61" s="1215"/>
    </row>
    <row r="62" spans="1:17" s="335" customFormat="1" ht="9.75" customHeight="1" thickBot="1">
      <c r="A62" s="1009"/>
      <c r="B62" s="1010"/>
      <c r="C62" s="1010"/>
      <c r="D62" s="1010"/>
      <c r="E62" s="1010"/>
      <c r="F62" s="1010"/>
      <c r="G62" s="1010"/>
      <c r="H62" s="1010"/>
      <c r="I62" s="1011"/>
    </row>
    <row r="63" spans="1:17" s="335" customFormat="1" ht="31.5" customHeight="1">
      <c r="A63" s="1198" t="s">
        <v>1854</v>
      </c>
      <c r="B63" s="1199"/>
      <c r="C63" s="1199"/>
      <c r="D63" s="1199"/>
      <c r="E63" s="1199"/>
      <c r="F63" s="1199"/>
      <c r="G63" s="1199"/>
      <c r="H63" s="1200"/>
      <c r="I63" s="369"/>
      <c r="M63" s="335">
        <f>40.5*21</f>
        <v>850.5</v>
      </c>
    </row>
    <row r="64" spans="1:17" s="335" customFormat="1" ht="27" customHeight="1">
      <c r="A64" s="370" t="s">
        <v>789</v>
      </c>
      <c r="B64" s="1152" t="s">
        <v>1607</v>
      </c>
      <c r="C64" s="1108"/>
      <c r="D64" s="1108"/>
      <c r="E64" s="1109"/>
      <c r="F64" s="1152" t="s">
        <v>1576</v>
      </c>
      <c r="G64" s="1108"/>
      <c r="H64" s="1109"/>
      <c r="I64" s="369"/>
    </row>
    <row r="65" spans="1:9" s="335" customFormat="1" ht="37.5" customHeight="1">
      <c r="A65" s="343" t="s">
        <v>1554</v>
      </c>
      <c r="B65" s="1201" t="s">
        <v>1855</v>
      </c>
      <c r="C65" s="1202"/>
      <c r="D65" s="1202"/>
      <c r="E65" s="1203"/>
      <c r="F65" s="1204"/>
      <c r="G65" s="1205"/>
      <c r="H65" s="1206"/>
      <c r="I65" s="371" t="s">
        <v>1856</v>
      </c>
    </row>
    <row r="66" spans="1:9" s="335" customFormat="1" ht="28.5" customHeight="1">
      <c r="A66" s="343" t="s">
        <v>1556</v>
      </c>
      <c r="B66" s="1101" t="s">
        <v>1857</v>
      </c>
      <c r="C66" s="1102"/>
      <c r="D66" s="1102"/>
      <c r="E66" s="1128"/>
      <c r="F66" s="1084"/>
      <c r="G66" s="1178"/>
      <c r="H66" s="1179"/>
      <c r="I66" s="369"/>
    </row>
    <row r="67" spans="1:9" s="335" customFormat="1" ht="25.5" customHeight="1">
      <c r="A67" s="343" t="s">
        <v>1858</v>
      </c>
      <c r="B67" s="1101" t="s">
        <v>1859</v>
      </c>
      <c r="C67" s="1102"/>
      <c r="D67" s="1102"/>
      <c r="E67" s="1128"/>
      <c r="F67" s="1192">
        <v>0</v>
      </c>
      <c r="G67" s="1193"/>
      <c r="H67" s="1194"/>
      <c r="I67" s="369"/>
    </row>
    <row r="68" spans="1:9" s="335" customFormat="1" ht="23.25" customHeight="1">
      <c r="A68" s="343" t="s">
        <v>1860</v>
      </c>
      <c r="B68" s="1101" t="s">
        <v>1861</v>
      </c>
      <c r="C68" s="1102"/>
      <c r="D68" s="1102"/>
      <c r="E68" s="1128"/>
      <c r="F68" s="1195">
        <f>F66-F67</f>
        <v>0</v>
      </c>
      <c r="G68" s="1196"/>
      <c r="H68" s="1197"/>
      <c r="I68" s="369"/>
    </row>
    <row r="69" spans="1:9" s="335" customFormat="1" ht="24" customHeight="1">
      <c r="A69" s="343" t="s">
        <v>1559</v>
      </c>
      <c r="B69" s="1185" t="s">
        <v>1862</v>
      </c>
      <c r="C69" s="1102"/>
      <c r="D69" s="1102"/>
      <c r="E69" s="1128"/>
      <c r="F69" s="1084"/>
      <c r="G69" s="1178"/>
      <c r="H69" s="1179"/>
      <c r="I69" s="369"/>
    </row>
    <row r="70" spans="1:9" s="335" customFormat="1" ht="24.75" customHeight="1">
      <c r="A70" s="343" t="s">
        <v>1562</v>
      </c>
      <c r="B70" s="1101" t="s">
        <v>1863</v>
      </c>
      <c r="C70" s="1102"/>
      <c r="D70" s="1102"/>
      <c r="E70" s="1128"/>
      <c r="F70" s="1084"/>
      <c r="G70" s="1178"/>
      <c r="H70" s="1179"/>
      <c r="I70" s="369"/>
    </row>
    <row r="71" spans="1:9" s="335" customFormat="1" ht="23.25" customHeight="1">
      <c r="A71" s="372" t="s">
        <v>1581</v>
      </c>
      <c r="B71" s="1186" t="s">
        <v>1864</v>
      </c>
      <c r="C71" s="1187"/>
      <c r="D71" s="1187"/>
      <c r="E71" s="1188"/>
      <c r="F71" s="1189"/>
      <c r="G71" s="1190"/>
      <c r="H71" s="1191"/>
      <c r="I71" s="369"/>
    </row>
    <row r="72" spans="1:9" s="335" customFormat="1" ht="40.5" customHeight="1">
      <c r="A72" s="343"/>
      <c r="B72" s="1101"/>
      <c r="C72" s="1102"/>
      <c r="D72" s="1102"/>
      <c r="E72" s="1128"/>
      <c r="F72" s="1084">
        <v>0</v>
      </c>
      <c r="G72" s="1178"/>
      <c r="H72" s="1179"/>
      <c r="I72" s="373"/>
    </row>
    <row r="73" spans="1:9" s="335" customFormat="1" ht="24.75" customHeight="1">
      <c r="A73" s="374"/>
      <c r="B73" s="1176" t="s">
        <v>1865</v>
      </c>
      <c r="C73" s="1177"/>
      <c r="D73" s="1177"/>
      <c r="E73" s="1180"/>
      <c r="F73" s="1181">
        <f>F65+F68+F69+F70+F71+F72</f>
        <v>0</v>
      </c>
      <c r="G73" s="1182"/>
      <c r="H73" s="1183"/>
      <c r="I73" s="369"/>
    </row>
    <row r="74" spans="1:9" s="335" customFormat="1" ht="7.5" customHeight="1">
      <c r="A74" s="1044"/>
      <c r="B74" s="1045"/>
      <c r="C74" s="1045"/>
      <c r="D74" s="1045"/>
      <c r="E74" s="1045"/>
      <c r="F74" s="1045"/>
      <c r="G74" s="1045"/>
      <c r="H74" s="1184"/>
      <c r="I74" s="369"/>
    </row>
    <row r="75" spans="1:9" s="335" customFormat="1" ht="23.25" customHeight="1">
      <c r="A75" s="375" t="s">
        <v>710</v>
      </c>
      <c r="B75" s="1173" t="str">
        <f>B44</f>
        <v>13º Salário, Férias e Adicional de Férias</v>
      </c>
      <c r="C75" s="1174"/>
      <c r="D75" s="1174"/>
      <c r="E75" s="1174"/>
      <c r="F75" s="1174"/>
      <c r="G75" s="1174"/>
      <c r="H75" s="1175"/>
      <c r="I75" s="376">
        <f>I49</f>
        <v>0</v>
      </c>
    </row>
    <row r="76" spans="1:9" s="335" customFormat="1" ht="24.75" customHeight="1">
      <c r="A76" s="375" t="s">
        <v>782</v>
      </c>
      <c r="B76" s="1170" t="str">
        <f>B52</f>
        <v>GPS, FGTS e outras contribuições</v>
      </c>
      <c r="C76" s="1171"/>
      <c r="D76" s="1171"/>
      <c r="E76" s="1171"/>
      <c r="F76" s="1171"/>
      <c r="G76" s="1171"/>
      <c r="H76" s="1172"/>
      <c r="I76" s="377">
        <f>H61</f>
        <v>0</v>
      </c>
    </row>
    <row r="77" spans="1:9" s="335" customFormat="1" ht="24.75" customHeight="1">
      <c r="A77" s="375" t="s">
        <v>789</v>
      </c>
      <c r="B77" s="1173" t="str">
        <f>B64</f>
        <v>Benefícios Mensais e Diários</v>
      </c>
      <c r="C77" s="1174" t="s">
        <v>1866</v>
      </c>
      <c r="D77" s="1174" t="s">
        <v>1866</v>
      </c>
      <c r="E77" s="1174" t="s">
        <v>1866</v>
      </c>
      <c r="F77" s="1174" t="s">
        <v>1866</v>
      </c>
      <c r="G77" s="1174" t="s">
        <v>1866</v>
      </c>
      <c r="H77" s="1175" t="s">
        <v>1866</v>
      </c>
      <c r="I77" s="376">
        <f>F73</f>
        <v>0</v>
      </c>
    </row>
    <row r="78" spans="1:9" s="335" customFormat="1" ht="21" customHeight="1">
      <c r="A78" s="1063" t="s">
        <v>15</v>
      </c>
      <c r="B78" s="1064"/>
      <c r="C78" s="1064"/>
      <c r="D78" s="1064"/>
      <c r="E78" s="1064"/>
      <c r="F78" s="1064"/>
      <c r="G78" s="1064"/>
      <c r="H78" s="1065"/>
      <c r="I78" s="378">
        <f>SUM(I75:I77)</f>
        <v>0</v>
      </c>
    </row>
    <row r="79" spans="1:9" s="335" customFormat="1" ht="8.25" customHeight="1">
      <c r="A79" s="1044"/>
      <c r="B79" s="1045"/>
      <c r="C79" s="1045"/>
      <c r="D79" s="1045"/>
      <c r="E79" s="1045"/>
      <c r="F79" s="1045"/>
      <c r="G79" s="1045"/>
      <c r="H79" s="1045"/>
      <c r="I79" s="1046"/>
    </row>
    <row r="80" spans="1:9" s="335" customFormat="1" ht="32.25" customHeight="1">
      <c r="A80" s="1160" t="s">
        <v>1867</v>
      </c>
      <c r="B80" s="1161"/>
      <c r="C80" s="1161"/>
      <c r="D80" s="1161"/>
      <c r="E80" s="1161"/>
      <c r="F80" s="1161"/>
      <c r="G80" s="1161"/>
      <c r="H80" s="1161"/>
      <c r="I80" s="1162"/>
    </row>
    <row r="81" spans="1:17" s="381" customFormat="1" ht="33.75" customHeight="1">
      <c r="A81" s="343">
        <v>3</v>
      </c>
      <c r="B81" s="1176" t="s">
        <v>1868</v>
      </c>
      <c r="C81" s="1177"/>
      <c r="D81" s="1177"/>
      <c r="E81" s="1177"/>
      <c r="F81" s="1177"/>
      <c r="G81" s="1177"/>
      <c r="H81" s="379" t="s">
        <v>1845</v>
      </c>
      <c r="I81" s="380" t="s">
        <v>1576</v>
      </c>
      <c r="J81" s="335"/>
      <c r="K81" s="335"/>
      <c r="L81" s="335"/>
      <c r="M81" s="335"/>
      <c r="N81" s="335"/>
      <c r="O81" s="335"/>
      <c r="P81" s="335"/>
      <c r="Q81" s="335"/>
    </row>
    <row r="82" spans="1:17" s="335" customFormat="1" ht="28.5" customHeight="1">
      <c r="A82" s="382" t="s">
        <v>1554</v>
      </c>
      <c r="B82" s="1101" t="s">
        <v>1869</v>
      </c>
      <c r="C82" s="1102"/>
      <c r="D82" s="1102"/>
      <c r="E82" s="1102"/>
      <c r="F82" s="1102"/>
      <c r="G82" s="1102"/>
      <c r="H82" s="383">
        <f>1/12*5%</f>
        <v>4.1666666666666666E-3</v>
      </c>
      <c r="I82" s="384">
        <f>H82*$F$37</f>
        <v>0</v>
      </c>
    </row>
    <row r="83" spans="1:17" s="335" customFormat="1" ht="31.5" customHeight="1">
      <c r="A83" s="382" t="s">
        <v>1556</v>
      </c>
      <c r="B83" s="1101" t="s">
        <v>1870</v>
      </c>
      <c r="C83" s="1102"/>
      <c r="D83" s="1102"/>
      <c r="E83" s="1102"/>
      <c r="F83" s="1102"/>
      <c r="G83" s="1102"/>
      <c r="H83" s="383">
        <f>F60*H82</f>
        <v>3.3333333333333332E-4</v>
      </c>
      <c r="I83" s="384">
        <f>H83*$F$37</f>
        <v>0</v>
      </c>
    </row>
    <row r="84" spans="1:17" s="335" customFormat="1" ht="56.25" customHeight="1">
      <c r="A84" s="382" t="s">
        <v>1559</v>
      </c>
      <c r="B84" s="1169" t="s">
        <v>1871</v>
      </c>
      <c r="C84" s="1169"/>
      <c r="D84" s="1169"/>
      <c r="E84" s="1169"/>
      <c r="F84" s="1169"/>
      <c r="G84" s="1169"/>
      <c r="H84" s="385">
        <v>3.4700000000000002E-2</v>
      </c>
      <c r="I84" s="384">
        <f>H84*$F$37</f>
        <v>0</v>
      </c>
    </row>
    <row r="85" spans="1:17" s="335" customFormat="1" ht="33" customHeight="1">
      <c r="A85" s="382" t="s">
        <v>1562</v>
      </c>
      <c r="B85" s="1083" t="s">
        <v>1872</v>
      </c>
      <c r="C85" s="1150"/>
      <c r="D85" s="1150"/>
      <c r="E85" s="1150"/>
      <c r="F85" s="1150"/>
      <c r="G85" s="1150"/>
      <c r="H85" s="383">
        <f>6/30/12</f>
        <v>1.6666666666666666E-2</v>
      </c>
      <c r="I85" s="384">
        <f>H85*$F$37</f>
        <v>0</v>
      </c>
    </row>
    <row r="86" spans="1:17" s="335" customFormat="1" ht="36.75" customHeight="1">
      <c r="A86" s="382" t="s">
        <v>1581</v>
      </c>
      <c r="B86" s="1101" t="s">
        <v>1873</v>
      </c>
      <c r="C86" s="1102"/>
      <c r="D86" s="1102"/>
      <c r="E86" s="1102"/>
      <c r="F86" s="1102"/>
      <c r="G86" s="1102"/>
      <c r="H86" s="383">
        <f>F61*H85</f>
        <v>6.1333333333333344E-3</v>
      </c>
      <c r="I86" s="384">
        <f>F37*H86</f>
        <v>0</v>
      </c>
    </row>
    <row r="87" spans="1:17" s="335" customFormat="1" ht="39.75" customHeight="1">
      <c r="A87" s="382" t="s">
        <v>1583</v>
      </c>
      <c r="B87" s="1149" t="s">
        <v>1874</v>
      </c>
      <c r="C87" s="1150"/>
      <c r="D87" s="1150"/>
      <c r="E87" s="1150"/>
      <c r="F87" s="1150"/>
      <c r="G87" s="1150"/>
      <c r="H87" s="383">
        <v>5.3E-3</v>
      </c>
      <c r="I87" s="384">
        <f>H87*$F$37</f>
        <v>0</v>
      </c>
    </row>
    <row r="88" spans="1:17" s="335" customFormat="1" ht="33.75" customHeight="1">
      <c r="A88" s="1107" t="s">
        <v>15</v>
      </c>
      <c r="B88" s="1108"/>
      <c r="C88" s="1108"/>
      <c r="D88" s="1108"/>
      <c r="E88" s="1108"/>
      <c r="F88" s="1108"/>
      <c r="G88" s="1108"/>
      <c r="H88" s="386">
        <f>SUM(H82:H87)</f>
        <v>6.7299999999999999E-2</v>
      </c>
      <c r="I88" s="387">
        <f>SUM(I82:I87)</f>
        <v>0</v>
      </c>
    </row>
    <row r="89" spans="1:17" s="335" customFormat="1" ht="10.5" customHeight="1">
      <c r="A89" s="1157"/>
      <c r="B89" s="1158"/>
      <c r="C89" s="1158"/>
      <c r="D89" s="1158"/>
      <c r="E89" s="1158"/>
      <c r="F89" s="1158"/>
      <c r="G89" s="1158"/>
      <c r="H89" s="1158"/>
      <c r="I89" s="1159"/>
    </row>
    <row r="90" spans="1:17" s="335" customFormat="1" ht="29.25" customHeight="1" thickBot="1">
      <c r="A90" s="1160" t="s">
        <v>1875</v>
      </c>
      <c r="B90" s="1161"/>
      <c r="C90" s="1161"/>
      <c r="D90" s="1161"/>
      <c r="E90" s="1161"/>
      <c r="F90" s="1161"/>
      <c r="G90" s="1161"/>
      <c r="H90" s="1161"/>
      <c r="I90" s="1162"/>
    </row>
    <row r="91" spans="1:17" s="335" customFormat="1" ht="9.75" customHeight="1" thickBot="1">
      <c r="A91" s="1009"/>
      <c r="B91" s="1010"/>
      <c r="C91" s="1010"/>
      <c r="D91" s="1010"/>
      <c r="E91" s="1010"/>
      <c r="F91" s="1010"/>
      <c r="G91" s="1010"/>
      <c r="H91" s="1010"/>
      <c r="I91" s="1011"/>
    </row>
    <row r="92" spans="1:17" s="335" customFormat="1" ht="27" customHeight="1">
      <c r="A92" s="391">
        <v>4</v>
      </c>
      <c r="B92" s="1163" t="s">
        <v>1639</v>
      </c>
      <c r="C92" s="1164"/>
      <c r="D92" s="1164"/>
      <c r="E92" s="1164"/>
      <c r="F92" s="1164"/>
      <c r="G92" s="1164"/>
      <c r="H92" s="1164"/>
      <c r="I92" s="1165"/>
    </row>
    <row r="93" spans="1:17" s="335" customFormat="1" ht="28.5" customHeight="1">
      <c r="A93" s="1166" t="s">
        <v>1876</v>
      </c>
      <c r="B93" s="1167"/>
      <c r="C93" s="1167"/>
      <c r="D93" s="1167"/>
      <c r="E93" s="1167"/>
      <c r="F93" s="1167"/>
      <c r="G93" s="1167"/>
      <c r="H93" s="1167"/>
      <c r="I93" s="1168"/>
    </row>
    <row r="94" spans="1:17" s="335" customFormat="1" ht="20.25">
      <c r="A94" s="343" t="s">
        <v>1292</v>
      </c>
      <c r="B94" s="1152" t="s">
        <v>1877</v>
      </c>
      <c r="C94" s="1108"/>
      <c r="D94" s="1108"/>
      <c r="E94" s="1109"/>
      <c r="F94" s="1153" t="s">
        <v>1845</v>
      </c>
      <c r="G94" s="1064"/>
      <c r="H94" s="1065"/>
      <c r="I94" s="392" t="s">
        <v>1576</v>
      </c>
    </row>
    <row r="95" spans="1:17" s="335" customFormat="1" ht="42" customHeight="1">
      <c r="A95" s="393" t="s">
        <v>1554</v>
      </c>
      <c r="B95" s="1036" t="s">
        <v>1878</v>
      </c>
      <c r="C95" s="1037"/>
      <c r="D95" s="1037"/>
      <c r="E95" s="1038"/>
      <c r="F95" s="1138">
        <f>(8.33%+2.78%)/12</f>
        <v>9.2583333333333337E-3</v>
      </c>
      <c r="G95" s="1139"/>
      <c r="H95" s="1140"/>
      <c r="I95" s="394">
        <f>F95*F37</f>
        <v>0</v>
      </c>
    </row>
    <row r="96" spans="1:17" s="335" customFormat="1" ht="31.5" customHeight="1">
      <c r="A96" s="393" t="s">
        <v>1556</v>
      </c>
      <c r="B96" s="1036" t="s">
        <v>1879</v>
      </c>
      <c r="C96" s="1037"/>
      <c r="D96" s="1037"/>
      <c r="E96" s="1038"/>
      <c r="F96" s="1154">
        <f>1/12/30</f>
        <v>2.7777777777777775E-3</v>
      </c>
      <c r="G96" s="1155"/>
      <c r="H96" s="1156"/>
      <c r="I96" s="394">
        <f>F37*F96</f>
        <v>0</v>
      </c>
    </row>
    <row r="97" spans="1:45" s="335" customFormat="1" ht="41.25" customHeight="1">
      <c r="A97" s="393" t="s">
        <v>1559</v>
      </c>
      <c r="B97" s="1036" t="s">
        <v>1880</v>
      </c>
      <c r="C97" s="1037"/>
      <c r="D97" s="1037"/>
      <c r="E97" s="1038"/>
      <c r="F97" s="1138">
        <f>1/12/30*5*1.5%</f>
        <v>2.0833333333333332E-4</v>
      </c>
      <c r="G97" s="1139"/>
      <c r="H97" s="1140"/>
      <c r="I97" s="394">
        <f>F37*F97</f>
        <v>0</v>
      </c>
    </row>
    <row r="98" spans="1:45" s="335" customFormat="1" ht="51.75" customHeight="1">
      <c r="A98" s="393" t="s">
        <v>1562</v>
      </c>
      <c r="B98" s="1036" t="s">
        <v>1881</v>
      </c>
      <c r="C98" s="1037"/>
      <c r="D98" s="1037"/>
      <c r="E98" s="1038"/>
      <c r="F98" s="1138">
        <f>(15/30)/12*0.0078</f>
        <v>3.2499999999999999E-4</v>
      </c>
      <c r="G98" s="1139"/>
      <c r="H98" s="1140"/>
      <c r="I98" s="394">
        <f>F37*F98</f>
        <v>0</v>
      </c>
    </row>
    <row r="99" spans="1:45" s="335" customFormat="1" ht="44.25" customHeight="1">
      <c r="A99" s="393" t="s">
        <v>1581</v>
      </c>
      <c r="B99" s="1149" t="s">
        <v>1882</v>
      </c>
      <c r="C99" s="1150"/>
      <c r="D99" s="1150"/>
      <c r="E99" s="1151"/>
      <c r="F99" s="1138">
        <f>0.0144*0.1*0.44509*6/12</f>
        <v>3.2046480000000002E-4</v>
      </c>
      <c r="G99" s="1139"/>
      <c r="H99" s="1140"/>
      <c r="I99" s="394">
        <f>F37*F99</f>
        <v>0</v>
      </c>
    </row>
    <row r="100" spans="1:45" s="335" customFormat="1" ht="36" customHeight="1">
      <c r="A100" s="393" t="s">
        <v>1583</v>
      </c>
      <c r="B100" s="1036" t="s">
        <v>1883</v>
      </c>
      <c r="C100" s="1037"/>
      <c r="D100" s="1037"/>
      <c r="E100" s="1038"/>
      <c r="F100" s="1138">
        <f>5/30/12</f>
        <v>1.3888888888888888E-2</v>
      </c>
      <c r="G100" s="1139"/>
      <c r="H100" s="1140"/>
      <c r="I100" s="394">
        <f>F37*F100</f>
        <v>0</v>
      </c>
    </row>
    <row r="101" spans="1:45" s="335" customFormat="1" ht="21.75" customHeight="1">
      <c r="A101" s="393" t="s">
        <v>1601</v>
      </c>
      <c r="B101" s="1036" t="s">
        <v>1584</v>
      </c>
      <c r="C101" s="1037"/>
      <c r="D101" s="1037"/>
      <c r="E101" s="1038"/>
      <c r="F101" s="1141"/>
      <c r="G101" s="1142"/>
      <c r="H101" s="1143"/>
      <c r="I101" s="394"/>
    </row>
    <row r="102" spans="1:45" s="335" customFormat="1" ht="30" customHeight="1" thickBot="1">
      <c r="A102" s="395"/>
      <c r="B102" s="1144" t="s">
        <v>15</v>
      </c>
      <c r="C102" s="1087"/>
      <c r="D102" s="1087"/>
      <c r="E102" s="1145"/>
      <c r="F102" s="1146">
        <f>SUM(F95:H101)</f>
        <v>2.6778798133333333E-2</v>
      </c>
      <c r="G102" s="1147"/>
      <c r="H102" s="1148"/>
      <c r="I102" s="396">
        <f>SUM(I95:I101)</f>
        <v>0</v>
      </c>
    </row>
    <row r="103" spans="1:45" s="335" customFormat="1" ht="10.5" customHeight="1" thickBot="1">
      <c r="A103" s="1009"/>
      <c r="B103" s="1010"/>
      <c r="C103" s="1010"/>
      <c r="D103" s="1010"/>
      <c r="E103" s="1010"/>
      <c r="F103" s="1010"/>
      <c r="G103" s="1010"/>
      <c r="H103" s="1010"/>
      <c r="I103" s="1011"/>
    </row>
    <row r="104" spans="1:45" s="335" customFormat="1" ht="27" customHeight="1">
      <c r="A104" s="1129" t="s">
        <v>1635</v>
      </c>
      <c r="B104" s="1130"/>
      <c r="C104" s="1130"/>
      <c r="D104" s="1130"/>
      <c r="E104" s="1130"/>
      <c r="F104" s="1130"/>
      <c r="G104" s="1130"/>
      <c r="H104" s="1131"/>
      <c r="I104" s="397"/>
    </row>
    <row r="105" spans="1:45" s="399" customFormat="1" ht="20.25">
      <c r="A105" s="391" t="s">
        <v>1884</v>
      </c>
      <c r="B105" s="1132" t="s">
        <v>1636</v>
      </c>
      <c r="C105" s="1133"/>
      <c r="D105" s="1133"/>
      <c r="E105" s="1134"/>
      <c r="F105" s="1132" t="s">
        <v>1576</v>
      </c>
      <c r="G105" s="1133"/>
      <c r="H105" s="1134"/>
      <c r="I105" s="398"/>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row>
    <row r="106" spans="1:45" s="335" customFormat="1" ht="35.25" customHeight="1">
      <c r="A106" s="382" t="s">
        <v>1554</v>
      </c>
      <c r="B106" s="1101" t="s">
        <v>1885</v>
      </c>
      <c r="C106" s="1102"/>
      <c r="D106" s="1102"/>
      <c r="E106" s="1128"/>
      <c r="F106" s="1135">
        <v>0</v>
      </c>
      <c r="G106" s="1136"/>
      <c r="H106" s="1137"/>
      <c r="I106" s="400"/>
    </row>
    <row r="107" spans="1:45" s="335" customFormat="1" ht="21" thickBot="1">
      <c r="A107" s="401"/>
      <c r="B107" s="1115" t="s">
        <v>15</v>
      </c>
      <c r="C107" s="1116"/>
      <c r="D107" s="1116"/>
      <c r="E107" s="1117"/>
      <c r="F107" s="1118">
        <v>0</v>
      </c>
      <c r="G107" s="1119"/>
      <c r="H107" s="1120"/>
      <c r="I107" s="398"/>
    </row>
    <row r="108" spans="1:45" s="335" customFormat="1" ht="10.5" customHeight="1" thickBot="1">
      <c r="A108" s="1009"/>
      <c r="B108" s="1010"/>
      <c r="C108" s="1010"/>
      <c r="D108" s="1010"/>
      <c r="E108" s="1010"/>
      <c r="F108" s="1010"/>
      <c r="G108" s="1010"/>
      <c r="H108" s="1010"/>
      <c r="I108" s="1011"/>
      <c r="J108" s="402"/>
      <c r="K108" s="402"/>
      <c r="L108" s="402"/>
    </row>
    <row r="109" spans="1:45" s="335" customFormat="1" ht="36" customHeight="1">
      <c r="A109" s="1121" t="s">
        <v>1886</v>
      </c>
      <c r="B109" s="1122"/>
      <c r="C109" s="1122"/>
      <c r="D109" s="1122"/>
      <c r="E109" s="1122"/>
      <c r="F109" s="1122"/>
      <c r="G109" s="1122"/>
      <c r="H109" s="1122"/>
      <c r="I109" s="1123"/>
      <c r="J109" s="402"/>
      <c r="K109" s="402"/>
      <c r="L109" s="402"/>
      <c r="P109" s="1124"/>
      <c r="Q109" s="1124"/>
      <c r="R109" s="1124"/>
      <c r="S109" s="1124"/>
      <c r="T109" s="1124"/>
      <c r="U109" s="1124"/>
      <c r="V109" s="1124"/>
      <c r="W109" s="1124"/>
      <c r="X109" s="1124"/>
      <c r="Y109" s="1124"/>
      <c r="Z109" s="1124"/>
    </row>
    <row r="110" spans="1:45" s="335" customFormat="1" ht="30.75" customHeight="1">
      <c r="A110" s="382" t="s">
        <v>1887</v>
      </c>
      <c r="B110" s="1125" t="s">
        <v>1639</v>
      </c>
      <c r="C110" s="1126"/>
      <c r="D110" s="1126"/>
      <c r="E110" s="1126"/>
      <c r="F110" s="1126"/>
      <c r="G110" s="1126"/>
      <c r="H110" s="1127"/>
      <c r="I110" s="380" t="s">
        <v>1576</v>
      </c>
      <c r="J110" s="402"/>
      <c r="K110" s="402"/>
      <c r="L110" s="402"/>
      <c r="P110" s="1124"/>
      <c r="Q110" s="1124"/>
      <c r="R110" s="1124"/>
      <c r="S110" s="1124"/>
      <c r="T110" s="1124"/>
      <c r="U110" s="1124"/>
      <c r="V110" s="1124"/>
      <c r="W110" s="1124"/>
      <c r="X110" s="1124"/>
      <c r="Y110" s="1124"/>
      <c r="Z110" s="1124"/>
    </row>
    <row r="111" spans="1:45" s="335" customFormat="1" ht="27.75" customHeight="1">
      <c r="A111" s="382" t="s">
        <v>1292</v>
      </c>
      <c r="B111" s="1036" t="s">
        <v>1888</v>
      </c>
      <c r="C111" s="1037" t="s">
        <v>1889</v>
      </c>
      <c r="D111" s="1037" t="s">
        <v>1889</v>
      </c>
      <c r="E111" s="1037" t="s">
        <v>1889</v>
      </c>
      <c r="F111" s="1037" t="s">
        <v>1889</v>
      </c>
      <c r="G111" s="1037" t="s">
        <v>1889</v>
      </c>
      <c r="H111" s="1038" t="s">
        <v>1889</v>
      </c>
      <c r="I111" s="403">
        <f>I102</f>
        <v>0</v>
      </c>
      <c r="J111" s="402"/>
      <c r="K111" s="402"/>
      <c r="L111" s="402"/>
      <c r="P111" s="1124"/>
      <c r="Q111" s="1124"/>
      <c r="R111" s="1124"/>
      <c r="S111" s="1124"/>
      <c r="T111" s="1124"/>
      <c r="U111" s="1124"/>
      <c r="V111" s="1124"/>
      <c r="W111" s="1124"/>
      <c r="X111" s="1124"/>
      <c r="Y111" s="1124"/>
      <c r="Z111" s="1124"/>
    </row>
    <row r="112" spans="1:45" s="335" customFormat="1" ht="29.25" customHeight="1">
      <c r="A112" s="382" t="s">
        <v>1884</v>
      </c>
      <c r="B112" s="1101" t="s">
        <v>1890</v>
      </c>
      <c r="C112" s="1102"/>
      <c r="D112" s="1102"/>
      <c r="E112" s="1102"/>
      <c r="F112" s="1102"/>
      <c r="G112" s="1102"/>
      <c r="H112" s="1128"/>
      <c r="I112" s="384">
        <f>F107</f>
        <v>0</v>
      </c>
      <c r="J112" s="402"/>
      <c r="K112" s="402"/>
      <c r="L112" s="402"/>
      <c r="P112" s="1124"/>
      <c r="Q112" s="1124"/>
      <c r="R112" s="1124"/>
      <c r="S112" s="1124"/>
      <c r="T112" s="1124"/>
      <c r="U112" s="1124"/>
      <c r="V112" s="1124"/>
      <c r="W112" s="1124"/>
      <c r="X112" s="1124"/>
      <c r="Y112" s="1124"/>
      <c r="Z112" s="1124"/>
    </row>
    <row r="113" spans="1:12" s="335" customFormat="1" ht="27.75" customHeight="1">
      <c r="A113" s="1107" t="s">
        <v>15</v>
      </c>
      <c r="B113" s="1108"/>
      <c r="C113" s="1108"/>
      <c r="D113" s="1108"/>
      <c r="E113" s="1108"/>
      <c r="F113" s="1108"/>
      <c r="G113" s="1108"/>
      <c r="H113" s="1109"/>
      <c r="I113" s="404">
        <f>I111+I112</f>
        <v>0</v>
      </c>
      <c r="J113" s="402"/>
      <c r="K113" s="402"/>
      <c r="L113" s="402"/>
    </row>
    <row r="114" spans="1:12" s="335" customFormat="1" ht="10.5" customHeight="1" thickBot="1">
      <c r="A114" s="1110"/>
      <c r="B114" s="1111"/>
      <c r="C114" s="1111"/>
      <c r="D114" s="1111"/>
      <c r="E114" s="1111"/>
      <c r="F114" s="1111"/>
      <c r="G114" s="1111"/>
      <c r="H114" s="1045"/>
      <c r="I114" s="1046"/>
      <c r="J114" s="402"/>
    </row>
    <row r="115" spans="1:12" s="335" customFormat="1" ht="32.25" customHeight="1" thickBot="1">
      <c r="A115" s="1092" t="s">
        <v>1891</v>
      </c>
      <c r="B115" s="1093"/>
      <c r="C115" s="1093"/>
      <c r="D115" s="1093"/>
      <c r="E115" s="1093"/>
      <c r="F115" s="1093"/>
      <c r="G115" s="1094"/>
      <c r="I115" s="405"/>
      <c r="J115" s="402"/>
    </row>
    <row r="116" spans="1:12" s="335" customFormat="1" ht="24.75" customHeight="1">
      <c r="A116" s="406" t="s">
        <v>1892</v>
      </c>
      <c r="B116" s="1112" t="s">
        <v>1641</v>
      </c>
      <c r="C116" s="1113"/>
      <c r="D116" s="1113"/>
      <c r="E116" s="1114" t="s">
        <v>1576</v>
      </c>
      <c r="F116" s="1114"/>
      <c r="G116" s="1114"/>
      <c r="I116" s="405"/>
      <c r="J116" s="402"/>
    </row>
    <row r="117" spans="1:12" s="335" customFormat="1" ht="27.75" customHeight="1">
      <c r="A117" s="407" t="s">
        <v>1554</v>
      </c>
      <c r="B117" s="1101" t="s">
        <v>1893</v>
      </c>
      <c r="C117" s="1102"/>
      <c r="D117" s="1102"/>
      <c r="E117" s="1103"/>
      <c r="F117" s="1103"/>
      <c r="G117" s="1103"/>
      <c r="I117" s="405"/>
      <c r="J117" s="402"/>
    </row>
    <row r="118" spans="1:12" s="335" customFormat="1" ht="38.25" customHeight="1">
      <c r="A118" s="408" t="s">
        <v>1556</v>
      </c>
      <c r="B118" s="1101" t="s">
        <v>1643</v>
      </c>
      <c r="C118" s="1102"/>
      <c r="D118" s="1102"/>
      <c r="E118" s="1103">
        <v>0</v>
      </c>
      <c r="F118" s="1103"/>
      <c r="G118" s="1103"/>
      <c r="H118" s="1104"/>
      <c r="I118" s="1105"/>
      <c r="J118" s="402"/>
    </row>
    <row r="119" spans="1:12" s="335" customFormat="1" ht="30" customHeight="1">
      <c r="A119" s="408" t="s">
        <v>1559</v>
      </c>
      <c r="B119" s="1101" t="s">
        <v>1894</v>
      </c>
      <c r="C119" s="1102"/>
      <c r="D119" s="1102"/>
      <c r="E119" s="1103"/>
      <c r="F119" s="1103"/>
      <c r="G119" s="1103"/>
      <c r="I119" s="405"/>
      <c r="J119" s="402"/>
    </row>
    <row r="120" spans="1:12" s="335" customFormat="1" ht="27" customHeight="1">
      <c r="A120" s="408" t="s">
        <v>1562</v>
      </c>
      <c r="B120" s="1101" t="s">
        <v>1584</v>
      </c>
      <c r="C120" s="1102"/>
      <c r="D120" s="1102"/>
      <c r="E120" s="1106"/>
      <c r="F120" s="1106"/>
      <c r="G120" s="1106"/>
      <c r="I120" s="405"/>
      <c r="J120" s="402"/>
    </row>
    <row r="121" spans="1:12" s="335" customFormat="1" ht="22.5" customHeight="1">
      <c r="A121" s="1086" t="s">
        <v>15</v>
      </c>
      <c r="B121" s="1087"/>
      <c r="C121" s="1087"/>
      <c r="D121" s="1087"/>
      <c r="E121" s="1088">
        <f>SUM(E117:G120)</f>
        <v>0</v>
      </c>
      <c r="F121" s="1088"/>
      <c r="G121" s="1088"/>
      <c r="I121" s="405"/>
      <c r="J121" s="402"/>
    </row>
    <row r="122" spans="1:12" s="335" customFormat="1" ht="19.5" thickBot="1">
      <c r="A122" s="1089" t="s">
        <v>1895</v>
      </c>
      <c r="B122" s="1090"/>
      <c r="C122" s="1090"/>
      <c r="D122" s="1090"/>
      <c r="E122" s="1090"/>
      <c r="F122" s="1090"/>
      <c r="G122" s="1091"/>
      <c r="I122" s="405"/>
      <c r="J122" s="402"/>
    </row>
    <row r="123" spans="1:12" s="335" customFormat="1" ht="10.5" customHeight="1" thickBot="1">
      <c r="A123" s="1009"/>
      <c r="B123" s="1010"/>
      <c r="C123" s="1010"/>
      <c r="D123" s="1010"/>
      <c r="E123" s="1010"/>
      <c r="F123" s="1010"/>
      <c r="G123" s="1010"/>
      <c r="H123" s="1010"/>
      <c r="I123" s="1011"/>
      <c r="J123" s="402"/>
    </row>
    <row r="124" spans="1:12" s="335" customFormat="1" ht="31.5" customHeight="1" thickBot="1">
      <c r="A124" s="1092" t="s">
        <v>1896</v>
      </c>
      <c r="B124" s="1093"/>
      <c r="C124" s="1093"/>
      <c r="D124" s="1093"/>
      <c r="E124" s="1093"/>
      <c r="F124" s="1093"/>
      <c r="G124" s="1093"/>
      <c r="H124" s="1093"/>
      <c r="I124" s="1094"/>
      <c r="J124" s="402"/>
    </row>
    <row r="125" spans="1:12" s="335" customFormat="1" ht="18">
      <c r="A125" s="406" t="s">
        <v>1897</v>
      </c>
      <c r="B125" s="1095" t="s">
        <v>1646</v>
      </c>
      <c r="C125" s="1096"/>
      <c r="D125" s="1096"/>
      <c r="E125" s="1097"/>
      <c r="F125" s="1098" t="s">
        <v>1588</v>
      </c>
      <c r="G125" s="1099"/>
      <c r="H125" s="1095" t="s">
        <v>1576</v>
      </c>
      <c r="I125" s="1100"/>
      <c r="J125" s="402"/>
    </row>
    <row r="126" spans="1:12" s="335" customFormat="1" ht="18">
      <c r="A126" s="382" t="s">
        <v>1554</v>
      </c>
      <c r="B126" s="1083" t="s">
        <v>1898</v>
      </c>
      <c r="C126" s="1037"/>
      <c r="D126" s="1037"/>
      <c r="E126" s="1038"/>
      <c r="F126" s="1070">
        <v>5.0000000000000001E-3</v>
      </c>
      <c r="G126" s="1071"/>
      <c r="H126" s="1084">
        <f>I141*F126</f>
        <v>0</v>
      </c>
      <c r="I126" s="1085"/>
      <c r="J126" s="402"/>
    </row>
    <row r="127" spans="1:12" s="335" customFormat="1" ht="18">
      <c r="A127" s="382" t="s">
        <v>1556</v>
      </c>
      <c r="B127" s="1083" t="s">
        <v>1899</v>
      </c>
      <c r="C127" s="1037"/>
      <c r="D127" s="1037"/>
      <c r="E127" s="1038"/>
      <c r="F127" s="1070">
        <v>5.0000000000000001E-3</v>
      </c>
      <c r="G127" s="1071"/>
      <c r="H127" s="1084">
        <f>SUM(I141+H126)*F127</f>
        <v>0</v>
      </c>
      <c r="I127" s="1085"/>
      <c r="J127" s="402"/>
    </row>
    <row r="128" spans="1:12" s="335" customFormat="1" ht="18">
      <c r="A128" s="382" t="s">
        <v>1559</v>
      </c>
      <c r="B128" s="1076" t="s">
        <v>1649</v>
      </c>
      <c r="C128" s="1077"/>
      <c r="D128" s="1077"/>
      <c r="E128" s="1078"/>
      <c r="F128" s="1079">
        <f>SUM(F129:G131)</f>
        <v>8.6499999999999994E-2</v>
      </c>
      <c r="G128" s="1080"/>
      <c r="H128" s="1081">
        <f>SUM(H129:I132)</f>
        <v>0</v>
      </c>
      <c r="I128" s="1082"/>
      <c r="J128" s="402"/>
    </row>
    <row r="129" spans="1:10" s="335" customFormat="1" ht="18">
      <c r="A129" s="339"/>
      <c r="B129" s="409" t="s">
        <v>1900</v>
      </c>
      <c r="C129" s="1056" t="s">
        <v>1901</v>
      </c>
      <c r="D129" s="1057"/>
      <c r="E129" s="1058"/>
      <c r="F129" s="1070">
        <v>6.4999999999999997E-3</v>
      </c>
      <c r="G129" s="1071"/>
      <c r="H129" s="1072">
        <f>I143*F129</f>
        <v>0</v>
      </c>
      <c r="I129" s="1073"/>
      <c r="J129" s="402"/>
    </row>
    <row r="130" spans="1:10" s="335" customFormat="1" ht="16.5" customHeight="1">
      <c r="A130" s="339"/>
      <c r="B130" s="409" t="s">
        <v>1902</v>
      </c>
      <c r="C130" s="1036" t="s">
        <v>1903</v>
      </c>
      <c r="D130" s="1037"/>
      <c r="E130" s="1038"/>
      <c r="F130" s="1070">
        <v>0.03</v>
      </c>
      <c r="G130" s="1071"/>
      <c r="H130" s="1072">
        <f>F130*$I$143</f>
        <v>0</v>
      </c>
      <c r="I130" s="1073"/>
      <c r="J130" s="402"/>
    </row>
    <row r="131" spans="1:10" s="335" customFormat="1" ht="16.5" customHeight="1">
      <c r="A131" s="339"/>
      <c r="B131" s="409" t="s">
        <v>1904</v>
      </c>
      <c r="C131" s="1036" t="s">
        <v>1905</v>
      </c>
      <c r="D131" s="1037"/>
      <c r="E131" s="1038"/>
      <c r="F131" s="1074">
        <v>0.05</v>
      </c>
      <c r="G131" s="1075"/>
      <c r="H131" s="1072">
        <f>F131*$I$143</f>
        <v>0</v>
      </c>
      <c r="I131" s="1073"/>
      <c r="J131" s="402"/>
    </row>
    <row r="132" spans="1:10" s="335" customFormat="1" ht="19.5" customHeight="1">
      <c r="A132" s="410"/>
      <c r="B132" s="409" t="s">
        <v>1906</v>
      </c>
      <c r="C132" s="1056" t="s">
        <v>1907</v>
      </c>
      <c r="D132" s="1057"/>
      <c r="E132" s="1058"/>
      <c r="F132" s="1059"/>
      <c r="G132" s="1060"/>
      <c r="H132" s="1061">
        <f>F132*$I$143</f>
        <v>0</v>
      </c>
      <c r="I132" s="1062"/>
      <c r="J132" s="402"/>
    </row>
    <row r="133" spans="1:10" s="335" customFormat="1" ht="20.25">
      <c r="A133" s="1063" t="s">
        <v>1908</v>
      </c>
      <c r="B133" s="1064"/>
      <c r="C133" s="1064"/>
      <c r="D133" s="1064"/>
      <c r="E133" s="1065"/>
      <c r="F133" s="1066">
        <f>F128+F127+F126</f>
        <v>9.6500000000000002E-2</v>
      </c>
      <c r="G133" s="1067"/>
      <c r="H133" s="1068">
        <f>H126+H127+H128</f>
        <v>0</v>
      </c>
      <c r="I133" s="1069"/>
      <c r="J133" s="402"/>
    </row>
    <row r="134" spans="1:10" s="399" customFormat="1" ht="15.75">
      <c r="A134" s="1050" t="s">
        <v>1909</v>
      </c>
      <c r="B134" s="1051"/>
      <c r="C134" s="1051"/>
      <c r="D134" s="1051"/>
      <c r="E134" s="1051"/>
      <c r="F134" s="1051"/>
      <c r="G134" s="1051"/>
      <c r="H134" s="1051"/>
      <c r="I134" s="1052"/>
      <c r="J134" s="411"/>
    </row>
    <row r="135" spans="1:10" s="335" customFormat="1" ht="9.75" customHeight="1">
      <c r="A135" s="1044"/>
      <c r="B135" s="1045"/>
      <c r="C135" s="1045"/>
      <c r="D135" s="1045"/>
      <c r="E135" s="1045"/>
      <c r="F135" s="1045"/>
      <c r="G135" s="1045"/>
      <c r="H135" s="1045"/>
      <c r="I135" s="1046"/>
      <c r="J135" s="402"/>
    </row>
    <row r="136" spans="1:10" s="335" customFormat="1" ht="30" customHeight="1">
      <c r="A136" s="412" t="s">
        <v>1554</v>
      </c>
      <c r="B136" s="1053" t="s">
        <v>1910</v>
      </c>
      <c r="C136" s="1054" t="s">
        <v>1889</v>
      </c>
      <c r="D136" s="1054" t="s">
        <v>1889</v>
      </c>
      <c r="E136" s="1054" t="s">
        <v>1889</v>
      </c>
      <c r="F136" s="1054" t="s">
        <v>1889</v>
      </c>
      <c r="G136" s="1054" t="s">
        <v>1889</v>
      </c>
      <c r="H136" s="1055" t="s">
        <v>1889</v>
      </c>
      <c r="I136" s="413">
        <f>F37</f>
        <v>0</v>
      </c>
      <c r="J136" s="414"/>
    </row>
    <row r="137" spans="1:10" s="335" customFormat="1" ht="21" customHeight="1">
      <c r="A137" s="382" t="s">
        <v>1556</v>
      </c>
      <c r="B137" s="1036" t="s">
        <v>1911</v>
      </c>
      <c r="C137" s="1037" t="s">
        <v>1889</v>
      </c>
      <c r="D137" s="1037" t="s">
        <v>1889</v>
      </c>
      <c r="E137" s="1037" t="s">
        <v>1889</v>
      </c>
      <c r="F137" s="1037" t="s">
        <v>1889</v>
      </c>
      <c r="G137" s="1037" t="s">
        <v>1889</v>
      </c>
      <c r="H137" s="1038" t="s">
        <v>1889</v>
      </c>
      <c r="I137" s="403">
        <f>I78</f>
        <v>0</v>
      </c>
      <c r="J137" s="402"/>
    </row>
    <row r="138" spans="1:10" s="335" customFormat="1" ht="20.25" customHeight="1">
      <c r="A138" s="382" t="s">
        <v>1559</v>
      </c>
      <c r="B138" s="1036" t="s">
        <v>1912</v>
      </c>
      <c r="C138" s="1037" t="s">
        <v>1866</v>
      </c>
      <c r="D138" s="1037" t="s">
        <v>1866</v>
      </c>
      <c r="E138" s="1037" t="s">
        <v>1866</v>
      </c>
      <c r="F138" s="1037" t="s">
        <v>1866</v>
      </c>
      <c r="G138" s="1037" t="s">
        <v>1866</v>
      </c>
      <c r="H138" s="1038" t="s">
        <v>1866</v>
      </c>
      <c r="I138" s="384">
        <f>I88</f>
        <v>0</v>
      </c>
      <c r="J138" s="402"/>
    </row>
    <row r="139" spans="1:10" s="335" customFormat="1" ht="18" customHeight="1">
      <c r="A139" s="382" t="s">
        <v>1562</v>
      </c>
      <c r="B139" s="1036" t="s">
        <v>1913</v>
      </c>
      <c r="C139" s="1037"/>
      <c r="D139" s="1037"/>
      <c r="E139" s="1037"/>
      <c r="F139" s="1037"/>
      <c r="G139" s="1037"/>
      <c r="H139" s="1038"/>
      <c r="I139" s="384">
        <f>I113</f>
        <v>0</v>
      </c>
      <c r="J139" s="402"/>
    </row>
    <row r="140" spans="1:10" s="335" customFormat="1" ht="22.5" customHeight="1">
      <c r="A140" s="382" t="s">
        <v>1581</v>
      </c>
      <c r="B140" s="1036" t="s">
        <v>1914</v>
      </c>
      <c r="C140" s="1037"/>
      <c r="D140" s="1037"/>
      <c r="E140" s="1037"/>
      <c r="F140" s="1037"/>
      <c r="G140" s="1037"/>
      <c r="H140" s="1038"/>
      <c r="I140" s="403">
        <f>E121</f>
        <v>0</v>
      </c>
      <c r="J140" s="402"/>
    </row>
    <row r="141" spans="1:10" s="335" customFormat="1" ht="22.5" customHeight="1">
      <c r="A141" s="408"/>
      <c r="B141" s="1039" t="s">
        <v>1915</v>
      </c>
      <c r="C141" s="1040"/>
      <c r="D141" s="1040"/>
      <c r="E141" s="1040"/>
      <c r="F141" s="1040"/>
      <c r="G141" s="1040"/>
      <c r="H141" s="1023"/>
      <c r="I141" s="404">
        <f>SUM(I136:I140)</f>
        <v>0</v>
      </c>
      <c r="J141" s="402"/>
    </row>
    <row r="142" spans="1:10" s="335" customFormat="1" ht="24.75" customHeight="1">
      <c r="A142" s="382" t="s">
        <v>1583</v>
      </c>
      <c r="B142" s="1036" t="s">
        <v>1656</v>
      </c>
      <c r="C142" s="1037"/>
      <c r="D142" s="1037"/>
      <c r="E142" s="1037"/>
      <c r="F142" s="1037"/>
      <c r="G142" s="1037"/>
      <c r="H142" s="1038"/>
      <c r="I142" s="384">
        <f>H133</f>
        <v>0</v>
      </c>
      <c r="J142" s="402"/>
    </row>
    <row r="143" spans="1:10" s="335" customFormat="1" ht="23.25" customHeight="1">
      <c r="A143" s="1041" t="s">
        <v>1916</v>
      </c>
      <c r="B143" s="1042"/>
      <c r="C143" s="1042"/>
      <c r="D143" s="1042"/>
      <c r="E143" s="1042"/>
      <c r="F143" s="1042"/>
      <c r="G143" s="1042"/>
      <c r="H143" s="1043"/>
      <c r="I143" s="415">
        <f>(I141+H126+H127)/(1-F128)</f>
        <v>0</v>
      </c>
      <c r="J143" s="402"/>
    </row>
    <row r="144" spans="1:10" s="335" customFormat="1" ht="7.5" customHeight="1">
      <c r="A144" s="1044"/>
      <c r="B144" s="1045"/>
      <c r="C144" s="1045"/>
      <c r="D144" s="1045"/>
      <c r="E144" s="1045"/>
      <c r="F144" s="1045"/>
      <c r="G144" s="1045"/>
      <c r="H144" s="1045"/>
      <c r="I144" s="1046"/>
      <c r="J144" s="402"/>
    </row>
    <row r="145" spans="1:10" s="335" customFormat="1" ht="23.25" customHeight="1">
      <c r="A145" s="1047" t="s">
        <v>1917</v>
      </c>
      <c r="B145" s="1048"/>
      <c r="C145" s="1048"/>
      <c r="D145" s="1048"/>
      <c r="E145" s="1048"/>
      <c r="F145" s="1048"/>
      <c r="G145" s="1048"/>
      <c r="H145" s="1048"/>
      <c r="I145" s="1049"/>
      <c r="J145" s="402"/>
    </row>
    <row r="146" spans="1:10" s="335" customFormat="1" ht="16.5" customHeight="1">
      <c r="A146" s="1026" t="s">
        <v>1659</v>
      </c>
      <c r="B146" s="1027"/>
      <c r="C146" s="1030" t="s">
        <v>1918</v>
      </c>
      <c r="D146" s="1027"/>
      <c r="E146" s="1032" t="s">
        <v>1660</v>
      </c>
      <c r="F146" s="1030" t="s">
        <v>1661</v>
      </c>
      <c r="G146" s="1027"/>
      <c r="H146" s="1032" t="s">
        <v>1662</v>
      </c>
      <c r="I146" s="1034" t="s">
        <v>1919</v>
      </c>
      <c r="J146" s="402"/>
    </row>
    <row r="147" spans="1:10" s="335" customFormat="1" ht="21.75" customHeight="1">
      <c r="A147" s="1028"/>
      <c r="B147" s="1029"/>
      <c r="C147" s="1031"/>
      <c r="D147" s="1029"/>
      <c r="E147" s="1033"/>
      <c r="F147" s="1031"/>
      <c r="G147" s="1029"/>
      <c r="H147" s="1033"/>
      <c r="I147" s="1035"/>
      <c r="J147" s="402"/>
    </row>
    <row r="148" spans="1:10" s="335" customFormat="1" ht="24" customHeight="1">
      <c r="A148" s="1019" t="s">
        <v>1920</v>
      </c>
      <c r="B148" s="1020"/>
      <c r="C148" s="1021" t="s">
        <v>1921</v>
      </c>
      <c r="D148" s="1020"/>
      <c r="E148" s="416" t="s">
        <v>1922</v>
      </c>
      <c r="F148" s="1021" t="s">
        <v>1923</v>
      </c>
      <c r="G148" s="1020"/>
      <c r="H148" s="416" t="s">
        <v>1248</v>
      </c>
      <c r="I148" s="417" t="s">
        <v>1924</v>
      </c>
      <c r="J148" s="402"/>
    </row>
    <row r="149" spans="1:10" s="335" customFormat="1" ht="28.5" customHeight="1" thickBot="1">
      <c r="A149" s="418" t="s">
        <v>1540</v>
      </c>
      <c r="B149" s="419" t="s">
        <v>1925</v>
      </c>
      <c r="C149" s="1022">
        <f>I143</f>
        <v>0</v>
      </c>
      <c r="D149" s="1023"/>
      <c r="E149" s="420">
        <v>1</v>
      </c>
      <c r="F149" s="1024">
        <f>C149*E149</f>
        <v>0</v>
      </c>
      <c r="G149" s="1025"/>
      <c r="H149" s="420">
        <f>G15</f>
        <v>1</v>
      </c>
      <c r="I149" s="421">
        <f>F149*H149</f>
        <v>0</v>
      </c>
      <c r="J149" s="422"/>
    </row>
    <row r="150" spans="1:10" s="335" customFormat="1" ht="9" customHeight="1" thickBot="1">
      <c r="A150" s="1009"/>
      <c r="B150" s="1010"/>
      <c r="C150" s="1010"/>
      <c r="D150" s="1010"/>
      <c r="E150" s="1010"/>
      <c r="F150" s="1010"/>
      <c r="G150" s="1010"/>
      <c r="H150" s="1010"/>
      <c r="I150" s="1011"/>
      <c r="J150" s="402"/>
    </row>
    <row r="151" spans="1:10" s="335" customFormat="1" ht="9" customHeight="1" thickBot="1">
      <c r="A151" s="423"/>
      <c r="I151" s="405"/>
      <c r="J151" s="402"/>
    </row>
    <row r="152" spans="1:10" s="335" customFormat="1" ht="23.25">
      <c r="A152" s="423"/>
      <c r="B152" s="1012" t="s">
        <v>1240</v>
      </c>
      <c r="C152" s="1014" t="s">
        <v>1926</v>
      </c>
      <c r="D152" s="1015"/>
      <c r="E152" s="424">
        <f>(1+F126)*(1+F127)/(1-F128)-1</f>
        <v>0.1056650246305415</v>
      </c>
      <c r="G152" s="1016"/>
      <c r="I152" s="1017"/>
      <c r="J152" s="402"/>
    </row>
    <row r="153" spans="1:10" s="335" customFormat="1" ht="17.25" customHeight="1" thickBot="1">
      <c r="A153" s="423"/>
      <c r="B153" s="1013"/>
      <c r="C153" s="425" t="s">
        <v>1927</v>
      </c>
      <c r="D153" s="426"/>
      <c r="G153" s="1016"/>
      <c r="I153" s="1018"/>
      <c r="J153" s="402"/>
    </row>
    <row r="154" spans="1:10" s="335" customFormat="1" ht="7.5" customHeight="1">
      <c r="A154" s="423"/>
      <c r="I154" s="405"/>
      <c r="J154" s="402"/>
    </row>
    <row r="155" spans="1:10" s="335" customFormat="1" ht="20.25">
      <c r="A155" s="423"/>
      <c r="B155" s="1006" t="s">
        <v>1928</v>
      </c>
      <c r="C155" s="1006"/>
      <c r="D155" s="1006"/>
      <c r="E155" s="1006"/>
      <c r="G155" s="427" t="s">
        <v>1556</v>
      </c>
      <c r="H155" s="1007" t="s">
        <v>1929</v>
      </c>
      <c r="I155" s="1008"/>
      <c r="J155" s="402"/>
    </row>
    <row r="156" spans="1:10" s="335" customFormat="1" ht="20.25">
      <c r="A156" s="423"/>
      <c r="B156" s="1006" t="s">
        <v>1930</v>
      </c>
      <c r="C156" s="1006"/>
      <c r="D156" s="1006"/>
      <c r="E156" s="1006"/>
      <c r="G156" s="427" t="s">
        <v>1562</v>
      </c>
      <c r="H156" s="1007" t="s">
        <v>1931</v>
      </c>
      <c r="I156" s="1008"/>
      <c r="J156" s="402"/>
    </row>
    <row r="157" spans="1:10" s="335" customFormat="1" ht="20.25">
      <c r="A157" s="423"/>
      <c r="B157" s="1006" t="s">
        <v>1932</v>
      </c>
      <c r="C157" s="1006"/>
      <c r="D157" s="1006"/>
      <c r="E157" s="1006"/>
      <c r="G157" s="427" t="s">
        <v>1540</v>
      </c>
      <c r="H157" s="1007" t="s">
        <v>1933</v>
      </c>
      <c r="I157" s="1008"/>
      <c r="J157" s="402"/>
    </row>
    <row r="158" spans="1:10" s="335" customFormat="1" thickBot="1">
      <c r="A158" s="423"/>
      <c r="B158" s="429"/>
      <c r="C158" s="429"/>
      <c r="D158" s="429"/>
      <c r="E158" s="429"/>
      <c r="I158" s="405"/>
      <c r="J158" s="402"/>
    </row>
    <row r="159" spans="1:10" s="335" customFormat="1" ht="7.5" customHeight="1" thickBot="1">
      <c r="A159" s="1009"/>
      <c r="B159" s="1010"/>
      <c r="C159" s="1010"/>
      <c r="D159" s="1010"/>
      <c r="E159" s="1010"/>
      <c r="F159" s="1010"/>
      <c r="G159" s="1010"/>
      <c r="H159" s="1010"/>
      <c r="I159" s="1011"/>
      <c r="J159" s="402"/>
    </row>
    <row r="162" spans="7:8">
      <c r="G162" s="329"/>
    </row>
    <row r="163" spans="7:8">
      <c r="G163" s="329"/>
    </row>
    <row r="164" spans="7:8">
      <c r="G164" s="329"/>
      <c r="H164" s="329"/>
    </row>
  </sheetData>
  <mergeCells count="263">
    <mergeCell ref="A1:I1"/>
    <mergeCell ref="C2:H2"/>
    <mergeCell ref="C3:H3"/>
    <mergeCell ref="A4:H4"/>
    <mergeCell ref="A5:I5"/>
    <mergeCell ref="A6:I6"/>
    <mergeCell ref="A13:I13"/>
    <mergeCell ref="A14:C14"/>
    <mergeCell ref="D14:F14"/>
    <mergeCell ref="G14:I14"/>
    <mergeCell ref="A15:C15"/>
    <mergeCell ref="D15:F15"/>
    <mergeCell ref="G15:I15"/>
    <mergeCell ref="B7:H7"/>
    <mergeCell ref="B8:H8"/>
    <mergeCell ref="B9:H9"/>
    <mergeCell ref="B10:H10"/>
    <mergeCell ref="B11:H11"/>
    <mergeCell ref="A12:I12"/>
    <mergeCell ref="B20:F20"/>
    <mergeCell ref="G20:I20"/>
    <mergeCell ref="B21:F21"/>
    <mergeCell ref="G21:I21"/>
    <mergeCell ref="B22:F22"/>
    <mergeCell ref="G22:I22"/>
    <mergeCell ref="A16:I16"/>
    <mergeCell ref="A17:F17"/>
    <mergeCell ref="G17:I17"/>
    <mergeCell ref="A18:F18"/>
    <mergeCell ref="G18:I18"/>
    <mergeCell ref="A19:F19"/>
    <mergeCell ref="G19:I19"/>
    <mergeCell ref="A27:H27"/>
    <mergeCell ref="A28:H28"/>
    <mergeCell ref="A29:H29"/>
    <mergeCell ref="A30:E30"/>
    <mergeCell ref="F30:H30"/>
    <mergeCell ref="B31:E31"/>
    <mergeCell ref="F31:H31"/>
    <mergeCell ref="B23:F23"/>
    <mergeCell ref="G23:I23"/>
    <mergeCell ref="B24:F24"/>
    <mergeCell ref="G24:I24"/>
    <mergeCell ref="A25:H25"/>
    <mergeCell ref="A26:H26"/>
    <mergeCell ref="I34:I35"/>
    <mergeCell ref="B35:E35"/>
    <mergeCell ref="F35:H35"/>
    <mergeCell ref="B36:E36"/>
    <mergeCell ref="F36:H36"/>
    <mergeCell ref="B37:E37"/>
    <mergeCell ref="F37:H37"/>
    <mergeCell ref="B32:E32"/>
    <mergeCell ref="F32:H32"/>
    <mergeCell ref="B33:E33"/>
    <mergeCell ref="F33:H33"/>
    <mergeCell ref="B34:E34"/>
    <mergeCell ref="F34:H34"/>
    <mergeCell ref="B44:E44"/>
    <mergeCell ref="F44:H44"/>
    <mergeCell ref="B45:E45"/>
    <mergeCell ref="F45:H45"/>
    <mergeCell ref="B46:E46"/>
    <mergeCell ref="F46:H46"/>
    <mergeCell ref="A38:I38"/>
    <mergeCell ref="A39:I39"/>
    <mergeCell ref="A40:I40"/>
    <mergeCell ref="A41:I41"/>
    <mergeCell ref="A42:I42"/>
    <mergeCell ref="A43:I43"/>
    <mergeCell ref="A50:I50"/>
    <mergeCell ref="A51:I51"/>
    <mergeCell ref="B52:E52"/>
    <mergeCell ref="F52:G52"/>
    <mergeCell ref="H52:I52"/>
    <mergeCell ref="B53:E53"/>
    <mergeCell ref="F53:G53"/>
    <mergeCell ref="H53:I53"/>
    <mergeCell ref="B47:E47"/>
    <mergeCell ref="F47:H47"/>
    <mergeCell ref="B48:E48"/>
    <mergeCell ref="F48:H48"/>
    <mergeCell ref="B49:E49"/>
    <mergeCell ref="F49:H49"/>
    <mergeCell ref="B56:E56"/>
    <mergeCell ref="F56:G56"/>
    <mergeCell ref="H56:I56"/>
    <mergeCell ref="B57:E57"/>
    <mergeCell ref="F57:G57"/>
    <mergeCell ref="H57:I57"/>
    <mergeCell ref="B54:E54"/>
    <mergeCell ref="F54:G54"/>
    <mergeCell ref="H54:I54"/>
    <mergeCell ref="B55:E55"/>
    <mergeCell ref="F55:G55"/>
    <mergeCell ref="H55:I55"/>
    <mergeCell ref="B60:E60"/>
    <mergeCell ref="F60:G60"/>
    <mergeCell ref="H60:I60"/>
    <mergeCell ref="B61:E61"/>
    <mergeCell ref="F61:G61"/>
    <mergeCell ref="H61:I61"/>
    <mergeCell ref="B58:E58"/>
    <mergeCell ref="F58:G58"/>
    <mergeCell ref="H58:I58"/>
    <mergeCell ref="B59:E59"/>
    <mergeCell ref="F59:G59"/>
    <mergeCell ref="H59:I59"/>
    <mergeCell ref="B66:E66"/>
    <mergeCell ref="F66:H66"/>
    <mergeCell ref="B67:E67"/>
    <mergeCell ref="F67:H67"/>
    <mergeCell ref="B68:E68"/>
    <mergeCell ref="F68:H68"/>
    <mergeCell ref="A62:I62"/>
    <mergeCell ref="A63:H63"/>
    <mergeCell ref="B64:E64"/>
    <mergeCell ref="F64:H64"/>
    <mergeCell ref="B65:E65"/>
    <mergeCell ref="F65:H65"/>
    <mergeCell ref="B72:E72"/>
    <mergeCell ref="F72:H72"/>
    <mergeCell ref="B73:E73"/>
    <mergeCell ref="F73:H73"/>
    <mergeCell ref="A74:H74"/>
    <mergeCell ref="B75:H75"/>
    <mergeCell ref="B69:E69"/>
    <mergeCell ref="F69:H69"/>
    <mergeCell ref="B70:E70"/>
    <mergeCell ref="F70:H70"/>
    <mergeCell ref="B71:E71"/>
    <mergeCell ref="F71:H71"/>
    <mergeCell ref="B82:G82"/>
    <mergeCell ref="B83:G83"/>
    <mergeCell ref="B84:G84"/>
    <mergeCell ref="B85:G85"/>
    <mergeCell ref="B86:G86"/>
    <mergeCell ref="B87:G87"/>
    <mergeCell ref="B76:H76"/>
    <mergeCell ref="B77:H77"/>
    <mergeCell ref="A78:H78"/>
    <mergeCell ref="A79:I79"/>
    <mergeCell ref="A80:I80"/>
    <mergeCell ref="B81:G81"/>
    <mergeCell ref="B94:E94"/>
    <mergeCell ref="F94:H94"/>
    <mergeCell ref="B95:E95"/>
    <mergeCell ref="F95:H95"/>
    <mergeCell ref="B96:E96"/>
    <mergeCell ref="F96:H96"/>
    <mergeCell ref="A88:G88"/>
    <mergeCell ref="A89:I89"/>
    <mergeCell ref="A90:I90"/>
    <mergeCell ref="A91:I91"/>
    <mergeCell ref="B92:I92"/>
    <mergeCell ref="A93:I93"/>
    <mergeCell ref="B100:E100"/>
    <mergeCell ref="F100:H100"/>
    <mergeCell ref="B101:E101"/>
    <mergeCell ref="F101:H101"/>
    <mergeCell ref="B102:E102"/>
    <mergeCell ref="F102:H102"/>
    <mergeCell ref="B97:E97"/>
    <mergeCell ref="F97:H97"/>
    <mergeCell ref="B98:E98"/>
    <mergeCell ref="F98:H98"/>
    <mergeCell ref="B99:E99"/>
    <mergeCell ref="F99:H99"/>
    <mergeCell ref="P109:Z112"/>
    <mergeCell ref="B110:H110"/>
    <mergeCell ref="B111:H111"/>
    <mergeCell ref="B112:H112"/>
    <mergeCell ref="A103:I103"/>
    <mergeCell ref="A104:H104"/>
    <mergeCell ref="B105:E105"/>
    <mergeCell ref="F105:H105"/>
    <mergeCell ref="B106:E106"/>
    <mergeCell ref="F106:H106"/>
    <mergeCell ref="A113:H113"/>
    <mergeCell ref="A114:I114"/>
    <mergeCell ref="A115:G115"/>
    <mergeCell ref="B116:D116"/>
    <mergeCell ref="E116:G116"/>
    <mergeCell ref="B117:D117"/>
    <mergeCell ref="E117:G117"/>
    <mergeCell ref="B107:E107"/>
    <mergeCell ref="F107:H107"/>
    <mergeCell ref="A108:I108"/>
    <mergeCell ref="A109:I109"/>
    <mergeCell ref="A121:D121"/>
    <mergeCell ref="E121:G121"/>
    <mergeCell ref="A122:G122"/>
    <mergeCell ref="A123:I123"/>
    <mergeCell ref="A124:I124"/>
    <mergeCell ref="B125:E125"/>
    <mergeCell ref="F125:G125"/>
    <mergeCell ref="H125:I125"/>
    <mergeCell ref="B118:D118"/>
    <mergeCell ref="E118:G118"/>
    <mergeCell ref="H118:I118"/>
    <mergeCell ref="B119:D119"/>
    <mergeCell ref="E119:G119"/>
    <mergeCell ref="B120:D120"/>
    <mergeCell ref="E120:G120"/>
    <mergeCell ref="B128:E128"/>
    <mergeCell ref="F128:G128"/>
    <mergeCell ref="H128:I128"/>
    <mergeCell ref="C129:E129"/>
    <mergeCell ref="F129:G129"/>
    <mergeCell ref="H129:I129"/>
    <mergeCell ref="B126:E126"/>
    <mergeCell ref="F126:G126"/>
    <mergeCell ref="H126:I126"/>
    <mergeCell ref="B127:E127"/>
    <mergeCell ref="F127:G127"/>
    <mergeCell ref="H127:I127"/>
    <mergeCell ref="C132:E132"/>
    <mergeCell ref="F132:G132"/>
    <mergeCell ref="H132:I132"/>
    <mergeCell ref="A133:E133"/>
    <mergeCell ref="F133:G133"/>
    <mergeCell ref="H133:I133"/>
    <mergeCell ref="C130:E130"/>
    <mergeCell ref="F130:G130"/>
    <mergeCell ref="H130:I130"/>
    <mergeCell ref="C131:E131"/>
    <mergeCell ref="F131:G131"/>
    <mergeCell ref="H131:I131"/>
    <mergeCell ref="B140:H140"/>
    <mergeCell ref="B141:H141"/>
    <mergeCell ref="B142:H142"/>
    <mergeCell ref="A143:H143"/>
    <mergeCell ref="A144:I144"/>
    <mergeCell ref="A145:I145"/>
    <mergeCell ref="A134:I134"/>
    <mergeCell ref="A135:I135"/>
    <mergeCell ref="B136:H136"/>
    <mergeCell ref="B137:H137"/>
    <mergeCell ref="B138:H138"/>
    <mergeCell ref="B139:H139"/>
    <mergeCell ref="A148:B148"/>
    <mergeCell ref="C148:D148"/>
    <mergeCell ref="F148:G148"/>
    <mergeCell ref="C149:D149"/>
    <mergeCell ref="F149:G149"/>
    <mergeCell ref="A150:I150"/>
    <mergeCell ref="A146:B147"/>
    <mergeCell ref="C146:D147"/>
    <mergeCell ref="E146:E147"/>
    <mergeCell ref="F146:G147"/>
    <mergeCell ref="H146:H147"/>
    <mergeCell ref="I146:I147"/>
    <mergeCell ref="B156:E156"/>
    <mergeCell ref="H156:I156"/>
    <mergeCell ref="B157:E157"/>
    <mergeCell ref="H157:I157"/>
    <mergeCell ref="A159:I159"/>
    <mergeCell ref="B152:B153"/>
    <mergeCell ref="C152:D152"/>
    <mergeCell ref="G152:G153"/>
    <mergeCell ref="I152:I153"/>
    <mergeCell ref="B155:E155"/>
    <mergeCell ref="H155:I155"/>
  </mergeCells>
  <printOptions horizontalCentered="1"/>
  <pageMargins left="0.19685039370078741" right="0.19685039370078741" top="0.78740157480314965" bottom="0.78740157480314965" header="0.31496062992125984" footer="0.31496062992125984"/>
  <pageSetup paperSize="9" scale="51" fitToHeight="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A02CB-BC8A-4143-A5B4-831C7D18D0DE}">
  <sheetPr>
    <tabColor rgb="FF7030A0"/>
    <pageSetUpPr fitToPage="1"/>
  </sheetPr>
  <dimension ref="A1:AS164"/>
  <sheetViews>
    <sheetView zoomScale="80" zoomScaleNormal="80" workbookViewId="0">
      <selection activeCell="I7" sqref="I7"/>
    </sheetView>
  </sheetViews>
  <sheetFormatPr defaultRowHeight="15"/>
  <cols>
    <col min="4" max="4" width="28.140625" customWidth="1"/>
    <col min="5" max="5" width="40.28515625" customWidth="1"/>
    <col min="6" max="6" width="22.85546875" customWidth="1"/>
    <col min="7" max="7" width="17.5703125" bestFit="1" customWidth="1"/>
    <col min="8" max="8" width="15.42578125" customWidth="1"/>
    <col min="9" max="9" width="37.85546875" bestFit="1" customWidth="1"/>
    <col min="10" max="10" width="13.42578125" customWidth="1"/>
    <col min="11" max="11" width="12.42578125" customWidth="1"/>
    <col min="260" max="260" width="28.140625" customWidth="1"/>
    <col min="261" max="261" width="40.28515625" customWidth="1"/>
    <col min="262" max="262" width="22.85546875" customWidth="1"/>
    <col min="263" max="263" width="17.5703125" bestFit="1" customWidth="1"/>
    <col min="264" max="264" width="15.42578125" customWidth="1"/>
    <col min="265" max="265" width="37.85546875" bestFit="1" customWidth="1"/>
    <col min="266" max="266" width="13.42578125" customWidth="1"/>
    <col min="267" max="267" width="12.42578125" customWidth="1"/>
    <col min="516" max="516" width="28.140625" customWidth="1"/>
    <col min="517" max="517" width="40.28515625" customWidth="1"/>
    <col min="518" max="518" width="22.85546875" customWidth="1"/>
    <col min="519" max="519" width="17.5703125" bestFit="1" customWidth="1"/>
    <col min="520" max="520" width="15.42578125" customWidth="1"/>
    <col min="521" max="521" width="37.85546875" bestFit="1" customWidth="1"/>
    <col min="522" max="522" width="13.42578125" customWidth="1"/>
    <col min="523" max="523" width="12.42578125" customWidth="1"/>
    <col min="772" max="772" width="28.140625" customWidth="1"/>
    <col min="773" max="773" width="40.28515625" customWidth="1"/>
    <col min="774" max="774" width="22.85546875" customWidth="1"/>
    <col min="775" max="775" width="17.5703125" bestFit="1" customWidth="1"/>
    <col min="776" max="776" width="15.42578125" customWidth="1"/>
    <col min="777" max="777" width="37.85546875" bestFit="1" customWidth="1"/>
    <col min="778" max="778" width="13.42578125" customWidth="1"/>
    <col min="779" max="779" width="12.42578125" customWidth="1"/>
    <col min="1028" max="1028" width="28.140625" customWidth="1"/>
    <col min="1029" max="1029" width="40.28515625" customWidth="1"/>
    <col min="1030" max="1030" width="22.85546875" customWidth="1"/>
    <col min="1031" max="1031" width="17.5703125" bestFit="1" customWidth="1"/>
    <col min="1032" max="1032" width="15.42578125" customWidth="1"/>
    <col min="1033" max="1033" width="37.85546875" bestFit="1" customWidth="1"/>
    <col min="1034" max="1034" width="13.42578125" customWidth="1"/>
    <col min="1035" max="1035" width="12.42578125" customWidth="1"/>
    <col min="1284" max="1284" width="28.140625" customWidth="1"/>
    <col min="1285" max="1285" width="40.28515625" customWidth="1"/>
    <col min="1286" max="1286" width="22.85546875" customWidth="1"/>
    <col min="1287" max="1287" width="17.5703125" bestFit="1" customWidth="1"/>
    <col min="1288" max="1288" width="15.42578125" customWidth="1"/>
    <col min="1289" max="1289" width="37.85546875" bestFit="1" customWidth="1"/>
    <col min="1290" max="1290" width="13.42578125" customWidth="1"/>
    <col min="1291" max="1291" width="12.42578125" customWidth="1"/>
    <col min="1540" max="1540" width="28.140625" customWidth="1"/>
    <col min="1541" max="1541" width="40.28515625" customWidth="1"/>
    <col min="1542" max="1542" width="22.85546875" customWidth="1"/>
    <col min="1543" max="1543" width="17.5703125" bestFit="1" customWidth="1"/>
    <col min="1544" max="1544" width="15.42578125" customWidth="1"/>
    <col min="1545" max="1545" width="37.85546875" bestFit="1" customWidth="1"/>
    <col min="1546" max="1546" width="13.42578125" customWidth="1"/>
    <col min="1547" max="1547" width="12.42578125" customWidth="1"/>
    <col min="1796" max="1796" width="28.140625" customWidth="1"/>
    <col min="1797" max="1797" width="40.28515625" customWidth="1"/>
    <col min="1798" max="1798" width="22.85546875" customWidth="1"/>
    <col min="1799" max="1799" width="17.5703125" bestFit="1" customWidth="1"/>
    <col min="1800" max="1800" width="15.42578125" customWidth="1"/>
    <col min="1801" max="1801" width="37.85546875" bestFit="1" customWidth="1"/>
    <col min="1802" max="1802" width="13.42578125" customWidth="1"/>
    <col min="1803" max="1803" width="12.42578125" customWidth="1"/>
    <col min="2052" max="2052" width="28.140625" customWidth="1"/>
    <col min="2053" max="2053" width="40.28515625" customWidth="1"/>
    <col min="2054" max="2054" width="22.85546875" customWidth="1"/>
    <col min="2055" max="2055" width="17.5703125" bestFit="1" customWidth="1"/>
    <col min="2056" max="2056" width="15.42578125" customWidth="1"/>
    <col min="2057" max="2057" width="37.85546875" bestFit="1" customWidth="1"/>
    <col min="2058" max="2058" width="13.42578125" customWidth="1"/>
    <col min="2059" max="2059" width="12.42578125" customWidth="1"/>
    <col min="2308" max="2308" width="28.140625" customWidth="1"/>
    <col min="2309" max="2309" width="40.28515625" customWidth="1"/>
    <col min="2310" max="2310" width="22.85546875" customWidth="1"/>
    <col min="2311" max="2311" width="17.5703125" bestFit="1" customWidth="1"/>
    <col min="2312" max="2312" width="15.42578125" customWidth="1"/>
    <col min="2313" max="2313" width="37.85546875" bestFit="1" customWidth="1"/>
    <col min="2314" max="2314" width="13.42578125" customWidth="1"/>
    <col min="2315" max="2315" width="12.42578125" customWidth="1"/>
    <col min="2564" max="2564" width="28.140625" customWidth="1"/>
    <col min="2565" max="2565" width="40.28515625" customWidth="1"/>
    <col min="2566" max="2566" width="22.85546875" customWidth="1"/>
    <col min="2567" max="2567" width="17.5703125" bestFit="1" customWidth="1"/>
    <col min="2568" max="2568" width="15.42578125" customWidth="1"/>
    <col min="2569" max="2569" width="37.85546875" bestFit="1" customWidth="1"/>
    <col min="2570" max="2570" width="13.42578125" customWidth="1"/>
    <col min="2571" max="2571" width="12.42578125" customWidth="1"/>
    <col min="2820" max="2820" width="28.140625" customWidth="1"/>
    <col min="2821" max="2821" width="40.28515625" customWidth="1"/>
    <col min="2822" max="2822" width="22.85546875" customWidth="1"/>
    <col min="2823" max="2823" width="17.5703125" bestFit="1" customWidth="1"/>
    <col min="2824" max="2824" width="15.42578125" customWidth="1"/>
    <col min="2825" max="2825" width="37.85546875" bestFit="1" customWidth="1"/>
    <col min="2826" max="2826" width="13.42578125" customWidth="1"/>
    <col min="2827" max="2827" width="12.42578125" customWidth="1"/>
    <col min="3076" max="3076" width="28.140625" customWidth="1"/>
    <col min="3077" max="3077" width="40.28515625" customWidth="1"/>
    <col min="3078" max="3078" width="22.85546875" customWidth="1"/>
    <col min="3079" max="3079" width="17.5703125" bestFit="1" customWidth="1"/>
    <col min="3080" max="3080" width="15.42578125" customWidth="1"/>
    <col min="3081" max="3081" width="37.85546875" bestFit="1" customWidth="1"/>
    <col min="3082" max="3082" width="13.42578125" customWidth="1"/>
    <col min="3083" max="3083" width="12.42578125" customWidth="1"/>
    <col min="3332" max="3332" width="28.140625" customWidth="1"/>
    <col min="3333" max="3333" width="40.28515625" customWidth="1"/>
    <col min="3334" max="3334" width="22.85546875" customWidth="1"/>
    <col min="3335" max="3335" width="17.5703125" bestFit="1" customWidth="1"/>
    <col min="3336" max="3336" width="15.42578125" customWidth="1"/>
    <col min="3337" max="3337" width="37.85546875" bestFit="1" customWidth="1"/>
    <col min="3338" max="3338" width="13.42578125" customWidth="1"/>
    <col min="3339" max="3339" width="12.42578125" customWidth="1"/>
    <col min="3588" max="3588" width="28.140625" customWidth="1"/>
    <col min="3589" max="3589" width="40.28515625" customWidth="1"/>
    <col min="3590" max="3590" width="22.85546875" customWidth="1"/>
    <col min="3591" max="3591" width="17.5703125" bestFit="1" customWidth="1"/>
    <col min="3592" max="3592" width="15.42578125" customWidth="1"/>
    <col min="3593" max="3593" width="37.85546875" bestFit="1" customWidth="1"/>
    <col min="3594" max="3594" width="13.42578125" customWidth="1"/>
    <col min="3595" max="3595" width="12.42578125" customWidth="1"/>
    <col min="3844" max="3844" width="28.140625" customWidth="1"/>
    <col min="3845" max="3845" width="40.28515625" customWidth="1"/>
    <col min="3846" max="3846" width="22.85546875" customWidth="1"/>
    <col min="3847" max="3847" width="17.5703125" bestFit="1" customWidth="1"/>
    <col min="3848" max="3848" width="15.42578125" customWidth="1"/>
    <col min="3849" max="3849" width="37.85546875" bestFit="1" customWidth="1"/>
    <col min="3850" max="3850" width="13.42578125" customWidth="1"/>
    <col min="3851" max="3851" width="12.42578125" customWidth="1"/>
    <col min="4100" max="4100" width="28.140625" customWidth="1"/>
    <col min="4101" max="4101" width="40.28515625" customWidth="1"/>
    <col min="4102" max="4102" width="22.85546875" customWidth="1"/>
    <col min="4103" max="4103" width="17.5703125" bestFit="1" customWidth="1"/>
    <col min="4104" max="4104" width="15.42578125" customWidth="1"/>
    <col min="4105" max="4105" width="37.85546875" bestFit="1" customWidth="1"/>
    <col min="4106" max="4106" width="13.42578125" customWidth="1"/>
    <col min="4107" max="4107" width="12.42578125" customWidth="1"/>
    <col min="4356" max="4356" width="28.140625" customWidth="1"/>
    <col min="4357" max="4357" width="40.28515625" customWidth="1"/>
    <col min="4358" max="4358" width="22.85546875" customWidth="1"/>
    <col min="4359" max="4359" width="17.5703125" bestFit="1" customWidth="1"/>
    <col min="4360" max="4360" width="15.42578125" customWidth="1"/>
    <col min="4361" max="4361" width="37.85546875" bestFit="1" customWidth="1"/>
    <col min="4362" max="4362" width="13.42578125" customWidth="1"/>
    <col min="4363" max="4363" width="12.42578125" customWidth="1"/>
    <col min="4612" max="4612" width="28.140625" customWidth="1"/>
    <col min="4613" max="4613" width="40.28515625" customWidth="1"/>
    <col min="4614" max="4614" width="22.85546875" customWidth="1"/>
    <col min="4615" max="4615" width="17.5703125" bestFit="1" customWidth="1"/>
    <col min="4616" max="4616" width="15.42578125" customWidth="1"/>
    <col min="4617" max="4617" width="37.85546875" bestFit="1" customWidth="1"/>
    <col min="4618" max="4618" width="13.42578125" customWidth="1"/>
    <col min="4619" max="4619" width="12.42578125" customWidth="1"/>
    <col min="4868" max="4868" width="28.140625" customWidth="1"/>
    <col min="4869" max="4869" width="40.28515625" customWidth="1"/>
    <col min="4870" max="4870" width="22.85546875" customWidth="1"/>
    <col min="4871" max="4871" width="17.5703125" bestFit="1" customWidth="1"/>
    <col min="4872" max="4872" width="15.42578125" customWidth="1"/>
    <col min="4873" max="4873" width="37.85546875" bestFit="1" customWidth="1"/>
    <col min="4874" max="4874" width="13.42578125" customWidth="1"/>
    <col min="4875" max="4875" width="12.42578125" customWidth="1"/>
    <col min="5124" max="5124" width="28.140625" customWidth="1"/>
    <col min="5125" max="5125" width="40.28515625" customWidth="1"/>
    <col min="5126" max="5126" width="22.85546875" customWidth="1"/>
    <col min="5127" max="5127" width="17.5703125" bestFit="1" customWidth="1"/>
    <col min="5128" max="5128" width="15.42578125" customWidth="1"/>
    <col min="5129" max="5129" width="37.85546875" bestFit="1" customWidth="1"/>
    <col min="5130" max="5130" width="13.42578125" customWidth="1"/>
    <col min="5131" max="5131" width="12.42578125" customWidth="1"/>
    <col min="5380" max="5380" width="28.140625" customWidth="1"/>
    <col min="5381" max="5381" width="40.28515625" customWidth="1"/>
    <col min="5382" max="5382" width="22.85546875" customWidth="1"/>
    <col min="5383" max="5383" width="17.5703125" bestFit="1" customWidth="1"/>
    <col min="5384" max="5384" width="15.42578125" customWidth="1"/>
    <col min="5385" max="5385" width="37.85546875" bestFit="1" customWidth="1"/>
    <col min="5386" max="5386" width="13.42578125" customWidth="1"/>
    <col min="5387" max="5387" width="12.42578125" customWidth="1"/>
    <col min="5636" max="5636" width="28.140625" customWidth="1"/>
    <col min="5637" max="5637" width="40.28515625" customWidth="1"/>
    <col min="5638" max="5638" width="22.85546875" customWidth="1"/>
    <col min="5639" max="5639" width="17.5703125" bestFit="1" customWidth="1"/>
    <col min="5640" max="5640" width="15.42578125" customWidth="1"/>
    <col min="5641" max="5641" width="37.85546875" bestFit="1" customWidth="1"/>
    <col min="5642" max="5642" width="13.42578125" customWidth="1"/>
    <col min="5643" max="5643" width="12.42578125" customWidth="1"/>
    <col min="5892" max="5892" width="28.140625" customWidth="1"/>
    <col min="5893" max="5893" width="40.28515625" customWidth="1"/>
    <col min="5894" max="5894" width="22.85546875" customWidth="1"/>
    <col min="5895" max="5895" width="17.5703125" bestFit="1" customWidth="1"/>
    <col min="5896" max="5896" width="15.42578125" customWidth="1"/>
    <col min="5897" max="5897" width="37.85546875" bestFit="1" customWidth="1"/>
    <col min="5898" max="5898" width="13.42578125" customWidth="1"/>
    <col min="5899" max="5899" width="12.42578125" customWidth="1"/>
    <col min="6148" max="6148" width="28.140625" customWidth="1"/>
    <col min="6149" max="6149" width="40.28515625" customWidth="1"/>
    <col min="6150" max="6150" width="22.85546875" customWidth="1"/>
    <col min="6151" max="6151" width="17.5703125" bestFit="1" customWidth="1"/>
    <col min="6152" max="6152" width="15.42578125" customWidth="1"/>
    <col min="6153" max="6153" width="37.85546875" bestFit="1" customWidth="1"/>
    <col min="6154" max="6154" width="13.42578125" customWidth="1"/>
    <col min="6155" max="6155" width="12.42578125" customWidth="1"/>
    <col min="6404" max="6404" width="28.140625" customWidth="1"/>
    <col min="6405" max="6405" width="40.28515625" customWidth="1"/>
    <col min="6406" max="6406" width="22.85546875" customWidth="1"/>
    <col min="6407" max="6407" width="17.5703125" bestFit="1" customWidth="1"/>
    <col min="6408" max="6408" width="15.42578125" customWidth="1"/>
    <col min="6409" max="6409" width="37.85546875" bestFit="1" customWidth="1"/>
    <col min="6410" max="6410" width="13.42578125" customWidth="1"/>
    <col min="6411" max="6411" width="12.42578125" customWidth="1"/>
    <col min="6660" max="6660" width="28.140625" customWidth="1"/>
    <col min="6661" max="6661" width="40.28515625" customWidth="1"/>
    <col min="6662" max="6662" width="22.85546875" customWidth="1"/>
    <col min="6663" max="6663" width="17.5703125" bestFit="1" customWidth="1"/>
    <col min="6664" max="6664" width="15.42578125" customWidth="1"/>
    <col min="6665" max="6665" width="37.85546875" bestFit="1" customWidth="1"/>
    <col min="6666" max="6666" width="13.42578125" customWidth="1"/>
    <col min="6667" max="6667" width="12.42578125" customWidth="1"/>
    <col min="6916" max="6916" width="28.140625" customWidth="1"/>
    <col min="6917" max="6917" width="40.28515625" customWidth="1"/>
    <col min="6918" max="6918" width="22.85546875" customWidth="1"/>
    <col min="6919" max="6919" width="17.5703125" bestFit="1" customWidth="1"/>
    <col min="6920" max="6920" width="15.42578125" customWidth="1"/>
    <col min="6921" max="6921" width="37.85546875" bestFit="1" customWidth="1"/>
    <col min="6922" max="6922" width="13.42578125" customWidth="1"/>
    <col min="6923" max="6923" width="12.42578125" customWidth="1"/>
    <col min="7172" max="7172" width="28.140625" customWidth="1"/>
    <col min="7173" max="7173" width="40.28515625" customWidth="1"/>
    <col min="7174" max="7174" width="22.85546875" customWidth="1"/>
    <col min="7175" max="7175" width="17.5703125" bestFit="1" customWidth="1"/>
    <col min="7176" max="7176" width="15.42578125" customWidth="1"/>
    <col min="7177" max="7177" width="37.85546875" bestFit="1" customWidth="1"/>
    <col min="7178" max="7178" width="13.42578125" customWidth="1"/>
    <col min="7179" max="7179" width="12.42578125" customWidth="1"/>
    <col min="7428" max="7428" width="28.140625" customWidth="1"/>
    <col min="7429" max="7429" width="40.28515625" customWidth="1"/>
    <col min="7430" max="7430" width="22.85546875" customWidth="1"/>
    <col min="7431" max="7431" width="17.5703125" bestFit="1" customWidth="1"/>
    <col min="7432" max="7432" width="15.42578125" customWidth="1"/>
    <col min="7433" max="7433" width="37.85546875" bestFit="1" customWidth="1"/>
    <col min="7434" max="7434" width="13.42578125" customWidth="1"/>
    <col min="7435" max="7435" width="12.42578125" customWidth="1"/>
    <col min="7684" max="7684" width="28.140625" customWidth="1"/>
    <col min="7685" max="7685" width="40.28515625" customWidth="1"/>
    <col min="7686" max="7686" width="22.85546875" customWidth="1"/>
    <col min="7687" max="7687" width="17.5703125" bestFit="1" customWidth="1"/>
    <col min="7688" max="7688" width="15.42578125" customWidth="1"/>
    <col min="7689" max="7689" width="37.85546875" bestFit="1" customWidth="1"/>
    <col min="7690" max="7690" width="13.42578125" customWidth="1"/>
    <col min="7691" max="7691" width="12.42578125" customWidth="1"/>
    <col min="7940" max="7940" width="28.140625" customWidth="1"/>
    <col min="7941" max="7941" width="40.28515625" customWidth="1"/>
    <col min="7942" max="7942" width="22.85546875" customWidth="1"/>
    <col min="7943" max="7943" width="17.5703125" bestFit="1" customWidth="1"/>
    <col min="7944" max="7944" width="15.42578125" customWidth="1"/>
    <col min="7945" max="7945" width="37.85546875" bestFit="1" customWidth="1"/>
    <col min="7946" max="7946" width="13.42578125" customWidth="1"/>
    <col min="7947" max="7947" width="12.42578125" customWidth="1"/>
    <col min="8196" max="8196" width="28.140625" customWidth="1"/>
    <col min="8197" max="8197" width="40.28515625" customWidth="1"/>
    <col min="8198" max="8198" width="22.85546875" customWidth="1"/>
    <col min="8199" max="8199" width="17.5703125" bestFit="1" customWidth="1"/>
    <col min="8200" max="8200" width="15.42578125" customWidth="1"/>
    <col min="8201" max="8201" width="37.85546875" bestFit="1" customWidth="1"/>
    <col min="8202" max="8202" width="13.42578125" customWidth="1"/>
    <col min="8203" max="8203" width="12.42578125" customWidth="1"/>
    <col min="8452" max="8452" width="28.140625" customWidth="1"/>
    <col min="8453" max="8453" width="40.28515625" customWidth="1"/>
    <col min="8454" max="8454" width="22.85546875" customWidth="1"/>
    <col min="8455" max="8455" width="17.5703125" bestFit="1" customWidth="1"/>
    <col min="8456" max="8456" width="15.42578125" customWidth="1"/>
    <col min="8457" max="8457" width="37.85546875" bestFit="1" customWidth="1"/>
    <col min="8458" max="8458" width="13.42578125" customWidth="1"/>
    <col min="8459" max="8459" width="12.42578125" customWidth="1"/>
    <col min="8708" max="8708" width="28.140625" customWidth="1"/>
    <col min="8709" max="8709" width="40.28515625" customWidth="1"/>
    <col min="8710" max="8710" width="22.85546875" customWidth="1"/>
    <col min="8711" max="8711" width="17.5703125" bestFit="1" customWidth="1"/>
    <col min="8712" max="8712" width="15.42578125" customWidth="1"/>
    <col min="8713" max="8713" width="37.85546875" bestFit="1" customWidth="1"/>
    <col min="8714" max="8714" width="13.42578125" customWidth="1"/>
    <col min="8715" max="8715" width="12.42578125" customWidth="1"/>
    <col min="8964" max="8964" width="28.140625" customWidth="1"/>
    <col min="8965" max="8965" width="40.28515625" customWidth="1"/>
    <col min="8966" max="8966" width="22.85546875" customWidth="1"/>
    <col min="8967" max="8967" width="17.5703125" bestFit="1" customWidth="1"/>
    <col min="8968" max="8968" width="15.42578125" customWidth="1"/>
    <col min="8969" max="8969" width="37.85546875" bestFit="1" customWidth="1"/>
    <col min="8970" max="8970" width="13.42578125" customWidth="1"/>
    <col min="8971" max="8971" width="12.42578125" customWidth="1"/>
    <col min="9220" max="9220" width="28.140625" customWidth="1"/>
    <col min="9221" max="9221" width="40.28515625" customWidth="1"/>
    <col min="9222" max="9222" width="22.85546875" customWidth="1"/>
    <col min="9223" max="9223" width="17.5703125" bestFit="1" customWidth="1"/>
    <col min="9224" max="9224" width="15.42578125" customWidth="1"/>
    <col min="9225" max="9225" width="37.85546875" bestFit="1" customWidth="1"/>
    <col min="9226" max="9226" width="13.42578125" customWidth="1"/>
    <col min="9227" max="9227" width="12.42578125" customWidth="1"/>
    <col min="9476" max="9476" width="28.140625" customWidth="1"/>
    <col min="9477" max="9477" width="40.28515625" customWidth="1"/>
    <col min="9478" max="9478" width="22.85546875" customWidth="1"/>
    <col min="9479" max="9479" width="17.5703125" bestFit="1" customWidth="1"/>
    <col min="9480" max="9480" width="15.42578125" customWidth="1"/>
    <col min="9481" max="9481" width="37.85546875" bestFit="1" customWidth="1"/>
    <col min="9482" max="9482" width="13.42578125" customWidth="1"/>
    <col min="9483" max="9483" width="12.42578125" customWidth="1"/>
    <col min="9732" max="9732" width="28.140625" customWidth="1"/>
    <col min="9733" max="9733" width="40.28515625" customWidth="1"/>
    <col min="9734" max="9734" width="22.85546875" customWidth="1"/>
    <col min="9735" max="9735" width="17.5703125" bestFit="1" customWidth="1"/>
    <col min="9736" max="9736" width="15.42578125" customWidth="1"/>
    <col min="9737" max="9737" width="37.85546875" bestFit="1" customWidth="1"/>
    <col min="9738" max="9738" width="13.42578125" customWidth="1"/>
    <col min="9739" max="9739" width="12.42578125" customWidth="1"/>
    <col min="9988" max="9988" width="28.140625" customWidth="1"/>
    <col min="9989" max="9989" width="40.28515625" customWidth="1"/>
    <col min="9990" max="9990" width="22.85546875" customWidth="1"/>
    <col min="9991" max="9991" width="17.5703125" bestFit="1" customWidth="1"/>
    <col min="9992" max="9992" width="15.42578125" customWidth="1"/>
    <col min="9993" max="9993" width="37.85546875" bestFit="1" customWidth="1"/>
    <col min="9994" max="9994" width="13.42578125" customWidth="1"/>
    <col min="9995" max="9995" width="12.42578125" customWidth="1"/>
    <col min="10244" max="10244" width="28.140625" customWidth="1"/>
    <col min="10245" max="10245" width="40.28515625" customWidth="1"/>
    <col min="10246" max="10246" width="22.85546875" customWidth="1"/>
    <col min="10247" max="10247" width="17.5703125" bestFit="1" customWidth="1"/>
    <col min="10248" max="10248" width="15.42578125" customWidth="1"/>
    <col min="10249" max="10249" width="37.85546875" bestFit="1" customWidth="1"/>
    <col min="10250" max="10250" width="13.42578125" customWidth="1"/>
    <col min="10251" max="10251" width="12.42578125" customWidth="1"/>
    <col min="10500" max="10500" width="28.140625" customWidth="1"/>
    <col min="10501" max="10501" width="40.28515625" customWidth="1"/>
    <col min="10502" max="10502" width="22.85546875" customWidth="1"/>
    <col min="10503" max="10503" width="17.5703125" bestFit="1" customWidth="1"/>
    <col min="10504" max="10504" width="15.42578125" customWidth="1"/>
    <col min="10505" max="10505" width="37.85546875" bestFit="1" customWidth="1"/>
    <col min="10506" max="10506" width="13.42578125" customWidth="1"/>
    <col min="10507" max="10507" width="12.42578125" customWidth="1"/>
    <col min="10756" max="10756" width="28.140625" customWidth="1"/>
    <col min="10757" max="10757" width="40.28515625" customWidth="1"/>
    <col min="10758" max="10758" width="22.85546875" customWidth="1"/>
    <col min="10759" max="10759" width="17.5703125" bestFit="1" customWidth="1"/>
    <col min="10760" max="10760" width="15.42578125" customWidth="1"/>
    <col min="10761" max="10761" width="37.85546875" bestFit="1" customWidth="1"/>
    <col min="10762" max="10762" width="13.42578125" customWidth="1"/>
    <col min="10763" max="10763" width="12.42578125" customWidth="1"/>
    <col min="11012" max="11012" width="28.140625" customWidth="1"/>
    <col min="11013" max="11013" width="40.28515625" customWidth="1"/>
    <col min="11014" max="11014" width="22.85546875" customWidth="1"/>
    <col min="11015" max="11015" width="17.5703125" bestFit="1" customWidth="1"/>
    <col min="11016" max="11016" width="15.42578125" customWidth="1"/>
    <col min="11017" max="11017" width="37.85546875" bestFit="1" customWidth="1"/>
    <col min="11018" max="11018" width="13.42578125" customWidth="1"/>
    <col min="11019" max="11019" width="12.42578125" customWidth="1"/>
    <col min="11268" max="11268" width="28.140625" customWidth="1"/>
    <col min="11269" max="11269" width="40.28515625" customWidth="1"/>
    <col min="11270" max="11270" width="22.85546875" customWidth="1"/>
    <col min="11271" max="11271" width="17.5703125" bestFit="1" customWidth="1"/>
    <col min="11272" max="11272" width="15.42578125" customWidth="1"/>
    <col min="11273" max="11273" width="37.85546875" bestFit="1" customWidth="1"/>
    <col min="11274" max="11274" width="13.42578125" customWidth="1"/>
    <col min="11275" max="11275" width="12.42578125" customWidth="1"/>
    <col min="11524" max="11524" width="28.140625" customWidth="1"/>
    <col min="11525" max="11525" width="40.28515625" customWidth="1"/>
    <col min="11526" max="11526" width="22.85546875" customWidth="1"/>
    <col min="11527" max="11527" width="17.5703125" bestFit="1" customWidth="1"/>
    <col min="11528" max="11528" width="15.42578125" customWidth="1"/>
    <col min="11529" max="11529" width="37.85546875" bestFit="1" customWidth="1"/>
    <col min="11530" max="11530" width="13.42578125" customWidth="1"/>
    <col min="11531" max="11531" width="12.42578125" customWidth="1"/>
    <col min="11780" max="11780" width="28.140625" customWidth="1"/>
    <col min="11781" max="11781" width="40.28515625" customWidth="1"/>
    <col min="11782" max="11782" width="22.85546875" customWidth="1"/>
    <col min="11783" max="11783" width="17.5703125" bestFit="1" customWidth="1"/>
    <col min="11784" max="11784" width="15.42578125" customWidth="1"/>
    <col min="11785" max="11785" width="37.85546875" bestFit="1" customWidth="1"/>
    <col min="11786" max="11786" width="13.42578125" customWidth="1"/>
    <col min="11787" max="11787" width="12.42578125" customWidth="1"/>
    <col min="12036" max="12036" width="28.140625" customWidth="1"/>
    <col min="12037" max="12037" width="40.28515625" customWidth="1"/>
    <col min="12038" max="12038" width="22.85546875" customWidth="1"/>
    <col min="12039" max="12039" width="17.5703125" bestFit="1" customWidth="1"/>
    <col min="12040" max="12040" width="15.42578125" customWidth="1"/>
    <col min="12041" max="12041" width="37.85546875" bestFit="1" customWidth="1"/>
    <col min="12042" max="12042" width="13.42578125" customWidth="1"/>
    <col min="12043" max="12043" width="12.42578125" customWidth="1"/>
    <col min="12292" max="12292" width="28.140625" customWidth="1"/>
    <col min="12293" max="12293" width="40.28515625" customWidth="1"/>
    <col min="12294" max="12294" width="22.85546875" customWidth="1"/>
    <col min="12295" max="12295" width="17.5703125" bestFit="1" customWidth="1"/>
    <col min="12296" max="12296" width="15.42578125" customWidth="1"/>
    <col min="12297" max="12297" width="37.85546875" bestFit="1" customWidth="1"/>
    <col min="12298" max="12298" width="13.42578125" customWidth="1"/>
    <col min="12299" max="12299" width="12.42578125" customWidth="1"/>
    <col min="12548" max="12548" width="28.140625" customWidth="1"/>
    <col min="12549" max="12549" width="40.28515625" customWidth="1"/>
    <col min="12550" max="12550" width="22.85546875" customWidth="1"/>
    <col min="12551" max="12551" width="17.5703125" bestFit="1" customWidth="1"/>
    <col min="12552" max="12552" width="15.42578125" customWidth="1"/>
    <col min="12553" max="12553" width="37.85546875" bestFit="1" customWidth="1"/>
    <col min="12554" max="12554" width="13.42578125" customWidth="1"/>
    <col min="12555" max="12555" width="12.42578125" customWidth="1"/>
    <col min="12804" max="12804" width="28.140625" customWidth="1"/>
    <col min="12805" max="12805" width="40.28515625" customWidth="1"/>
    <col min="12806" max="12806" width="22.85546875" customWidth="1"/>
    <col min="12807" max="12807" width="17.5703125" bestFit="1" customWidth="1"/>
    <col min="12808" max="12808" width="15.42578125" customWidth="1"/>
    <col min="12809" max="12809" width="37.85546875" bestFit="1" customWidth="1"/>
    <col min="12810" max="12810" width="13.42578125" customWidth="1"/>
    <col min="12811" max="12811" width="12.42578125" customWidth="1"/>
    <col min="13060" max="13060" width="28.140625" customWidth="1"/>
    <col min="13061" max="13061" width="40.28515625" customWidth="1"/>
    <col min="13062" max="13062" width="22.85546875" customWidth="1"/>
    <col min="13063" max="13063" width="17.5703125" bestFit="1" customWidth="1"/>
    <col min="13064" max="13064" width="15.42578125" customWidth="1"/>
    <col min="13065" max="13065" width="37.85546875" bestFit="1" customWidth="1"/>
    <col min="13066" max="13066" width="13.42578125" customWidth="1"/>
    <col min="13067" max="13067" width="12.42578125" customWidth="1"/>
    <col min="13316" max="13316" width="28.140625" customWidth="1"/>
    <col min="13317" max="13317" width="40.28515625" customWidth="1"/>
    <col min="13318" max="13318" width="22.85546875" customWidth="1"/>
    <col min="13319" max="13319" width="17.5703125" bestFit="1" customWidth="1"/>
    <col min="13320" max="13320" width="15.42578125" customWidth="1"/>
    <col min="13321" max="13321" width="37.85546875" bestFit="1" customWidth="1"/>
    <col min="13322" max="13322" width="13.42578125" customWidth="1"/>
    <col min="13323" max="13323" width="12.42578125" customWidth="1"/>
    <col min="13572" max="13572" width="28.140625" customWidth="1"/>
    <col min="13573" max="13573" width="40.28515625" customWidth="1"/>
    <col min="13574" max="13574" width="22.85546875" customWidth="1"/>
    <col min="13575" max="13575" width="17.5703125" bestFit="1" customWidth="1"/>
    <col min="13576" max="13576" width="15.42578125" customWidth="1"/>
    <col min="13577" max="13577" width="37.85546875" bestFit="1" customWidth="1"/>
    <col min="13578" max="13578" width="13.42578125" customWidth="1"/>
    <col min="13579" max="13579" width="12.42578125" customWidth="1"/>
    <col min="13828" max="13828" width="28.140625" customWidth="1"/>
    <col min="13829" max="13829" width="40.28515625" customWidth="1"/>
    <col min="13830" max="13830" width="22.85546875" customWidth="1"/>
    <col min="13831" max="13831" width="17.5703125" bestFit="1" customWidth="1"/>
    <col min="13832" max="13832" width="15.42578125" customWidth="1"/>
    <col min="13833" max="13833" width="37.85546875" bestFit="1" customWidth="1"/>
    <col min="13834" max="13834" width="13.42578125" customWidth="1"/>
    <col min="13835" max="13835" width="12.42578125" customWidth="1"/>
    <col min="14084" max="14084" width="28.140625" customWidth="1"/>
    <col min="14085" max="14085" width="40.28515625" customWidth="1"/>
    <col min="14086" max="14086" width="22.85546875" customWidth="1"/>
    <col min="14087" max="14087" width="17.5703125" bestFit="1" customWidth="1"/>
    <col min="14088" max="14088" width="15.42578125" customWidth="1"/>
    <col min="14089" max="14089" width="37.85546875" bestFit="1" customWidth="1"/>
    <col min="14090" max="14090" width="13.42578125" customWidth="1"/>
    <col min="14091" max="14091" width="12.42578125" customWidth="1"/>
    <col min="14340" max="14340" width="28.140625" customWidth="1"/>
    <col min="14341" max="14341" width="40.28515625" customWidth="1"/>
    <col min="14342" max="14342" width="22.85546875" customWidth="1"/>
    <col min="14343" max="14343" width="17.5703125" bestFit="1" customWidth="1"/>
    <col min="14344" max="14344" width="15.42578125" customWidth="1"/>
    <col min="14345" max="14345" width="37.85546875" bestFit="1" customWidth="1"/>
    <col min="14346" max="14346" width="13.42578125" customWidth="1"/>
    <col min="14347" max="14347" width="12.42578125" customWidth="1"/>
    <col min="14596" max="14596" width="28.140625" customWidth="1"/>
    <col min="14597" max="14597" width="40.28515625" customWidth="1"/>
    <col min="14598" max="14598" width="22.85546875" customWidth="1"/>
    <col min="14599" max="14599" width="17.5703125" bestFit="1" customWidth="1"/>
    <col min="14600" max="14600" width="15.42578125" customWidth="1"/>
    <col min="14601" max="14601" width="37.85546875" bestFit="1" customWidth="1"/>
    <col min="14602" max="14602" width="13.42578125" customWidth="1"/>
    <col min="14603" max="14603" width="12.42578125" customWidth="1"/>
    <col min="14852" max="14852" width="28.140625" customWidth="1"/>
    <col min="14853" max="14853" width="40.28515625" customWidth="1"/>
    <col min="14854" max="14854" width="22.85546875" customWidth="1"/>
    <col min="14855" max="14855" width="17.5703125" bestFit="1" customWidth="1"/>
    <col min="14856" max="14856" width="15.42578125" customWidth="1"/>
    <col min="14857" max="14857" width="37.85546875" bestFit="1" customWidth="1"/>
    <col min="14858" max="14858" width="13.42578125" customWidth="1"/>
    <col min="14859" max="14859" width="12.42578125" customWidth="1"/>
    <col min="15108" max="15108" width="28.140625" customWidth="1"/>
    <col min="15109" max="15109" width="40.28515625" customWidth="1"/>
    <col min="15110" max="15110" width="22.85546875" customWidth="1"/>
    <col min="15111" max="15111" width="17.5703125" bestFit="1" customWidth="1"/>
    <col min="15112" max="15112" width="15.42578125" customWidth="1"/>
    <col min="15113" max="15113" width="37.85546875" bestFit="1" customWidth="1"/>
    <col min="15114" max="15114" width="13.42578125" customWidth="1"/>
    <col min="15115" max="15115" width="12.42578125" customWidth="1"/>
    <col min="15364" max="15364" width="28.140625" customWidth="1"/>
    <col min="15365" max="15365" width="40.28515625" customWidth="1"/>
    <col min="15366" max="15366" width="22.85546875" customWidth="1"/>
    <col min="15367" max="15367" width="17.5703125" bestFit="1" customWidth="1"/>
    <col min="15368" max="15368" width="15.42578125" customWidth="1"/>
    <col min="15369" max="15369" width="37.85546875" bestFit="1" customWidth="1"/>
    <col min="15370" max="15370" width="13.42578125" customWidth="1"/>
    <col min="15371" max="15371" width="12.42578125" customWidth="1"/>
    <col min="15620" max="15620" width="28.140625" customWidth="1"/>
    <col min="15621" max="15621" width="40.28515625" customWidth="1"/>
    <col min="15622" max="15622" width="22.85546875" customWidth="1"/>
    <col min="15623" max="15623" width="17.5703125" bestFit="1" customWidth="1"/>
    <col min="15624" max="15624" width="15.42578125" customWidth="1"/>
    <col min="15625" max="15625" width="37.85546875" bestFit="1" customWidth="1"/>
    <col min="15626" max="15626" width="13.42578125" customWidth="1"/>
    <col min="15627" max="15627" width="12.42578125" customWidth="1"/>
    <col min="15876" max="15876" width="28.140625" customWidth="1"/>
    <col min="15877" max="15877" width="40.28515625" customWidth="1"/>
    <col min="15878" max="15878" width="22.85546875" customWidth="1"/>
    <col min="15879" max="15879" width="17.5703125" bestFit="1" customWidth="1"/>
    <col min="15880" max="15880" width="15.42578125" customWidth="1"/>
    <col min="15881" max="15881" width="37.85546875" bestFit="1" customWidth="1"/>
    <col min="15882" max="15882" width="13.42578125" customWidth="1"/>
    <col min="15883" max="15883" width="12.42578125" customWidth="1"/>
    <col min="16132" max="16132" width="28.140625" customWidth="1"/>
    <col min="16133" max="16133" width="40.28515625" customWidth="1"/>
    <col min="16134" max="16134" width="22.85546875" customWidth="1"/>
    <col min="16135" max="16135" width="17.5703125" bestFit="1" customWidth="1"/>
    <col min="16136" max="16136" width="15.42578125" customWidth="1"/>
    <col min="16137" max="16137" width="37.85546875" bestFit="1" customWidth="1"/>
    <col min="16138" max="16138" width="13.42578125" customWidth="1"/>
    <col min="16139" max="16139" width="12.42578125" customWidth="1"/>
  </cols>
  <sheetData>
    <row r="1" spans="1:9" s="335" customFormat="1" ht="23.25" customHeight="1" thickBot="1">
      <c r="A1" s="1310" t="s">
        <v>1807</v>
      </c>
      <c r="B1" s="1311"/>
      <c r="C1" s="1311"/>
      <c r="D1" s="1311"/>
      <c r="E1" s="1311"/>
      <c r="F1" s="1311"/>
      <c r="G1" s="1311"/>
      <c r="H1" s="1311"/>
      <c r="I1" s="1312"/>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1810</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1815</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21</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1534</v>
      </c>
      <c r="B14" s="1322"/>
      <c r="C14" s="1323"/>
      <c r="D14" s="1324" t="s">
        <v>1819</v>
      </c>
      <c r="E14" s="1322"/>
      <c r="F14" s="1323"/>
      <c r="G14" s="1325" t="s">
        <v>1820</v>
      </c>
      <c r="H14" s="1326"/>
      <c r="I14" s="1327"/>
    </row>
    <row r="15" spans="1:9" s="335" customFormat="1" ht="30" customHeight="1">
      <c r="A15" s="1301" t="s">
        <v>1949</v>
      </c>
      <c r="B15" s="1302"/>
      <c r="C15" s="1303"/>
      <c r="D15" s="1304" t="s">
        <v>1822</v>
      </c>
      <c r="E15" s="1302"/>
      <c r="F15" s="1303"/>
      <c r="G15" s="1304">
        <v>1</v>
      </c>
      <c r="H15" s="1302"/>
      <c r="I15" s="1305"/>
    </row>
    <row r="16" spans="1:9" s="335" customFormat="1" ht="8.25" customHeight="1">
      <c r="A16" s="1044"/>
      <c r="B16" s="1045"/>
      <c r="C16" s="1045"/>
      <c r="D16" s="1045"/>
      <c r="E16" s="1045"/>
      <c r="F16" s="1045"/>
      <c r="G16" s="1045"/>
      <c r="H16" s="1045"/>
      <c r="I16" s="1046"/>
    </row>
    <row r="17" spans="1:9" s="335" customFormat="1" ht="26.25" customHeight="1">
      <c r="A17" s="1290" t="s">
        <v>1823</v>
      </c>
      <c r="B17" s="1291"/>
      <c r="C17" s="1291"/>
      <c r="D17" s="1291"/>
      <c r="E17" s="1291"/>
      <c r="F17" s="1291"/>
      <c r="G17" s="1292"/>
      <c r="H17" s="1292"/>
      <c r="I17" s="1293"/>
    </row>
    <row r="18" spans="1:9" s="335" customFormat="1" ht="32.25" customHeight="1">
      <c r="A18" s="1294" t="s">
        <v>1824</v>
      </c>
      <c r="B18" s="1295"/>
      <c r="C18" s="1295"/>
      <c r="D18" s="1295"/>
      <c r="E18" s="1295"/>
      <c r="F18" s="1295"/>
      <c r="G18" s="1292"/>
      <c r="H18" s="1292"/>
      <c r="I18" s="1293"/>
    </row>
    <row r="19" spans="1:9" s="335" customFormat="1" ht="27.75" customHeight="1">
      <c r="A19" s="1296" t="s">
        <v>1825</v>
      </c>
      <c r="B19" s="1297"/>
      <c r="C19" s="1297"/>
      <c r="D19" s="1297"/>
      <c r="E19" s="1297"/>
      <c r="F19" s="1297"/>
      <c r="G19" s="1298"/>
      <c r="H19" s="1299"/>
      <c r="I19" s="1300"/>
    </row>
    <row r="20" spans="1:9" s="335" customFormat="1" ht="33.75" customHeight="1">
      <c r="A20" s="343">
        <v>1</v>
      </c>
      <c r="B20" s="1274" t="s">
        <v>1566</v>
      </c>
      <c r="C20" s="1275"/>
      <c r="D20" s="1275"/>
      <c r="E20" s="1275"/>
      <c r="F20" s="1275"/>
      <c r="G20" s="1284" t="s">
        <v>1950</v>
      </c>
      <c r="H20" s="1285"/>
      <c r="I20" s="1286"/>
    </row>
    <row r="21" spans="1:9" s="335" customFormat="1" ht="30.75" customHeight="1">
      <c r="A21" s="343">
        <v>2</v>
      </c>
      <c r="B21" s="1274" t="s">
        <v>1827</v>
      </c>
      <c r="C21" s="1275"/>
      <c r="D21" s="1275"/>
      <c r="E21" s="1275"/>
      <c r="F21" s="1275"/>
      <c r="G21" s="1276" t="s">
        <v>1951</v>
      </c>
      <c r="H21" s="1277"/>
      <c r="I21" s="1278"/>
    </row>
    <row r="22" spans="1:9" s="335" customFormat="1" ht="27" customHeight="1">
      <c r="A22" s="343">
        <v>3</v>
      </c>
      <c r="B22" s="1274" t="s">
        <v>1570</v>
      </c>
      <c r="C22" s="1275"/>
      <c r="D22" s="1275"/>
      <c r="E22" s="1275"/>
      <c r="F22" s="1275"/>
      <c r="G22" s="1287">
        <v>2405.96</v>
      </c>
      <c r="H22" s="1288"/>
      <c r="I22" s="1289"/>
    </row>
    <row r="23" spans="1:9" s="335" customFormat="1" ht="29.25" customHeight="1">
      <c r="A23" s="343">
        <v>4</v>
      </c>
      <c r="B23" s="1274" t="s">
        <v>1829</v>
      </c>
      <c r="C23" s="1275"/>
      <c r="D23" s="1275"/>
      <c r="E23" s="1275"/>
      <c r="F23" s="1275"/>
      <c r="G23" s="1276" t="s">
        <v>1952</v>
      </c>
      <c r="H23" s="1277"/>
      <c r="I23" s="1278"/>
    </row>
    <row r="24" spans="1:9" s="335" customFormat="1" ht="28.5" customHeight="1" thickBot="1">
      <c r="A24" s="343">
        <v>5</v>
      </c>
      <c r="B24" s="1274" t="s">
        <v>1573</v>
      </c>
      <c r="C24" s="1275"/>
      <c r="D24" s="1275"/>
      <c r="E24" s="1275"/>
      <c r="F24" s="1275"/>
      <c r="G24" s="1279" t="s">
        <v>1831</v>
      </c>
      <c r="H24" s="1280"/>
      <c r="I24" s="1281"/>
    </row>
    <row r="25" spans="1:9" s="335" customFormat="1" ht="8.25" customHeight="1">
      <c r="A25" s="1044"/>
      <c r="B25" s="1045"/>
      <c r="C25" s="1045"/>
      <c r="D25" s="1045"/>
      <c r="E25" s="1045"/>
      <c r="F25" s="1045"/>
      <c r="G25" s="1045"/>
      <c r="H25" s="1045"/>
      <c r="I25" s="351"/>
    </row>
    <row r="26" spans="1:9" s="335" customFormat="1" ht="30" customHeight="1">
      <c r="A26" s="1282" t="s">
        <v>1832</v>
      </c>
      <c r="B26" s="1283"/>
      <c r="C26" s="1283"/>
      <c r="D26" s="1283"/>
      <c r="E26" s="1283"/>
      <c r="F26" s="1283"/>
      <c r="G26" s="1283"/>
      <c r="H26" s="1283"/>
      <c r="I26" s="352"/>
    </row>
    <row r="27" spans="1:9" s="335" customFormat="1" ht="24" customHeight="1">
      <c r="A27" s="1266" t="s">
        <v>1833</v>
      </c>
      <c r="B27" s="1267"/>
      <c r="C27" s="1267"/>
      <c r="D27" s="1267"/>
      <c r="E27" s="1267"/>
      <c r="F27" s="1267"/>
      <c r="G27" s="1267"/>
      <c r="H27" s="1267"/>
      <c r="I27" s="352"/>
    </row>
    <row r="28" spans="1:9" s="335" customFormat="1" ht="12.75" customHeight="1" thickBot="1">
      <c r="A28" s="1268"/>
      <c r="B28" s="1269"/>
      <c r="C28" s="1269"/>
      <c r="D28" s="1269"/>
      <c r="E28" s="1269"/>
      <c r="F28" s="1269"/>
      <c r="G28" s="1269"/>
      <c r="H28" s="1269"/>
      <c r="I28" s="353"/>
    </row>
    <row r="29" spans="1:9" s="335" customFormat="1" ht="27" thickBot="1">
      <c r="A29" s="1092" t="s">
        <v>1834</v>
      </c>
      <c r="B29" s="1093"/>
      <c r="C29" s="1093"/>
      <c r="D29" s="1093"/>
      <c r="E29" s="1093"/>
      <c r="F29" s="1093"/>
      <c r="G29" s="1093"/>
      <c r="H29" s="1094"/>
      <c r="I29" s="352"/>
    </row>
    <row r="30" spans="1:9" s="335" customFormat="1" ht="28.5" customHeight="1">
      <c r="A30" s="1270" t="s">
        <v>1575</v>
      </c>
      <c r="B30" s="1271"/>
      <c r="C30" s="1271"/>
      <c r="D30" s="1271"/>
      <c r="E30" s="1271"/>
      <c r="F30" s="1271" t="s">
        <v>1576</v>
      </c>
      <c r="G30" s="1271"/>
      <c r="H30" s="1271"/>
      <c r="I30" s="352"/>
    </row>
    <row r="31" spans="1:9" s="335" customFormat="1" ht="25.5" customHeight="1">
      <c r="A31" s="343" t="s">
        <v>1554</v>
      </c>
      <c r="B31" s="1101" t="s">
        <v>1835</v>
      </c>
      <c r="C31" s="1102"/>
      <c r="D31" s="1102"/>
      <c r="E31" s="1128"/>
      <c r="F31" s="1272"/>
      <c r="G31" s="1273"/>
      <c r="H31" s="1273"/>
      <c r="I31" s="352"/>
    </row>
    <row r="32" spans="1:9" s="335" customFormat="1" ht="43.5" customHeight="1">
      <c r="A32" s="343" t="s">
        <v>1556</v>
      </c>
      <c r="B32" s="1201" t="s">
        <v>1836</v>
      </c>
      <c r="C32" s="1202"/>
      <c r="D32" s="1202"/>
      <c r="E32" s="1203"/>
      <c r="F32" s="1262">
        <v>0</v>
      </c>
      <c r="G32" s="1263"/>
      <c r="H32" s="1263"/>
      <c r="I32" s="354"/>
    </row>
    <row r="33" spans="1:9" s="335" customFormat="1" ht="44.25" customHeight="1">
      <c r="A33" s="343" t="s">
        <v>1559</v>
      </c>
      <c r="B33" s="1101" t="s">
        <v>1579</v>
      </c>
      <c r="C33" s="1102"/>
      <c r="D33" s="1102"/>
      <c r="E33" s="1128"/>
      <c r="F33" s="1264"/>
      <c r="G33" s="1265"/>
      <c r="H33" s="1265"/>
      <c r="I33" s="355"/>
    </row>
    <row r="34" spans="1:9" s="335" customFormat="1" ht="48" customHeight="1">
      <c r="A34" s="343" t="s">
        <v>1562</v>
      </c>
      <c r="B34" s="1201" t="s">
        <v>1837</v>
      </c>
      <c r="C34" s="1202"/>
      <c r="D34" s="1202"/>
      <c r="E34" s="1203"/>
      <c r="F34" s="1262">
        <v>0</v>
      </c>
      <c r="G34" s="1263"/>
      <c r="H34" s="1263"/>
      <c r="I34" s="1251"/>
    </row>
    <row r="35" spans="1:9" s="335" customFormat="1" ht="45" customHeight="1">
      <c r="A35" s="343" t="s">
        <v>1581</v>
      </c>
      <c r="B35" s="1149" t="s">
        <v>1838</v>
      </c>
      <c r="C35" s="1150"/>
      <c r="D35" s="1150"/>
      <c r="E35" s="1151"/>
      <c r="F35" s="1253">
        <v>0</v>
      </c>
      <c r="G35" s="1254"/>
      <c r="H35" s="1254"/>
      <c r="I35" s="1252"/>
    </row>
    <row r="36" spans="1:9" s="335" customFormat="1" ht="30" customHeight="1">
      <c r="A36" s="343" t="s">
        <v>1583</v>
      </c>
      <c r="B36" s="1101" t="s">
        <v>1584</v>
      </c>
      <c r="C36" s="1102"/>
      <c r="D36" s="1102"/>
      <c r="E36" s="1128"/>
      <c r="F36" s="1255"/>
      <c r="G36" s="1256"/>
      <c r="H36" s="1256"/>
      <c r="I36" s="352"/>
    </row>
    <row r="37" spans="1:9" s="335" customFormat="1" ht="24" thickBot="1">
      <c r="A37" s="356"/>
      <c r="B37" s="1257" t="s">
        <v>1839</v>
      </c>
      <c r="C37" s="1258"/>
      <c r="D37" s="1258"/>
      <c r="E37" s="1259"/>
      <c r="F37" s="1260">
        <f>SUM(F31:H36)</f>
        <v>0</v>
      </c>
      <c r="G37" s="1261"/>
      <c r="H37" s="1261"/>
      <c r="I37" s="352"/>
    </row>
    <row r="38" spans="1:9" s="335" customFormat="1" ht="9.75" customHeight="1" thickBot="1">
      <c r="A38" s="1009" t="s">
        <v>1840</v>
      </c>
      <c r="B38" s="1010"/>
      <c r="C38" s="1010"/>
      <c r="D38" s="1010"/>
      <c r="E38" s="1010"/>
      <c r="F38" s="1010"/>
      <c r="G38" s="1010"/>
      <c r="H38" s="1010"/>
      <c r="I38" s="1011"/>
    </row>
    <row r="39" spans="1:9" s="335" customFormat="1" ht="18.75">
      <c r="A39" s="1239" t="s">
        <v>1841</v>
      </c>
      <c r="B39" s="1240"/>
      <c r="C39" s="1240"/>
      <c r="D39" s="1240"/>
      <c r="E39" s="1240"/>
      <c r="F39" s="1240"/>
      <c r="G39" s="1240"/>
      <c r="H39" s="1240"/>
      <c r="I39" s="1241"/>
    </row>
    <row r="40" spans="1:9" s="335" customFormat="1" ht="1.5" customHeight="1" thickBot="1">
      <c r="A40" s="1242"/>
      <c r="B40" s="1243"/>
      <c r="C40" s="1243"/>
      <c r="D40" s="1243"/>
      <c r="E40" s="1243"/>
      <c r="F40" s="1243"/>
      <c r="G40" s="1243"/>
      <c r="H40" s="1243"/>
      <c r="I40" s="1244"/>
    </row>
    <row r="41" spans="1:9" s="335" customFormat="1" ht="9.75" customHeight="1" thickBot="1">
      <c r="A41" s="1245"/>
      <c r="B41" s="1246"/>
      <c r="C41" s="1246"/>
      <c r="D41" s="1246"/>
      <c r="E41" s="1246"/>
      <c r="F41" s="1246"/>
      <c r="G41" s="1246"/>
      <c r="H41" s="1246"/>
      <c r="I41" s="1247"/>
    </row>
    <row r="42" spans="1:9" s="335" customFormat="1" ht="36" customHeight="1" thickBot="1">
      <c r="A42" s="1092" t="s">
        <v>1842</v>
      </c>
      <c r="B42" s="1093"/>
      <c r="C42" s="1093"/>
      <c r="D42" s="1093"/>
      <c r="E42" s="1093"/>
      <c r="F42" s="1093"/>
      <c r="G42" s="1093"/>
      <c r="H42" s="1093"/>
      <c r="I42" s="1094"/>
    </row>
    <row r="43" spans="1:9" s="335" customFormat="1" ht="34.5" customHeight="1">
      <c r="A43" s="1248" t="s">
        <v>1843</v>
      </c>
      <c r="B43" s="1249"/>
      <c r="C43" s="1249"/>
      <c r="D43" s="1249"/>
      <c r="E43" s="1249"/>
      <c r="F43" s="1249"/>
      <c r="G43" s="1249"/>
      <c r="H43" s="1249"/>
      <c r="I43" s="1250"/>
    </row>
    <row r="44" spans="1:9" s="335" customFormat="1" ht="27" customHeight="1">
      <c r="A44" s="343" t="s">
        <v>710</v>
      </c>
      <c r="B44" s="1236" t="s">
        <v>1844</v>
      </c>
      <c r="C44" s="1237"/>
      <c r="D44" s="1237"/>
      <c r="E44" s="1238"/>
      <c r="F44" s="1236" t="s">
        <v>1845</v>
      </c>
      <c r="G44" s="1237"/>
      <c r="H44" s="1238"/>
      <c r="I44" s="357" t="s">
        <v>1576</v>
      </c>
    </row>
    <row r="45" spans="1:9" s="335" customFormat="1" ht="18.75" customHeight="1">
      <c r="A45" s="358" t="s">
        <v>1554</v>
      </c>
      <c r="B45" s="1207" t="s">
        <v>1846</v>
      </c>
      <c r="C45" s="1208"/>
      <c r="D45" s="1208"/>
      <c r="E45" s="1209"/>
      <c r="F45" s="1154">
        <v>8.3299999999999999E-2</v>
      </c>
      <c r="G45" s="1155"/>
      <c r="H45" s="1156"/>
      <c r="I45" s="359">
        <f>F37*F45</f>
        <v>0</v>
      </c>
    </row>
    <row r="46" spans="1:9" s="335" customFormat="1" ht="18">
      <c r="A46" s="358" t="s">
        <v>1556</v>
      </c>
      <c r="B46" s="1207" t="s">
        <v>1953</v>
      </c>
      <c r="C46" s="1208"/>
      <c r="D46" s="1208"/>
      <c r="E46" s="1209"/>
      <c r="F46" s="1154">
        <v>0.121</v>
      </c>
      <c r="G46" s="1155"/>
      <c r="H46" s="1156"/>
      <c r="I46" s="359">
        <f>F46*F37</f>
        <v>0</v>
      </c>
    </row>
    <row r="47" spans="1:9" s="335" customFormat="1" ht="20.25">
      <c r="A47" s="360"/>
      <c r="B47" s="1221" t="s">
        <v>1848</v>
      </c>
      <c r="C47" s="1222"/>
      <c r="D47" s="1222"/>
      <c r="E47" s="1223"/>
      <c r="F47" s="1224">
        <f>F45+F46</f>
        <v>0.20429999999999998</v>
      </c>
      <c r="G47" s="1225"/>
      <c r="H47" s="1226"/>
      <c r="I47" s="361">
        <f>I45+I46</f>
        <v>0</v>
      </c>
    </row>
    <row r="48" spans="1:9" s="335" customFormat="1" ht="33.75" customHeight="1">
      <c r="A48" s="362"/>
      <c r="B48" s="1227" t="s">
        <v>1849</v>
      </c>
      <c r="C48" s="1228"/>
      <c r="D48" s="1228"/>
      <c r="E48" s="1229"/>
      <c r="F48" s="1230">
        <f>F61*F47</f>
        <v>7.5182399999999996E-2</v>
      </c>
      <c r="G48" s="1231"/>
      <c r="H48" s="1232"/>
      <c r="I48" s="363">
        <f>F61*I47</f>
        <v>0</v>
      </c>
    </row>
    <row r="49" spans="1:17" s="335" customFormat="1" ht="30" customHeight="1" thickBot="1">
      <c r="A49" s="364"/>
      <c r="B49" s="1233" t="s">
        <v>15</v>
      </c>
      <c r="C49" s="1234"/>
      <c r="D49" s="1234"/>
      <c r="E49" s="1235"/>
      <c r="F49" s="1146">
        <f>F47+F48</f>
        <v>0.27948239999999996</v>
      </c>
      <c r="G49" s="1147"/>
      <c r="H49" s="1148"/>
      <c r="I49" s="365">
        <f>I47+I48</f>
        <v>0</v>
      </c>
      <c r="J49" s="366"/>
    </row>
    <row r="50" spans="1:17" s="367" customFormat="1" ht="8.25" customHeight="1" thickBot="1">
      <c r="A50" s="1009"/>
      <c r="B50" s="1010"/>
      <c r="C50" s="1010"/>
      <c r="D50" s="1010"/>
      <c r="E50" s="1010"/>
      <c r="F50" s="1010"/>
      <c r="G50" s="1010"/>
      <c r="H50" s="1010"/>
      <c r="I50" s="1011"/>
      <c r="J50" s="335"/>
      <c r="K50" s="335"/>
      <c r="L50" s="335"/>
      <c r="M50" s="335"/>
      <c r="N50" s="335"/>
      <c r="O50" s="335"/>
      <c r="P50" s="335"/>
      <c r="Q50" s="335"/>
    </row>
    <row r="51" spans="1:17" s="335" customFormat="1" ht="41.25" customHeight="1">
      <c r="A51" s="1217" t="s">
        <v>1850</v>
      </c>
      <c r="B51" s="1218"/>
      <c r="C51" s="1218"/>
      <c r="D51" s="1218"/>
      <c r="E51" s="1218"/>
      <c r="F51" s="1218"/>
      <c r="G51" s="1218"/>
      <c r="H51" s="1218"/>
      <c r="I51" s="1219"/>
      <c r="J51" s="366"/>
    </row>
    <row r="52" spans="1:17" s="335" customFormat="1" ht="24" customHeight="1">
      <c r="A52" s="343" t="s">
        <v>782</v>
      </c>
      <c r="B52" s="1153" t="s">
        <v>1594</v>
      </c>
      <c r="C52" s="1064"/>
      <c r="D52" s="1064"/>
      <c r="E52" s="1065"/>
      <c r="F52" s="1153" t="s">
        <v>1845</v>
      </c>
      <c r="G52" s="1065"/>
      <c r="H52" s="1153" t="s">
        <v>1576</v>
      </c>
      <c r="I52" s="1220"/>
    </row>
    <row r="53" spans="1:17" s="335" customFormat="1" ht="20.25">
      <c r="A53" s="343" t="s">
        <v>1554</v>
      </c>
      <c r="B53" s="1207" t="s">
        <v>1595</v>
      </c>
      <c r="C53" s="1208"/>
      <c r="D53" s="1208"/>
      <c r="E53" s="1209"/>
      <c r="F53" s="1074">
        <v>0.2</v>
      </c>
      <c r="G53" s="1075"/>
      <c r="H53" s="1072">
        <f t="shared" ref="H53:H60" si="0">$F$37*F53</f>
        <v>0</v>
      </c>
      <c r="I53" s="1073"/>
    </row>
    <row r="54" spans="1:17" s="335" customFormat="1" ht="20.25">
      <c r="A54" s="343" t="s">
        <v>1556</v>
      </c>
      <c r="B54" s="1207" t="s">
        <v>1596</v>
      </c>
      <c r="C54" s="1208"/>
      <c r="D54" s="1208"/>
      <c r="E54" s="1209"/>
      <c r="F54" s="1074">
        <v>2.5000000000000001E-2</v>
      </c>
      <c r="G54" s="1075"/>
      <c r="H54" s="1072">
        <f t="shared" si="0"/>
        <v>0</v>
      </c>
      <c r="I54" s="1073"/>
    </row>
    <row r="55" spans="1:17" s="335" customFormat="1" ht="20.25">
      <c r="A55" s="343" t="s">
        <v>1559</v>
      </c>
      <c r="B55" s="1216" t="s">
        <v>1851</v>
      </c>
      <c r="C55" s="1208"/>
      <c r="D55" s="1208"/>
      <c r="E55" s="1209"/>
      <c r="F55" s="1074">
        <v>0.03</v>
      </c>
      <c r="G55" s="1075"/>
      <c r="H55" s="1072">
        <f t="shared" si="0"/>
        <v>0</v>
      </c>
      <c r="I55" s="1073"/>
    </row>
    <row r="56" spans="1:17" s="335" customFormat="1" ht="20.25">
      <c r="A56" s="343" t="s">
        <v>1562</v>
      </c>
      <c r="B56" s="1207" t="s">
        <v>1598</v>
      </c>
      <c r="C56" s="1208"/>
      <c r="D56" s="1208"/>
      <c r="E56" s="1209"/>
      <c r="F56" s="1074">
        <v>1.4999999999999999E-2</v>
      </c>
      <c r="G56" s="1075"/>
      <c r="H56" s="1072">
        <f t="shared" si="0"/>
        <v>0</v>
      </c>
      <c r="I56" s="1073"/>
    </row>
    <row r="57" spans="1:17" s="335" customFormat="1" ht="20.25">
      <c r="A57" s="343" t="s">
        <v>1581</v>
      </c>
      <c r="B57" s="1207" t="s">
        <v>1852</v>
      </c>
      <c r="C57" s="1208"/>
      <c r="D57" s="1208"/>
      <c r="E57" s="1209"/>
      <c r="F57" s="1074">
        <v>0.01</v>
      </c>
      <c r="G57" s="1075"/>
      <c r="H57" s="1072">
        <f t="shared" si="0"/>
        <v>0</v>
      </c>
      <c r="I57" s="1073"/>
    </row>
    <row r="58" spans="1:17" s="335" customFormat="1" ht="20.25">
      <c r="A58" s="343" t="s">
        <v>1583</v>
      </c>
      <c r="B58" s="1207" t="s">
        <v>1600</v>
      </c>
      <c r="C58" s="1208"/>
      <c r="D58" s="1208"/>
      <c r="E58" s="1209"/>
      <c r="F58" s="1074">
        <v>6.0000000000000001E-3</v>
      </c>
      <c r="G58" s="1075"/>
      <c r="H58" s="1072">
        <f t="shared" si="0"/>
        <v>0</v>
      </c>
      <c r="I58" s="1073"/>
    </row>
    <row r="59" spans="1:17" s="335" customFormat="1" ht="20.25">
      <c r="A59" s="343" t="s">
        <v>1601</v>
      </c>
      <c r="B59" s="1207" t="s">
        <v>1602</v>
      </c>
      <c r="C59" s="1208"/>
      <c r="D59" s="1208"/>
      <c r="E59" s="1209"/>
      <c r="F59" s="1074">
        <v>2E-3</v>
      </c>
      <c r="G59" s="1075"/>
      <c r="H59" s="1072">
        <f t="shared" si="0"/>
        <v>0</v>
      </c>
      <c r="I59" s="1073"/>
    </row>
    <row r="60" spans="1:17" s="335" customFormat="1" ht="20.25">
      <c r="A60" s="343" t="s">
        <v>1603</v>
      </c>
      <c r="B60" s="1207" t="s">
        <v>1604</v>
      </c>
      <c r="C60" s="1208"/>
      <c r="D60" s="1208"/>
      <c r="E60" s="1209"/>
      <c r="F60" s="1074">
        <v>0.08</v>
      </c>
      <c r="G60" s="1075"/>
      <c r="H60" s="1072">
        <f t="shared" si="0"/>
        <v>0</v>
      </c>
      <c r="I60" s="1073"/>
    </row>
    <row r="61" spans="1:17" s="335" customFormat="1" ht="21" thickBot="1">
      <c r="A61" s="368"/>
      <c r="B61" s="1210" t="s">
        <v>1853</v>
      </c>
      <c r="C61" s="1211"/>
      <c r="D61" s="1211"/>
      <c r="E61" s="1212"/>
      <c r="F61" s="1213">
        <f>SUM(F53:G60)</f>
        <v>0.36800000000000005</v>
      </c>
      <c r="G61" s="1214"/>
      <c r="H61" s="1118">
        <f>SUM(H53:I60)</f>
        <v>0</v>
      </c>
      <c r="I61" s="1215"/>
    </row>
    <row r="62" spans="1:17" s="335" customFormat="1" ht="9.75" customHeight="1" thickBot="1">
      <c r="A62" s="1009"/>
      <c r="B62" s="1010"/>
      <c r="C62" s="1010"/>
      <c r="D62" s="1010"/>
      <c r="E62" s="1010"/>
      <c r="F62" s="1010"/>
      <c r="G62" s="1010"/>
      <c r="H62" s="1010"/>
      <c r="I62" s="1011"/>
    </row>
    <row r="63" spans="1:17" s="335" customFormat="1" ht="31.5" customHeight="1">
      <c r="A63" s="1198" t="s">
        <v>1854</v>
      </c>
      <c r="B63" s="1199"/>
      <c r="C63" s="1199"/>
      <c r="D63" s="1199"/>
      <c r="E63" s="1199"/>
      <c r="F63" s="1199"/>
      <c r="G63" s="1199"/>
      <c r="H63" s="1200"/>
      <c r="I63" s="369"/>
    </row>
    <row r="64" spans="1:17" s="335" customFormat="1" ht="27" customHeight="1">
      <c r="A64" s="370" t="s">
        <v>789</v>
      </c>
      <c r="B64" s="1152" t="s">
        <v>1607</v>
      </c>
      <c r="C64" s="1108"/>
      <c r="D64" s="1108"/>
      <c r="E64" s="1109"/>
      <c r="F64" s="1152" t="s">
        <v>1576</v>
      </c>
      <c r="G64" s="1108"/>
      <c r="H64" s="1109"/>
      <c r="I64" s="369"/>
      <c r="K64" s="335">
        <f>3.9*2*21</f>
        <v>163.79999999999998</v>
      </c>
    </row>
    <row r="65" spans="1:9" s="335" customFormat="1" ht="37.5" customHeight="1">
      <c r="A65" s="343" t="s">
        <v>1554</v>
      </c>
      <c r="B65" s="1201" t="s">
        <v>1855</v>
      </c>
      <c r="C65" s="1202"/>
      <c r="D65" s="1202"/>
      <c r="E65" s="1203"/>
      <c r="F65" s="1204"/>
      <c r="G65" s="1205"/>
      <c r="H65" s="1206"/>
      <c r="I65" s="371" t="s">
        <v>1856</v>
      </c>
    </row>
    <row r="66" spans="1:9" s="335" customFormat="1" ht="28.5" customHeight="1">
      <c r="A66" s="343" t="s">
        <v>1556</v>
      </c>
      <c r="B66" s="1101" t="s">
        <v>1857</v>
      </c>
      <c r="C66" s="1102"/>
      <c r="D66" s="1102"/>
      <c r="E66" s="1128"/>
      <c r="F66" s="1084"/>
      <c r="G66" s="1178"/>
      <c r="H66" s="1179"/>
      <c r="I66" s="369"/>
    </row>
    <row r="67" spans="1:9" s="335" customFormat="1" ht="25.5" customHeight="1">
      <c r="A67" s="343" t="s">
        <v>1858</v>
      </c>
      <c r="B67" s="1101" t="s">
        <v>1859</v>
      </c>
      <c r="C67" s="1102"/>
      <c r="D67" s="1102"/>
      <c r="E67" s="1128"/>
      <c r="F67" s="1192">
        <v>0</v>
      </c>
      <c r="G67" s="1193"/>
      <c r="H67" s="1194"/>
      <c r="I67" s="369"/>
    </row>
    <row r="68" spans="1:9" s="335" customFormat="1" ht="23.25" customHeight="1">
      <c r="A68" s="343" t="s">
        <v>1860</v>
      </c>
      <c r="B68" s="1101" t="s">
        <v>1861</v>
      </c>
      <c r="C68" s="1102"/>
      <c r="D68" s="1102"/>
      <c r="E68" s="1128"/>
      <c r="F68" s="1195">
        <f>F66-F67</f>
        <v>0</v>
      </c>
      <c r="G68" s="1196"/>
      <c r="H68" s="1197"/>
      <c r="I68" s="369"/>
    </row>
    <row r="69" spans="1:9" s="335" customFormat="1" ht="24" customHeight="1">
      <c r="A69" s="343" t="s">
        <v>1559</v>
      </c>
      <c r="B69" s="1185" t="s">
        <v>1862</v>
      </c>
      <c r="C69" s="1102"/>
      <c r="D69" s="1102"/>
      <c r="E69" s="1128"/>
      <c r="F69" s="1084"/>
      <c r="G69" s="1178"/>
      <c r="H69" s="1179"/>
      <c r="I69" s="369"/>
    </row>
    <row r="70" spans="1:9" s="335" customFormat="1" ht="24.75" customHeight="1">
      <c r="A70" s="343" t="s">
        <v>1562</v>
      </c>
      <c r="B70" s="1101" t="s">
        <v>1863</v>
      </c>
      <c r="C70" s="1102"/>
      <c r="D70" s="1102"/>
      <c r="E70" s="1128"/>
      <c r="F70" s="1084"/>
      <c r="G70" s="1178"/>
      <c r="H70" s="1179"/>
      <c r="I70" s="369"/>
    </row>
    <row r="71" spans="1:9" s="435" customFormat="1" ht="23.25" customHeight="1">
      <c r="A71" s="372" t="s">
        <v>1581</v>
      </c>
      <c r="B71" s="1186" t="s">
        <v>1864</v>
      </c>
      <c r="C71" s="1187"/>
      <c r="D71" s="1187"/>
      <c r="E71" s="1188"/>
      <c r="F71" s="1330"/>
      <c r="G71" s="1331"/>
      <c r="H71" s="1332"/>
      <c r="I71" s="434"/>
    </row>
    <row r="72" spans="1:9" s="335" customFormat="1" ht="40.5" customHeight="1">
      <c r="A72" s="343"/>
      <c r="B72" s="1101"/>
      <c r="C72" s="1102"/>
      <c r="D72" s="1102"/>
      <c r="E72" s="1128"/>
      <c r="F72" s="1084">
        <v>0</v>
      </c>
      <c r="G72" s="1178"/>
      <c r="H72" s="1179"/>
      <c r="I72" s="373"/>
    </row>
    <row r="73" spans="1:9" s="335" customFormat="1" ht="24.75" customHeight="1">
      <c r="A73" s="374"/>
      <c r="B73" s="1176" t="s">
        <v>1865</v>
      </c>
      <c r="C73" s="1177"/>
      <c r="D73" s="1177"/>
      <c r="E73" s="1180"/>
      <c r="F73" s="1181">
        <f>F65+F68+F69+F70+F71+F72</f>
        <v>0</v>
      </c>
      <c r="G73" s="1182"/>
      <c r="H73" s="1183"/>
      <c r="I73" s="369"/>
    </row>
    <row r="74" spans="1:9" s="335" customFormat="1" ht="7.5" customHeight="1">
      <c r="A74" s="1044"/>
      <c r="B74" s="1045"/>
      <c r="C74" s="1045"/>
      <c r="D74" s="1045"/>
      <c r="E74" s="1045"/>
      <c r="F74" s="1045"/>
      <c r="G74" s="1045"/>
      <c r="H74" s="1184"/>
      <c r="I74" s="369"/>
    </row>
    <row r="75" spans="1:9" s="335" customFormat="1" ht="23.25" customHeight="1">
      <c r="A75" s="375" t="s">
        <v>710</v>
      </c>
      <c r="B75" s="1173" t="str">
        <f>B44</f>
        <v>13º Salário, Férias e Adicional de Férias</v>
      </c>
      <c r="C75" s="1174"/>
      <c r="D75" s="1174"/>
      <c r="E75" s="1174"/>
      <c r="F75" s="1174"/>
      <c r="G75" s="1174"/>
      <c r="H75" s="1175"/>
      <c r="I75" s="376">
        <f>I49</f>
        <v>0</v>
      </c>
    </row>
    <row r="76" spans="1:9" s="335" customFormat="1" ht="24.75" customHeight="1">
      <c r="A76" s="375" t="s">
        <v>782</v>
      </c>
      <c r="B76" s="1170" t="str">
        <f>B52</f>
        <v>GPS, FGTS e outras contribuições</v>
      </c>
      <c r="C76" s="1171"/>
      <c r="D76" s="1171"/>
      <c r="E76" s="1171"/>
      <c r="F76" s="1171"/>
      <c r="G76" s="1171"/>
      <c r="H76" s="1172"/>
      <c r="I76" s="377">
        <f>H61</f>
        <v>0</v>
      </c>
    </row>
    <row r="77" spans="1:9" s="335" customFormat="1" ht="24.75" customHeight="1">
      <c r="A77" s="375" t="s">
        <v>789</v>
      </c>
      <c r="B77" s="1173" t="str">
        <f>B64</f>
        <v>Benefícios Mensais e Diários</v>
      </c>
      <c r="C77" s="1174" t="s">
        <v>1866</v>
      </c>
      <c r="D77" s="1174" t="s">
        <v>1866</v>
      </c>
      <c r="E77" s="1174" t="s">
        <v>1866</v>
      </c>
      <c r="F77" s="1174" t="s">
        <v>1866</v>
      </c>
      <c r="G77" s="1174" t="s">
        <v>1866</v>
      </c>
      <c r="H77" s="1175" t="s">
        <v>1866</v>
      </c>
      <c r="I77" s="376">
        <f>F73</f>
        <v>0</v>
      </c>
    </row>
    <row r="78" spans="1:9" s="335" customFormat="1" ht="21" customHeight="1">
      <c r="A78" s="1063" t="s">
        <v>15</v>
      </c>
      <c r="B78" s="1064"/>
      <c r="C78" s="1064"/>
      <c r="D78" s="1064"/>
      <c r="E78" s="1064"/>
      <c r="F78" s="1064"/>
      <c r="G78" s="1064"/>
      <c r="H78" s="1065"/>
      <c r="I78" s="378">
        <f>SUM(I75:I77)</f>
        <v>0</v>
      </c>
    </row>
    <row r="79" spans="1:9" s="335" customFormat="1" ht="8.25" customHeight="1">
      <c r="A79" s="1044"/>
      <c r="B79" s="1045"/>
      <c r="C79" s="1045"/>
      <c r="D79" s="1045"/>
      <c r="E79" s="1045"/>
      <c r="F79" s="1045"/>
      <c r="G79" s="1045"/>
      <c r="H79" s="1045"/>
      <c r="I79" s="1046"/>
    </row>
    <row r="80" spans="1:9" s="335" customFormat="1" ht="32.25" customHeight="1">
      <c r="A80" s="1160" t="s">
        <v>1867</v>
      </c>
      <c r="B80" s="1161"/>
      <c r="C80" s="1161"/>
      <c r="D80" s="1161"/>
      <c r="E80" s="1161"/>
      <c r="F80" s="1161"/>
      <c r="G80" s="1161"/>
      <c r="H80" s="1161"/>
      <c r="I80" s="1162"/>
    </row>
    <row r="81" spans="1:17" s="381" customFormat="1" ht="33.75" customHeight="1">
      <c r="A81" s="343">
        <v>3</v>
      </c>
      <c r="B81" s="1176" t="s">
        <v>1868</v>
      </c>
      <c r="C81" s="1177"/>
      <c r="D81" s="1177"/>
      <c r="E81" s="1177"/>
      <c r="F81" s="1177"/>
      <c r="G81" s="1177"/>
      <c r="H81" s="379" t="s">
        <v>1845</v>
      </c>
      <c r="I81" s="380" t="s">
        <v>1576</v>
      </c>
      <c r="J81" s="335"/>
      <c r="K81" s="335"/>
      <c r="L81" s="335"/>
      <c r="M81" s="335"/>
      <c r="N81" s="335"/>
      <c r="O81" s="335"/>
      <c r="P81" s="335"/>
      <c r="Q81" s="335"/>
    </row>
    <row r="82" spans="1:17" s="335" customFormat="1" ht="28.5" customHeight="1">
      <c r="A82" s="382" t="s">
        <v>1554</v>
      </c>
      <c r="B82" s="1101" t="s">
        <v>1869</v>
      </c>
      <c r="C82" s="1102"/>
      <c r="D82" s="1102"/>
      <c r="E82" s="1102"/>
      <c r="F82" s="1102"/>
      <c r="G82" s="1102"/>
      <c r="H82" s="383">
        <f>1/12*5%</f>
        <v>4.1666666666666666E-3</v>
      </c>
      <c r="I82" s="384">
        <f>H82*$F$37</f>
        <v>0</v>
      </c>
    </row>
    <row r="83" spans="1:17" s="335" customFormat="1" ht="31.5" customHeight="1">
      <c r="A83" s="382" t="s">
        <v>1556</v>
      </c>
      <c r="B83" s="1101" t="s">
        <v>1870</v>
      </c>
      <c r="C83" s="1102"/>
      <c r="D83" s="1102"/>
      <c r="E83" s="1102"/>
      <c r="F83" s="1102"/>
      <c r="G83" s="1102"/>
      <c r="H83" s="383">
        <f>F60*H82</f>
        <v>3.3333333333333332E-4</v>
      </c>
      <c r="I83" s="384">
        <f>H83*$F$37</f>
        <v>0</v>
      </c>
    </row>
    <row r="84" spans="1:17" s="335" customFormat="1" ht="56.25" customHeight="1">
      <c r="A84" s="382" t="s">
        <v>1559</v>
      </c>
      <c r="B84" s="1169" t="s">
        <v>1871</v>
      </c>
      <c r="C84" s="1169"/>
      <c r="D84" s="1169"/>
      <c r="E84" s="1169"/>
      <c r="F84" s="1169"/>
      <c r="G84" s="1169"/>
      <c r="H84" s="385">
        <v>3.4700000000000002E-2</v>
      </c>
      <c r="I84" s="384">
        <f>H84*$F$37</f>
        <v>0</v>
      </c>
    </row>
    <row r="85" spans="1:17" s="335" customFormat="1" ht="33" customHeight="1">
      <c r="A85" s="382" t="s">
        <v>1562</v>
      </c>
      <c r="B85" s="1083" t="s">
        <v>1872</v>
      </c>
      <c r="C85" s="1150"/>
      <c r="D85" s="1150"/>
      <c r="E85" s="1150"/>
      <c r="F85" s="1150"/>
      <c r="G85" s="1150"/>
      <c r="H85" s="383">
        <f>6/30/12</f>
        <v>1.6666666666666666E-2</v>
      </c>
      <c r="I85" s="384">
        <f>H85*$F$37</f>
        <v>0</v>
      </c>
    </row>
    <row r="86" spans="1:17" s="335" customFormat="1" ht="36.75" customHeight="1">
      <c r="A86" s="382" t="s">
        <v>1581</v>
      </c>
      <c r="B86" s="1101" t="s">
        <v>1873</v>
      </c>
      <c r="C86" s="1102"/>
      <c r="D86" s="1102"/>
      <c r="E86" s="1102"/>
      <c r="F86" s="1102"/>
      <c r="G86" s="1102"/>
      <c r="H86" s="383">
        <f>F61*H85</f>
        <v>6.1333333333333344E-3</v>
      </c>
      <c r="I86" s="384">
        <f>F37*H86</f>
        <v>0</v>
      </c>
    </row>
    <row r="87" spans="1:17" s="335" customFormat="1" ht="39.75" customHeight="1">
      <c r="A87" s="382" t="s">
        <v>1583</v>
      </c>
      <c r="B87" s="1149" t="s">
        <v>1874</v>
      </c>
      <c r="C87" s="1150"/>
      <c r="D87" s="1150"/>
      <c r="E87" s="1150"/>
      <c r="F87" s="1150"/>
      <c r="G87" s="1150"/>
      <c r="H87" s="383">
        <v>5.3E-3</v>
      </c>
      <c r="I87" s="384">
        <f>H87*$F$37</f>
        <v>0</v>
      </c>
    </row>
    <row r="88" spans="1:17" s="335" customFormat="1" ht="33.75" customHeight="1">
      <c r="A88" s="1107" t="s">
        <v>15</v>
      </c>
      <c r="B88" s="1108"/>
      <c r="C88" s="1108"/>
      <c r="D88" s="1108"/>
      <c r="E88" s="1108"/>
      <c r="F88" s="1108"/>
      <c r="G88" s="1108"/>
      <c r="H88" s="386">
        <f>SUM(H82:H87)</f>
        <v>6.7299999999999999E-2</v>
      </c>
      <c r="I88" s="387">
        <f>SUM(I82:I87)</f>
        <v>0</v>
      </c>
    </row>
    <row r="89" spans="1:17" s="335" customFormat="1" ht="10.5" customHeight="1">
      <c r="A89" s="1157"/>
      <c r="B89" s="1158"/>
      <c r="C89" s="1158"/>
      <c r="D89" s="1158"/>
      <c r="E89" s="1158"/>
      <c r="F89" s="1158"/>
      <c r="G89" s="1158"/>
      <c r="H89" s="1158"/>
      <c r="I89" s="1159"/>
    </row>
    <row r="90" spans="1:17" s="335" customFormat="1" ht="29.25" customHeight="1" thickBot="1">
      <c r="A90" s="1160" t="s">
        <v>1875</v>
      </c>
      <c r="B90" s="1161"/>
      <c r="C90" s="1161"/>
      <c r="D90" s="1161"/>
      <c r="E90" s="1161"/>
      <c r="F90" s="1161"/>
      <c r="G90" s="1161"/>
      <c r="H90" s="1161"/>
      <c r="I90" s="1162"/>
    </row>
    <row r="91" spans="1:17" s="335" customFormat="1" ht="9.75" customHeight="1" thickBot="1">
      <c r="A91" s="1009"/>
      <c r="B91" s="1010"/>
      <c r="C91" s="1010"/>
      <c r="D91" s="1010"/>
      <c r="E91" s="1010"/>
      <c r="F91" s="1010"/>
      <c r="G91" s="1010"/>
      <c r="H91" s="1010"/>
      <c r="I91" s="1011"/>
    </row>
    <row r="92" spans="1:17" s="335" customFormat="1" ht="27" customHeight="1">
      <c r="A92" s="391">
        <v>4</v>
      </c>
      <c r="B92" s="1163" t="s">
        <v>1639</v>
      </c>
      <c r="C92" s="1164"/>
      <c r="D92" s="1164"/>
      <c r="E92" s="1164"/>
      <c r="F92" s="1164"/>
      <c r="G92" s="1164"/>
      <c r="H92" s="1164"/>
      <c r="I92" s="1165"/>
    </row>
    <row r="93" spans="1:17" s="335" customFormat="1" ht="28.5" customHeight="1">
      <c r="A93" s="1166" t="s">
        <v>1876</v>
      </c>
      <c r="B93" s="1167"/>
      <c r="C93" s="1167"/>
      <c r="D93" s="1167"/>
      <c r="E93" s="1167"/>
      <c r="F93" s="1167"/>
      <c r="G93" s="1167"/>
      <c r="H93" s="1167"/>
      <c r="I93" s="1168"/>
    </row>
    <row r="94" spans="1:17" s="335" customFormat="1" ht="20.25">
      <c r="A94" s="343" t="s">
        <v>1292</v>
      </c>
      <c r="B94" s="1152" t="s">
        <v>1877</v>
      </c>
      <c r="C94" s="1108"/>
      <c r="D94" s="1108"/>
      <c r="E94" s="1109"/>
      <c r="F94" s="1153" t="s">
        <v>1845</v>
      </c>
      <c r="G94" s="1064"/>
      <c r="H94" s="1065"/>
      <c r="I94" s="392" t="s">
        <v>1576</v>
      </c>
    </row>
    <row r="95" spans="1:17" s="335" customFormat="1" ht="42" customHeight="1">
      <c r="A95" s="393" t="s">
        <v>1554</v>
      </c>
      <c r="B95" s="1036" t="s">
        <v>1878</v>
      </c>
      <c r="C95" s="1037"/>
      <c r="D95" s="1037"/>
      <c r="E95" s="1038"/>
      <c r="F95" s="1138">
        <f>(8.33%+2.78%)/12</f>
        <v>9.2583333333333337E-3</v>
      </c>
      <c r="G95" s="1139"/>
      <c r="H95" s="1140"/>
      <c r="I95" s="394">
        <f>F95*F37</f>
        <v>0</v>
      </c>
    </row>
    <row r="96" spans="1:17" s="335" customFormat="1" ht="31.5" customHeight="1">
      <c r="A96" s="393" t="s">
        <v>1556</v>
      </c>
      <c r="B96" s="1036" t="s">
        <v>1879</v>
      </c>
      <c r="C96" s="1037"/>
      <c r="D96" s="1037"/>
      <c r="E96" s="1038"/>
      <c r="F96" s="1154">
        <f>1/12/30</f>
        <v>2.7777777777777775E-3</v>
      </c>
      <c r="G96" s="1155"/>
      <c r="H96" s="1156"/>
      <c r="I96" s="394">
        <f>F37*F96</f>
        <v>0</v>
      </c>
    </row>
    <row r="97" spans="1:45" s="335" customFormat="1" ht="41.25" customHeight="1">
      <c r="A97" s="393" t="s">
        <v>1559</v>
      </c>
      <c r="B97" s="1036" t="s">
        <v>1880</v>
      </c>
      <c r="C97" s="1037"/>
      <c r="D97" s="1037"/>
      <c r="E97" s="1038"/>
      <c r="F97" s="1138">
        <f>1/12/30*5*1.5%</f>
        <v>2.0833333333333332E-4</v>
      </c>
      <c r="G97" s="1139"/>
      <c r="H97" s="1140"/>
      <c r="I97" s="394">
        <f>F37*F97</f>
        <v>0</v>
      </c>
    </row>
    <row r="98" spans="1:45" s="335" customFormat="1" ht="51.75" customHeight="1">
      <c r="A98" s="393" t="s">
        <v>1562</v>
      </c>
      <c r="B98" s="1036" t="s">
        <v>1881</v>
      </c>
      <c r="C98" s="1037"/>
      <c r="D98" s="1037"/>
      <c r="E98" s="1038"/>
      <c r="F98" s="1138">
        <f>(15/30)/12*0.0078</f>
        <v>3.2499999999999999E-4</v>
      </c>
      <c r="G98" s="1139"/>
      <c r="H98" s="1140"/>
      <c r="I98" s="394">
        <f>F37*F98</f>
        <v>0</v>
      </c>
    </row>
    <row r="99" spans="1:45" s="335" customFormat="1" ht="44.25" customHeight="1">
      <c r="A99" s="393" t="s">
        <v>1581</v>
      </c>
      <c r="B99" s="1149" t="s">
        <v>1882</v>
      </c>
      <c r="C99" s="1150"/>
      <c r="D99" s="1150"/>
      <c r="E99" s="1151"/>
      <c r="F99" s="1138">
        <f>0.0144*0.1*0.44509*6/12</f>
        <v>3.2046480000000002E-4</v>
      </c>
      <c r="G99" s="1139"/>
      <c r="H99" s="1140"/>
      <c r="I99" s="394">
        <f>F37*F99</f>
        <v>0</v>
      </c>
    </row>
    <row r="100" spans="1:45" s="335" customFormat="1" ht="36" customHeight="1">
      <c r="A100" s="393" t="s">
        <v>1583</v>
      </c>
      <c r="B100" s="1036" t="s">
        <v>1883</v>
      </c>
      <c r="C100" s="1037"/>
      <c r="D100" s="1037"/>
      <c r="E100" s="1038"/>
      <c r="F100" s="1138">
        <f>5/30/12</f>
        <v>1.3888888888888888E-2</v>
      </c>
      <c r="G100" s="1139"/>
      <c r="H100" s="1140"/>
      <c r="I100" s="394">
        <f>F37*F100</f>
        <v>0</v>
      </c>
    </row>
    <row r="101" spans="1:45" s="335" customFormat="1" ht="21.75" customHeight="1">
      <c r="A101" s="393" t="s">
        <v>1601</v>
      </c>
      <c r="B101" s="1036" t="s">
        <v>1584</v>
      </c>
      <c r="C101" s="1037"/>
      <c r="D101" s="1037"/>
      <c r="E101" s="1038"/>
      <c r="F101" s="1141"/>
      <c r="G101" s="1142"/>
      <c r="H101" s="1143"/>
      <c r="I101" s="394"/>
    </row>
    <row r="102" spans="1:45" s="335" customFormat="1" ht="30" customHeight="1" thickBot="1">
      <c r="A102" s="395"/>
      <c r="B102" s="1144" t="s">
        <v>15</v>
      </c>
      <c r="C102" s="1087"/>
      <c r="D102" s="1087"/>
      <c r="E102" s="1145"/>
      <c r="F102" s="1146">
        <f>SUM(F95:H101)</f>
        <v>2.6778798133333333E-2</v>
      </c>
      <c r="G102" s="1147"/>
      <c r="H102" s="1148"/>
      <c r="I102" s="396">
        <f>SUM(I95:I101)</f>
        <v>0</v>
      </c>
    </row>
    <row r="103" spans="1:45" s="335" customFormat="1" ht="10.5" customHeight="1" thickBot="1">
      <c r="A103" s="1009"/>
      <c r="B103" s="1010"/>
      <c r="C103" s="1010"/>
      <c r="D103" s="1010"/>
      <c r="E103" s="1010"/>
      <c r="F103" s="1010"/>
      <c r="G103" s="1010"/>
      <c r="H103" s="1010"/>
      <c r="I103" s="1011"/>
    </row>
    <row r="104" spans="1:45" s="335" customFormat="1" ht="27" customHeight="1">
      <c r="A104" s="1129" t="s">
        <v>1635</v>
      </c>
      <c r="B104" s="1130"/>
      <c r="C104" s="1130"/>
      <c r="D104" s="1130"/>
      <c r="E104" s="1130"/>
      <c r="F104" s="1130"/>
      <c r="G104" s="1130"/>
      <c r="H104" s="1131"/>
      <c r="I104" s="397"/>
    </row>
    <row r="105" spans="1:45" s="399" customFormat="1" ht="20.25">
      <c r="A105" s="391" t="s">
        <v>1884</v>
      </c>
      <c r="B105" s="1132" t="s">
        <v>1636</v>
      </c>
      <c r="C105" s="1133"/>
      <c r="D105" s="1133"/>
      <c r="E105" s="1134"/>
      <c r="F105" s="1132" t="s">
        <v>1576</v>
      </c>
      <c r="G105" s="1133"/>
      <c r="H105" s="1134"/>
      <c r="I105" s="398"/>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row>
    <row r="106" spans="1:45" s="335" customFormat="1" ht="35.25" customHeight="1">
      <c r="A106" s="382" t="s">
        <v>1554</v>
      </c>
      <c r="B106" s="1101" t="s">
        <v>1885</v>
      </c>
      <c r="C106" s="1102"/>
      <c r="D106" s="1102"/>
      <c r="E106" s="1128"/>
      <c r="F106" s="1135">
        <v>0</v>
      </c>
      <c r="G106" s="1136"/>
      <c r="H106" s="1137"/>
      <c r="I106" s="400"/>
    </row>
    <row r="107" spans="1:45" s="335" customFormat="1" ht="21" thickBot="1">
      <c r="A107" s="401"/>
      <c r="B107" s="1115" t="s">
        <v>15</v>
      </c>
      <c r="C107" s="1116"/>
      <c r="D107" s="1116"/>
      <c r="E107" s="1117"/>
      <c r="F107" s="1118">
        <v>0</v>
      </c>
      <c r="G107" s="1119"/>
      <c r="H107" s="1120"/>
      <c r="I107" s="398"/>
    </row>
    <row r="108" spans="1:45" s="335" customFormat="1" ht="10.5" customHeight="1" thickBot="1">
      <c r="A108" s="1009"/>
      <c r="B108" s="1010"/>
      <c r="C108" s="1010"/>
      <c r="D108" s="1010"/>
      <c r="E108" s="1010"/>
      <c r="F108" s="1010"/>
      <c r="G108" s="1010"/>
      <c r="H108" s="1010"/>
      <c r="I108" s="1011"/>
      <c r="J108" s="402"/>
      <c r="K108" s="402"/>
      <c r="L108" s="402"/>
    </row>
    <row r="109" spans="1:45" s="335" customFormat="1" ht="36" customHeight="1">
      <c r="A109" s="1121" t="s">
        <v>1886</v>
      </c>
      <c r="B109" s="1122"/>
      <c r="C109" s="1122"/>
      <c r="D109" s="1122"/>
      <c r="E109" s="1122"/>
      <c r="F109" s="1122"/>
      <c r="G109" s="1122"/>
      <c r="H109" s="1122"/>
      <c r="I109" s="1123"/>
      <c r="J109" s="402"/>
      <c r="K109" s="402"/>
      <c r="L109" s="402"/>
      <c r="P109" s="1124"/>
      <c r="Q109" s="1124"/>
      <c r="R109" s="1124"/>
      <c r="S109" s="1124"/>
      <c r="T109" s="1124"/>
      <c r="U109" s="1124"/>
      <c r="V109" s="1124"/>
      <c r="W109" s="1124"/>
      <c r="X109" s="1124"/>
      <c r="Y109" s="1124"/>
      <c r="Z109" s="1124"/>
    </row>
    <row r="110" spans="1:45" s="335" customFormat="1" ht="30.75" customHeight="1">
      <c r="A110" s="382" t="s">
        <v>1887</v>
      </c>
      <c r="B110" s="1125" t="s">
        <v>1639</v>
      </c>
      <c r="C110" s="1126"/>
      <c r="D110" s="1126"/>
      <c r="E110" s="1126"/>
      <c r="F110" s="1126"/>
      <c r="G110" s="1126"/>
      <c r="H110" s="1127"/>
      <c r="I110" s="380" t="s">
        <v>1576</v>
      </c>
      <c r="J110" s="402"/>
      <c r="K110" s="402"/>
      <c r="L110" s="402"/>
      <c r="P110" s="1124"/>
      <c r="Q110" s="1124"/>
      <c r="R110" s="1124"/>
      <c r="S110" s="1124"/>
      <c r="T110" s="1124"/>
      <c r="U110" s="1124"/>
      <c r="V110" s="1124"/>
      <c r="W110" s="1124"/>
      <c r="X110" s="1124"/>
      <c r="Y110" s="1124"/>
      <c r="Z110" s="1124"/>
    </row>
    <row r="111" spans="1:45" s="335" customFormat="1" ht="27.75" customHeight="1">
      <c r="A111" s="382" t="s">
        <v>1292</v>
      </c>
      <c r="B111" s="1036" t="s">
        <v>1888</v>
      </c>
      <c r="C111" s="1037" t="s">
        <v>1889</v>
      </c>
      <c r="D111" s="1037" t="s">
        <v>1889</v>
      </c>
      <c r="E111" s="1037" t="s">
        <v>1889</v>
      </c>
      <c r="F111" s="1037" t="s">
        <v>1889</v>
      </c>
      <c r="G111" s="1037" t="s">
        <v>1889</v>
      </c>
      <c r="H111" s="1038" t="s">
        <v>1889</v>
      </c>
      <c r="I111" s="403">
        <f>I102</f>
        <v>0</v>
      </c>
      <c r="J111" s="402"/>
      <c r="K111" s="402"/>
      <c r="L111" s="402"/>
      <c r="P111" s="1124"/>
      <c r="Q111" s="1124"/>
      <c r="R111" s="1124"/>
      <c r="S111" s="1124"/>
      <c r="T111" s="1124"/>
      <c r="U111" s="1124"/>
      <c r="V111" s="1124"/>
      <c r="W111" s="1124"/>
      <c r="X111" s="1124"/>
      <c r="Y111" s="1124"/>
      <c r="Z111" s="1124"/>
    </row>
    <row r="112" spans="1:45" s="335" customFormat="1" ht="29.25" customHeight="1">
      <c r="A112" s="382" t="s">
        <v>1884</v>
      </c>
      <c r="B112" s="1101" t="s">
        <v>1890</v>
      </c>
      <c r="C112" s="1102"/>
      <c r="D112" s="1102"/>
      <c r="E112" s="1102"/>
      <c r="F112" s="1102"/>
      <c r="G112" s="1102"/>
      <c r="H112" s="1128"/>
      <c r="I112" s="384">
        <f>F107</f>
        <v>0</v>
      </c>
      <c r="J112" s="402"/>
      <c r="K112" s="402"/>
      <c r="L112" s="402"/>
      <c r="P112" s="1124"/>
      <c r="Q112" s="1124"/>
      <c r="R112" s="1124"/>
      <c r="S112" s="1124"/>
      <c r="T112" s="1124"/>
      <c r="U112" s="1124"/>
      <c r="V112" s="1124"/>
      <c r="W112" s="1124"/>
      <c r="X112" s="1124"/>
      <c r="Y112" s="1124"/>
      <c r="Z112" s="1124"/>
    </row>
    <row r="113" spans="1:12" s="335" customFormat="1" ht="27.75" customHeight="1">
      <c r="A113" s="1107" t="s">
        <v>15</v>
      </c>
      <c r="B113" s="1108"/>
      <c r="C113" s="1108"/>
      <c r="D113" s="1108"/>
      <c r="E113" s="1108"/>
      <c r="F113" s="1108"/>
      <c r="G113" s="1108"/>
      <c r="H113" s="1109"/>
      <c r="I113" s="404">
        <f>I111+I112</f>
        <v>0</v>
      </c>
      <c r="J113" s="402"/>
      <c r="K113" s="402"/>
      <c r="L113" s="402"/>
    </row>
    <row r="114" spans="1:12" s="335" customFormat="1" ht="10.5" customHeight="1" thickBot="1">
      <c r="A114" s="1110"/>
      <c r="B114" s="1111"/>
      <c r="C114" s="1111"/>
      <c r="D114" s="1111"/>
      <c r="E114" s="1111"/>
      <c r="F114" s="1111"/>
      <c r="G114" s="1111"/>
      <c r="H114" s="1045"/>
      <c r="I114" s="1046"/>
      <c r="J114" s="402"/>
    </row>
    <row r="115" spans="1:12" s="335" customFormat="1" ht="32.25" customHeight="1" thickBot="1">
      <c r="A115" s="1092" t="s">
        <v>1891</v>
      </c>
      <c r="B115" s="1093"/>
      <c r="C115" s="1093"/>
      <c r="D115" s="1093"/>
      <c r="E115" s="1093"/>
      <c r="F115" s="1093"/>
      <c r="G115" s="1094"/>
      <c r="I115" s="405"/>
      <c r="J115" s="402"/>
    </row>
    <row r="116" spans="1:12" s="335" customFormat="1" ht="24.75" customHeight="1">
      <c r="A116" s="406" t="s">
        <v>1892</v>
      </c>
      <c r="B116" s="1112" t="s">
        <v>1641</v>
      </c>
      <c r="C116" s="1113"/>
      <c r="D116" s="1113"/>
      <c r="E116" s="1114" t="s">
        <v>1576</v>
      </c>
      <c r="F116" s="1114"/>
      <c r="G116" s="1114"/>
      <c r="I116" s="405"/>
      <c r="J116" s="402"/>
    </row>
    <row r="117" spans="1:12" s="335" customFormat="1" ht="27.75" customHeight="1">
      <c r="A117" s="407" t="s">
        <v>1554</v>
      </c>
      <c r="B117" s="1101" t="s">
        <v>1893</v>
      </c>
      <c r="C117" s="1102"/>
      <c r="D117" s="1102"/>
      <c r="E117" s="1103"/>
      <c r="F117" s="1103"/>
      <c r="G117" s="1103"/>
      <c r="I117" s="405"/>
      <c r="J117" s="402"/>
    </row>
    <row r="118" spans="1:12" s="335" customFormat="1" ht="38.25" customHeight="1">
      <c r="A118" s="408" t="s">
        <v>1556</v>
      </c>
      <c r="B118" s="1101" t="s">
        <v>1643</v>
      </c>
      <c r="C118" s="1102"/>
      <c r="D118" s="1102"/>
      <c r="E118" s="1103">
        <v>0</v>
      </c>
      <c r="F118" s="1103"/>
      <c r="G118" s="1103"/>
      <c r="H118" s="1104"/>
      <c r="I118" s="1105"/>
      <c r="J118" s="402"/>
    </row>
    <row r="119" spans="1:12" s="335" customFormat="1" ht="30" customHeight="1">
      <c r="A119" s="408" t="s">
        <v>1559</v>
      </c>
      <c r="B119" s="1101" t="s">
        <v>1894</v>
      </c>
      <c r="C119" s="1102"/>
      <c r="D119" s="1102"/>
      <c r="E119" s="1103"/>
      <c r="F119" s="1103"/>
      <c r="G119" s="1103"/>
      <c r="I119" s="405"/>
      <c r="J119" s="402"/>
    </row>
    <row r="120" spans="1:12" s="335" customFormat="1" ht="27" customHeight="1">
      <c r="A120" s="408" t="s">
        <v>1562</v>
      </c>
      <c r="B120" s="1101" t="s">
        <v>1584</v>
      </c>
      <c r="C120" s="1102"/>
      <c r="D120" s="1102"/>
      <c r="E120" s="1106"/>
      <c r="F120" s="1106"/>
      <c r="G120" s="1106"/>
      <c r="I120" s="405"/>
      <c r="J120" s="402"/>
    </row>
    <row r="121" spans="1:12" s="335" customFormat="1" ht="22.5" customHeight="1">
      <c r="A121" s="1086" t="s">
        <v>15</v>
      </c>
      <c r="B121" s="1087"/>
      <c r="C121" s="1087"/>
      <c r="D121" s="1087"/>
      <c r="E121" s="1088">
        <f>SUM(E117:G120)</f>
        <v>0</v>
      </c>
      <c r="F121" s="1088"/>
      <c r="G121" s="1088"/>
      <c r="I121" s="405"/>
      <c r="J121" s="402"/>
    </row>
    <row r="122" spans="1:12" s="335" customFormat="1" ht="19.5" thickBot="1">
      <c r="A122" s="1089" t="s">
        <v>1895</v>
      </c>
      <c r="B122" s="1090"/>
      <c r="C122" s="1090"/>
      <c r="D122" s="1090"/>
      <c r="E122" s="1090"/>
      <c r="F122" s="1090"/>
      <c r="G122" s="1091"/>
      <c r="I122" s="405"/>
      <c r="J122" s="402"/>
    </row>
    <row r="123" spans="1:12" s="335" customFormat="1" ht="10.5" customHeight="1" thickBot="1">
      <c r="A123" s="1009"/>
      <c r="B123" s="1010"/>
      <c r="C123" s="1010"/>
      <c r="D123" s="1010"/>
      <c r="E123" s="1010"/>
      <c r="F123" s="1010"/>
      <c r="G123" s="1010"/>
      <c r="H123" s="1010"/>
      <c r="I123" s="1011"/>
      <c r="J123" s="402"/>
    </row>
    <row r="124" spans="1:12" s="335" customFormat="1" ht="31.5" customHeight="1" thickBot="1">
      <c r="A124" s="1092" t="s">
        <v>1896</v>
      </c>
      <c r="B124" s="1093"/>
      <c r="C124" s="1093"/>
      <c r="D124" s="1093"/>
      <c r="E124" s="1093"/>
      <c r="F124" s="1093"/>
      <c r="G124" s="1093"/>
      <c r="H124" s="1093"/>
      <c r="I124" s="1094"/>
      <c r="J124" s="402"/>
    </row>
    <row r="125" spans="1:12" s="335" customFormat="1" ht="18">
      <c r="A125" s="406" t="s">
        <v>1897</v>
      </c>
      <c r="B125" s="1095" t="s">
        <v>1646</v>
      </c>
      <c r="C125" s="1096"/>
      <c r="D125" s="1096"/>
      <c r="E125" s="1097"/>
      <c r="F125" s="1098" t="s">
        <v>1588</v>
      </c>
      <c r="G125" s="1099"/>
      <c r="H125" s="1095" t="s">
        <v>1576</v>
      </c>
      <c r="I125" s="1100"/>
      <c r="J125" s="402"/>
    </row>
    <row r="126" spans="1:12" s="335" customFormat="1" ht="18">
      <c r="A126" s="382" t="s">
        <v>1554</v>
      </c>
      <c r="B126" s="1083" t="s">
        <v>1898</v>
      </c>
      <c r="C126" s="1037"/>
      <c r="D126" s="1037"/>
      <c r="E126" s="1038"/>
      <c r="F126" s="1070">
        <v>5.0000000000000001E-3</v>
      </c>
      <c r="G126" s="1071"/>
      <c r="H126" s="1084">
        <f>I140*F126</f>
        <v>0</v>
      </c>
      <c r="I126" s="1085"/>
      <c r="J126" s="402"/>
    </row>
    <row r="127" spans="1:12" s="335" customFormat="1" ht="18">
      <c r="A127" s="382" t="s">
        <v>1556</v>
      </c>
      <c r="B127" s="1083" t="s">
        <v>1899</v>
      </c>
      <c r="C127" s="1037"/>
      <c r="D127" s="1037"/>
      <c r="E127" s="1038"/>
      <c r="F127" s="1070">
        <v>5.0000000000000001E-3</v>
      </c>
      <c r="G127" s="1071"/>
      <c r="H127" s="1084">
        <f>SUM(I140+H126)*F127</f>
        <v>0</v>
      </c>
      <c r="I127" s="1085"/>
      <c r="J127" s="402"/>
    </row>
    <row r="128" spans="1:12" s="335" customFormat="1" ht="18">
      <c r="A128" s="382" t="s">
        <v>1559</v>
      </c>
      <c r="B128" s="1076" t="s">
        <v>1649</v>
      </c>
      <c r="C128" s="1077"/>
      <c r="D128" s="1077"/>
      <c r="E128" s="1078"/>
      <c r="F128" s="1079">
        <f>SUM(F129:G131)</f>
        <v>8.6499999999999994E-2</v>
      </c>
      <c r="G128" s="1080"/>
      <c r="H128" s="1081">
        <f>SUM(H129:I132)</f>
        <v>0</v>
      </c>
      <c r="I128" s="1082"/>
      <c r="J128" s="402"/>
    </row>
    <row r="129" spans="1:10" s="335" customFormat="1" ht="18">
      <c r="A129" s="339"/>
      <c r="B129" s="409" t="s">
        <v>1900</v>
      </c>
      <c r="C129" s="1056" t="s">
        <v>1901</v>
      </c>
      <c r="D129" s="1057"/>
      <c r="E129" s="1058"/>
      <c r="F129" s="1070">
        <v>6.4999999999999997E-3</v>
      </c>
      <c r="G129" s="1071"/>
      <c r="H129" s="1072">
        <f>I142*F129</f>
        <v>0</v>
      </c>
      <c r="I129" s="1073"/>
      <c r="J129" s="402"/>
    </row>
    <row r="130" spans="1:10" s="335" customFormat="1" ht="16.5" customHeight="1">
      <c r="A130" s="339"/>
      <c r="B130" s="409" t="s">
        <v>1902</v>
      </c>
      <c r="C130" s="1036" t="s">
        <v>1903</v>
      </c>
      <c r="D130" s="1037"/>
      <c r="E130" s="1038"/>
      <c r="F130" s="1070">
        <v>0.03</v>
      </c>
      <c r="G130" s="1071"/>
      <c r="H130" s="1072">
        <f>F130*$I$142</f>
        <v>0</v>
      </c>
      <c r="I130" s="1073"/>
      <c r="J130" s="402"/>
    </row>
    <row r="131" spans="1:10" s="335" customFormat="1" ht="16.5" customHeight="1">
      <c r="A131" s="339"/>
      <c r="B131" s="409" t="s">
        <v>1904</v>
      </c>
      <c r="C131" s="1036" t="s">
        <v>1905</v>
      </c>
      <c r="D131" s="1037"/>
      <c r="E131" s="1038"/>
      <c r="F131" s="1074">
        <v>0.05</v>
      </c>
      <c r="G131" s="1075"/>
      <c r="H131" s="1072">
        <f>F131*$I$142</f>
        <v>0</v>
      </c>
      <c r="I131" s="1073"/>
      <c r="J131" s="402"/>
    </row>
    <row r="132" spans="1:10" s="335" customFormat="1" ht="19.5" customHeight="1">
      <c r="A132" s="410"/>
      <c r="B132" s="409" t="s">
        <v>1906</v>
      </c>
      <c r="C132" s="1056" t="s">
        <v>1907</v>
      </c>
      <c r="D132" s="1057"/>
      <c r="E132" s="1058"/>
      <c r="F132" s="1059"/>
      <c r="G132" s="1060"/>
      <c r="H132" s="1061">
        <f>F132*$I$142</f>
        <v>0</v>
      </c>
      <c r="I132" s="1062"/>
      <c r="J132" s="402"/>
    </row>
    <row r="133" spans="1:10" s="335" customFormat="1" ht="20.25">
      <c r="A133" s="1063" t="s">
        <v>1908</v>
      </c>
      <c r="B133" s="1064"/>
      <c r="C133" s="1064"/>
      <c r="D133" s="1064"/>
      <c r="E133" s="1065"/>
      <c r="F133" s="1066">
        <f>F126+F127+F128</f>
        <v>9.6499999999999989E-2</v>
      </c>
      <c r="G133" s="1067"/>
      <c r="H133" s="1068">
        <f>H126+H127+H128</f>
        <v>0</v>
      </c>
      <c r="I133" s="1069"/>
      <c r="J133" s="402"/>
    </row>
    <row r="134" spans="1:10" s="335" customFormat="1" ht="9.75" customHeight="1">
      <c r="A134" s="1044"/>
      <c r="B134" s="1045"/>
      <c r="C134" s="1045"/>
      <c r="D134" s="1045"/>
      <c r="E134" s="1045"/>
      <c r="F134" s="1045"/>
      <c r="G134" s="1045"/>
      <c r="H134" s="1045"/>
      <c r="I134" s="1046"/>
      <c r="J134" s="402"/>
    </row>
    <row r="135" spans="1:10" s="335" customFormat="1" ht="30" customHeight="1">
      <c r="A135" s="412" t="s">
        <v>1554</v>
      </c>
      <c r="B135" s="1053" t="s">
        <v>1910</v>
      </c>
      <c r="C135" s="1054" t="s">
        <v>1889</v>
      </c>
      <c r="D135" s="1054" t="s">
        <v>1889</v>
      </c>
      <c r="E135" s="1054" t="s">
        <v>1889</v>
      </c>
      <c r="F135" s="1054" t="s">
        <v>1889</v>
      </c>
      <c r="G135" s="1054" t="s">
        <v>1889</v>
      </c>
      <c r="H135" s="1055" t="s">
        <v>1889</v>
      </c>
      <c r="I135" s="413">
        <f>F37</f>
        <v>0</v>
      </c>
      <c r="J135" s="414"/>
    </row>
    <row r="136" spans="1:10" s="335" customFormat="1" ht="21" customHeight="1">
      <c r="A136" s="382" t="s">
        <v>1556</v>
      </c>
      <c r="B136" s="1036" t="s">
        <v>1911</v>
      </c>
      <c r="C136" s="1037" t="s">
        <v>1889</v>
      </c>
      <c r="D136" s="1037" t="s">
        <v>1889</v>
      </c>
      <c r="E136" s="1037" t="s">
        <v>1889</v>
      </c>
      <c r="F136" s="1037" t="s">
        <v>1889</v>
      </c>
      <c r="G136" s="1037" t="s">
        <v>1889</v>
      </c>
      <c r="H136" s="1038" t="s">
        <v>1889</v>
      </c>
      <c r="I136" s="403">
        <f>I78</f>
        <v>0</v>
      </c>
      <c r="J136" s="402"/>
    </row>
    <row r="137" spans="1:10" s="335" customFormat="1" ht="20.25" customHeight="1">
      <c r="A137" s="382" t="s">
        <v>1559</v>
      </c>
      <c r="B137" s="1036" t="s">
        <v>1912</v>
      </c>
      <c r="C137" s="1037" t="s">
        <v>1866</v>
      </c>
      <c r="D137" s="1037" t="s">
        <v>1866</v>
      </c>
      <c r="E137" s="1037" t="s">
        <v>1866</v>
      </c>
      <c r="F137" s="1037" t="s">
        <v>1866</v>
      </c>
      <c r="G137" s="1037" t="s">
        <v>1866</v>
      </c>
      <c r="H137" s="1038" t="s">
        <v>1866</v>
      </c>
      <c r="I137" s="384">
        <f>I88</f>
        <v>0</v>
      </c>
      <c r="J137" s="402"/>
    </row>
    <row r="138" spans="1:10" s="335" customFormat="1" ht="18" customHeight="1">
      <c r="A138" s="382" t="s">
        <v>1562</v>
      </c>
      <c r="B138" s="1036" t="s">
        <v>1913</v>
      </c>
      <c r="C138" s="1037"/>
      <c r="D138" s="1037"/>
      <c r="E138" s="1037"/>
      <c r="F138" s="1037"/>
      <c r="G138" s="1037"/>
      <c r="H138" s="1038"/>
      <c r="I138" s="384">
        <f>I113</f>
        <v>0</v>
      </c>
      <c r="J138" s="402"/>
    </row>
    <row r="139" spans="1:10" s="335" customFormat="1" ht="22.5" customHeight="1">
      <c r="A139" s="382" t="s">
        <v>1581</v>
      </c>
      <c r="B139" s="1036" t="s">
        <v>1914</v>
      </c>
      <c r="C139" s="1037"/>
      <c r="D139" s="1037"/>
      <c r="E139" s="1037"/>
      <c r="F139" s="1037"/>
      <c r="G139" s="1037"/>
      <c r="H139" s="1038"/>
      <c r="I139" s="403">
        <f>E121</f>
        <v>0</v>
      </c>
      <c r="J139" s="402"/>
    </row>
    <row r="140" spans="1:10" s="335" customFormat="1" ht="22.5" customHeight="1">
      <c r="A140" s="408"/>
      <c r="B140" s="1039" t="s">
        <v>1915</v>
      </c>
      <c r="C140" s="1040"/>
      <c r="D140" s="1040"/>
      <c r="E140" s="1040"/>
      <c r="F140" s="1040"/>
      <c r="G140" s="1040"/>
      <c r="H140" s="1023"/>
      <c r="I140" s="404">
        <f>SUM(I135:I139)</f>
        <v>0</v>
      </c>
      <c r="J140" s="402"/>
    </row>
    <row r="141" spans="1:10" s="335" customFormat="1" ht="24.75" customHeight="1">
      <c r="A141" s="382" t="s">
        <v>1583</v>
      </c>
      <c r="B141" s="1036" t="s">
        <v>1656</v>
      </c>
      <c r="C141" s="1037"/>
      <c r="D141" s="1037"/>
      <c r="E141" s="1037"/>
      <c r="F141" s="1037"/>
      <c r="G141" s="1037"/>
      <c r="H141" s="1038"/>
      <c r="I141" s="384">
        <f>H133</f>
        <v>0</v>
      </c>
      <c r="J141" s="402"/>
    </row>
    <row r="142" spans="1:10" s="335" customFormat="1" ht="23.25" customHeight="1">
      <c r="A142" s="1041" t="s">
        <v>1916</v>
      </c>
      <c r="B142" s="1042"/>
      <c r="C142" s="1042"/>
      <c r="D142" s="1042"/>
      <c r="E142" s="1042"/>
      <c r="F142" s="1042"/>
      <c r="G142" s="1042"/>
      <c r="H142" s="1043"/>
      <c r="I142" s="415">
        <f>(I140+H126+H127)/(1-F128)</f>
        <v>0</v>
      </c>
      <c r="J142" s="402"/>
    </row>
    <row r="143" spans="1:10" s="399" customFormat="1" ht="15.75">
      <c r="A143" s="1050" t="s">
        <v>1909</v>
      </c>
      <c r="B143" s="1051"/>
      <c r="C143" s="1051"/>
      <c r="D143" s="1051"/>
      <c r="E143" s="1051"/>
      <c r="F143" s="1051"/>
      <c r="G143" s="1051"/>
      <c r="H143" s="1051"/>
      <c r="I143" s="1052"/>
      <c r="J143" s="411"/>
    </row>
    <row r="144" spans="1:10" s="335" customFormat="1" ht="7.5" customHeight="1">
      <c r="A144" s="1044"/>
      <c r="B144" s="1045"/>
      <c r="C144" s="1045"/>
      <c r="D144" s="1045"/>
      <c r="E144" s="1045"/>
      <c r="F144" s="1045"/>
      <c r="G144" s="1045"/>
      <c r="H144" s="1045"/>
      <c r="I144" s="1046"/>
      <c r="J144" s="402"/>
    </row>
    <row r="145" spans="1:10" s="335" customFormat="1" ht="23.25" customHeight="1">
      <c r="A145" s="1047" t="s">
        <v>1917</v>
      </c>
      <c r="B145" s="1048"/>
      <c r="C145" s="1048"/>
      <c r="D145" s="1048"/>
      <c r="E145" s="1048"/>
      <c r="F145" s="1048"/>
      <c r="G145" s="1048"/>
      <c r="H145" s="1048"/>
      <c r="I145" s="1049"/>
      <c r="J145" s="402"/>
    </row>
    <row r="146" spans="1:10" s="335" customFormat="1" ht="16.5" customHeight="1">
      <c r="A146" s="1026" t="s">
        <v>1659</v>
      </c>
      <c r="B146" s="1027"/>
      <c r="C146" s="1030" t="s">
        <v>1918</v>
      </c>
      <c r="D146" s="1027"/>
      <c r="E146" s="1032" t="s">
        <v>1660</v>
      </c>
      <c r="F146" s="1030" t="s">
        <v>1661</v>
      </c>
      <c r="G146" s="1027"/>
      <c r="H146" s="1032" t="s">
        <v>1662</v>
      </c>
      <c r="I146" s="1034" t="s">
        <v>1919</v>
      </c>
      <c r="J146" s="402"/>
    </row>
    <row r="147" spans="1:10" s="335" customFormat="1" ht="21.75" customHeight="1">
      <c r="A147" s="1028"/>
      <c r="B147" s="1029"/>
      <c r="C147" s="1031"/>
      <c r="D147" s="1029"/>
      <c r="E147" s="1033"/>
      <c r="F147" s="1031"/>
      <c r="G147" s="1029"/>
      <c r="H147" s="1033"/>
      <c r="I147" s="1035"/>
      <c r="J147" s="402"/>
    </row>
    <row r="148" spans="1:10" s="335" customFormat="1" ht="24" customHeight="1">
      <c r="A148" s="1019" t="s">
        <v>1920</v>
      </c>
      <c r="B148" s="1020"/>
      <c r="C148" s="1021" t="s">
        <v>1921</v>
      </c>
      <c r="D148" s="1020"/>
      <c r="E148" s="416" t="s">
        <v>1922</v>
      </c>
      <c r="F148" s="1021" t="s">
        <v>1923</v>
      </c>
      <c r="G148" s="1020"/>
      <c r="H148" s="416" t="s">
        <v>1248</v>
      </c>
      <c r="I148" s="417" t="s">
        <v>1924</v>
      </c>
      <c r="J148" s="402"/>
    </row>
    <row r="149" spans="1:10" s="335" customFormat="1" ht="28.5" customHeight="1" thickBot="1">
      <c r="A149" s="418" t="s">
        <v>1540</v>
      </c>
      <c r="B149" s="419" t="s">
        <v>1925</v>
      </c>
      <c r="C149" s="1022">
        <f>I142</f>
        <v>0</v>
      </c>
      <c r="D149" s="1023"/>
      <c r="E149" s="420">
        <v>1</v>
      </c>
      <c r="F149" s="1024">
        <f>C149*E149</f>
        <v>0</v>
      </c>
      <c r="G149" s="1025"/>
      <c r="H149" s="420">
        <f>G15</f>
        <v>1</v>
      </c>
      <c r="I149" s="421">
        <f>F149*H149</f>
        <v>0</v>
      </c>
      <c r="J149" s="422"/>
    </row>
    <row r="150" spans="1:10" s="335" customFormat="1" ht="9" customHeight="1" thickBot="1">
      <c r="A150" s="1009"/>
      <c r="B150" s="1010"/>
      <c r="C150" s="1010"/>
      <c r="D150" s="1010"/>
      <c r="E150" s="1010"/>
      <c r="F150" s="1010"/>
      <c r="G150" s="1010"/>
      <c r="H150" s="1010"/>
      <c r="I150" s="1011"/>
      <c r="J150" s="402"/>
    </row>
    <row r="151" spans="1:10" s="335" customFormat="1" ht="9" customHeight="1" thickBot="1">
      <c r="A151" s="423"/>
      <c r="I151" s="405"/>
      <c r="J151" s="402"/>
    </row>
    <row r="152" spans="1:10" s="335" customFormat="1" ht="23.25">
      <c r="A152" s="423"/>
      <c r="B152" s="1012" t="s">
        <v>1240</v>
      </c>
      <c r="C152" s="1014" t="s">
        <v>1926</v>
      </c>
      <c r="D152" s="1015"/>
      <c r="E152" s="424">
        <f>(1+F126)*(1+F127)/(1-F128)-1</f>
        <v>0.1056650246305415</v>
      </c>
      <c r="G152" s="1016">
        <f>E152*I140</f>
        <v>0</v>
      </c>
      <c r="I152" s="1017"/>
      <c r="J152" s="402"/>
    </row>
    <row r="153" spans="1:10" s="335" customFormat="1" ht="17.25" customHeight="1" thickBot="1">
      <c r="A153" s="423"/>
      <c r="B153" s="1013"/>
      <c r="C153" s="1328" t="s">
        <v>1954</v>
      </c>
      <c r="D153" s="1329"/>
      <c r="G153" s="1016"/>
      <c r="I153" s="1018"/>
      <c r="J153" s="402"/>
    </row>
    <row r="154" spans="1:10" s="335" customFormat="1" ht="7.5" customHeight="1">
      <c r="A154" s="423"/>
      <c r="I154" s="405"/>
      <c r="J154" s="402"/>
    </row>
    <row r="155" spans="1:10" s="335" customFormat="1" ht="20.25">
      <c r="A155" s="423"/>
      <c r="B155" s="1006" t="s">
        <v>1928</v>
      </c>
      <c r="C155" s="1006"/>
      <c r="D155" s="1006"/>
      <c r="E155" s="1006"/>
      <c r="G155" s="427" t="s">
        <v>1556</v>
      </c>
      <c r="H155" s="1007" t="s">
        <v>1929</v>
      </c>
      <c r="I155" s="1008"/>
      <c r="J155" s="402"/>
    </row>
    <row r="156" spans="1:10" s="335" customFormat="1" ht="20.25">
      <c r="A156" s="423"/>
      <c r="B156" s="1006" t="s">
        <v>1930</v>
      </c>
      <c r="C156" s="1006"/>
      <c r="D156" s="1006"/>
      <c r="E156" s="1006"/>
      <c r="G156" s="427" t="s">
        <v>1562</v>
      </c>
      <c r="H156" s="1007" t="s">
        <v>1931</v>
      </c>
      <c r="I156" s="1008"/>
      <c r="J156" s="402"/>
    </row>
    <row r="157" spans="1:10" s="335" customFormat="1" ht="20.25">
      <c r="A157" s="423"/>
      <c r="B157" s="1006" t="s">
        <v>1932</v>
      </c>
      <c r="C157" s="1006"/>
      <c r="D157" s="1006"/>
      <c r="E157" s="1006"/>
      <c r="G157" s="427" t="s">
        <v>1540</v>
      </c>
      <c r="H157" s="1007" t="s">
        <v>1933</v>
      </c>
      <c r="I157" s="1008"/>
      <c r="J157" s="402"/>
    </row>
    <row r="158" spans="1:10" s="335" customFormat="1" thickBot="1">
      <c r="A158" s="423"/>
      <c r="B158" s="429"/>
      <c r="C158" s="429"/>
      <c r="D158" s="429"/>
      <c r="E158" s="429"/>
      <c r="I158" s="405"/>
      <c r="J158" s="402"/>
    </row>
    <row r="159" spans="1:10" s="335" customFormat="1" ht="7.5" customHeight="1" thickBot="1">
      <c r="A159" s="1009"/>
      <c r="B159" s="1010"/>
      <c r="C159" s="1010"/>
      <c r="D159" s="1010"/>
      <c r="E159" s="1010"/>
      <c r="F159" s="1010"/>
      <c r="G159" s="1010"/>
      <c r="H159" s="1010"/>
      <c r="I159" s="1011"/>
      <c r="J159" s="402"/>
    </row>
    <row r="162" spans="7:8">
      <c r="G162" s="329"/>
    </row>
    <row r="163" spans="7:8">
      <c r="G163" s="329"/>
    </row>
    <row r="164" spans="7:8">
      <c r="G164" s="329"/>
      <c r="H164" s="329"/>
    </row>
  </sheetData>
  <mergeCells count="264">
    <mergeCell ref="A1:I1"/>
    <mergeCell ref="C2:H2"/>
    <mergeCell ref="C3:H3"/>
    <mergeCell ref="A4:H4"/>
    <mergeCell ref="A5:I5"/>
    <mergeCell ref="A6:I6"/>
    <mergeCell ref="A13:I13"/>
    <mergeCell ref="A14:C14"/>
    <mergeCell ref="D14:F14"/>
    <mergeCell ref="G14:I14"/>
    <mergeCell ref="A15:C15"/>
    <mergeCell ref="D15:F15"/>
    <mergeCell ref="G15:I15"/>
    <mergeCell ref="B7:H7"/>
    <mergeCell ref="B8:H8"/>
    <mergeCell ref="B9:H9"/>
    <mergeCell ref="B10:H10"/>
    <mergeCell ref="B11:H11"/>
    <mergeCell ref="A12:I12"/>
    <mergeCell ref="B20:F20"/>
    <mergeCell ref="G20:I20"/>
    <mergeCell ref="B21:F21"/>
    <mergeCell ref="G21:I21"/>
    <mergeCell ref="B22:F22"/>
    <mergeCell ref="G22:I22"/>
    <mergeCell ref="A16:I16"/>
    <mergeCell ref="A17:F17"/>
    <mergeCell ref="G17:I17"/>
    <mergeCell ref="A18:F18"/>
    <mergeCell ref="G18:I18"/>
    <mergeCell ref="A19:F19"/>
    <mergeCell ref="G19:I19"/>
    <mergeCell ref="A27:H27"/>
    <mergeCell ref="A28:H28"/>
    <mergeCell ref="A29:H29"/>
    <mergeCell ref="A30:E30"/>
    <mergeCell ref="F30:H30"/>
    <mergeCell ref="B31:E31"/>
    <mergeCell ref="F31:H31"/>
    <mergeCell ref="B23:F23"/>
    <mergeCell ref="G23:I23"/>
    <mergeCell ref="B24:F24"/>
    <mergeCell ref="G24:I24"/>
    <mergeCell ref="A25:H25"/>
    <mergeCell ref="A26:H26"/>
    <mergeCell ref="I34:I35"/>
    <mergeCell ref="B35:E35"/>
    <mergeCell ref="F35:H35"/>
    <mergeCell ref="B36:E36"/>
    <mergeCell ref="F36:H36"/>
    <mergeCell ref="B37:E37"/>
    <mergeCell ref="F37:H37"/>
    <mergeCell ref="B32:E32"/>
    <mergeCell ref="F32:H32"/>
    <mergeCell ref="B33:E33"/>
    <mergeCell ref="F33:H33"/>
    <mergeCell ref="B34:E34"/>
    <mergeCell ref="F34:H34"/>
    <mergeCell ref="B44:E44"/>
    <mergeCell ref="F44:H44"/>
    <mergeCell ref="B45:E45"/>
    <mergeCell ref="F45:H45"/>
    <mergeCell ref="B46:E46"/>
    <mergeCell ref="F46:H46"/>
    <mergeCell ref="A38:I38"/>
    <mergeCell ref="A39:I39"/>
    <mergeCell ref="A40:I40"/>
    <mergeCell ref="A41:I41"/>
    <mergeCell ref="A42:I42"/>
    <mergeCell ref="A43:I43"/>
    <mergeCell ref="A50:I50"/>
    <mergeCell ref="A51:I51"/>
    <mergeCell ref="B52:E52"/>
    <mergeCell ref="F52:G52"/>
    <mergeCell ref="H52:I52"/>
    <mergeCell ref="B53:E53"/>
    <mergeCell ref="F53:G53"/>
    <mergeCell ref="H53:I53"/>
    <mergeCell ref="B47:E47"/>
    <mergeCell ref="F47:H47"/>
    <mergeCell ref="B48:E48"/>
    <mergeCell ref="F48:H48"/>
    <mergeCell ref="B49:E49"/>
    <mergeCell ref="F49:H49"/>
    <mergeCell ref="B56:E56"/>
    <mergeCell ref="F56:G56"/>
    <mergeCell ref="H56:I56"/>
    <mergeCell ref="B57:E57"/>
    <mergeCell ref="F57:G57"/>
    <mergeCell ref="H57:I57"/>
    <mergeCell ref="B54:E54"/>
    <mergeCell ref="F54:G54"/>
    <mergeCell ref="H54:I54"/>
    <mergeCell ref="B55:E55"/>
    <mergeCell ref="F55:G55"/>
    <mergeCell ref="H55:I55"/>
    <mergeCell ref="B60:E60"/>
    <mergeCell ref="F60:G60"/>
    <mergeCell ref="H60:I60"/>
    <mergeCell ref="B61:E61"/>
    <mergeCell ref="F61:G61"/>
    <mergeCell ref="H61:I61"/>
    <mergeCell ref="B58:E58"/>
    <mergeCell ref="F58:G58"/>
    <mergeCell ref="H58:I58"/>
    <mergeCell ref="B59:E59"/>
    <mergeCell ref="F59:G59"/>
    <mergeCell ref="H59:I59"/>
    <mergeCell ref="B66:E66"/>
    <mergeCell ref="F66:H66"/>
    <mergeCell ref="B67:E67"/>
    <mergeCell ref="F67:H67"/>
    <mergeCell ref="B68:E68"/>
    <mergeCell ref="F68:H68"/>
    <mergeCell ref="A62:I62"/>
    <mergeCell ref="A63:H63"/>
    <mergeCell ref="B64:E64"/>
    <mergeCell ref="F64:H64"/>
    <mergeCell ref="B65:E65"/>
    <mergeCell ref="F65:H65"/>
    <mergeCell ref="B72:E72"/>
    <mergeCell ref="F72:H72"/>
    <mergeCell ref="B73:E73"/>
    <mergeCell ref="F73:H73"/>
    <mergeCell ref="A74:H74"/>
    <mergeCell ref="B75:H75"/>
    <mergeCell ref="B69:E69"/>
    <mergeCell ref="F69:H69"/>
    <mergeCell ref="B70:E70"/>
    <mergeCell ref="F70:H70"/>
    <mergeCell ref="B71:E71"/>
    <mergeCell ref="F71:H71"/>
    <mergeCell ref="B82:G82"/>
    <mergeCell ref="B83:G83"/>
    <mergeCell ref="B84:G84"/>
    <mergeCell ref="B85:G85"/>
    <mergeCell ref="B86:G86"/>
    <mergeCell ref="B87:G87"/>
    <mergeCell ref="B76:H76"/>
    <mergeCell ref="B77:H77"/>
    <mergeCell ref="A78:H78"/>
    <mergeCell ref="A79:I79"/>
    <mergeCell ref="A80:I80"/>
    <mergeCell ref="B81:G81"/>
    <mergeCell ref="B94:E94"/>
    <mergeCell ref="F94:H94"/>
    <mergeCell ref="B95:E95"/>
    <mergeCell ref="F95:H95"/>
    <mergeCell ref="B96:E96"/>
    <mergeCell ref="F96:H96"/>
    <mergeCell ref="A88:G88"/>
    <mergeCell ref="A89:I89"/>
    <mergeCell ref="A90:I90"/>
    <mergeCell ref="A91:I91"/>
    <mergeCell ref="B92:I92"/>
    <mergeCell ref="A93:I93"/>
    <mergeCell ref="B100:E100"/>
    <mergeCell ref="F100:H100"/>
    <mergeCell ref="B101:E101"/>
    <mergeCell ref="F101:H101"/>
    <mergeCell ref="B102:E102"/>
    <mergeCell ref="F102:H102"/>
    <mergeCell ref="B97:E97"/>
    <mergeCell ref="F97:H97"/>
    <mergeCell ref="B98:E98"/>
    <mergeCell ref="F98:H98"/>
    <mergeCell ref="B99:E99"/>
    <mergeCell ref="F99:H99"/>
    <mergeCell ref="P109:Z112"/>
    <mergeCell ref="B110:H110"/>
    <mergeCell ref="B111:H111"/>
    <mergeCell ref="B112:H112"/>
    <mergeCell ref="A103:I103"/>
    <mergeCell ref="A104:H104"/>
    <mergeCell ref="B105:E105"/>
    <mergeCell ref="F105:H105"/>
    <mergeCell ref="B106:E106"/>
    <mergeCell ref="F106:H106"/>
    <mergeCell ref="A113:H113"/>
    <mergeCell ref="A114:I114"/>
    <mergeCell ref="A115:G115"/>
    <mergeCell ref="B116:D116"/>
    <mergeCell ref="E116:G116"/>
    <mergeCell ref="B117:D117"/>
    <mergeCell ref="E117:G117"/>
    <mergeCell ref="B107:E107"/>
    <mergeCell ref="F107:H107"/>
    <mergeCell ref="A108:I108"/>
    <mergeCell ref="A109:I109"/>
    <mergeCell ref="A121:D121"/>
    <mergeCell ref="E121:G121"/>
    <mergeCell ref="A122:G122"/>
    <mergeCell ref="A123:I123"/>
    <mergeCell ref="A124:I124"/>
    <mergeCell ref="B125:E125"/>
    <mergeCell ref="F125:G125"/>
    <mergeCell ref="H125:I125"/>
    <mergeCell ref="B118:D118"/>
    <mergeCell ref="E118:G118"/>
    <mergeCell ref="H118:I118"/>
    <mergeCell ref="B119:D119"/>
    <mergeCell ref="E119:G119"/>
    <mergeCell ref="B120:D120"/>
    <mergeCell ref="E120:G120"/>
    <mergeCell ref="B128:E128"/>
    <mergeCell ref="F128:G128"/>
    <mergeCell ref="H128:I128"/>
    <mergeCell ref="C129:E129"/>
    <mergeCell ref="F129:G129"/>
    <mergeCell ref="H129:I129"/>
    <mergeCell ref="B126:E126"/>
    <mergeCell ref="F126:G126"/>
    <mergeCell ref="H126:I126"/>
    <mergeCell ref="B127:E127"/>
    <mergeCell ref="F127:G127"/>
    <mergeCell ref="H127:I127"/>
    <mergeCell ref="C132:E132"/>
    <mergeCell ref="F132:G132"/>
    <mergeCell ref="H132:I132"/>
    <mergeCell ref="A133:E133"/>
    <mergeCell ref="F133:G133"/>
    <mergeCell ref="H133:I133"/>
    <mergeCell ref="C130:E130"/>
    <mergeCell ref="F130:G130"/>
    <mergeCell ref="H130:I130"/>
    <mergeCell ref="C131:E131"/>
    <mergeCell ref="F131:G131"/>
    <mergeCell ref="H131:I131"/>
    <mergeCell ref="B140:H140"/>
    <mergeCell ref="B141:H141"/>
    <mergeCell ref="A142:H142"/>
    <mergeCell ref="A143:I143"/>
    <mergeCell ref="A144:I144"/>
    <mergeCell ref="A145:I145"/>
    <mergeCell ref="A134:I134"/>
    <mergeCell ref="B135:H135"/>
    <mergeCell ref="B136:H136"/>
    <mergeCell ref="B137:H137"/>
    <mergeCell ref="B138:H138"/>
    <mergeCell ref="B139:H139"/>
    <mergeCell ref="A148:B148"/>
    <mergeCell ref="C148:D148"/>
    <mergeCell ref="F148:G148"/>
    <mergeCell ref="C149:D149"/>
    <mergeCell ref="F149:G149"/>
    <mergeCell ref="A150:I150"/>
    <mergeCell ref="A146:B147"/>
    <mergeCell ref="C146:D147"/>
    <mergeCell ref="E146:E147"/>
    <mergeCell ref="F146:G147"/>
    <mergeCell ref="H146:H147"/>
    <mergeCell ref="I146:I147"/>
    <mergeCell ref="B156:E156"/>
    <mergeCell ref="H156:I156"/>
    <mergeCell ref="B157:E157"/>
    <mergeCell ref="H157:I157"/>
    <mergeCell ref="A159:I159"/>
    <mergeCell ref="B152:B153"/>
    <mergeCell ref="C152:D152"/>
    <mergeCell ref="G152:G153"/>
    <mergeCell ref="I152:I153"/>
    <mergeCell ref="C153:D153"/>
    <mergeCell ref="B155:E155"/>
    <mergeCell ref="H155:I155"/>
  </mergeCells>
  <printOptions horizontalCentered="1"/>
  <pageMargins left="0.19685039370078741" right="0.19685039370078741" top="0.78740157480314965" bottom="0.78740157480314965" header="0.31496062992125984" footer="0.31496062992125984"/>
  <pageSetup paperSize="9" scale="52"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FBFAF3-B97A-49BD-A491-B57A1F20179F}">
  <sheetPr>
    <tabColor rgb="FF7030A0"/>
    <pageSetUpPr fitToPage="1"/>
  </sheetPr>
  <dimension ref="A1:AS164"/>
  <sheetViews>
    <sheetView zoomScale="90" zoomScaleNormal="90" workbookViewId="0">
      <selection activeCell="I2" sqref="I2"/>
    </sheetView>
  </sheetViews>
  <sheetFormatPr defaultRowHeight="15"/>
  <cols>
    <col min="4" max="4" width="28.140625" customWidth="1"/>
    <col min="5" max="5" width="40.28515625" customWidth="1"/>
    <col min="6" max="6" width="28.42578125" customWidth="1"/>
    <col min="7" max="7" width="17" customWidth="1"/>
    <col min="8" max="8" width="14.140625" customWidth="1"/>
    <col min="9" max="9" width="37.85546875" bestFit="1" customWidth="1"/>
    <col min="10" max="10" width="13.42578125" customWidth="1"/>
    <col min="11" max="11" width="12.42578125" customWidth="1"/>
    <col min="260" max="260" width="28.140625" customWidth="1"/>
    <col min="261" max="261" width="40.28515625" customWidth="1"/>
    <col min="262" max="262" width="28.42578125" customWidth="1"/>
    <col min="263" max="263" width="17" customWidth="1"/>
    <col min="264" max="264" width="14.140625" customWidth="1"/>
    <col min="265" max="265" width="37.85546875" bestFit="1" customWidth="1"/>
    <col min="266" max="266" width="13.42578125" customWidth="1"/>
    <col min="267" max="267" width="12.42578125" customWidth="1"/>
    <col min="516" max="516" width="28.140625" customWidth="1"/>
    <col min="517" max="517" width="40.28515625" customWidth="1"/>
    <col min="518" max="518" width="28.42578125" customWidth="1"/>
    <col min="519" max="519" width="17" customWidth="1"/>
    <col min="520" max="520" width="14.140625" customWidth="1"/>
    <col min="521" max="521" width="37.85546875" bestFit="1" customWidth="1"/>
    <col min="522" max="522" width="13.42578125" customWidth="1"/>
    <col min="523" max="523" width="12.42578125" customWidth="1"/>
    <col min="772" max="772" width="28.140625" customWidth="1"/>
    <col min="773" max="773" width="40.28515625" customWidth="1"/>
    <col min="774" max="774" width="28.42578125" customWidth="1"/>
    <col min="775" max="775" width="17" customWidth="1"/>
    <col min="776" max="776" width="14.140625" customWidth="1"/>
    <col min="777" max="777" width="37.85546875" bestFit="1" customWidth="1"/>
    <col min="778" max="778" width="13.42578125" customWidth="1"/>
    <col min="779" max="779" width="12.42578125" customWidth="1"/>
    <col min="1028" max="1028" width="28.140625" customWidth="1"/>
    <col min="1029" max="1029" width="40.28515625" customWidth="1"/>
    <col min="1030" max="1030" width="28.42578125" customWidth="1"/>
    <col min="1031" max="1031" width="17" customWidth="1"/>
    <col min="1032" max="1032" width="14.140625" customWidth="1"/>
    <col min="1033" max="1033" width="37.85546875" bestFit="1" customWidth="1"/>
    <col min="1034" max="1034" width="13.42578125" customWidth="1"/>
    <col min="1035" max="1035" width="12.42578125" customWidth="1"/>
    <col min="1284" max="1284" width="28.140625" customWidth="1"/>
    <col min="1285" max="1285" width="40.28515625" customWidth="1"/>
    <col min="1286" max="1286" width="28.42578125" customWidth="1"/>
    <col min="1287" max="1287" width="17" customWidth="1"/>
    <col min="1288" max="1288" width="14.140625" customWidth="1"/>
    <col min="1289" max="1289" width="37.85546875" bestFit="1" customWidth="1"/>
    <col min="1290" max="1290" width="13.42578125" customWidth="1"/>
    <col min="1291" max="1291" width="12.42578125" customWidth="1"/>
    <col min="1540" max="1540" width="28.140625" customWidth="1"/>
    <col min="1541" max="1541" width="40.28515625" customWidth="1"/>
    <col min="1542" max="1542" width="28.42578125" customWidth="1"/>
    <col min="1543" max="1543" width="17" customWidth="1"/>
    <col min="1544" max="1544" width="14.140625" customWidth="1"/>
    <col min="1545" max="1545" width="37.85546875" bestFit="1" customWidth="1"/>
    <col min="1546" max="1546" width="13.42578125" customWidth="1"/>
    <col min="1547" max="1547" width="12.42578125" customWidth="1"/>
    <col min="1796" max="1796" width="28.140625" customWidth="1"/>
    <col min="1797" max="1797" width="40.28515625" customWidth="1"/>
    <col min="1798" max="1798" width="28.42578125" customWidth="1"/>
    <col min="1799" max="1799" width="17" customWidth="1"/>
    <col min="1800" max="1800" width="14.140625" customWidth="1"/>
    <col min="1801" max="1801" width="37.85546875" bestFit="1" customWidth="1"/>
    <col min="1802" max="1802" width="13.42578125" customWidth="1"/>
    <col min="1803" max="1803" width="12.42578125" customWidth="1"/>
    <col min="2052" max="2052" width="28.140625" customWidth="1"/>
    <col min="2053" max="2053" width="40.28515625" customWidth="1"/>
    <col min="2054" max="2054" width="28.42578125" customWidth="1"/>
    <col min="2055" max="2055" width="17" customWidth="1"/>
    <col min="2056" max="2056" width="14.140625" customWidth="1"/>
    <col min="2057" max="2057" width="37.85546875" bestFit="1" customWidth="1"/>
    <col min="2058" max="2058" width="13.42578125" customWidth="1"/>
    <col min="2059" max="2059" width="12.42578125" customWidth="1"/>
    <col min="2308" max="2308" width="28.140625" customWidth="1"/>
    <col min="2309" max="2309" width="40.28515625" customWidth="1"/>
    <col min="2310" max="2310" width="28.42578125" customWidth="1"/>
    <col min="2311" max="2311" width="17" customWidth="1"/>
    <col min="2312" max="2312" width="14.140625" customWidth="1"/>
    <col min="2313" max="2313" width="37.85546875" bestFit="1" customWidth="1"/>
    <col min="2314" max="2314" width="13.42578125" customWidth="1"/>
    <col min="2315" max="2315" width="12.42578125" customWidth="1"/>
    <col min="2564" max="2564" width="28.140625" customWidth="1"/>
    <col min="2565" max="2565" width="40.28515625" customWidth="1"/>
    <col min="2566" max="2566" width="28.42578125" customWidth="1"/>
    <col min="2567" max="2567" width="17" customWidth="1"/>
    <col min="2568" max="2568" width="14.140625" customWidth="1"/>
    <col min="2569" max="2569" width="37.85546875" bestFit="1" customWidth="1"/>
    <col min="2570" max="2570" width="13.42578125" customWidth="1"/>
    <col min="2571" max="2571" width="12.42578125" customWidth="1"/>
    <col min="2820" max="2820" width="28.140625" customWidth="1"/>
    <col min="2821" max="2821" width="40.28515625" customWidth="1"/>
    <col min="2822" max="2822" width="28.42578125" customWidth="1"/>
    <col min="2823" max="2823" width="17" customWidth="1"/>
    <col min="2824" max="2824" width="14.140625" customWidth="1"/>
    <col min="2825" max="2825" width="37.85546875" bestFit="1" customWidth="1"/>
    <col min="2826" max="2826" width="13.42578125" customWidth="1"/>
    <col min="2827" max="2827" width="12.42578125" customWidth="1"/>
    <col min="3076" max="3076" width="28.140625" customWidth="1"/>
    <col min="3077" max="3077" width="40.28515625" customWidth="1"/>
    <col min="3078" max="3078" width="28.42578125" customWidth="1"/>
    <col min="3079" max="3079" width="17" customWidth="1"/>
    <col min="3080" max="3080" width="14.140625" customWidth="1"/>
    <col min="3081" max="3081" width="37.85546875" bestFit="1" customWidth="1"/>
    <col min="3082" max="3082" width="13.42578125" customWidth="1"/>
    <col min="3083" max="3083" width="12.42578125" customWidth="1"/>
    <col min="3332" max="3332" width="28.140625" customWidth="1"/>
    <col min="3333" max="3333" width="40.28515625" customWidth="1"/>
    <col min="3334" max="3334" width="28.42578125" customWidth="1"/>
    <col min="3335" max="3335" width="17" customWidth="1"/>
    <col min="3336" max="3336" width="14.140625" customWidth="1"/>
    <col min="3337" max="3337" width="37.85546875" bestFit="1" customWidth="1"/>
    <col min="3338" max="3338" width="13.42578125" customWidth="1"/>
    <col min="3339" max="3339" width="12.42578125" customWidth="1"/>
    <col min="3588" max="3588" width="28.140625" customWidth="1"/>
    <col min="3589" max="3589" width="40.28515625" customWidth="1"/>
    <col min="3590" max="3590" width="28.42578125" customWidth="1"/>
    <col min="3591" max="3591" width="17" customWidth="1"/>
    <col min="3592" max="3592" width="14.140625" customWidth="1"/>
    <col min="3593" max="3593" width="37.85546875" bestFit="1" customWidth="1"/>
    <col min="3594" max="3594" width="13.42578125" customWidth="1"/>
    <col min="3595" max="3595" width="12.42578125" customWidth="1"/>
    <col min="3844" max="3844" width="28.140625" customWidth="1"/>
    <col min="3845" max="3845" width="40.28515625" customWidth="1"/>
    <col min="3846" max="3846" width="28.42578125" customWidth="1"/>
    <col min="3847" max="3847" width="17" customWidth="1"/>
    <col min="3848" max="3848" width="14.140625" customWidth="1"/>
    <col min="3849" max="3849" width="37.85546875" bestFit="1" customWidth="1"/>
    <col min="3850" max="3850" width="13.42578125" customWidth="1"/>
    <col min="3851" max="3851" width="12.42578125" customWidth="1"/>
    <col min="4100" max="4100" width="28.140625" customWidth="1"/>
    <col min="4101" max="4101" width="40.28515625" customWidth="1"/>
    <col min="4102" max="4102" width="28.42578125" customWidth="1"/>
    <col min="4103" max="4103" width="17" customWidth="1"/>
    <col min="4104" max="4104" width="14.140625" customWidth="1"/>
    <col min="4105" max="4105" width="37.85546875" bestFit="1" customWidth="1"/>
    <col min="4106" max="4106" width="13.42578125" customWidth="1"/>
    <col min="4107" max="4107" width="12.42578125" customWidth="1"/>
    <col min="4356" max="4356" width="28.140625" customWidth="1"/>
    <col min="4357" max="4357" width="40.28515625" customWidth="1"/>
    <col min="4358" max="4358" width="28.42578125" customWidth="1"/>
    <col min="4359" max="4359" width="17" customWidth="1"/>
    <col min="4360" max="4360" width="14.140625" customWidth="1"/>
    <col min="4361" max="4361" width="37.85546875" bestFit="1" customWidth="1"/>
    <col min="4362" max="4362" width="13.42578125" customWidth="1"/>
    <col min="4363" max="4363" width="12.42578125" customWidth="1"/>
    <col min="4612" max="4612" width="28.140625" customWidth="1"/>
    <col min="4613" max="4613" width="40.28515625" customWidth="1"/>
    <col min="4614" max="4614" width="28.42578125" customWidth="1"/>
    <col min="4615" max="4615" width="17" customWidth="1"/>
    <col min="4616" max="4616" width="14.140625" customWidth="1"/>
    <col min="4617" max="4617" width="37.85546875" bestFit="1" customWidth="1"/>
    <col min="4618" max="4618" width="13.42578125" customWidth="1"/>
    <col min="4619" max="4619" width="12.42578125" customWidth="1"/>
    <col min="4868" max="4868" width="28.140625" customWidth="1"/>
    <col min="4869" max="4869" width="40.28515625" customWidth="1"/>
    <col min="4870" max="4870" width="28.42578125" customWidth="1"/>
    <col min="4871" max="4871" width="17" customWidth="1"/>
    <col min="4872" max="4872" width="14.140625" customWidth="1"/>
    <col min="4873" max="4873" width="37.85546875" bestFit="1" customWidth="1"/>
    <col min="4874" max="4874" width="13.42578125" customWidth="1"/>
    <col min="4875" max="4875" width="12.42578125" customWidth="1"/>
    <col min="5124" max="5124" width="28.140625" customWidth="1"/>
    <col min="5125" max="5125" width="40.28515625" customWidth="1"/>
    <col min="5126" max="5126" width="28.42578125" customWidth="1"/>
    <col min="5127" max="5127" width="17" customWidth="1"/>
    <col min="5128" max="5128" width="14.140625" customWidth="1"/>
    <col min="5129" max="5129" width="37.85546875" bestFit="1" customWidth="1"/>
    <col min="5130" max="5130" width="13.42578125" customWidth="1"/>
    <col min="5131" max="5131" width="12.42578125" customWidth="1"/>
    <col min="5380" max="5380" width="28.140625" customWidth="1"/>
    <col min="5381" max="5381" width="40.28515625" customWidth="1"/>
    <col min="5382" max="5382" width="28.42578125" customWidth="1"/>
    <col min="5383" max="5383" width="17" customWidth="1"/>
    <col min="5384" max="5384" width="14.140625" customWidth="1"/>
    <col min="5385" max="5385" width="37.85546875" bestFit="1" customWidth="1"/>
    <col min="5386" max="5386" width="13.42578125" customWidth="1"/>
    <col min="5387" max="5387" width="12.42578125" customWidth="1"/>
    <col min="5636" max="5636" width="28.140625" customWidth="1"/>
    <col min="5637" max="5637" width="40.28515625" customWidth="1"/>
    <col min="5638" max="5638" width="28.42578125" customWidth="1"/>
    <col min="5639" max="5639" width="17" customWidth="1"/>
    <col min="5640" max="5640" width="14.140625" customWidth="1"/>
    <col min="5641" max="5641" width="37.85546875" bestFit="1" customWidth="1"/>
    <col min="5642" max="5642" width="13.42578125" customWidth="1"/>
    <col min="5643" max="5643" width="12.42578125" customWidth="1"/>
    <col min="5892" max="5892" width="28.140625" customWidth="1"/>
    <col min="5893" max="5893" width="40.28515625" customWidth="1"/>
    <col min="5894" max="5894" width="28.42578125" customWidth="1"/>
    <col min="5895" max="5895" width="17" customWidth="1"/>
    <col min="5896" max="5896" width="14.140625" customWidth="1"/>
    <col min="5897" max="5897" width="37.85546875" bestFit="1" customWidth="1"/>
    <col min="5898" max="5898" width="13.42578125" customWidth="1"/>
    <col min="5899" max="5899" width="12.42578125" customWidth="1"/>
    <col min="6148" max="6148" width="28.140625" customWidth="1"/>
    <col min="6149" max="6149" width="40.28515625" customWidth="1"/>
    <col min="6150" max="6150" width="28.42578125" customWidth="1"/>
    <col min="6151" max="6151" width="17" customWidth="1"/>
    <col min="6152" max="6152" width="14.140625" customWidth="1"/>
    <col min="6153" max="6153" width="37.85546875" bestFit="1" customWidth="1"/>
    <col min="6154" max="6154" width="13.42578125" customWidth="1"/>
    <col min="6155" max="6155" width="12.42578125" customWidth="1"/>
    <col min="6404" max="6404" width="28.140625" customWidth="1"/>
    <col min="6405" max="6405" width="40.28515625" customWidth="1"/>
    <col min="6406" max="6406" width="28.42578125" customWidth="1"/>
    <col min="6407" max="6407" width="17" customWidth="1"/>
    <col min="6408" max="6408" width="14.140625" customWidth="1"/>
    <col min="6409" max="6409" width="37.85546875" bestFit="1" customWidth="1"/>
    <col min="6410" max="6410" width="13.42578125" customWidth="1"/>
    <col min="6411" max="6411" width="12.42578125" customWidth="1"/>
    <col min="6660" max="6660" width="28.140625" customWidth="1"/>
    <col min="6661" max="6661" width="40.28515625" customWidth="1"/>
    <col min="6662" max="6662" width="28.42578125" customWidth="1"/>
    <col min="6663" max="6663" width="17" customWidth="1"/>
    <col min="6664" max="6664" width="14.140625" customWidth="1"/>
    <col min="6665" max="6665" width="37.85546875" bestFit="1" customWidth="1"/>
    <col min="6666" max="6666" width="13.42578125" customWidth="1"/>
    <col min="6667" max="6667" width="12.42578125" customWidth="1"/>
    <col min="6916" max="6916" width="28.140625" customWidth="1"/>
    <col min="6917" max="6917" width="40.28515625" customWidth="1"/>
    <col min="6918" max="6918" width="28.42578125" customWidth="1"/>
    <col min="6919" max="6919" width="17" customWidth="1"/>
    <col min="6920" max="6920" width="14.140625" customWidth="1"/>
    <col min="6921" max="6921" width="37.85546875" bestFit="1" customWidth="1"/>
    <col min="6922" max="6922" width="13.42578125" customWidth="1"/>
    <col min="6923" max="6923" width="12.42578125" customWidth="1"/>
    <col min="7172" max="7172" width="28.140625" customWidth="1"/>
    <col min="7173" max="7173" width="40.28515625" customWidth="1"/>
    <col min="7174" max="7174" width="28.42578125" customWidth="1"/>
    <col min="7175" max="7175" width="17" customWidth="1"/>
    <col min="7176" max="7176" width="14.140625" customWidth="1"/>
    <col min="7177" max="7177" width="37.85546875" bestFit="1" customWidth="1"/>
    <col min="7178" max="7178" width="13.42578125" customWidth="1"/>
    <col min="7179" max="7179" width="12.42578125" customWidth="1"/>
    <col min="7428" max="7428" width="28.140625" customWidth="1"/>
    <col min="7429" max="7429" width="40.28515625" customWidth="1"/>
    <col min="7430" max="7430" width="28.42578125" customWidth="1"/>
    <col min="7431" max="7431" width="17" customWidth="1"/>
    <col min="7432" max="7432" width="14.140625" customWidth="1"/>
    <col min="7433" max="7433" width="37.85546875" bestFit="1" customWidth="1"/>
    <col min="7434" max="7434" width="13.42578125" customWidth="1"/>
    <col min="7435" max="7435" width="12.42578125" customWidth="1"/>
    <col min="7684" max="7684" width="28.140625" customWidth="1"/>
    <col min="7685" max="7685" width="40.28515625" customWidth="1"/>
    <col min="7686" max="7686" width="28.42578125" customWidth="1"/>
    <col min="7687" max="7687" width="17" customWidth="1"/>
    <col min="7688" max="7688" width="14.140625" customWidth="1"/>
    <col min="7689" max="7689" width="37.85546875" bestFit="1" customWidth="1"/>
    <col min="7690" max="7690" width="13.42578125" customWidth="1"/>
    <col min="7691" max="7691" width="12.42578125" customWidth="1"/>
    <col min="7940" max="7940" width="28.140625" customWidth="1"/>
    <col min="7941" max="7941" width="40.28515625" customWidth="1"/>
    <col min="7942" max="7942" width="28.42578125" customWidth="1"/>
    <col min="7943" max="7943" width="17" customWidth="1"/>
    <col min="7944" max="7944" width="14.140625" customWidth="1"/>
    <col min="7945" max="7945" width="37.85546875" bestFit="1" customWidth="1"/>
    <col min="7946" max="7946" width="13.42578125" customWidth="1"/>
    <col min="7947" max="7947" width="12.42578125" customWidth="1"/>
    <col min="8196" max="8196" width="28.140625" customWidth="1"/>
    <col min="8197" max="8197" width="40.28515625" customWidth="1"/>
    <col min="8198" max="8198" width="28.42578125" customWidth="1"/>
    <col min="8199" max="8199" width="17" customWidth="1"/>
    <col min="8200" max="8200" width="14.140625" customWidth="1"/>
    <col min="8201" max="8201" width="37.85546875" bestFit="1" customWidth="1"/>
    <col min="8202" max="8202" width="13.42578125" customWidth="1"/>
    <col min="8203" max="8203" width="12.42578125" customWidth="1"/>
    <col min="8452" max="8452" width="28.140625" customWidth="1"/>
    <col min="8453" max="8453" width="40.28515625" customWidth="1"/>
    <col min="8454" max="8454" width="28.42578125" customWidth="1"/>
    <col min="8455" max="8455" width="17" customWidth="1"/>
    <col min="8456" max="8456" width="14.140625" customWidth="1"/>
    <col min="8457" max="8457" width="37.85546875" bestFit="1" customWidth="1"/>
    <col min="8458" max="8458" width="13.42578125" customWidth="1"/>
    <col min="8459" max="8459" width="12.42578125" customWidth="1"/>
    <col min="8708" max="8708" width="28.140625" customWidth="1"/>
    <col min="8709" max="8709" width="40.28515625" customWidth="1"/>
    <col min="8710" max="8710" width="28.42578125" customWidth="1"/>
    <col min="8711" max="8711" width="17" customWidth="1"/>
    <col min="8712" max="8712" width="14.140625" customWidth="1"/>
    <col min="8713" max="8713" width="37.85546875" bestFit="1" customWidth="1"/>
    <col min="8714" max="8714" width="13.42578125" customWidth="1"/>
    <col min="8715" max="8715" width="12.42578125" customWidth="1"/>
    <col min="8964" max="8964" width="28.140625" customWidth="1"/>
    <col min="8965" max="8965" width="40.28515625" customWidth="1"/>
    <col min="8966" max="8966" width="28.42578125" customWidth="1"/>
    <col min="8967" max="8967" width="17" customWidth="1"/>
    <col min="8968" max="8968" width="14.140625" customWidth="1"/>
    <col min="8969" max="8969" width="37.85546875" bestFit="1" customWidth="1"/>
    <col min="8970" max="8970" width="13.42578125" customWidth="1"/>
    <col min="8971" max="8971" width="12.42578125" customWidth="1"/>
    <col min="9220" max="9220" width="28.140625" customWidth="1"/>
    <col min="9221" max="9221" width="40.28515625" customWidth="1"/>
    <col min="9222" max="9222" width="28.42578125" customWidth="1"/>
    <col min="9223" max="9223" width="17" customWidth="1"/>
    <col min="9224" max="9224" width="14.140625" customWidth="1"/>
    <col min="9225" max="9225" width="37.85546875" bestFit="1" customWidth="1"/>
    <col min="9226" max="9226" width="13.42578125" customWidth="1"/>
    <col min="9227" max="9227" width="12.42578125" customWidth="1"/>
    <col min="9476" max="9476" width="28.140625" customWidth="1"/>
    <col min="9477" max="9477" width="40.28515625" customWidth="1"/>
    <col min="9478" max="9478" width="28.42578125" customWidth="1"/>
    <col min="9479" max="9479" width="17" customWidth="1"/>
    <col min="9480" max="9480" width="14.140625" customWidth="1"/>
    <col min="9481" max="9481" width="37.85546875" bestFit="1" customWidth="1"/>
    <col min="9482" max="9482" width="13.42578125" customWidth="1"/>
    <col min="9483" max="9483" width="12.42578125" customWidth="1"/>
    <col min="9732" max="9732" width="28.140625" customWidth="1"/>
    <col min="9733" max="9733" width="40.28515625" customWidth="1"/>
    <col min="9734" max="9734" width="28.42578125" customWidth="1"/>
    <col min="9735" max="9735" width="17" customWidth="1"/>
    <col min="9736" max="9736" width="14.140625" customWidth="1"/>
    <col min="9737" max="9737" width="37.85546875" bestFit="1" customWidth="1"/>
    <col min="9738" max="9738" width="13.42578125" customWidth="1"/>
    <col min="9739" max="9739" width="12.42578125" customWidth="1"/>
    <col min="9988" max="9988" width="28.140625" customWidth="1"/>
    <col min="9989" max="9989" width="40.28515625" customWidth="1"/>
    <col min="9990" max="9990" width="28.42578125" customWidth="1"/>
    <col min="9991" max="9991" width="17" customWidth="1"/>
    <col min="9992" max="9992" width="14.140625" customWidth="1"/>
    <col min="9993" max="9993" width="37.85546875" bestFit="1" customWidth="1"/>
    <col min="9994" max="9994" width="13.42578125" customWidth="1"/>
    <col min="9995" max="9995" width="12.42578125" customWidth="1"/>
    <col min="10244" max="10244" width="28.140625" customWidth="1"/>
    <col min="10245" max="10245" width="40.28515625" customWidth="1"/>
    <col min="10246" max="10246" width="28.42578125" customWidth="1"/>
    <col min="10247" max="10247" width="17" customWidth="1"/>
    <col min="10248" max="10248" width="14.140625" customWidth="1"/>
    <col min="10249" max="10249" width="37.85546875" bestFit="1" customWidth="1"/>
    <col min="10250" max="10250" width="13.42578125" customWidth="1"/>
    <col min="10251" max="10251" width="12.42578125" customWidth="1"/>
    <col min="10500" max="10500" width="28.140625" customWidth="1"/>
    <col min="10501" max="10501" width="40.28515625" customWidth="1"/>
    <col min="10502" max="10502" width="28.42578125" customWidth="1"/>
    <col min="10503" max="10503" width="17" customWidth="1"/>
    <col min="10504" max="10504" width="14.140625" customWidth="1"/>
    <col min="10505" max="10505" width="37.85546875" bestFit="1" customWidth="1"/>
    <col min="10506" max="10506" width="13.42578125" customWidth="1"/>
    <col min="10507" max="10507" width="12.42578125" customWidth="1"/>
    <col min="10756" max="10756" width="28.140625" customWidth="1"/>
    <col min="10757" max="10757" width="40.28515625" customWidth="1"/>
    <col min="10758" max="10758" width="28.42578125" customWidth="1"/>
    <col min="10759" max="10759" width="17" customWidth="1"/>
    <col min="10760" max="10760" width="14.140625" customWidth="1"/>
    <col min="10761" max="10761" width="37.85546875" bestFit="1" customWidth="1"/>
    <col min="10762" max="10762" width="13.42578125" customWidth="1"/>
    <col min="10763" max="10763" width="12.42578125" customWidth="1"/>
    <col min="11012" max="11012" width="28.140625" customWidth="1"/>
    <col min="11013" max="11013" width="40.28515625" customWidth="1"/>
    <col min="11014" max="11014" width="28.42578125" customWidth="1"/>
    <col min="11015" max="11015" width="17" customWidth="1"/>
    <col min="11016" max="11016" width="14.140625" customWidth="1"/>
    <col min="11017" max="11017" width="37.85546875" bestFit="1" customWidth="1"/>
    <col min="11018" max="11018" width="13.42578125" customWidth="1"/>
    <col min="11019" max="11019" width="12.42578125" customWidth="1"/>
    <col min="11268" max="11268" width="28.140625" customWidth="1"/>
    <col min="11269" max="11269" width="40.28515625" customWidth="1"/>
    <col min="11270" max="11270" width="28.42578125" customWidth="1"/>
    <col min="11271" max="11271" width="17" customWidth="1"/>
    <col min="11272" max="11272" width="14.140625" customWidth="1"/>
    <col min="11273" max="11273" width="37.85546875" bestFit="1" customWidth="1"/>
    <col min="11274" max="11274" width="13.42578125" customWidth="1"/>
    <col min="11275" max="11275" width="12.42578125" customWidth="1"/>
    <col min="11524" max="11524" width="28.140625" customWidth="1"/>
    <col min="11525" max="11525" width="40.28515625" customWidth="1"/>
    <col min="11526" max="11526" width="28.42578125" customWidth="1"/>
    <col min="11527" max="11527" width="17" customWidth="1"/>
    <col min="11528" max="11528" width="14.140625" customWidth="1"/>
    <col min="11529" max="11529" width="37.85546875" bestFit="1" customWidth="1"/>
    <col min="11530" max="11530" width="13.42578125" customWidth="1"/>
    <col min="11531" max="11531" width="12.42578125" customWidth="1"/>
    <col min="11780" max="11780" width="28.140625" customWidth="1"/>
    <col min="11781" max="11781" width="40.28515625" customWidth="1"/>
    <col min="11782" max="11782" width="28.42578125" customWidth="1"/>
    <col min="11783" max="11783" width="17" customWidth="1"/>
    <col min="11784" max="11784" width="14.140625" customWidth="1"/>
    <col min="11785" max="11785" width="37.85546875" bestFit="1" customWidth="1"/>
    <col min="11786" max="11786" width="13.42578125" customWidth="1"/>
    <col min="11787" max="11787" width="12.42578125" customWidth="1"/>
    <col min="12036" max="12036" width="28.140625" customWidth="1"/>
    <col min="12037" max="12037" width="40.28515625" customWidth="1"/>
    <col min="12038" max="12038" width="28.42578125" customWidth="1"/>
    <col min="12039" max="12039" width="17" customWidth="1"/>
    <col min="12040" max="12040" width="14.140625" customWidth="1"/>
    <col min="12041" max="12041" width="37.85546875" bestFit="1" customWidth="1"/>
    <col min="12042" max="12042" width="13.42578125" customWidth="1"/>
    <col min="12043" max="12043" width="12.42578125" customWidth="1"/>
    <col min="12292" max="12292" width="28.140625" customWidth="1"/>
    <col min="12293" max="12293" width="40.28515625" customWidth="1"/>
    <col min="12294" max="12294" width="28.42578125" customWidth="1"/>
    <col min="12295" max="12295" width="17" customWidth="1"/>
    <col min="12296" max="12296" width="14.140625" customWidth="1"/>
    <col min="12297" max="12297" width="37.85546875" bestFit="1" customWidth="1"/>
    <col min="12298" max="12298" width="13.42578125" customWidth="1"/>
    <col min="12299" max="12299" width="12.42578125" customWidth="1"/>
    <col min="12548" max="12548" width="28.140625" customWidth="1"/>
    <col min="12549" max="12549" width="40.28515625" customWidth="1"/>
    <col min="12550" max="12550" width="28.42578125" customWidth="1"/>
    <col min="12551" max="12551" width="17" customWidth="1"/>
    <col min="12552" max="12552" width="14.140625" customWidth="1"/>
    <col min="12553" max="12553" width="37.85546875" bestFit="1" customWidth="1"/>
    <col min="12554" max="12554" width="13.42578125" customWidth="1"/>
    <col min="12555" max="12555" width="12.42578125" customWidth="1"/>
    <col min="12804" max="12804" width="28.140625" customWidth="1"/>
    <col min="12805" max="12805" width="40.28515625" customWidth="1"/>
    <col min="12806" max="12806" width="28.42578125" customWidth="1"/>
    <col min="12807" max="12807" width="17" customWidth="1"/>
    <col min="12808" max="12808" width="14.140625" customWidth="1"/>
    <col min="12809" max="12809" width="37.85546875" bestFit="1" customWidth="1"/>
    <col min="12810" max="12810" width="13.42578125" customWidth="1"/>
    <col min="12811" max="12811" width="12.42578125" customWidth="1"/>
    <col min="13060" max="13060" width="28.140625" customWidth="1"/>
    <col min="13061" max="13061" width="40.28515625" customWidth="1"/>
    <col min="13062" max="13062" width="28.42578125" customWidth="1"/>
    <col min="13063" max="13063" width="17" customWidth="1"/>
    <col min="13064" max="13064" width="14.140625" customWidth="1"/>
    <col min="13065" max="13065" width="37.85546875" bestFit="1" customWidth="1"/>
    <col min="13066" max="13066" width="13.42578125" customWidth="1"/>
    <col min="13067" max="13067" width="12.42578125" customWidth="1"/>
    <col min="13316" max="13316" width="28.140625" customWidth="1"/>
    <col min="13317" max="13317" width="40.28515625" customWidth="1"/>
    <col min="13318" max="13318" width="28.42578125" customWidth="1"/>
    <col min="13319" max="13319" width="17" customWidth="1"/>
    <col min="13320" max="13320" width="14.140625" customWidth="1"/>
    <col min="13321" max="13321" width="37.85546875" bestFit="1" customWidth="1"/>
    <col min="13322" max="13322" width="13.42578125" customWidth="1"/>
    <col min="13323" max="13323" width="12.42578125" customWidth="1"/>
    <col min="13572" max="13572" width="28.140625" customWidth="1"/>
    <col min="13573" max="13573" width="40.28515625" customWidth="1"/>
    <col min="13574" max="13574" width="28.42578125" customWidth="1"/>
    <col min="13575" max="13575" width="17" customWidth="1"/>
    <col min="13576" max="13576" width="14.140625" customWidth="1"/>
    <col min="13577" max="13577" width="37.85546875" bestFit="1" customWidth="1"/>
    <col min="13578" max="13578" width="13.42578125" customWidth="1"/>
    <col min="13579" max="13579" width="12.42578125" customWidth="1"/>
    <col min="13828" max="13828" width="28.140625" customWidth="1"/>
    <col min="13829" max="13829" width="40.28515625" customWidth="1"/>
    <col min="13830" max="13830" width="28.42578125" customWidth="1"/>
    <col min="13831" max="13831" width="17" customWidth="1"/>
    <col min="13832" max="13832" width="14.140625" customWidth="1"/>
    <col min="13833" max="13833" width="37.85546875" bestFit="1" customWidth="1"/>
    <col min="13834" max="13834" width="13.42578125" customWidth="1"/>
    <col min="13835" max="13835" width="12.42578125" customWidth="1"/>
    <col min="14084" max="14084" width="28.140625" customWidth="1"/>
    <col min="14085" max="14085" width="40.28515625" customWidth="1"/>
    <col min="14086" max="14086" width="28.42578125" customWidth="1"/>
    <col min="14087" max="14087" width="17" customWidth="1"/>
    <col min="14088" max="14088" width="14.140625" customWidth="1"/>
    <col min="14089" max="14089" width="37.85546875" bestFit="1" customWidth="1"/>
    <col min="14090" max="14090" width="13.42578125" customWidth="1"/>
    <col min="14091" max="14091" width="12.42578125" customWidth="1"/>
    <col min="14340" max="14340" width="28.140625" customWidth="1"/>
    <col min="14341" max="14341" width="40.28515625" customWidth="1"/>
    <col min="14342" max="14342" width="28.42578125" customWidth="1"/>
    <col min="14343" max="14343" width="17" customWidth="1"/>
    <col min="14344" max="14344" width="14.140625" customWidth="1"/>
    <col min="14345" max="14345" width="37.85546875" bestFit="1" customWidth="1"/>
    <col min="14346" max="14346" width="13.42578125" customWidth="1"/>
    <col min="14347" max="14347" width="12.42578125" customWidth="1"/>
    <col min="14596" max="14596" width="28.140625" customWidth="1"/>
    <col min="14597" max="14597" width="40.28515625" customWidth="1"/>
    <col min="14598" max="14598" width="28.42578125" customWidth="1"/>
    <col min="14599" max="14599" width="17" customWidth="1"/>
    <col min="14600" max="14600" width="14.140625" customWidth="1"/>
    <col min="14601" max="14601" width="37.85546875" bestFit="1" customWidth="1"/>
    <col min="14602" max="14602" width="13.42578125" customWidth="1"/>
    <col min="14603" max="14603" width="12.42578125" customWidth="1"/>
    <col min="14852" max="14852" width="28.140625" customWidth="1"/>
    <col min="14853" max="14853" width="40.28515625" customWidth="1"/>
    <col min="14854" max="14854" width="28.42578125" customWidth="1"/>
    <col min="14855" max="14855" width="17" customWidth="1"/>
    <col min="14856" max="14856" width="14.140625" customWidth="1"/>
    <col min="14857" max="14857" width="37.85546875" bestFit="1" customWidth="1"/>
    <col min="14858" max="14858" width="13.42578125" customWidth="1"/>
    <col min="14859" max="14859" width="12.42578125" customWidth="1"/>
    <col min="15108" max="15108" width="28.140625" customWidth="1"/>
    <col min="15109" max="15109" width="40.28515625" customWidth="1"/>
    <col min="15110" max="15110" width="28.42578125" customWidth="1"/>
    <col min="15111" max="15111" width="17" customWidth="1"/>
    <col min="15112" max="15112" width="14.140625" customWidth="1"/>
    <col min="15113" max="15113" width="37.85546875" bestFit="1" customWidth="1"/>
    <col min="15114" max="15114" width="13.42578125" customWidth="1"/>
    <col min="15115" max="15115" width="12.42578125" customWidth="1"/>
    <col min="15364" max="15364" width="28.140625" customWidth="1"/>
    <col min="15365" max="15365" width="40.28515625" customWidth="1"/>
    <col min="15366" max="15366" width="28.42578125" customWidth="1"/>
    <col min="15367" max="15367" width="17" customWidth="1"/>
    <col min="15368" max="15368" width="14.140625" customWidth="1"/>
    <col min="15369" max="15369" width="37.85546875" bestFit="1" customWidth="1"/>
    <col min="15370" max="15370" width="13.42578125" customWidth="1"/>
    <col min="15371" max="15371" width="12.42578125" customWidth="1"/>
    <col min="15620" max="15620" width="28.140625" customWidth="1"/>
    <col min="15621" max="15621" width="40.28515625" customWidth="1"/>
    <col min="15622" max="15622" width="28.42578125" customWidth="1"/>
    <col min="15623" max="15623" width="17" customWidth="1"/>
    <col min="15624" max="15624" width="14.140625" customWidth="1"/>
    <col min="15625" max="15625" width="37.85546875" bestFit="1" customWidth="1"/>
    <col min="15626" max="15626" width="13.42578125" customWidth="1"/>
    <col min="15627" max="15627" width="12.42578125" customWidth="1"/>
    <col min="15876" max="15876" width="28.140625" customWidth="1"/>
    <col min="15877" max="15877" width="40.28515625" customWidth="1"/>
    <col min="15878" max="15878" width="28.42578125" customWidth="1"/>
    <col min="15879" max="15879" width="17" customWidth="1"/>
    <col min="15880" max="15880" width="14.140625" customWidth="1"/>
    <col min="15881" max="15881" width="37.85546875" bestFit="1" customWidth="1"/>
    <col min="15882" max="15882" width="13.42578125" customWidth="1"/>
    <col min="15883" max="15883" width="12.42578125" customWidth="1"/>
    <col min="16132" max="16132" width="28.140625" customWidth="1"/>
    <col min="16133" max="16133" width="40.28515625" customWidth="1"/>
    <col min="16134" max="16134" width="28.42578125" customWidth="1"/>
    <col min="16135" max="16135" width="17" customWidth="1"/>
    <col min="16136" max="16136" width="14.140625" customWidth="1"/>
    <col min="16137" max="16137" width="37.85546875" bestFit="1" customWidth="1"/>
    <col min="16138" max="16138" width="13.42578125" customWidth="1"/>
    <col min="16139" max="16139" width="12.42578125" customWidth="1"/>
  </cols>
  <sheetData>
    <row r="1" spans="1:9" s="335" customFormat="1" ht="23.25" customHeight="1" thickBot="1">
      <c r="A1" s="1310" t="s">
        <v>1807</v>
      </c>
      <c r="B1" s="1311"/>
      <c r="C1" s="1311"/>
      <c r="D1" s="1311"/>
      <c r="E1" s="1311"/>
      <c r="F1" s="1311"/>
      <c r="G1" s="1311"/>
      <c r="H1" s="1311"/>
      <c r="I1" s="1312"/>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1810</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v>44562</v>
      </c>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1815</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21</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1534</v>
      </c>
      <c r="B14" s="1322"/>
      <c r="C14" s="1323"/>
      <c r="D14" s="1324" t="s">
        <v>1819</v>
      </c>
      <c r="E14" s="1322"/>
      <c r="F14" s="1323"/>
      <c r="G14" s="1325" t="s">
        <v>1820</v>
      </c>
      <c r="H14" s="1326"/>
      <c r="I14" s="1327"/>
    </row>
    <row r="15" spans="1:9" s="335" customFormat="1" ht="30" customHeight="1">
      <c r="A15" s="1301" t="s">
        <v>1955</v>
      </c>
      <c r="B15" s="1302"/>
      <c r="C15" s="1303"/>
      <c r="D15" s="1304" t="s">
        <v>1822</v>
      </c>
      <c r="E15" s="1302"/>
      <c r="F15" s="1303"/>
      <c r="G15" s="1304">
        <v>1</v>
      </c>
      <c r="H15" s="1302"/>
      <c r="I15" s="1305"/>
    </row>
    <row r="16" spans="1:9" s="335" customFormat="1" ht="8.25" customHeight="1">
      <c r="A16" s="1044"/>
      <c r="B16" s="1045"/>
      <c r="C16" s="1045"/>
      <c r="D16" s="1045"/>
      <c r="E16" s="1045"/>
      <c r="F16" s="1045"/>
      <c r="G16" s="1045"/>
      <c r="H16" s="1045"/>
      <c r="I16" s="1046"/>
    </row>
    <row r="17" spans="1:9" s="335" customFormat="1" ht="26.25" customHeight="1">
      <c r="A17" s="1290" t="s">
        <v>1823</v>
      </c>
      <c r="B17" s="1291"/>
      <c r="C17" s="1291"/>
      <c r="D17" s="1291"/>
      <c r="E17" s="1291"/>
      <c r="F17" s="1291"/>
      <c r="G17" s="1292"/>
      <c r="H17" s="1292"/>
      <c r="I17" s="1293"/>
    </row>
    <row r="18" spans="1:9" s="335" customFormat="1" ht="32.25" customHeight="1">
      <c r="A18" s="1294" t="s">
        <v>1824</v>
      </c>
      <c r="B18" s="1295"/>
      <c r="C18" s="1295"/>
      <c r="D18" s="1295"/>
      <c r="E18" s="1295"/>
      <c r="F18" s="1295"/>
      <c r="G18" s="1292"/>
      <c r="H18" s="1292"/>
      <c r="I18" s="1293"/>
    </row>
    <row r="19" spans="1:9" s="335" customFormat="1" ht="27.75" customHeight="1">
      <c r="A19" s="1296" t="s">
        <v>1825</v>
      </c>
      <c r="B19" s="1297"/>
      <c r="C19" s="1297"/>
      <c r="D19" s="1297"/>
      <c r="E19" s="1297"/>
      <c r="F19" s="1297"/>
      <c r="G19" s="1298"/>
      <c r="H19" s="1299"/>
      <c r="I19" s="1300"/>
    </row>
    <row r="20" spans="1:9" s="335" customFormat="1" ht="33.75" customHeight="1">
      <c r="A20" s="343">
        <v>1</v>
      </c>
      <c r="B20" s="1274" t="s">
        <v>1566</v>
      </c>
      <c r="C20" s="1275"/>
      <c r="D20" s="1275"/>
      <c r="E20" s="1275"/>
      <c r="F20" s="1275"/>
      <c r="G20" s="1284" t="s">
        <v>1956</v>
      </c>
      <c r="H20" s="1285"/>
      <c r="I20" s="1286"/>
    </row>
    <row r="21" spans="1:9" s="335" customFormat="1" ht="30.75" customHeight="1">
      <c r="A21" s="343">
        <v>2</v>
      </c>
      <c r="B21" s="1274" t="s">
        <v>1827</v>
      </c>
      <c r="C21" s="1275"/>
      <c r="D21" s="1275"/>
      <c r="E21" s="1275"/>
      <c r="F21" s="1275"/>
      <c r="G21" s="1276">
        <v>7832</v>
      </c>
      <c r="H21" s="1277"/>
      <c r="I21" s="1278"/>
    </row>
    <row r="22" spans="1:9" s="335" customFormat="1" ht="27" customHeight="1">
      <c r="A22" s="343">
        <v>3</v>
      </c>
      <c r="B22" s="1274" t="s">
        <v>1570</v>
      </c>
      <c r="C22" s="1275"/>
      <c r="D22" s="1275"/>
      <c r="E22" s="1275"/>
      <c r="F22" s="1275"/>
      <c r="G22" s="1287">
        <v>1629.62</v>
      </c>
      <c r="H22" s="1288"/>
      <c r="I22" s="1289"/>
    </row>
    <row r="23" spans="1:9" s="335" customFormat="1" ht="29.25" customHeight="1">
      <c r="A23" s="343">
        <v>4</v>
      </c>
      <c r="B23" s="1274" t="s">
        <v>1829</v>
      </c>
      <c r="C23" s="1275"/>
      <c r="D23" s="1275"/>
      <c r="E23" s="1275"/>
      <c r="F23" s="1275"/>
      <c r="G23" s="1276" t="s">
        <v>1952</v>
      </c>
      <c r="H23" s="1277"/>
      <c r="I23" s="1278"/>
    </row>
    <row r="24" spans="1:9" s="335" customFormat="1" ht="28.5" customHeight="1" thickBot="1">
      <c r="A24" s="343">
        <v>5</v>
      </c>
      <c r="B24" s="1274" t="s">
        <v>1573</v>
      </c>
      <c r="C24" s="1275"/>
      <c r="D24" s="1275"/>
      <c r="E24" s="1275"/>
      <c r="F24" s="1275"/>
      <c r="G24" s="1279" t="s">
        <v>1831</v>
      </c>
      <c r="H24" s="1280"/>
      <c r="I24" s="1281"/>
    </row>
    <row r="25" spans="1:9" s="335" customFormat="1" ht="8.25" customHeight="1">
      <c r="A25" s="1044"/>
      <c r="B25" s="1045"/>
      <c r="C25" s="1045"/>
      <c r="D25" s="1045"/>
      <c r="E25" s="1045"/>
      <c r="F25" s="1045"/>
      <c r="G25" s="1045"/>
      <c r="H25" s="1045"/>
      <c r="I25" s="351"/>
    </row>
    <row r="26" spans="1:9" s="335" customFormat="1" ht="30" customHeight="1">
      <c r="A26" s="1282" t="s">
        <v>1832</v>
      </c>
      <c r="B26" s="1283"/>
      <c r="C26" s="1283"/>
      <c r="D26" s="1283"/>
      <c r="E26" s="1283"/>
      <c r="F26" s="1283"/>
      <c r="G26" s="1283"/>
      <c r="H26" s="1283"/>
      <c r="I26" s="352"/>
    </row>
    <row r="27" spans="1:9" s="335" customFormat="1" ht="24" customHeight="1">
      <c r="A27" s="1266" t="s">
        <v>1833</v>
      </c>
      <c r="B27" s="1267"/>
      <c r="C27" s="1267"/>
      <c r="D27" s="1267"/>
      <c r="E27" s="1267"/>
      <c r="F27" s="1267"/>
      <c r="G27" s="1267"/>
      <c r="H27" s="1267"/>
      <c r="I27" s="352"/>
    </row>
    <row r="28" spans="1:9" s="335" customFormat="1" ht="12.75" customHeight="1" thickBot="1">
      <c r="A28" s="1268"/>
      <c r="B28" s="1269"/>
      <c r="C28" s="1269"/>
      <c r="D28" s="1269"/>
      <c r="E28" s="1269"/>
      <c r="F28" s="1269"/>
      <c r="G28" s="1269"/>
      <c r="H28" s="1269"/>
      <c r="I28" s="353"/>
    </row>
    <row r="29" spans="1:9" s="335" customFormat="1" ht="27" thickBot="1">
      <c r="A29" s="1092" t="s">
        <v>1834</v>
      </c>
      <c r="B29" s="1093"/>
      <c r="C29" s="1093"/>
      <c r="D29" s="1093"/>
      <c r="E29" s="1093"/>
      <c r="F29" s="1093"/>
      <c r="G29" s="1093"/>
      <c r="H29" s="1094"/>
      <c r="I29" s="352"/>
    </row>
    <row r="30" spans="1:9" s="335" customFormat="1" ht="28.5" customHeight="1">
      <c r="A30" s="1270" t="s">
        <v>1575</v>
      </c>
      <c r="B30" s="1271"/>
      <c r="C30" s="1271"/>
      <c r="D30" s="1271"/>
      <c r="E30" s="1271"/>
      <c r="F30" s="1271" t="s">
        <v>1576</v>
      </c>
      <c r="G30" s="1271"/>
      <c r="H30" s="1271"/>
      <c r="I30" s="352"/>
    </row>
    <row r="31" spans="1:9" s="335" customFormat="1" ht="25.5" customHeight="1">
      <c r="A31" s="343" t="s">
        <v>1554</v>
      </c>
      <c r="B31" s="1101" t="s">
        <v>1835</v>
      </c>
      <c r="C31" s="1102"/>
      <c r="D31" s="1102"/>
      <c r="E31" s="1128"/>
      <c r="F31" s="1272"/>
      <c r="G31" s="1273"/>
      <c r="H31" s="1273"/>
      <c r="I31" s="352"/>
    </row>
    <row r="32" spans="1:9" s="335" customFormat="1" ht="43.5" customHeight="1">
      <c r="A32" s="343" t="s">
        <v>1556</v>
      </c>
      <c r="B32" s="1201" t="s">
        <v>1836</v>
      </c>
      <c r="C32" s="1202"/>
      <c r="D32" s="1202"/>
      <c r="E32" s="1203"/>
      <c r="F32" s="1262">
        <v>0</v>
      </c>
      <c r="G32" s="1263"/>
      <c r="H32" s="1263"/>
      <c r="I32" s="354"/>
    </row>
    <row r="33" spans="1:9" s="335" customFormat="1" ht="44.25" customHeight="1">
      <c r="A33" s="343" t="s">
        <v>1559</v>
      </c>
      <c r="B33" s="1101" t="s">
        <v>1579</v>
      </c>
      <c r="C33" s="1102"/>
      <c r="D33" s="1102"/>
      <c r="E33" s="1128"/>
      <c r="F33" s="1264"/>
      <c r="G33" s="1265"/>
      <c r="H33" s="1265"/>
      <c r="I33" s="355"/>
    </row>
    <row r="34" spans="1:9" s="335" customFormat="1" ht="48" customHeight="1">
      <c r="A34" s="343" t="s">
        <v>1562</v>
      </c>
      <c r="B34" s="1201" t="s">
        <v>1837</v>
      </c>
      <c r="C34" s="1202"/>
      <c r="D34" s="1202"/>
      <c r="E34" s="1203"/>
      <c r="F34" s="1262">
        <v>0</v>
      </c>
      <c r="G34" s="1263"/>
      <c r="H34" s="1263"/>
      <c r="I34" s="1251"/>
    </row>
    <row r="35" spans="1:9" s="335" customFormat="1" ht="45" customHeight="1">
      <c r="A35" s="343" t="s">
        <v>1581</v>
      </c>
      <c r="B35" s="1149" t="s">
        <v>1838</v>
      </c>
      <c r="C35" s="1150"/>
      <c r="D35" s="1150"/>
      <c r="E35" s="1151"/>
      <c r="F35" s="1253">
        <v>0</v>
      </c>
      <c r="G35" s="1254"/>
      <c r="H35" s="1254"/>
      <c r="I35" s="1252"/>
    </row>
    <row r="36" spans="1:9" s="335" customFormat="1" ht="30" customHeight="1">
      <c r="A36" s="343" t="s">
        <v>1583</v>
      </c>
      <c r="B36" s="1101" t="s">
        <v>1584</v>
      </c>
      <c r="C36" s="1102"/>
      <c r="D36" s="1102"/>
      <c r="E36" s="1128"/>
      <c r="F36" s="1255"/>
      <c r="G36" s="1256"/>
      <c r="H36" s="1256"/>
      <c r="I36" s="352"/>
    </row>
    <row r="37" spans="1:9" s="335" customFormat="1" ht="24" thickBot="1">
      <c r="A37" s="356"/>
      <c r="B37" s="1257" t="s">
        <v>1839</v>
      </c>
      <c r="C37" s="1258"/>
      <c r="D37" s="1258"/>
      <c r="E37" s="1259"/>
      <c r="F37" s="1260">
        <f>SUM(F31:H36)</f>
        <v>0</v>
      </c>
      <c r="G37" s="1261"/>
      <c r="H37" s="1261"/>
      <c r="I37" s="352"/>
    </row>
    <row r="38" spans="1:9" s="335" customFormat="1" ht="9.75" customHeight="1" thickBot="1">
      <c r="A38" s="1009" t="s">
        <v>1840</v>
      </c>
      <c r="B38" s="1010"/>
      <c r="C38" s="1010"/>
      <c r="D38" s="1010"/>
      <c r="E38" s="1010"/>
      <c r="F38" s="1010"/>
      <c r="G38" s="1010"/>
      <c r="H38" s="1010"/>
      <c r="I38" s="1011"/>
    </row>
    <row r="39" spans="1:9" s="335" customFormat="1" ht="18.75">
      <c r="A39" s="1239" t="s">
        <v>1841</v>
      </c>
      <c r="B39" s="1240"/>
      <c r="C39" s="1240"/>
      <c r="D39" s="1240"/>
      <c r="E39" s="1240"/>
      <c r="F39" s="1240"/>
      <c r="G39" s="1240"/>
      <c r="H39" s="1240"/>
      <c r="I39" s="1241"/>
    </row>
    <row r="40" spans="1:9" s="335" customFormat="1" ht="1.5" customHeight="1" thickBot="1">
      <c r="A40" s="1242"/>
      <c r="B40" s="1243"/>
      <c r="C40" s="1243"/>
      <c r="D40" s="1243"/>
      <c r="E40" s="1243"/>
      <c r="F40" s="1243"/>
      <c r="G40" s="1243"/>
      <c r="H40" s="1243"/>
      <c r="I40" s="1244"/>
    </row>
    <row r="41" spans="1:9" s="335" customFormat="1" ht="9.75" customHeight="1" thickBot="1">
      <c r="A41" s="1245"/>
      <c r="B41" s="1246"/>
      <c r="C41" s="1246"/>
      <c r="D41" s="1246"/>
      <c r="E41" s="1246"/>
      <c r="F41" s="1246"/>
      <c r="G41" s="1246"/>
      <c r="H41" s="1246"/>
      <c r="I41" s="1247"/>
    </row>
    <row r="42" spans="1:9" s="335" customFormat="1" ht="36" customHeight="1" thickBot="1">
      <c r="A42" s="1092" t="s">
        <v>1842</v>
      </c>
      <c r="B42" s="1093"/>
      <c r="C42" s="1093"/>
      <c r="D42" s="1093"/>
      <c r="E42" s="1093"/>
      <c r="F42" s="1093"/>
      <c r="G42" s="1093"/>
      <c r="H42" s="1093"/>
      <c r="I42" s="1094"/>
    </row>
    <row r="43" spans="1:9" s="335" customFormat="1" ht="34.5" customHeight="1">
      <c r="A43" s="1248" t="s">
        <v>1843</v>
      </c>
      <c r="B43" s="1249"/>
      <c r="C43" s="1249"/>
      <c r="D43" s="1249"/>
      <c r="E43" s="1249"/>
      <c r="F43" s="1249"/>
      <c r="G43" s="1249"/>
      <c r="H43" s="1249"/>
      <c r="I43" s="1250"/>
    </row>
    <row r="44" spans="1:9" s="335" customFormat="1" ht="27" customHeight="1">
      <c r="A44" s="343" t="s">
        <v>710</v>
      </c>
      <c r="B44" s="1236" t="s">
        <v>1844</v>
      </c>
      <c r="C44" s="1237"/>
      <c r="D44" s="1237"/>
      <c r="E44" s="1238"/>
      <c r="F44" s="1236" t="s">
        <v>1845</v>
      </c>
      <c r="G44" s="1237"/>
      <c r="H44" s="1238"/>
      <c r="I44" s="357" t="s">
        <v>1576</v>
      </c>
    </row>
    <row r="45" spans="1:9" s="335" customFormat="1" ht="18.75" customHeight="1">
      <c r="A45" s="358" t="s">
        <v>1554</v>
      </c>
      <c r="B45" s="1207" t="s">
        <v>1846</v>
      </c>
      <c r="C45" s="1208"/>
      <c r="D45" s="1208"/>
      <c r="E45" s="1209"/>
      <c r="F45" s="1154">
        <v>8.3299999999999999E-2</v>
      </c>
      <c r="G45" s="1155"/>
      <c r="H45" s="1156"/>
      <c r="I45" s="359">
        <f>F37*F45</f>
        <v>0</v>
      </c>
    </row>
    <row r="46" spans="1:9" s="335" customFormat="1" ht="18">
      <c r="A46" s="358" t="s">
        <v>1556</v>
      </c>
      <c r="B46" s="1207" t="s">
        <v>1847</v>
      </c>
      <c r="C46" s="1208"/>
      <c r="D46" s="1208"/>
      <c r="E46" s="1209"/>
      <c r="F46" s="1154">
        <v>0.121</v>
      </c>
      <c r="G46" s="1155"/>
      <c r="H46" s="1156"/>
      <c r="I46" s="359">
        <f>F46*F37</f>
        <v>0</v>
      </c>
    </row>
    <row r="47" spans="1:9" s="335" customFormat="1" ht="20.25">
      <c r="A47" s="360"/>
      <c r="B47" s="1221" t="s">
        <v>1848</v>
      </c>
      <c r="C47" s="1222"/>
      <c r="D47" s="1222"/>
      <c r="E47" s="1223"/>
      <c r="F47" s="1224">
        <f>F45+F46</f>
        <v>0.20429999999999998</v>
      </c>
      <c r="G47" s="1225"/>
      <c r="H47" s="1226"/>
      <c r="I47" s="361">
        <f>I45+I46</f>
        <v>0</v>
      </c>
    </row>
    <row r="48" spans="1:9" s="335" customFormat="1" ht="33.75" customHeight="1">
      <c r="A48" s="362"/>
      <c r="B48" s="1227" t="s">
        <v>1849</v>
      </c>
      <c r="C48" s="1228"/>
      <c r="D48" s="1228"/>
      <c r="E48" s="1229"/>
      <c r="F48" s="1230">
        <f>F61*F47</f>
        <v>7.5182399999999996E-2</v>
      </c>
      <c r="G48" s="1231"/>
      <c r="H48" s="1232"/>
      <c r="I48" s="363">
        <f>F61*I47</f>
        <v>0</v>
      </c>
    </row>
    <row r="49" spans="1:17" s="335" customFormat="1" ht="30" customHeight="1" thickBot="1">
      <c r="A49" s="364"/>
      <c r="B49" s="1233" t="s">
        <v>15</v>
      </c>
      <c r="C49" s="1234"/>
      <c r="D49" s="1234"/>
      <c r="E49" s="1235"/>
      <c r="F49" s="1146">
        <f>F47+F48</f>
        <v>0.27948239999999996</v>
      </c>
      <c r="G49" s="1147"/>
      <c r="H49" s="1148"/>
      <c r="I49" s="365">
        <f>I47+I48</f>
        <v>0</v>
      </c>
      <c r="J49" s="366"/>
    </row>
    <row r="50" spans="1:17" s="367" customFormat="1" ht="8.25" customHeight="1" thickBot="1">
      <c r="A50" s="1009"/>
      <c r="B50" s="1010"/>
      <c r="C50" s="1010"/>
      <c r="D50" s="1010"/>
      <c r="E50" s="1010"/>
      <c r="F50" s="1010"/>
      <c r="G50" s="1010"/>
      <c r="H50" s="1010"/>
      <c r="I50" s="1011"/>
      <c r="J50" s="335"/>
      <c r="K50" s="335"/>
      <c r="L50" s="335"/>
      <c r="M50" s="335"/>
      <c r="N50" s="335"/>
      <c r="O50" s="335"/>
      <c r="P50" s="335"/>
      <c r="Q50" s="335"/>
    </row>
    <row r="51" spans="1:17" s="335" customFormat="1" ht="41.25" customHeight="1">
      <c r="A51" s="1217" t="s">
        <v>1850</v>
      </c>
      <c r="B51" s="1218"/>
      <c r="C51" s="1218"/>
      <c r="D51" s="1218"/>
      <c r="E51" s="1218"/>
      <c r="F51" s="1218"/>
      <c r="G51" s="1218"/>
      <c r="H51" s="1218"/>
      <c r="I51" s="1219"/>
      <c r="J51" s="366"/>
    </row>
    <row r="52" spans="1:17" s="335" customFormat="1" ht="24" customHeight="1">
      <c r="A52" s="343" t="s">
        <v>782</v>
      </c>
      <c r="B52" s="1153" t="s">
        <v>1594</v>
      </c>
      <c r="C52" s="1064"/>
      <c r="D52" s="1064"/>
      <c r="E52" s="1065"/>
      <c r="F52" s="1153" t="s">
        <v>1845</v>
      </c>
      <c r="G52" s="1065"/>
      <c r="H52" s="1153" t="s">
        <v>1576</v>
      </c>
      <c r="I52" s="1220"/>
    </row>
    <row r="53" spans="1:17" s="335" customFormat="1" ht="20.25">
      <c r="A53" s="343" t="s">
        <v>1554</v>
      </c>
      <c r="B53" s="1207" t="s">
        <v>1595</v>
      </c>
      <c r="C53" s="1208"/>
      <c r="D53" s="1208"/>
      <c r="E53" s="1209"/>
      <c r="F53" s="1074">
        <v>0.2</v>
      </c>
      <c r="G53" s="1075"/>
      <c r="H53" s="1072">
        <f>$F$37*F53</f>
        <v>0</v>
      </c>
      <c r="I53" s="1073"/>
    </row>
    <row r="54" spans="1:17" s="335" customFormat="1" ht="20.25">
      <c r="A54" s="343" t="s">
        <v>1556</v>
      </c>
      <c r="B54" s="1207" t="s">
        <v>1596</v>
      </c>
      <c r="C54" s="1208"/>
      <c r="D54" s="1208"/>
      <c r="E54" s="1209"/>
      <c r="F54" s="1074">
        <v>2.5000000000000001E-2</v>
      </c>
      <c r="G54" s="1075"/>
      <c r="H54" s="1072">
        <f t="shared" ref="H54:H60" si="0">$F$37*F54</f>
        <v>0</v>
      </c>
      <c r="I54" s="1073"/>
    </row>
    <row r="55" spans="1:17" s="335" customFormat="1" ht="20.25">
      <c r="A55" s="343" t="s">
        <v>1559</v>
      </c>
      <c r="B55" s="1216" t="s">
        <v>1851</v>
      </c>
      <c r="C55" s="1208"/>
      <c r="D55" s="1208"/>
      <c r="E55" s="1209"/>
      <c r="F55" s="1074">
        <v>0.03</v>
      </c>
      <c r="G55" s="1075"/>
      <c r="H55" s="1072">
        <f t="shared" si="0"/>
        <v>0</v>
      </c>
      <c r="I55" s="1073"/>
    </row>
    <row r="56" spans="1:17" s="335" customFormat="1" ht="20.25">
      <c r="A56" s="343" t="s">
        <v>1562</v>
      </c>
      <c r="B56" s="1207" t="s">
        <v>1598</v>
      </c>
      <c r="C56" s="1208"/>
      <c r="D56" s="1208"/>
      <c r="E56" s="1209"/>
      <c r="F56" s="1074">
        <v>1.4999999999999999E-2</v>
      </c>
      <c r="G56" s="1075"/>
      <c r="H56" s="1072">
        <f t="shared" si="0"/>
        <v>0</v>
      </c>
      <c r="I56" s="1073"/>
    </row>
    <row r="57" spans="1:17" s="335" customFormat="1" ht="20.25">
      <c r="A57" s="343" t="s">
        <v>1581</v>
      </c>
      <c r="B57" s="1207" t="s">
        <v>1852</v>
      </c>
      <c r="C57" s="1208"/>
      <c r="D57" s="1208"/>
      <c r="E57" s="1209"/>
      <c r="F57" s="1074">
        <v>0.01</v>
      </c>
      <c r="G57" s="1075"/>
      <c r="H57" s="1072">
        <f t="shared" si="0"/>
        <v>0</v>
      </c>
      <c r="I57" s="1073"/>
    </row>
    <row r="58" spans="1:17" s="335" customFormat="1" ht="20.25">
      <c r="A58" s="343" t="s">
        <v>1583</v>
      </c>
      <c r="B58" s="1207" t="s">
        <v>1600</v>
      </c>
      <c r="C58" s="1208"/>
      <c r="D58" s="1208"/>
      <c r="E58" s="1209"/>
      <c r="F58" s="1074">
        <v>6.0000000000000001E-3</v>
      </c>
      <c r="G58" s="1075"/>
      <c r="H58" s="1072">
        <f t="shared" si="0"/>
        <v>0</v>
      </c>
      <c r="I58" s="1073"/>
    </row>
    <row r="59" spans="1:17" s="335" customFormat="1" ht="20.25">
      <c r="A59" s="343" t="s">
        <v>1601</v>
      </c>
      <c r="B59" s="1207" t="s">
        <v>1602</v>
      </c>
      <c r="C59" s="1208"/>
      <c r="D59" s="1208"/>
      <c r="E59" s="1209"/>
      <c r="F59" s="1074">
        <v>2E-3</v>
      </c>
      <c r="G59" s="1075"/>
      <c r="H59" s="1072">
        <f t="shared" si="0"/>
        <v>0</v>
      </c>
      <c r="I59" s="1073"/>
    </row>
    <row r="60" spans="1:17" s="335" customFormat="1" ht="20.25">
      <c r="A60" s="343" t="s">
        <v>1603</v>
      </c>
      <c r="B60" s="1207" t="s">
        <v>1604</v>
      </c>
      <c r="C60" s="1208"/>
      <c r="D60" s="1208"/>
      <c r="E60" s="1209"/>
      <c r="F60" s="1074">
        <v>0.08</v>
      </c>
      <c r="G60" s="1075"/>
      <c r="H60" s="1072">
        <f t="shared" si="0"/>
        <v>0</v>
      </c>
      <c r="I60" s="1073"/>
    </row>
    <row r="61" spans="1:17" s="335" customFormat="1" ht="21" thickBot="1">
      <c r="A61" s="368"/>
      <c r="B61" s="1210" t="s">
        <v>1853</v>
      </c>
      <c r="C61" s="1211"/>
      <c r="D61" s="1211"/>
      <c r="E61" s="1212"/>
      <c r="F61" s="1334">
        <f>SUM(F53:G60)</f>
        <v>0.36800000000000005</v>
      </c>
      <c r="G61" s="1335"/>
      <c r="H61" s="1118">
        <f>SUM(H53:I60)</f>
        <v>0</v>
      </c>
      <c r="I61" s="1215"/>
    </row>
    <row r="62" spans="1:17" s="335" customFormat="1" ht="9.75" customHeight="1" thickBot="1">
      <c r="A62" s="1009"/>
      <c r="B62" s="1010"/>
      <c r="C62" s="1010"/>
      <c r="D62" s="1010"/>
      <c r="E62" s="1010"/>
      <c r="F62" s="1010"/>
      <c r="G62" s="1010"/>
      <c r="H62" s="1010"/>
      <c r="I62" s="1011"/>
    </row>
    <row r="63" spans="1:17" s="335" customFormat="1" ht="31.5" customHeight="1">
      <c r="A63" s="1198" t="s">
        <v>1854</v>
      </c>
      <c r="B63" s="1199"/>
      <c r="C63" s="1199"/>
      <c r="D63" s="1199"/>
      <c r="E63" s="1199"/>
      <c r="F63" s="1199"/>
      <c r="G63" s="1199"/>
      <c r="H63" s="1200"/>
      <c r="I63" s="369"/>
    </row>
    <row r="64" spans="1:17" s="335" customFormat="1" ht="27" customHeight="1">
      <c r="A64" s="370" t="s">
        <v>789</v>
      </c>
      <c r="B64" s="1152" t="s">
        <v>1607</v>
      </c>
      <c r="C64" s="1108"/>
      <c r="D64" s="1108"/>
      <c r="E64" s="1109"/>
      <c r="F64" s="1152" t="s">
        <v>1576</v>
      </c>
      <c r="G64" s="1108"/>
      <c r="H64" s="1109"/>
      <c r="I64" s="369"/>
      <c r="K64" s="335">
        <f>3.9*2*21</f>
        <v>163.79999999999998</v>
      </c>
    </row>
    <row r="65" spans="1:9" s="335" customFormat="1" ht="37.5" customHeight="1">
      <c r="A65" s="343" t="s">
        <v>1554</v>
      </c>
      <c r="B65" s="1201" t="s">
        <v>1855</v>
      </c>
      <c r="C65" s="1202"/>
      <c r="D65" s="1202"/>
      <c r="E65" s="1203"/>
      <c r="F65" s="1204"/>
      <c r="G65" s="1205"/>
      <c r="H65" s="1206"/>
      <c r="I65" s="371" t="s">
        <v>1856</v>
      </c>
    </row>
    <row r="66" spans="1:9" s="335" customFormat="1" ht="28.5" customHeight="1">
      <c r="A66" s="343" t="s">
        <v>1556</v>
      </c>
      <c r="B66" s="1101" t="s">
        <v>1857</v>
      </c>
      <c r="C66" s="1102"/>
      <c r="D66" s="1102"/>
      <c r="E66" s="1128"/>
      <c r="F66" s="1084"/>
      <c r="G66" s="1178"/>
      <c r="H66" s="1179"/>
      <c r="I66" s="369"/>
    </row>
    <row r="67" spans="1:9" s="335" customFormat="1" ht="25.5" customHeight="1">
      <c r="A67" s="343" t="s">
        <v>1858</v>
      </c>
      <c r="B67" s="1101" t="s">
        <v>1859</v>
      </c>
      <c r="C67" s="1102"/>
      <c r="D67" s="1102"/>
      <c r="E67" s="1128"/>
      <c r="F67" s="1192">
        <v>0</v>
      </c>
      <c r="G67" s="1193"/>
      <c r="H67" s="1194"/>
      <c r="I67" s="369"/>
    </row>
    <row r="68" spans="1:9" s="335" customFormat="1" ht="23.25" customHeight="1">
      <c r="A68" s="343" t="s">
        <v>1860</v>
      </c>
      <c r="B68" s="1101" t="s">
        <v>1861</v>
      </c>
      <c r="C68" s="1102"/>
      <c r="D68" s="1102"/>
      <c r="E68" s="1128"/>
      <c r="F68" s="1195">
        <f>F66-F67</f>
        <v>0</v>
      </c>
      <c r="G68" s="1196"/>
      <c r="H68" s="1197"/>
      <c r="I68" s="369"/>
    </row>
    <row r="69" spans="1:9" s="335" customFormat="1" ht="24" customHeight="1">
      <c r="A69" s="343" t="s">
        <v>1559</v>
      </c>
      <c r="B69" s="1185" t="s">
        <v>1862</v>
      </c>
      <c r="C69" s="1102"/>
      <c r="D69" s="1102"/>
      <c r="E69" s="1128"/>
      <c r="F69" s="1084"/>
      <c r="G69" s="1178"/>
      <c r="H69" s="1179"/>
      <c r="I69" s="369"/>
    </row>
    <row r="70" spans="1:9" s="335" customFormat="1" ht="24.75" customHeight="1">
      <c r="A70" s="343" t="s">
        <v>1562</v>
      </c>
      <c r="B70" s="1101" t="s">
        <v>1863</v>
      </c>
      <c r="C70" s="1102"/>
      <c r="D70" s="1102"/>
      <c r="E70" s="1128"/>
      <c r="F70" s="1084"/>
      <c r="G70" s="1178"/>
      <c r="H70" s="1179"/>
      <c r="I70" s="369"/>
    </row>
    <row r="71" spans="1:9" s="435" customFormat="1" ht="23.25" customHeight="1">
      <c r="A71" s="436" t="s">
        <v>1581</v>
      </c>
      <c r="B71" s="1186" t="s">
        <v>1864</v>
      </c>
      <c r="C71" s="1187"/>
      <c r="D71" s="1187"/>
      <c r="E71" s="1188"/>
      <c r="F71" s="1189"/>
      <c r="G71" s="1190"/>
      <c r="H71" s="1191"/>
      <c r="I71" s="434"/>
    </row>
    <row r="72" spans="1:9" s="335" customFormat="1" ht="40.5" customHeight="1">
      <c r="A72" s="343"/>
      <c r="B72" s="1101"/>
      <c r="C72" s="1102"/>
      <c r="D72" s="1102"/>
      <c r="E72" s="1128"/>
      <c r="F72" s="1084">
        <v>0</v>
      </c>
      <c r="G72" s="1178"/>
      <c r="H72" s="1179"/>
      <c r="I72" s="373"/>
    </row>
    <row r="73" spans="1:9" s="335" customFormat="1" ht="24.75" customHeight="1">
      <c r="A73" s="374"/>
      <c r="B73" s="1176" t="s">
        <v>1865</v>
      </c>
      <c r="C73" s="1177"/>
      <c r="D73" s="1177"/>
      <c r="E73" s="1180"/>
      <c r="F73" s="1181">
        <f>F65+F68+F69+F70+F71+F72</f>
        <v>0</v>
      </c>
      <c r="G73" s="1182"/>
      <c r="H73" s="1183"/>
      <c r="I73" s="369"/>
    </row>
    <row r="74" spans="1:9" s="335" customFormat="1" ht="7.5" customHeight="1">
      <c r="A74" s="1044"/>
      <c r="B74" s="1045"/>
      <c r="C74" s="1045"/>
      <c r="D74" s="1045"/>
      <c r="E74" s="1045"/>
      <c r="F74" s="1045"/>
      <c r="G74" s="1045"/>
      <c r="H74" s="1184"/>
      <c r="I74" s="369"/>
    </row>
    <row r="75" spans="1:9" s="335" customFormat="1" ht="23.25" customHeight="1">
      <c r="A75" s="375" t="s">
        <v>710</v>
      </c>
      <c r="B75" s="1173" t="str">
        <f>B44</f>
        <v>13º Salário, Férias e Adicional de Férias</v>
      </c>
      <c r="C75" s="1174"/>
      <c r="D75" s="1174"/>
      <c r="E75" s="1174"/>
      <c r="F75" s="1174"/>
      <c r="G75" s="1174"/>
      <c r="H75" s="1175"/>
      <c r="I75" s="376">
        <f>I49</f>
        <v>0</v>
      </c>
    </row>
    <row r="76" spans="1:9" s="335" customFormat="1" ht="24.75" customHeight="1">
      <c r="A76" s="375" t="s">
        <v>782</v>
      </c>
      <c r="B76" s="1170" t="str">
        <f>B52</f>
        <v>GPS, FGTS e outras contribuições</v>
      </c>
      <c r="C76" s="1171"/>
      <c r="D76" s="1171"/>
      <c r="E76" s="1171"/>
      <c r="F76" s="1171"/>
      <c r="G76" s="1171"/>
      <c r="H76" s="1172"/>
      <c r="I76" s="377">
        <f>H61</f>
        <v>0</v>
      </c>
    </row>
    <row r="77" spans="1:9" s="335" customFormat="1" ht="24.75" customHeight="1">
      <c r="A77" s="375" t="s">
        <v>789</v>
      </c>
      <c r="B77" s="1173" t="str">
        <f>B64</f>
        <v>Benefícios Mensais e Diários</v>
      </c>
      <c r="C77" s="1174" t="s">
        <v>1866</v>
      </c>
      <c r="D77" s="1174" t="s">
        <v>1866</v>
      </c>
      <c r="E77" s="1174" t="s">
        <v>1866</v>
      </c>
      <c r="F77" s="1174" t="s">
        <v>1866</v>
      </c>
      <c r="G77" s="1174" t="s">
        <v>1866</v>
      </c>
      <c r="H77" s="1175" t="s">
        <v>1866</v>
      </c>
      <c r="I77" s="376">
        <f>F73</f>
        <v>0</v>
      </c>
    </row>
    <row r="78" spans="1:9" s="335" customFormat="1" ht="21" customHeight="1">
      <c r="A78" s="1063" t="s">
        <v>15</v>
      </c>
      <c r="B78" s="1064"/>
      <c r="C78" s="1064"/>
      <c r="D78" s="1064"/>
      <c r="E78" s="1064"/>
      <c r="F78" s="1064"/>
      <c r="G78" s="1064"/>
      <c r="H78" s="1065"/>
      <c r="I78" s="378">
        <f>SUM(I75:I77)</f>
        <v>0</v>
      </c>
    </row>
    <row r="79" spans="1:9" s="335" customFormat="1" ht="8.25" customHeight="1">
      <c r="A79" s="1044"/>
      <c r="B79" s="1045"/>
      <c r="C79" s="1045"/>
      <c r="D79" s="1045"/>
      <c r="E79" s="1045"/>
      <c r="F79" s="1045"/>
      <c r="G79" s="1045"/>
      <c r="H79" s="1045"/>
      <c r="I79" s="1046"/>
    </row>
    <row r="80" spans="1:9" s="335" customFormat="1" ht="32.25" customHeight="1">
      <c r="A80" s="1160" t="s">
        <v>1867</v>
      </c>
      <c r="B80" s="1161"/>
      <c r="C80" s="1161"/>
      <c r="D80" s="1161"/>
      <c r="E80" s="1161"/>
      <c r="F80" s="1161"/>
      <c r="G80" s="1161"/>
      <c r="H80" s="1161"/>
      <c r="I80" s="1162"/>
    </row>
    <row r="81" spans="1:17" s="381" customFormat="1" ht="33.75" customHeight="1">
      <c r="A81" s="343">
        <v>3</v>
      </c>
      <c r="B81" s="1176" t="s">
        <v>1868</v>
      </c>
      <c r="C81" s="1177"/>
      <c r="D81" s="1177"/>
      <c r="E81" s="1177"/>
      <c r="F81" s="1177"/>
      <c r="G81" s="1177"/>
      <c r="H81" s="379" t="s">
        <v>1845</v>
      </c>
      <c r="I81" s="380" t="s">
        <v>1576</v>
      </c>
      <c r="J81" s="335"/>
      <c r="K81" s="335"/>
      <c r="L81" s="335"/>
      <c r="M81" s="335"/>
      <c r="N81" s="335"/>
      <c r="O81" s="335"/>
      <c r="P81" s="335"/>
      <c r="Q81" s="335"/>
    </row>
    <row r="82" spans="1:17" s="335" customFormat="1" ht="28.5" customHeight="1">
      <c r="A82" s="382" t="s">
        <v>1554</v>
      </c>
      <c r="B82" s="1101" t="s">
        <v>1869</v>
      </c>
      <c r="C82" s="1102"/>
      <c r="D82" s="1102"/>
      <c r="E82" s="1102"/>
      <c r="F82" s="1102"/>
      <c r="G82" s="1102"/>
      <c r="H82" s="383">
        <f>1/12*5%</f>
        <v>4.1666666666666666E-3</v>
      </c>
      <c r="I82" s="384">
        <f>H82*$F$37</f>
        <v>0</v>
      </c>
    </row>
    <row r="83" spans="1:17" s="335" customFormat="1" ht="31.5" customHeight="1">
      <c r="A83" s="382" t="s">
        <v>1556</v>
      </c>
      <c r="B83" s="1101" t="s">
        <v>1870</v>
      </c>
      <c r="C83" s="1102"/>
      <c r="D83" s="1102"/>
      <c r="E83" s="1102"/>
      <c r="F83" s="1102"/>
      <c r="G83" s="1102"/>
      <c r="H83" s="383">
        <f>F60*H82</f>
        <v>3.3333333333333332E-4</v>
      </c>
      <c r="I83" s="384">
        <f>H83*$F$37</f>
        <v>0</v>
      </c>
    </row>
    <row r="84" spans="1:17" s="335" customFormat="1" ht="56.25" customHeight="1">
      <c r="A84" s="382" t="s">
        <v>1559</v>
      </c>
      <c r="B84" s="1169" t="s">
        <v>1871</v>
      </c>
      <c r="C84" s="1169"/>
      <c r="D84" s="1169"/>
      <c r="E84" s="1169"/>
      <c r="F84" s="1169"/>
      <c r="G84" s="1169"/>
      <c r="H84" s="385">
        <v>3.4700000000000002E-2</v>
      </c>
      <c r="I84" s="384">
        <f>H84*$F$37</f>
        <v>0</v>
      </c>
    </row>
    <row r="85" spans="1:17" s="335" customFormat="1" ht="33" customHeight="1">
      <c r="A85" s="382" t="s">
        <v>1562</v>
      </c>
      <c r="B85" s="1083" t="s">
        <v>1872</v>
      </c>
      <c r="C85" s="1150"/>
      <c r="D85" s="1150"/>
      <c r="E85" s="1150"/>
      <c r="F85" s="1150"/>
      <c r="G85" s="1150"/>
      <c r="H85" s="383">
        <f>6/30/12</f>
        <v>1.6666666666666666E-2</v>
      </c>
      <c r="I85" s="384">
        <f>H85*$F$37</f>
        <v>0</v>
      </c>
    </row>
    <row r="86" spans="1:17" s="335" customFormat="1" ht="36.75" customHeight="1">
      <c r="A86" s="382" t="s">
        <v>1581</v>
      </c>
      <c r="B86" s="1101" t="s">
        <v>1873</v>
      </c>
      <c r="C86" s="1102"/>
      <c r="D86" s="1102"/>
      <c r="E86" s="1102"/>
      <c r="F86" s="1102"/>
      <c r="G86" s="1102"/>
      <c r="H86" s="383">
        <f>F61*H85</f>
        <v>6.1333333333333344E-3</v>
      </c>
      <c r="I86" s="384">
        <f>F37*H86</f>
        <v>0</v>
      </c>
    </row>
    <row r="87" spans="1:17" s="335" customFormat="1" ht="39.75" customHeight="1">
      <c r="A87" s="382" t="s">
        <v>1583</v>
      </c>
      <c r="B87" s="1149" t="s">
        <v>1874</v>
      </c>
      <c r="C87" s="1150"/>
      <c r="D87" s="1150"/>
      <c r="E87" s="1150"/>
      <c r="F87" s="1150"/>
      <c r="G87" s="1150"/>
      <c r="H87" s="383">
        <v>5.3E-3</v>
      </c>
      <c r="I87" s="384">
        <f>H87*$F$37</f>
        <v>0</v>
      </c>
    </row>
    <row r="88" spans="1:17" s="335" customFormat="1" ht="33.75" customHeight="1">
      <c r="A88" s="1107" t="s">
        <v>15</v>
      </c>
      <c r="B88" s="1108"/>
      <c r="C88" s="1108"/>
      <c r="D88" s="1108"/>
      <c r="E88" s="1108"/>
      <c r="F88" s="1108"/>
      <c r="G88" s="1108"/>
      <c r="H88" s="386">
        <f>SUM(H82:H87)</f>
        <v>6.7299999999999999E-2</v>
      </c>
      <c r="I88" s="387">
        <f>SUM(I82:I87)</f>
        <v>0</v>
      </c>
    </row>
    <row r="89" spans="1:17" s="335" customFormat="1" ht="10.5" customHeight="1">
      <c r="A89" s="1157"/>
      <c r="B89" s="1158"/>
      <c r="C89" s="1158"/>
      <c r="D89" s="1158"/>
      <c r="E89" s="1158"/>
      <c r="F89" s="1158"/>
      <c r="G89" s="1158"/>
      <c r="H89" s="1158"/>
      <c r="I89" s="1159"/>
    </row>
    <row r="90" spans="1:17" s="335" customFormat="1" ht="29.25" customHeight="1" thickBot="1">
      <c r="A90" s="1160" t="s">
        <v>1875</v>
      </c>
      <c r="B90" s="1161"/>
      <c r="C90" s="1161"/>
      <c r="D90" s="1161"/>
      <c r="E90" s="1161"/>
      <c r="F90" s="1161"/>
      <c r="G90" s="1161"/>
      <c r="H90" s="1161"/>
      <c r="I90" s="1162"/>
    </row>
    <row r="91" spans="1:17" s="335" customFormat="1" ht="9.75" customHeight="1" thickBot="1">
      <c r="A91" s="1009"/>
      <c r="B91" s="1010"/>
      <c r="C91" s="1010"/>
      <c r="D91" s="1010"/>
      <c r="E91" s="1010"/>
      <c r="F91" s="1010"/>
      <c r="G91" s="1010"/>
      <c r="H91" s="1010"/>
      <c r="I91" s="1011"/>
    </row>
    <row r="92" spans="1:17" s="335" customFormat="1" ht="27" customHeight="1">
      <c r="A92" s="391">
        <v>4</v>
      </c>
      <c r="B92" s="1163" t="s">
        <v>1639</v>
      </c>
      <c r="C92" s="1164"/>
      <c r="D92" s="1164"/>
      <c r="E92" s="1164"/>
      <c r="F92" s="1164"/>
      <c r="G92" s="1164"/>
      <c r="H92" s="1164"/>
      <c r="I92" s="1165"/>
    </row>
    <row r="93" spans="1:17" s="335" customFormat="1" ht="28.5" customHeight="1">
      <c r="A93" s="1166" t="s">
        <v>1876</v>
      </c>
      <c r="B93" s="1167"/>
      <c r="C93" s="1167"/>
      <c r="D93" s="1167"/>
      <c r="E93" s="1167"/>
      <c r="F93" s="1167"/>
      <c r="G93" s="1167"/>
      <c r="H93" s="1167"/>
      <c r="I93" s="1168"/>
    </row>
    <row r="94" spans="1:17" s="335" customFormat="1" ht="20.25">
      <c r="A94" s="343" t="s">
        <v>1292</v>
      </c>
      <c r="B94" s="1152" t="s">
        <v>1877</v>
      </c>
      <c r="C94" s="1108"/>
      <c r="D94" s="1108"/>
      <c r="E94" s="1109"/>
      <c r="F94" s="1153" t="s">
        <v>1845</v>
      </c>
      <c r="G94" s="1064"/>
      <c r="H94" s="1065"/>
      <c r="I94" s="392" t="s">
        <v>1576</v>
      </c>
    </row>
    <row r="95" spans="1:17" s="335" customFormat="1" ht="42" customHeight="1">
      <c r="A95" s="393" t="s">
        <v>1554</v>
      </c>
      <c r="B95" s="1036" t="s">
        <v>1878</v>
      </c>
      <c r="C95" s="1037"/>
      <c r="D95" s="1037"/>
      <c r="E95" s="1038"/>
      <c r="F95" s="1138">
        <f>(8.33%+2.78%)/12</f>
        <v>9.2583333333333337E-3</v>
      </c>
      <c r="G95" s="1139"/>
      <c r="H95" s="1140"/>
      <c r="I95" s="394">
        <f>F95*F37</f>
        <v>0</v>
      </c>
    </row>
    <row r="96" spans="1:17" s="335" customFormat="1" ht="31.5" customHeight="1">
      <c r="A96" s="393" t="s">
        <v>1556</v>
      </c>
      <c r="B96" s="1036" t="s">
        <v>1879</v>
      </c>
      <c r="C96" s="1037"/>
      <c r="D96" s="1037"/>
      <c r="E96" s="1038"/>
      <c r="F96" s="1154">
        <f>1/12/30</f>
        <v>2.7777777777777775E-3</v>
      </c>
      <c r="G96" s="1155"/>
      <c r="H96" s="1156"/>
      <c r="I96" s="394">
        <f>F37*F96</f>
        <v>0</v>
      </c>
    </row>
    <row r="97" spans="1:45" s="335" customFormat="1" ht="41.25" customHeight="1">
      <c r="A97" s="393" t="s">
        <v>1559</v>
      </c>
      <c r="B97" s="1036" t="s">
        <v>1880</v>
      </c>
      <c r="C97" s="1037"/>
      <c r="D97" s="1037"/>
      <c r="E97" s="1038"/>
      <c r="F97" s="1138">
        <f>1/12/30*5*1.5%</f>
        <v>2.0833333333333332E-4</v>
      </c>
      <c r="G97" s="1139"/>
      <c r="H97" s="1140"/>
      <c r="I97" s="394">
        <f>F37*F97</f>
        <v>0</v>
      </c>
    </row>
    <row r="98" spans="1:45" s="335" customFormat="1" ht="51.75" customHeight="1">
      <c r="A98" s="393" t="s">
        <v>1562</v>
      </c>
      <c r="B98" s="1036" t="s">
        <v>1881</v>
      </c>
      <c r="C98" s="1037"/>
      <c r="D98" s="1037"/>
      <c r="E98" s="1038"/>
      <c r="F98" s="1138">
        <f>(15/30)/12*0.0078</f>
        <v>3.2499999999999999E-4</v>
      </c>
      <c r="G98" s="1139"/>
      <c r="H98" s="1140"/>
      <c r="I98" s="394">
        <f>F37*F98</f>
        <v>0</v>
      </c>
    </row>
    <row r="99" spans="1:45" s="335" customFormat="1" ht="44.25" customHeight="1">
      <c r="A99" s="393" t="s">
        <v>1581</v>
      </c>
      <c r="B99" s="1149" t="s">
        <v>1882</v>
      </c>
      <c r="C99" s="1150"/>
      <c r="D99" s="1150"/>
      <c r="E99" s="1151"/>
      <c r="F99" s="1138">
        <f>0.0144*0.1*0.44509*6/12</f>
        <v>3.2046480000000002E-4</v>
      </c>
      <c r="G99" s="1139"/>
      <c r="H99" s="1140"/>
      <c r="I99" s="394">
        <f>F37*F99</f>
        <v>0</v>
      </c>
    </row>
    <row r="100" spans="1:45" s="335" customFormat="1" ht="36" customHeight="1">
      <c r="A100" s="393" t="s">
        <v>1583</v>
      </c>
      <c r="B100" s="1036" t="s">
        <v>1883</v>
      </c>
      <c r="C100" s="1037"/>
      <c r="D100" s="1037"/>
      <c r="E100" s="1038"/>
      <c r="F100" s="1138">
        <f>5/30/12</f>
        <v>1.3888888888888888E-2</v>
      </c>
      <c r="G100" s="1139"/>
      <c r="H100" s="1140"/>
      <c r="I100" s="394">
        <f>F37*F100</f>
        <v>0</v>
      </c>
    </row>
    <row r="101" spans="1:45" s="335" customFormat="1" ht="21.75" customHeight="1">
      <c r="A101" s="393" t="s">
        <v>1601</v>
      </c>
      <c r="B101" s="1036" t="s">
        <v>1584</v>
      </c>
      <c r="C101" s="1037"/>
      <c r="D101" s="1037"/>
      <c r="E101" s="1038"/>
      <c r="F101" s="1141"/>
      <c r="G101" s="1142"/>
      <c r="H101" s="1143"/>
      <c r="I101" s="394"/>
    </row>
    <row r="102" spans="1:45" s="335" customFormat="1" ht="30" customHeight="1" thickBot="1">
      <c r="A102" s="395"/>
      <c r="B102" s="1144" t="s">
        <v>15</v>
      </c>
      <c r="C102" s="1087"/>
      <c r="D102" s="1087"/>
      <c r="E102" s="1145"/>
      <c r="F102" s="1146">
        <f>SUM(F95:H101)</f>
        <v>2.6778798133333333E-2</v>
      </c>
      <c r="G102" s="1147"/>
      <c r="H102" s="1148"/>
      <c r="I102" s="396">
        <f>SUM(I95:I101)</f>
        <v>0</v>
      </c>
    </row>
    <row r="103" spans="1:45" s="335" customFormat="1" ht="10.5" customHeight="1" thickBot="1">
      <c r="A103" s="1009"/>
      <c r="B103" s="1010"/>
      <c r="C103" s="1010"/>
      <c r="D103" s="1010"/>
      <c r="E103" s="1010"/>
      <c r="F103" s="1010"/>
      <c r="G103" s="1010"/>
      <c r="H103" s="1010"/>
      <c r="I103" s="1011"/>
    </row>
    <row r="104" spans="1:45" s="335" customFormat="1" ht="27" customHeight="1">
      <c r="A104" s="1129" t="s">
        <v>1635</v>
      </c>
      <c r="B104" s="1130"/>
      <c r="C104" s="1130"/>
      <c r="D104" s="1130"/>
      <c r="E104" s="1130"/>
      <c r="F104" s="1130"/>
      <c r="G104" s="1130"/>
      <c r="H104" s="1131"/>
      <c r="I104" s="397"/>
    </row>
    <row r="105" spans="1:45" s="399" customFormat="1" ht="20.25">
      <c r="A105" s="391" t="s">
        <v>1884</v>
      </c>
      <c r="B105" s="1132" t="s">
        <v>1636</v>
      </c>
      <c r="C105" s="1133"/>
      <c r="D105" s="1133"/>
      <c r="E105" s="1134"/>
      <c r="F105" s="1132" t="s">
        <v>1576</v>
      </c>
      <c r="G105" s="1133"/>
      <c r="H105" s="1134"/>
      <c r="I105" s="398"/>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row>
    <row r="106" spans="1:45" s="335" customFormat="1" ht="35.25" customHeight="1">
      <c r="A106" s="382" t="s">
        <v>1554</v>
      </c>
      <c r="B106" s="1101" t="s">
        <v>1885</v>
      </c>
      <c r="C106" s="1102"/>
      <c r="D106" s="1102"/>
      <c r="E106" s="1128"/>
      <c r="F106" s="1135">
        <v>0</v>
      </c>
      <c r="G106" s="1136"/>
      <c r="H106" s="1137"/>
      <c r="I106" s="400"/>
    </row>
    <row r="107" spans="1:45" s="335" customFormat="1" ht="21" thickBot="1">
      <c r="A107" s="401"/>
      <c r="B107" s="1115" t="s">
        <v>15</v>
      </c>
      <c r="C107" s="1116"/>
      <c r="D107" s="1116"/>
      <c r="E107" s="1117"/>
      <c r="F107" s="1118">
        <v>0</v>
      </c>
      <c r="G107" s="1119"/>
      <c r="H107" s="1120"/>
      <c r="I107" s="398"/>
    </row>
    <row r="108" spans="1:45" s="335" customFormat="1" ht="10.5" customHeight="1" thickBot="1">
      <c r="A108" s="1009"/>
      <c r="B108" s="1010"/>
      <c r="C108" s="1010"/>
      <c r="D108" s="1010"/>
      <c r="E108" s="1010"/>
      <c r="F108" s="1010"/>
      <c r="G108" s="1010"/>
      <c r="H108" s="1010"/>
      <c r="I108" s="1011"/>
      <c r="J108" s="402"/>
      <c r="K108" s="402"/>
      <c r="L108" s="402"/>
    </row>
    <row r="109" spans="1:45" s="335" customFormat="1" ht="36" customHeight="1">
      <c r="A109" s="1121" t="s">
        <v>1886</v>
      </c>
      <c r="B109" s="1122"/>
      <c r="C109" s="1122"/>
      <c r="D109" s="1122"/>
      <c r="E109" s="1122"/>
      <c r="F109" s="1122"/>
      <c r="G109" s="1122"/>
      <c r="H109" s="1122"/>
      <c r="I109" s="1123"/>
      <c r="J109" s="402"/>
      <c r="K109" s="402"/>
      <c r="L109" s="402"/>
      <c r="P109" s="1124"/>
      <c r="Q109" s="1124"/>
      <c r="R109" s="1124"/>
      <c r="S109" s="1124"/>
      <c r="T109" s="1124"/>
      <c r="U109" s="1124"/>
      <c r="V109" s="1124"/>
      <c r="W109" s="1124"/>
      <c r="X109" s="1124"/>
      <c r="Y109" s="1124"/>
      <c r="Z109" s="1124"/>
    </row>
    <row r="110" spans="1:45" s="335" customFormat="1" ht="30.75" customHeight="1">
      <c r="A110" s="382" t="s">
        <v>1887</v>
      </c>
      <c r="B110" s="1125" t="s">
        <v>1639</v>
      </c>
      <c r="C110" s="1126"/>
      <c r="D110" s="1126"/>
      <c r="E110" s="1126"/>
      <c r="F110" s="1126"/>
      <c r="G110" s="1126"/>
      <c r="H110" s="1127"/>
      <c r="I110" s="380" t="s">
        <v>1576</v>
      </c>
      <c r="J110" s="402"/>
      <c r="K110" s="402"/>
      <c r="L110" s="402"/>
      <c r="P110" s="1124"/>
      <c r="Q110" s="1124"/>
      <c r="R110" s="1124"/>
      <c r="S110" s="1124"/>
      <c r="T110" s="1124"/>
      <c r="U110" s="1124"/>
      <c r="V110" s="1124"/>
      <c r="W110" s="1124"/>
      <c r="X110" s="1124"/>
      <c r="Y110" s="1124"/>
      <c r="Z110" s="1124"/>
    </row>
    <row r="111" spans="1:45" s="335" customFormat="1" ht="27.75" customHeight="1">
      <c r="A111" s="382" t="s">
        <v>1292</v>
      </c>
      <c r="B111" s="1036" t="s">
        <v>1888</v>
      </c>
      <c r="C111" s="1037" t="s">
        <v>1889</v>
      </c>
      <c r="D111" s="1037" t="s">
        <v>1889</v>
      </c>
      <c r="E111" s="1037" t="s">
        <v>1889</v>
      </c>
      <c r="F111" s="1037" t="s">
        <v>1889</v>
      </c>
      <c r="G111" s="1037" t="s">
        <v>1889</v>
      </c>
      <c r="H111" s="1038" t="s">
        <v>1889</v>
      </c>
      <c r="I111" s="403">
        <f>I102</f>
        <v>0</v>
      </c>
      <c r="J111" s="402"/>
      <c r="K111" s="402"/>
      <c r="L111" s="402"/>
      <c r="P111" s="1124"/>
      <c r="Q111" s="1124"/>
      <c r="R111" s="1124"/>
      <c r="S111" s="1124"/>
      <c r="T111" s="1124"/>
      <c r="U111" s="1124"/>
      <c r="V111" s="1124"/>
      <c r="W111" s="1124"/>
      <c r="X111" s="1124"/>
      <c r="Y111" s="1124"/>
      <c r="Z111" s="1124"/>
    </row>
    <row r="112" spans="1:45" s="335" customFormat="1" ht="29.25" customHeight="1">
      <c r="A112" s="382" t="s">
        <v>1884</v>
      </c>
      <c r="B112" s="1101" t="s">
        <v>1890</v>
      </c>
      <c r="C112" s="1102"/>
      <c r="D112" s="1102"/>
      <c r="E112" s="1102"/>
      <c r="F112" s="1102"/>
      <c r="G112" s="1102"/>
      <c r="H112" s="1128"/>
      <c r="I112" s="384">
        <f>F107</f>
        <v>0</v>
      </c>
      <c r="J112" s="402"/>
      <c r="K112" s="402"/>
      <c r="L112" s="402"/>
      <c r="P112" s="1124"/>
      <c r="Q112" s="1124"/>
      <c r="R112" s="1124"/>
      <c r="S112" s="1124"/>
      <c r="T112" s="1124"/>
      <c r="U112" s="1124"/>
      <c r="V112" s="1124"/>
      <c r="W112" s="1124"/>
      <c r="X112" s="1124"/>
      <c r="Y112" s="1124"/>
      <c r="Z112" s="1124"/>
    </row>
    <row r="113" spans="1:12" s="335" customFormat="1" ht="27.75" customHeight="1">
      <c r="A113" s="1107" t="s">
        <v>15</v>
      </c>
      <c r="B113" s="1108"/>
      <c r="C113" s="1108"/>
      <c r="D113" s="1108"/>
      <c r="E113" s="1108"/>
      <c r="F113" s="1108"/>
      <c r="G113" s="1108"/>
      <c r="H113" s="1109"/>
      <c r="I113" s="404">
        <f>I111+I112</f>
        <v>0</v>
      </c>
      <c r="J113" s="402"/>
      <c r="K113" s="402"/>
      <c r="L113" s="402"/>
    </row>
    <row r="114" spans="1:12" s="335" customFormat="1" ht="10.5" customHeight="1" thickBot="1">
      <c r="A114" s="1110"/>
      <c r="B114" s="1111"/>
      <c r="C114" s="1111"/>
      <c r="D114" s="1111"/>
      <c r="E114" s="1111"/>
      <c r="F114" s="1111"/>
      <c r="G114" s="1111"/>
      <c r="H114" s="1045"/>
      <c r="I114" s="1046"/>
      <c r="J114" s="402"/>
    </row>
    <row r="115" spans="1:12" s="335" customFormat="1" ht="32.25" customHeight="1" thickBot="1">
      <c r="A115" s="1092" t="s">
        <v>1891</v>
      </c>
      <c r="B115" s="1093"/>
      <c r="C115" s="1093"/>
      <c r="D115" s="1093"/>
      <c r="E115" s="1093"/>
      <c r="F115" s="1093"/>
      <c r="G115" s="1094"/>
      <c r="I115" s="405"/>
      <c r="J115" s="402"/>
    </row>
    <row r="116" spans="1:12" s="335" customFormat="1" ht="24.75" customHeight="1">
      <c r="A116" s="406" t="s">
        <v>1892</v>
      </c>
      <c r="B116" s="1112" t="s">
        <v>1641</v>
      </c>
      <c r="C116" s="1113"/>
      <c r="D116" s="1113"/>
      <c r="E116" s="1114" t="s">
        <v>1576</v>
      </c>
      <c r="F116" s="1114"/>
      <c r="G116" s="1114"/>
      <c r="I116" s="405"/>
      <c r="J116" s="402"/>
    </row>
    <row r="117" spans="1:12" s="335" customFormat="1" ht="27.75" customHeight="1">
      <c r="A117" s="407" t="s">
        <v>1554</v>
      </c>
      <c r="B117" s="1101" t="s">
        <v>1893</v>
      </c>
      <c r="C117" s="1102"/>
      <c r="D117" s="1102"/>
      <c r="E117" s="1103"/>
      <c r="F117" s="1103"/>
      <c r="G117" s="1103"/>
      <c r="I117" s="405"/>
      <c r="J117" s="402"/>
    </row>
    <row r="118" spans="1:12" s="335" customFormat="1" ht="38.25" customHeight="1">
      <c r="A118" s="408" t="s">
        <v>1556</v>
      </c>
      <c r="B118" s="1101" t="s">
        <v>1643</v>
      </c>
      <c r="C118" s="1102"/>
      <c r="D118" s="1102"/>
      <c r="E118" s="1103">
        <v>0</v>
      </c>
      <c r="F118" s="1103"/>
      <c r="G118" s="1103"/>
      <c r="H118" s="1104"/>
      <c r="I118" s="1105"/>
      <c r="J118" s="402"/>
    </row>
    <row r="119" spans="1:12" s="335" customFormat="1" ht="30" customHeight="1">
      <c r="A119" s="408" t="s">
        <v>1559</v>
      </c>
      <c r="B119" s="1101" t="s">
        <v>1894</v>
      </c>
      <c r="C119" s="1102"/>
      <c r="D119" s="1102"/>
      <c r="E119" s="1103"/>
      <c r="F119" s="1103"/>
      <c r="G119" s="1103"/>
      <c r="I119" s="405"/>
      <c r="J119" s="402"/>
    </row>
    <row r="120" spans="1:12" s="335" customFormat="1" ht="27" customHeight="1">
      <c r="A120" s="408" t="s">
        <v>1562</v>
      </c>
      <c r="B120" s="1101" t="s">
        <v>1584</v>
      </c>
      <c r="C120" s="1102"/>
      <c r="D120" s="1102"/>
      <c r="E120" s="1106"/>
      <c r="F120" s="1106"/>
      <c r="G120" s="1106"/>
      <c r="I120" s="405"/>
      <c r="J120" s="402"/>
    </row>
    <row r="121" spans="1:12" s="335" customFormat="1" ht="22.5" customHeight="1">
      <c r="A121" s="1086" t="s">
        <v>15</v>
      </c>
      <c r="B121" s="1087"/>
      <c r="C121" s="1087"/>
      <c r="D121" s="1087"/>
      <c r="E121" s="1088">
        <f>SUM(E117:G120)</f>
        <v>0</v>
      </c>
      <c r="F121" s="1088"/>
      <c r="G121" s="1088"/>
      <c r="I121" s="405"/>
      <c r="J121" s="402"/>
    </row>
    <row r="122" spans="1:12" s="335" customFormat="1" ht="19.5" thickBot="1">
      <c r="A122" s="1089" t="s">
        <v>1895</v>
      </c>
      <c r="B122" s="1090"/>
      <c r="C122" s="1090"/>
      <c r="D122" s="1090"/>
      <c r="E122" s="1090"/>
      <c r="F122" s="1090"/>
      <c r="G122" s="1091"/>
      <c r="I122" s="405"/>
      <c r="J122" s="402"/>
    </row>
    <row r="123" spans="1:12" s="335" customFormat="1" ht="10.5" customHeight="1" thickBot="1">
      <c r="A123" s="1009"/>
      <c r="B123" s="1010"/>
      <c r="C123" s="1010"/>
      <c r="D123" s="1010"/>
      <c r="E123" s="1010"/>
      <c r="F123" s="1010"/>
      <c r="G123" s="1010"/>
      <c r="H123" s="1010"/>
      <c r="I123" s="1011"/>
      <c r="J123" s="402"/>
    </row>
    <row r="124" spans="1:12" s="335" customFormat="1" ht="31.5" customHeight="1" thickBot="1">
      <c r="A124" s="1092" t="s">
        <v>1896</v>
      </c>
      <c r="B124" s="1093"/>
      <c r="C124" s="1093"/>
      <c r="D124" s="1093"/>
      <c r="E124" s="1093"/>
      <c r="F124" s="1093"/>
      <c r="G124" s="1093"/>
      <c r="H124" s="1093"/>
      <c r="I124" s="1094"/>
      <c r="J124" s="402"/>
    </row>
    <row r="125" spans="1:12" s="335" customFormat="1" ht="18">
      <c r="A125" s="406" t="s">
        <v>1897</v>
      </c>
      <c r="B125" s="1095" t="s">
        <v>1646</v>
      </c>
      <c r="C125" s="1096"/>
      <c r="D125" s="1096"/>
      <c r="E125" s="1097"/>
      <c r="F125" s="1095" t="s">
        <v>1588</v>
      </c>
      <c r="G125" s="1097"/>
      <c r="H125" s="1095" t="s">
        <v>1576</v>
      </c>
      <c r="I125" s="1100"/>
      <c r="J125" s="402"/>
    </row>
    <row r="126" spans="1:12" s="335" customFormat="1" ht="18">
      <c r="A126" s="382" t="s">
        <v>1554</v>
      </c>
      <c r="B126" s="1083" t="s">
        <v>1898</v>
      </c>
      <c r="C126" s="1037"/>
      <c r="D126" s="1037"/>
      <c r="E126" s="1038"/>
      <c r="F126" s="1070">
        <v>5.0000000000000001E-3</v>
      </c>
      <c r="G126" s="1071"/>
      <c r="H126" s="1084">
        <f>I141*F126</f>
        <v>0</v>
      </c>
      <c r="I126" s="1085"/>
      <c r="J126" s="402"/>
    </row>
    <row r="127" spans="1:12" s="335" customFormat="1" ht="18">
      <c r="A127" s="382" t="s">
        <v>1556</v>
      </c>
      <c r="B127" s="1083" t="s">
        <v>1899</v>
      </c>
      <c r="C127" s="1037"/>
      <c r="D127" s="1037"/>
      <c r="E127" s="1038"/>
      <c r="F127" s="1070">
        <v>5.0000000000000001E-3</v>
      </c>
      <c r="G127" s="1071"/>
      <c r="H127" s="1084">
        <f>SUM(I141+H126)*F127</f>
        <v>0</v>
      </c>
      <c r="I127" s="1085"/>
      <c r="J127" s="402"/>
    </row>
    <row r="128" spans="1:12" s="335" customFormat="1" ht="18">
      <c r="A128" s="382" t="s">
        <v>1559</v>
      </c>
      <c r="B128" s="1076" t="s">
        <v>1649</v>
      </c>
      <c r="C128" s="1077"/>
      <c r="D128" s="1077"/>
      <c r="E128" s="1078"/>
      <c r="F128" s="1079">
        <f>SUM(F129:G131)</f>
        <v>8.6499999999999994E-2</v>
      </c>
      <c r="G128" s="1080"/>
      <c r="H128" s="1081">
        <f>SUM(H129:I132)</f>
        <v>0</v>
      </c>
      <c r="I128" s="1082"/>
      <c r="J128" s="402"/>
    </row>
    <row r="129" spans="1:10" s="335" customFormat="1" ht="18">
      <c r="A129" s="339"/>
      <c r="B129" s="409" t="s">
        <v>1900</v>
      </c>
      <c r="C129" s="1056" t="s">
        <v>1901</v>
      </c>
      <c r="D129" s="1057"/>
      <c r="E129" s="1058"/>
      <c r="F129" s="1070">
        <v>6.4999999999999997E-3</v>
      </c>
      <c r="G129" s="1071"/>
      <c r="H129" s="1072">
        <f>I143*F129</f>
        <v>0</v>
      </c>
      <c r="I129" s="1073"/>
      <c r="J129" s="402"/>
    </row>
    <row r="130" spans="1:10" s="335" customFormat="1" ht="16.5" customHeight="1">
      <c r="A130" s="339"/>
      <c r="B130" s="409" t="s">
        <v>1902</v>
      </c>
      <c r="C130" s="1036" t="s">
        <v>1903</v>
      </c>
      <c r="D130" s="1037"/>
      <c r="E130" s="1038"/>
      <c r="F130" s="1070">
        <v>0.03</v>
      </c>
      <c r="G130" s="1071"/>
      <c r="H130" s="1072">
        <f>F130*$I$143</f>
        <v>0</v>
      </c>
      <c r="I130" s="1073"/>
      <c r="J130" s="402"/>
    </row>
    <row r="131" spans="1:10" s="335" customFormat="1" ht="16.5" customHeight="1">
      <c r="A131" s="339"/>
      <c r="B131" s="409" t="s">
        <v>1904</v>
      </c>
      <c r="C131" s="1036" t="s">
        <v>1905</v>
      </c>
      <c r="D131" s="1037"/>
      <c r="E131" s="1038"/>
      <c r="F131" s="1074">
        <v>0.05</v>
      </c>
      <c r="G131" s="1075"/>
      <c r="H131" s="1072">
        <f>F131*$I$143</f>
        <v>0</v>
      </c>
      <c r="I131" s="1073"/>
      <c r="J131" s="402"/>
    </row>
    <row r="132" spans="1:10" s="335" customFormat="1" ht="19.5" customHeight="1">
      <c r="A132" s="410"/>
      <c r="B132" s="409" t="s">
        <v>1906</v>
      </c>
      <c r="C132" s="1056" t="s">
        <v>1907</v>
      </c>
      <c r="D132" s="1057"/>
      <c r="E132" s="1058"/>
      <c r="F132" s="1059"/>
      <c r="G132" s="1060"/>
      <c r="H132" s="1061">
        <f>F132*$I$143</f>
        <v>0</v>
      </c>
      <c r="I132" s="1062"/>
      <c r="J132" s="402"/>
    </row>
    <row r="133" spans="1:10" s="335" customFormat="1" ht="20.25">
      <c r="A133" s="1063" t="s">
        <v>1908</v>
      </c>
      <c r="B133" s="1064"/>
      <c r="C133" s="1064"/>
      <c r="D133" s="1064"/>
      <c r="E133" s="1065"/>
      <c r="F133" s="1066">
        <f>F126+F127+F128</f>
        <v>9.6499999999999989E-2</v>
      </c>
      <c r="G133" s="1067"/>
      <c r="H133" s="1068">
        <f>H126+H127+H128</f>
        <v>0</v>
      </c>
      <c r="I133" s="1069"/>
      <c r="J133" s="402"/>
    </row>
    <row r="134" spans="1:10" s="399" customFormat="1" ht="15.75">
      <c r="A134" s="1050" t="s">
        <v>1909</v>
      </c>
      <c r="B134" s="1051"/>
      <c r="C134" s="1051"/>
      <c r="D134" s="1051"/>
      <c r="E134" s="1051"/>
      <c r="F134" s="1051"/>
      <c r="G134" s="1051"/>
      <c r="H134" s="1051"/>
      <c r="I134" s="1052"/>
      <c r="J134" s="411"/>
    </row>
    <row r="135" spans="1:10" s="335" customFormat="1" ht="9.75" customHeight="1">
      <c r="A135" s="1044"/>
      <c r="B135" s="1045"/>
      <c r="C135" s="1045"/>
      <c r="D135" s="1045"/>
      <c r="E135" s="1045"/>
      <c r="F135" s="1045"/>
      <c r="G135" s="1045"/>
      <c r="H135" s="1045"/>
      <c r="I135" s="1046"/>
      <c r="J135" s="402"/>
    </row>
    <row r="136" spans="1:10" s="335" customFormat="1" ht="30" customHeight="1">
      <c r="A136" s="412" t="s">
        <v>1554</v>
      </c>
      <c r="B136" s="1053" t="s">
        <v>1910</v>
      </c>
      <c r="C136" s="1054" t="s">
        <v>1889</v>
      </c>
      <c r="D136" s="1054" t="s">
        <v>1889</v>
      </c>
      <c r="E136" s="1054" t="s">
        <v>1889</v>
      </c>
      <c r="F136" s="1054" t="s">
        <v>1889</v>
      </c>
      <c r="G136" s="1054" t="s">
        <v>1889</v>
      </c>
      <c r="H136" s="1055" t="s">
        <v>1889</v>
      </c>
      <c r="I136" s="413">
        <f>F37</f>
        <v>0</v>
      </c>
      <c r="J136" s="414"/>
    </row>
    <row r="137" spans="1:10" s="335" customFormat="1" ht="21" customHeight="1">
      <c r="A137" s="382" t="s">
        <v>1556</v>
      </c>
      <c r="B137" s="1036" t="s">
        <v>1911</v>
      </c>
      <c r="C137" s="1037" t="s">
        <v>1889</v>
      </c>
      <c r="D137" s="1037" t="s">
        <v>1889</v>
      </c>
      <c r="E137" s="1037" t="s">
        <v>1889</v>
      </c>
      <c r="F137" s="1037" t="s">
        <v>1889</v>
      </c>
      <c r="G137" s="1037" t="s">
        <v>1889</v>
      </c>
      <c r="H137" s="1038" t="s">
        <v>1889</v>
      </c>
      <c r="I137" s="403">
        <f>I78</f>
        <v>0</v>
      </c>
      <c r="J137" s="402"/>
    </row>
    <row r="138" spans="1:10" s="335" customFormat="1" ht="20.25" customHeight="1">
      <c r="A138" s="382" t="s">
        <v>1559</v>
      </c>
      <c r="B138" s="1036" t="s">
        <v>1912</v>
      </c>
      <c r="C138" s="1037" t="s">
        <v>1866</v>
      </c>
      <c r="D138" s="1037" t="s">
        <v>1866</v>
      </c>
      <c r="E138" s="1037" t="s">
        <v>1866</v>
      </c>
      <c r="F138" s="1037" t="s">
        <v>1866</v>
      </c>
      <c r="G138" s="1037" t="s">
        <v>1866</v>
      </c>
      <c r="H138" s="1038" t="s">
        <v>1866</v>
      </c>
      <c r="I138" s="384">
        <f>I88</f>
        <v>0</v>
      </c>
      <c r="J138" s="402"/>
    </row>
    <row r="139" spans="1:10" s="335" customFormat="1" ht="18" customHeight="1">
      <c r="A139" s="382" t="s">
        <v>1562</v>
      </c>
      <c r="B139" s="1036" t="s">
        <v>1913</v>
      </c>
      <c r="C139" s="1037"/>
      <c r="D139" s="1037"/>
      <c r="E139" s="1037"/>
      <c r="F139" s="1037"/>
      <c r="G139" s="1037"/>
      <c r="H139" s="1038"/>
      <c r="I139" s="384">
        <f>I113</f>
        <v>0</v>
      </c>
      <c r="J139" s="402"/>
    </row>
    <row r="140" spans="1:10" s="335" customFormat="1" ht="22.5" customHeight="1">
      <c r="A140" s="382" t="s">
        <v>1581</v>
      </c>
      <c r="B140" s="1036" t="s">
        <v>1914</v>
      </c>
      <c r="C140" s="1037"/>
      <c r="D140" s="1037"/>
      <c r="E140" s="1037"/>
      <c r="F140" s="1037"/>
      <c r="G140" s="1037"/>
      <c r="H140" s="1038"/>
      <c r="I140" s="403">
        <f>E121</f>
        <v>0</v>
      </c>
      <c r="J140" s="402"/>
    </row>
    <row r="141" spans="1:10" s="335" customFormat="1" ht="22.5" customHeight="1">
      <c r="A141" s="408"/>
      <c r="B141" s="1039" t="s">
        <v>1915</v>
      </c>
      <c r="C141" s="1040"/>
      <c r="D141" s="1040"/>
      <c r="E141" s="1040"/>
      <c r="F141" s="1040"/>
      <c r="G141" s="1040"/>
      <c r="H141" s="1023"/>
      <c r="I141" s="404">
        <f>SUM(I136:I140)</f>
        <v>0</v>
      </c>
      <c r="J141" s="402"/>
    </row>
    <row r="142" spans="1:10" s="335" customFormat="1" ht="24.75" customHeight="1">
      <c r="A142" s="382" t="s">
        <v>1583</v>
      </c>
      <c r="B142" s="1036" t="s">
        <v>1656</v>
      </c>
      <c r="C142" s="1037"/>
      <c r="D142" s="1037"/>
      <c r="E142" s="1037"/>
      <c r="F142" s="1037"/>
      <c r="G142" s="1037"/>
      <c r="H142" s="1038"/>
      <c r="I142" s="384">
        <f>H133</f>
        <v>0</v>
      </c>
      <c r="J142" s="402"/>
    </row>
    <row r="143" spans="1:10" s="335" customFormat="1" ht="23.25" customHeight="1">
      <c r="A143" s="1041" t="s">
        <v>1916</v>
      </c>
      <c r="B143" s="1042"/>
      <c r="C143" s="1042"/>
      <c r="D143" s="1042"/>
      <c r="E143" s="1042"/>
      <c r="F143" s="1042"/>
      <c r="G143" s="1042"/>
      <c r="H143" s="1043"/>
      <c r="I143" s="415">
        <f>(I141+H126+H127)/(1-F128)</f>
        <v>0</v>
      </c>
      <c r="J143" s="402"/>
    </row>
    <row r="144" spans="1:10" s="335" customFormat="1" ht="7.5" customHeight="1">
      <c r="A144" s="1044"/>
      <c r="B144" s="1045"/>
      <c r="C144" s="1045"/>
      <c r="D144" s="1045"/>
      <c r="E144" s="1045"/>
      <c r="F144" s="1045"/>
      <c r="G144" s="1045"/>
      <c r="H144" s="1045"/>
      <c r="I144" s="1046"/>
      <c r="J144" s="402"/>
    </row>
    <row r="145" spans="1:10" s="335" customFormat="1" ht="23.25" customHeight="1">
      <c r="A145" s="1047" t="s">
        <v>1917</v>
      </c>
      <c r="B145" s="1048"/>
      <c r="C145" s="1048"/>
      <c r="D145" s="1048"/>
      <c r="E145" s="1048"/>
      <c r="F145" s="1048"/>
      <c r="G145" s="1048"/>
      <c r="H145" s="1048"/>
      <c r="I145" s="1049"/>
      <c r="J145" s="402"/>
    </row>
    <row r="146" spans="1:10" s="335" customFormat="1" ht="16.5" customHeight="1">
      <c r="A146" s="1026" t="s">
        <v>1659</v>
      </c>
      <c r="B146" s="1027"/>
      <c r="C146" s="1030" t="s">
        <v>1918</v>
      </c>
      <c r="D146" s="1027"/>
      <c r="E146" s="1032" t="s">
        <v>1660</v>
      </c>
      <c r="F146" s="1030" t="s">
        <v>1661</v>
      </c>
      <c r="G146" s="1027"/>
      <c r="H146" s="1032" t="s">
        <v>1662</v>
      </c>
      <c r="I146" s="1034" t="s">
        <v>1919</v>
      </c>
      <c r="J146" s="402"/>
    </row>
    <row r="147" spans="1:10" s="335" customFormat="1" ht="21.75" customHeight="1">
      <c r="A147" s="1028"/>
      <c r="B147" s="1029"/>
      <c r="C147" s="1031"/>
      <c r="D147" s="1029"/>
      <c r="E147" s="1033"/>
      <c r="F147" s="1031"/>
      <c r="G147" s="1029"/>
      <c r="H147" s="1033"/>
      <c r="I147" s="1035"/>
      <c r="J147" s="402"/>
    </row>
    <row r="148" spans="1:10" s="335" customFormat="1" ht="24" customHeight="1">
      <c r="A148" s="1019" t="s">
        <v>1920</v>
      </c>
      <c r="B148" s="1020"/>
      <c r="C148" s="1021" t="s">
        <v>1921</v>
      </c>
      <c r="D148" s="1020"/>
      <c r="E148" s="416" t="s">
        <v>1922</v>
      </c>
      <c r="F148" s="1021" t="s">
        <v>1923</v>
      </c>
      <c r="G148" s="1020"/>
      <c r="H148" s="416" t="s">
        <v>1248</v>
      </c>
      <c r="I148" s="417" t="s">
        <v>1924</v>
      </c>
      <c r="J148" s="402"/>
    </row>
    <row r="149" spans="1:10" s="335" customFormat="1" ht="28.5" customHeight="1" thickBot="1">
      <c r="A149" s="418" t="s">
        <v>1540</v>
      </c>
      <c r="B149" s="419" t="s">
        <v>1925</v>
      </c>
      <c r="C149" s="1022">
        <f>I143</f>
        <v>0</v>
      </c>
      <c r="D149" s="1023"/>
      <c r="E149" s="420">
        <v>1</v>
      </c>
      <c r="F149" s="1022">
        <f>C149*E149</f>
        <v>0</v>
      </c>
      <c r="G149" s="1023"/>
      <c r="H149" s="420">
        <f>G15</f>
        <v>1</v>
      </c>
      <c r="I149" s="421">
        <f>F149*H149</f>
        <v>0</v>
      </c>
      <c r="J149" s="422"/>
    </row>
    <row r="150" spans="1:10" s="335" customFormat="1" ht="9" customHeight="1" thickBot="1">
      <c r="A150" s="1009"/>
      <c r="B150" s="1010"/>
      <c r="C150" s="1010"/>
      <c r="D150" s="1010"/>
      <c r="E150" s="1010"/>
      <c r="F150" s="1010"/>
      <c r="G150" s="1010"/>
      <c r="H150" s="1010"/>
      <c r="I150" s="1011"/>
      <c r="J150" s="402"/>
    </row>
    <row r="151" spans="1:10" s="335" customFormat="1" ht="9" customHeight="1" thickBot="1">
      <c r="A151" s="423"/>
      <c r="I151" s="405"/>
      <c r="J151" s="402"/>
    </row>
    <row r="152" spans="1:10" s="335" customFormat="1" ht="23.25">
      <c r="A152" s="423"/>
      <c r="B152" s="1012" t="s">
        <v>1240</v>
      </c>
      <c r="C152" s="1014" t="s">
        <v>1926</v>
      </c>
      <c r="D152" s="1015"/>
      <c r="E152" s="424">
        <f>(1+F126)*(1+F127)/(1-F128)-1</f>
        <v>0.1056650246305415</v>
      </c>
      <c r="G152" s="1016">
        <f>E152*I141</f>
        <v>0</v>
      </c>
      <c r="I152" s="1017"/>
      <c r="J152" s="402"/>
    </row>
    <row r="153" spans="1:10" s="335" customFormat="1" ht="17.25" customHeight="1" thickBot="1">
      <c r="A153" s="423"/>
      <c r="B153" s="1013"/>
      <c r="C153" s="1328" t="s">
        <v>1957</v>
      </c>
      <c r="D153" s="1329"/>
      <c r="G153" s="1333"/>
      <c r="I153" s="1018"/>
      <c r="J153" s="402"/>
    </row>
    <row r="154" spans="1:10" s="335" customFormat="1" ht="7.5" customHeight="1">
      <c r="A154" s="423"/>
      <c r="I154" s="405"/>
      <c r="J154" s="402"/>
    </row>
    <row r="155" spans="1:10" s="335" customFormat="1" ht="20.25">
      <c r="A155" s="423"/>
      <c r="B155" s="1006" t="s">
        <v>1928</v>
      </c>
      <c r="C155" s="1006"/>
      <c r="D155" s="1006"/>
      <c r="E155" s="1006"/>
      <c r="G155" s="427" t="s">
        <v>1556</v>
      </c>
      <c r="H155" s="1007" t="s">
        <v>1929</v>
      </c>
      <c r="I155" s="1008"/>
      <c r="J155" s="402"/>
    </row>
    <row r="156" spans="1:10" s="335" customFormat="1" ht="20.25">
      <c r="A156" s="423"/>
      <c r="B156" s="1006" t="s">
        <v>1930</v>
      </c>
      <c r="C156" s="1006"/>
      <c r="D156" s="1006"/>
      <c r="E156" s="1006"/>
      <c r="G156" s="427" t="s">
        <v>1562</v>
      </c>
      <c r="H156" s="1007" t="s">
        <v>1931</v>
      </c>
      <c r="I156" s="1008"/>
      <c r="J156" s="402"/>
    </row>
    <row r="157" spans="1:10" s="335" customFormat="1" ht="20.25">
      <c r="A157" s="423"/>
      <c r="B157" s="1006" t="s">
        <v>1932</v>
      </c>
      <c r="C157" s="1006"/>
      <c r="D157" s="1006"/>
      <c r="E157" s="1006"/>
      <c r="G157" s="427" t="s">
        <v>1540</v>
      </c>
      <c r="H157" s="1007" t="s">
        <v>1933</v>
      </c>
      <c r="I157" s="1008"/>
      <c r="J157" s="402"/>
    </row>
    <row r="158" spans="1:10" s="335" customFormat="1" thickBot="1">
      <c r="A158" s="423"/>
      <c r="B158" s="429"/>
      <c r="C158" s="429"/>
      <c r="D158" s="429"/>
      <c r="E158" s="429"/>
      <c r="I158" s="405"/>
      <c r="J158" s="402"/>
    </row>
    <row r="159" spans="1:10" s="335" customFormat="1" ht="7.5" customHeight="1" thickBot="1">
      <c r="A159" s="1009"/>
      <c r="B159" s="1010"/>
      <c r="C159" s="1010"/>
      <c r="D159" s="1010"/>
      <c r="E159" s="1010"/>
      <c r="F159" s="1010"/>
      <c r="G159" s="1010"/>
      <c r="H159" s="1010"/>
      <c r="I159" s="1011"/>
      <c r="J159" s="402"/>
    </row>
    <row r="162" spans="7:8">
      <c r="G162" s="329"/>
    </row>
    <row r="163" spans="7:8">
      <c r="G163" s="329"/>
    </row>
    <row r="164" spans="7:8">
      <c r="G164" s="329"/>
      <c r="H164" s="329"/>
    </row>
  </sheetData>
  <mergeCells count="264">
    <mergeCell ref="A1:I1"/>
    <mergeCell ref="C2:H2"/>
    <mergeCell ref="C3:H3"/>
    <mergeCell ref="A4:H4"/>
    <mergeCell ref="A5:I5"/>
    <mergeCell ref="A6:I6"/>
    <mergeCell ref="A13:I13"/>
    <mergeCell ref="A14:C14"/>
    <mergeCell ref="D14:F14"/>
    <mergeCell ref="G14:I14"/>
    <mergeCell ref="A15:C15"/>
    <mergeCell ref="D15:F15"/>
    <mergeCell ref="G15:I15"/>
    <mergeCell ref="B7:H7"/>
    <mergeCell ref="B8:H8"/>
    <mergeCell ref="B9:H9"/>
    <mergeCell ref="B10:H10"/>
    <mergeCell ref="B11:H11"/>
    <mergeCell ref="A12:I12"/>
    <mergeCell ref="B20:F20"/>
    <mergeCell ref="G20:I20"/>
    <mergeCell ref="B21:F21"/>
    <mergeCell ref="G21:I21"/>
    <mergeCell ref="B22:F22"/>
    <mergeCell ref="G22:I22"/>
    <mergeCell ref="A16:I16"/>
    <mergeCell ref="A17:F17"/>
    <mergeCell ref="G17:I17"/>
    <mergeCell ref="A18:F18"/>
    <mergeCell ref="G18:I18"/>
    <mergeCell ref="A19:F19"/>
    <mergeCell ref="G19:I19"/>
    <mergeCell ref="A27:H27"/>
    <mergeCell ref="A28:H28"/>
    <mergeCell ref="A29:H29"/>
    <mergeCell ref="A30:E30"/>
    <mergeCell ref="F30:H30"/>
    <mergeCell ref="B31:E31"/>
    <mergeCell ref="F31:H31"/>
    <mergeCell ref="B23:F23"/>
    <mergeCell ref="G23:I23"/>
    <mergeCell ref="B24:F24"/>
    <mergeCell ref="G24:I24"/>
    <mergeCell ref="A25:H25"/>
    <mergeCell ref="A26:H26"/>
    <mergeCell ref="I34:I35"/>
    <mergeCell ref="B35:E35"/>
    <mergeCell ref="F35:H35"/>
    <mergeCell ref="B36:E36"/>
    <mergeCell ref="F36:H36"/>
    <mergeCell ref="B37:E37"/>
    <mergeCell ref="F37:H37"/>
    <mergeCell ref="B32:E32"/>
    <mergeCell ref="F32:H32"/>
    <mergeCell ref="B33:E33"/>
    <mergeCell ref="F33:H33"/>
    <mergeCell ref="B34:E34"/>
    <mergeCell ref="F34:H34"/>
    <mergeCell ref="B44:E44"/>
    <mergeCell ref="F44:H44"/>
    <mergeCell ref="B45:E45"/>
    <mergeCell ref="F45:H45"/>
    <mergeCell ref="B46:E46"/>
    <mergeCell ref="F46:H46"/>
    <mergeCell ref="A38:I38"/>
    <mergeCell ref="A39:I39"/>
    <mergeCell ref="A40:I40"/>
    <mergeCell ref="A41:I41"/>
    <mergeCell ref="A42:I42"/>
    <mergeCell ref="A43:I43"/>
    <mergeCell ref="A50:I50"/>
    <mergeCell ref="A51:I51"/>
    <mergeCell ref="B52:E52"/>
    <mergeCell ref="F52:G52"/>
    <mergeCell ref="H52:I52"/>
    <mergeCell ref="B53:E53"/>
    <mergeCell ref="F53:G53"/>
    <mergeCell ref="H53:I53"/>
    <mergeCell ref="B47:E47"/>
    <mergeCell ref="F47:H47"/>
    <mergeCell ref="B48:E48"/>
    <mergeCell ref="F48:H48"/>
    <mergeCell ref="B49:E49"/>
    <mergeCell ref="F49:H49"/>
    <mergeCell ref="B56:E56"/>
    <mergeCell ref="F56:G56"/>
    <mergeCell ref="H56:I56"/>
    <mergeCell ref="B57:E57"/>
    <mergeCell ref="F57:G57"/>
    <mergeCell ref="H57:I57"/>
    <mergeCell ref="B54:E54"/>
    <mergeCell ref="F54:G54"/>
    <mergeCell ref="H54:I54"/>
    <mergeCell ref="B55:E55"/>
    <mergeCell ref="F55:G55"/>
    <mergeCell ref="H55:I55"/>
    <mergeCell ref="B60:E60"/>
    <mergeCell ref="F60:G60"/>
    <mergeCell ref="H60:I60"/>
    <mergeCell ref="B61:E61"/>
    <mergeCell ref="F61:G61"/>
    <mergeCell ref="H61:I61"/>
    <mergeCell ref="B58:E58"/>
    <mergeCell ref="F58:G58"/>
    <mergeCell ref="H58:I58"/>
    <mergeCell ref="B59:E59"/>
    <mergeCell ref="F59:G59"/>
    <mergeCell ref="H59:I59"/>
    <mergeCell ref="B66:E66"/>
    <mergeCell ref="F66:H66"/>
    <mergeCell ref="B67:E67"/>
    <mergeCell ref="F67:H67"/>
    <mergeCell ref="B68:E68"/>
    <mergeCell ref="F68:H68"/>
    <mergeCell ref="A62:I62"/>
    <mergeCell ref="A63:H63"/>
    <mergeCell ref="B64:E64"/>
    <mergeCell ref="F64:H64"/>
    <mergeCell ref="B65:E65"/>
    <mergeCell ref="F65:H65"/>
    <mergeCell ref="B72:E72"/>
    <mergeCell ref="F72:H72"/>
    <mergeCell ref="B73:E73"/>
    <mergeCell ref="F73:H73"/>
    <mergeCell ref="A74:H74"/>
    <mergeCell ref="B75:H75"/>
    <mergeCell ref="B69:E69"/>
    <mergeCell ref="F69:H69"/>
    <mergeCell ref="B70:E70"/>
    <mergeCell ref="F70:H70"/>
    <mergeCell ref="B71:E71"/>
    <mergeCell ref="F71:H71"/>
    <mergeCell ref="B82:G82"/>
    <mergeCell ref="B83:G83"/>
    <mergeCell ref="B84:G84"/>
    <mergeCell ref="B85:G85"/>
    <mergeCell ref="B86:G86"/>
    <mergeCell ref="B87:G87"/>
    <mergeCell ref="B76:H76"/>
    <mergeCell ref="B77:H77"/>
    <mergeCell ref="A78:H78"/>
    <mergeCell ref="A79:I79"/>
    <mergeCell ref="A80:I80"/>
    <mergeCell ref="B81:G81"/>
    <mergeCell ref="B94:E94"/>
    <mergeCell ref="F94:H94"/>
    <mergeCell ref="B95:E95"/>
    <mergeCell ref="F95:H95"/>
    <mergeCell ref="B96:E96"/>
    <mergeCell ref="F96:H96"/>
    <mergeCell ref="A88:G88"/>
    <mergeCell ref="A89:I89"/>
    <mergeCell ref="A90:I90"/>
    <mergeCell ref="A91:I91"/>
    <mergeCell ref="B92:I92"/>
    <mergeCell ref="A93:I93"/>
    <mergeCell ref="B100:E100"/>
    <mergeCell ref="F100:H100"/>
    <mergeCell ref="B101:E101"/>
    <mergeCell ref="F101:H101"/>
    <mergeCell ref="B102:E102"/>
    <mergeCell ref="F102:H102"/>
    <mergeCell ref="B97:E97"/>
    <mergeCell ref="F97:H97"/>
    <mergeCell ref="B98:E98"/>
    <mergeCell ref="F98:H98"/>
    <mergeCell ref="B99:E99"/>
    <mergeCell ref="F99:H99"/>
    <mergeCell ref="P109:Z112"/>
    <mergeCell ref="B110:H110"/>
    <mergeCell ref="B111:H111"/>
    <mergeCell ref="B112:H112"/>
    <mergeCell ref="A103:I103"/>
    <mergeCell ref="A104:H104"/>
    <mergeCell ref="B105:E105"/>
    <mergeCell ref="F105:H105"/>
    <mergeCell ref="B106:E106"/>
    <mergeCell ref="F106:H106"/>
    <mergeCell ref="A113:H113"/>
    <mergeCell ref="A114:I114"/>
    <mergeCell ref="A115:G115"/>
    <mergeCell ref="B116:D116"/>
    <mergeCell ref="E116:G116"/>
    <mergeCell ref="B117:D117"/>
    <mergeCell ref="E117:G117"/>
    <mergeCell ref="B107:E107"/>
    <mergeCell ref="F107:H107"/>
    <mergeCell ref="A108:I108"/>
    <mergeCell ref="A109:I109"/>
    <mergeCell ref="A121:D121"/>
    <mergeCell ref="E121:G121"/>
    <mergeCell ref="A122:G122"/>
    <mergeCell ref="A123:I123"/>
    <mergeCell ref="A124:I124"/>
    <mergeCell ref="B125:E125"/>
    <mergeCell ref="F125:G125"/>
    <mergeCell ref="H125:I125"/>
    <mergeCell ref="B118:D118"/>
    <mergeCell ref="E118:G118"/>
    <mergeCell ref="H118:I118"/>
    <mergeCell ref="B119:D119"/>
    <mergeCell ref="E119:G119"/>
    <mergeCell ref="B120:D120"/>
    <mergeCell ref="E120:G120"/>
    <mergeCell ref="B128:E128"/>
    <mergeCell ref="F128:G128"/>
    <mergeCell ref="H128:I128"/>
    <mergeCell ref="C129:E129"/>
    <mergeCell ref="F129:G129"/>
    <mergeCell ref="H129:I129"/>
    <mergeCell ref="B126:E126"/>
    <mergeCell ref="F126:G126"/>
    <mergeCell ref="H126:I126"/>
    <mergeCell ref="B127:E127"/>
    <mergeCell ref="F127:G127"/>
    <mergeCell ref="H127:I127"/>
    <mergeCell ref="C132:E132"/>
    <mergeCell ref="F132:G132"/>
    <mergeCell ref="H132:I132"/>
    <mergeCell ref="A133:E133"/>
    <mergeCell ref="F133:G133"/>
    <mergeCell ref="H133:I133"/>
    <mergeCell ref="C130:E130"/>
    <mergeCell ref="F130:G130"/>
    <mergeCell ref="H130:I130"/>
    <mergeCell ref="C131:E131"/>
    <mergeCell ref="F131:G131"/>
    <mergeCell ref="H131:I131"/>
    <mergeCell ref="B140:H140"/>
    <mergeCell ref="B141:H141"/>
    <mergeCell ref="B142:H142"/>
    <mergeCell ref="A143:H143"/>
    <mergeCell ref="A144:I144"/>
    <mergeCell ref="A145:I145"/>
    <mergeCell ref="A134:I134"/>
    <mergeCell ref="A135:I135"/>
    <mergeCell ref="B136:H136"/>
    <mergeCell ref="B137:H137"/>
    <mergeCell ref="B138:H138"/>
    <mergeCell ref="B139:H139"/>
    <mergeCell ref="A148:B148"/>
    <mergeCell ref="C148:D148"/>
    <mergeCell ref="F148:G148"/>
    <mergeCell ref="C149:D149"/>
    <mergeCell ref="F149:G149"/>
    <mergeCell ref="A150:I150"/>
    <mergeCell ref="A146:B147"/>
    <mergeCell ref="C146:D147"/>
    <mergeCell ref="E146:E147"/>
    <mergeCell ref="F146:G147"/>
    <mergeCell ref="H146:H147"/>
    <mergeCell ref="I146:I147"/>
    <mergeCell ref="B156:E156"/>
    <mergeCell ref="H156:I156"/>
    <mergeCell ref="B157:E157"/>
    <mergeCell ref="H157:I157"/>
    <mergeCell ref="A159:I159"/>
    <mergeCell ref="B152:B153"/>
    <mergeCell ref="C152:D152"/>
    <mergeCell ref="G152:G153"/>
    <mergeCell ref="I152:I153"/>
    <mergeCell ref="C153:D153"/>
    <mergeCell ref="B155:E155"/>
    <mergeCell ref="H155:I155"/>
  </mergeCells>
  <printOptions horizontalCentered="1"/>
  <pageMargins left="0.19685039370078741" right="0.19685039370078741" top="0.78740157480314965" bottom="0.78740157480314965" header="0.31496062992125984" footer="0.31496062992125984"/>
  <pageSetup paperSize="9" scale="51" fitToHeight="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EDA7F-624A-46AF-B2F1-4B31D3FE964A}">
  <sheetPr>
    <tabColor rgb="FF7030A0"/>
    <pageSetUpPr fitToPage="1"/>
  </sheetPr>
  <dimension ref="A1:AS164"/>
  <sheetViews>
    <sheetView zoomScale="70" zoomScaleNormal="70" workbookViewId="0">
      <selection activeCell="E122" sqref="E122:G122"/>
    </sheetView>
  </sheetViews>
  <sheetFormatPr defaultRowHeight="15"/>
  <cols>
    <col min="4" max="4" width="28.140625" customWidth="1"/>
    <col min="5" max="5" width="42.28515625" customWidth="1"/>
    <col min="6" max="6" width="28.42578125" customWidth="1"/>
    <col min="7" max="7" width="17" customWidth="1"/>
    <col min="8" max="8" width="14.140625" customWidth="1"/>
    <col min="9" max="9" width="37.85546875" bestFit="1" customWidth="1"/>
    <col min="10" max="10" width="13.42578125" customWidth="1"/>
    <col min="11" max="11" width="12.42578125" customWidth="1"/>
    <col min="260" max="260" width="28.140625" customWidth="1"/>
    <col min="261" max="261" width="42.28515625" customWidth="1"/>
    <col min="262" max="262" width="28.42578125" customWidth="1"/>
    <col min="263" max="263" width="17" customWidth="1"/>
    <col min="264" max="264" width="14.140625" customWidth="1"/>
    <col min="265" max="265" width="37.85546875" bestFit="1" customWidth="1"/>
    <col min="266" max="266" width="13.42578125" customWidth="1"/>
    <col min="267" max="267" width="12.42578125" customWidth="1"/>
    <col min="516" max="516" width="28.140625" customWidth="1"/>
    <col min="517" max="517" width="42.28515625" customWidth="1"/>
    <col min="518" max="518" width="28.42578125" customWidth="1"/>
    <col min="519" max="519" width="17" customWidth="1"/>
    <col min="520" max="520" width="14.140625" customWidth="1"/>
    <col min="521" max="521" width="37.85546875" bestFit="1" customWidth="1"/>
    <col min="522" max="522" width="13.42578125" customWidth="1"/>
    <col min="523" max="523" width="12.42578125" customWidth="1"/>
    <col min="772" max="772" width="28.140625" customWidth="1"/>
    <col min="773" max="773" width="42.28515625" customWidth="1"/>
    <col min="774" max="774" width="28.42578125" customWidth="1"/>
    <col min="775" max="775" width="17" customWidth="1"/>
    <col min="776" max="776" width="14.140625" customWidth="1"/>
    <col min="777" max="777" width="37.85546875" bestFit="1" customWidth="1"/>
    <col min="778" max="778" width="13.42578125" customWidth="1"/>
    <col min="779" max="779" width="12.42578125" customWidth="1"/>
    <col min="1028" max="1028" width="28.140625" customWidth="1"/>
    <col min="1029" max="1029" width="42.28515625" customWidth="1"/>
    <col min="1030" max="1030" width="28.42578125" customWidth="1"/>
    <col min="1031" max="1031" width="17" customWidth="1"/>
    <col min="1032" max="1032" width="14.140625" customWidth="1"/>
    <col min="1033" max="1033" width="37.85546875" bestFit="1" customWidth="1"/>
    <col min="1034" max="1034" width="13.42578125" customWidth="1"/>
    <col min="1035" max="1035" width="12.42578125" customWidth="1"/>
    <col min="1284" max="1284" width="28.140625" customWidth="1"/>
    <col min="1285" max="1285" width="42.28515625" customWidth="1"/>
    <col min="1286" max="1286" width="28.42578125" customWidth="1"/>
    <col min="1287" max="1287" width="17" customWidth="1"/>
    <col min="1288" max="1288" width="14.140625" customWidth="1"/>
    <col min="1289" max="1289" width="37.85546875" bestFit="1" customWidth="1"/>
    <col min="1290" max="1290" width="13.42578125" customWidth="1"/>
    <col min="1291" max="1291" width="12.42578125" customWidth="1"/>
    <col min="1540" max="1540" width="28.140625" customWidth="1"/>
    <col min="1541" max="1541" width="42.28515625" customWidth="1"/>
    <col min="1542" max="1542" width="28.42578125" customWidth="1"/>
    <col min="1543" max="1543" width="17" customWidth="1"/>
    <col min="1544" max="1544" width="14.140625" customWidth="1"/>
    <col min="1545" max="1545" width="37.85546875" bestFit="1" customWidth="1"/>
    <col min="1546" max="1546" width="13.42578125" customWidth="1"/>
    <col min="1547" max="1547" width="12.42578125" customWidth="1"/>
    <col min="1796" max="1796" width="28.140625" customWidth="1"/>
    <col min="1797" max="1797" width="42.28515625" customWidth="1"/>
    <col min="1798" max="1798" width="28.42578125" customWidth="1"/>
    <col min="1799" max="1799" width="17" customWidth="1"/>
    <col min="1800" max="1800" width="14.140625" customWidth="1"/>
    <col min="1801" max="1801" width="37.85546875" bestFit="1" customWidth="1"/>
    <col min="1802" max="1802" width="13.42578125" customWidth="1"/>
    <col min="1803" max="1803" width="12.42578125" customWidth="1"/>
    <col min="2052" max="2052" width="28.140625" customWidth="1"/>
    <col min="2053" max="2053" width="42.28515625" customWidth="1"/>
    <col min="2054" max="2054" width="28.42578125" customWidth="1"/>
    <col min="2055" max="2055" width="17" customWidth="1"/>
    <col min="2056" max="2056" width="14.140625" customWidth="1"/>
    <col min="2057" max="2057" width="37.85546875" bestFit="1" customWidth="1"/>
    <col min="2058" max="2058" width="13.42578125" customWidth="1"/>
    <col min="2059" max="2059" width="12.42578125" customWidth="1"/>
    <col min="2308" max="2308" width="28.140625" customWidth="1"/>
    <col min="2309" max="2309" width="42.28515625" customWidth="1"/>
    <col min="2310" max="2310" width="28.42578125" customWidth="1"/>
    <col min="2311" max="2311" width="17" customWidth="1"/>
    <col min="2312" max="2312" width="14.140625" customWidth="1"/>
    <col min="2313" max="2313" width="37.85546875" bestFit="1" customWidth="1"/>
    <col min="2314" max="2314" width="13.42578125" customWidth="1"/>
    <col min="2315" max="2315" width="12.42578125" customWidth="1"/>
    <col min="2564" max="2564" width="28.140625" customWidth="1"/>
    <col min="2565" max="2565" width="42.28515625" customWidth="1"/>
    <col min="2566" max="2566" width="28.42578125" customWidth="1"/>
    <col min="2567" max="2567" width="17" customWidth="1"/>
    <col min="2568" max="2568" width="14.140625" customWidth="1"/>
    <col min="2569" max="2569" width="37.85546875" bestFit="1" customWidth="1"/>
    <col min="2570" max="2570" width="13.42578125" customWidth="1"/>
    <col min="2571" max="2571" width="12.42578125" customWidth="1"/>
    <col min="2820" max="2820" width="28.140625" customWidth="1"/>
    <col min="2821" max="2821" width="42.28515625" customWidth="1"/>
    <col min="2822" max="2822" width="28.42578125" customWidth="1"/>
    <col min="2823" max="2823" width="17" customWidth="1"/>
    <col min="2824" max="2824" width="14.140625" customWidth="1"/>
    <col min="2825" max="2825" width="37.85546875" bestFit="1" customWidth="1"/>
    <col min="2826" max="2826" width="13.42578125" customWidth="1"/>
    <col min="2827" max="2827" width="12.42578125" customWidth="1"/>
    <col min="3076" max="3076" width="28.140625" customWidth="1"/>
    <col min="3077" max="3077" width="42.28515625" customWidth="1"/>
    <col min="3078" max="3078" width="28.42578125" customWidth="1"/>
    <col min="3079" max="3079" width="17" customWidth="1"/>
    <col min="3080" max="3080" width="14.140625" customWidth="1"/>
    <col min="3081" max="3081" width="37.85546875" bestFit="1" customWidth="1"/>
    <col min="3082" max="3082" width="13.42578125" customWidth="1"/>
    <col min="3083" max="3083" width="12.42578125" customWidth="1"/>
    <col min="3332" max="3332" width="28.140625" customWidth="1"/>
    <col min="3333" max="3333" width="42.28515625" customWidth="1"/>
    <col min="3334" max="3334" width="28.42578125" customWidth="1"/>
    <col min="3335" max="3335" width="17" customWidth="1"/>
    <col min="3336" max="3336" width="14.140625" customWidth="1"/>
    <col min="3337" max="3337" width="37.85546875" bestFit="1" customWidth="1"/>
    <col min="3338" max="3338" width="13.42578125" customWidth="1"/>
    <col min="3339" max="3339" width="12.42578125" customWidth="1"/>
    <col min="3588" max="3588" width="28.140625" customWidth="1"/>
    <col min="3589" max="3589" width="42.28515625" customWidth="1"/>
    <col min="3590" max="3590" width="28.42578125" customWidth="1"/>
    <col min="3591" max="3591" width="17" customWidth="1"/>
    <col min="3592" max="3592" width="14.140625" customWidth="1"/>
    <col min="3593" max="3593" width="37.85546875" bestFit="1" customWidth="1"/>
    <col min="3594" max="3594" width="13.42578125" customWidth="1"/>
    <col min="3595" max="3595" width="12.42578125" customWidth="1"/>
    <col min="3844" max="3844" width="28.140625" customWidth="1"/>
    <col min="3845" max="3845" width="42.28515625" customWidth="1"/>
    <col min="3846" max="3846" width="28.42578125" customWidth="1"/>
    <col min="3847" max="3847" width="17" customWidth="1"/>
    <col min="3848" max="3848" width="14.140625" customWidth="1"/>
    <col min="3849" max="3849" width="37.85546875" bestFit="1" customWidth="1"/>
    <col min="3850" max="3850" width="13.42578125" customWidth="1"/>
    <col min="3851" max="3851" width="12.42578125" customWidth="1"/>
    <col min="4100" max="4100" width="28.140625" customWidth="1"/>
    <col min="4101" max="4101" width="42.28515625" customWidth="1"/>
    <col min="4102" max="4102" width="28.42578125" customWidth="1"/>
    <col min="4103" max="4103" width="17" customWidth="1"/>
    <col min="4104" max="4104" width="14.140625" customWidth="1"/>
    <col min="4105" max="4105" width="37.85546875" bestFit="1" customWidth="1"/>
    <col min="4106" max="4106" width="13.42578125" customWidth="1"/>
    <col min="4107" max="4107" width="12.42578125" customWidth="1"/>
    <col min="4356" max="4356" width="28.140625" customWidth="1"/>
    <col min="4357" max="4357" width="42.28515625" customWidth="1"/>
    <col min="4358" max="4358" width="28.42578125" customWidth="1"/>
    <col min="4359" max="4359" width="17" customWidth="1"/>
    <col min="4360" max="4360" width="14.140625" customWidth="1"/>
    <col min="4361" max="4361" width="37.85546875" bestFit="1" customWidth="1"/>
    <col min="4362" max="4362" width="13.42578125" customWidth="1"/>
    <col min="4363" max="4363" width="12.42578125" customWidth="1"/>
    <col min="4612" max="4612" width="28.140625" customWidth="1"/>
    <col min="4613" max="4613" width="42.28515625" customWidth="1"/>
    <col min="4614" max="4614" width="28.42578125" customWidth="1"/>
    <col min="4615" max="4615" width="17" customWidth="1"/>
    <col min="4616" max="4616" width="14.140625" customWidth="1"/>
    <col min="4617" max="4617" width="37.85546875" bestFit="1" customWidth="1"/>
    <col min="4618" max="4618" width="13.42578125" customWidth="1"/>
    <col min="4619" max="4619" width="12.42578125" customWidth="1"/>
    <col min="4868" max="4868" width="28.140625" customWidth="1"/>
    <col min="4869" max="4869" width="42.28515625" customWidth="1"/>
    <col min="4870" max="4870" width="28.42578125" customWidth="1"/>
    <col min="4871" max="4871" width="17" customWidth="1"/>
    <col min="4872" max="4872" width="14.140625" customWidth="1"/>
    <col min="4873" max="4873" width="37.85546875" bestFit="1" customWidth="1"/>
    <col min="4874" max="4874" width="13.42578125" customWidth="1"/>
    <col min="4875" max="4875" width="12.42578125" customWidth="1"/>
    <col min="5124" max="5124" width="28.140625" customWidth="1"/>
    <col min="5125" max="5125" width="42.28515625" customWidth="1"/>
    <col min="5126" max="5126" width="28.42578125" customWidth="1"/>
    <col min="5127" max="5127" width="17" customWidth="1"/>
    <col min="5128" max="5128" width="14.140625" customWidth="1"/>
    <col min="5129" max="5129" width="37.85546875" bestFit="1" customWidth="1"/>
    <col min="5130" max="5130" width="13.42578125" customWidth="1"/>
    <col min="5131" max="5131" width="12.42578125" customWidth="1"/>
    <col min="5380" max="5380" width="28.140625" customWidth="1"/>
    <col min="5381" max="5381" width="42.28515625" customWidth="1"/>
    <col min="5382" max="5382" width="28.42578125" customWidth="1"/>
    <col min="5383" max="5383" width="17" customWidth="1"/>
    <col min="5384" max="5384" width="14.140625" customWidth="1"/>
    <col min="5385" max="5385" width="37.85546875" bestFit="1" customWidth="1"/>
    <col min="5386" max="5386" width="13.42578125" customWidth="1"/>
    <col min="5387" max="5387" width="12.42578125" customWidth="1"/>
    <col min="5636" max="5636" width="28.140625" customWidth="1"/>
    <col min="5637" max="5637" width="42.28515625" customWidth="1"/>
    <col min="5638" max="5638" width="28.42578125" customWidth="1"/>
    <col min="5639" max="5639" width="17" customWidth="1"/>
    <col min="5640" max="5640" width="14.140625" customWidth="1"/>
    <col min="5641" max="5641" width="37.85546875" bestFit="1" customWidth="1"/>
    <col min="5642" max="5642" width="13.42578125" customWidth="1"/>
    <col min="5643" max="5643" width="12.42578125" customWidth="1"/>
    <col min="5892" max="5892" width="28.140625" customWidth="1"/>
    <col min="5893" max="5893" width="42.28515625" customWidth="1"/>
    <col min="5894" max="5894" width="28.42578125" customWidth="1"/>
    <col min="5895" max="5895" width="17" customWidth="1"/>
    <col min="5896" max="5896" width="14.140625" customWidth="1"/>
    <col min="5897" max="5897" width="37.85546875" bestFit="1" customWidth="1"/>
    <col min="5898" max="5898" width="13.42578125" customWidth="1"/>
    <col min="5899" max="5899" width="12.42578125" customWidth="1"/>
    <col min="6148" max="6148" width="28.140625" customWidth="1"/>
    <col min="6149" max="6149" width="42.28515625" customWidth="1"/>
    <col min="6150" max="6150" width="28.42578125" customWidth="1"/>
    <col min="6151" max="6151" width="17" customWidth="1"/>
    <col min="6152" max="6152" width="14.140625" customWidth="1"/>
    <col min="6153" max="6153" width="37.85546875" bestFit="1" customWidth="1"/>
    <col min="6154" max="6154" width="13.42578125" customWidth="1"/>
    <col min="6155" max="6155" width="12.42578125" customWidth="1"/>
    <col min="6404" max="6404" width="28.140625" customWidth="1"/>
    <col min="6405" max="6405" width="42.28515625" customWidth="1"/>
    <col min="6406" max="6406" width="28.42578125" customWidth="1"/>
    <col min="6407" max="6407" width="17" customWidth="1"/>
    <col min="6408" max="6408" width="14.140625" customWidth="1"/>
    <col min="6409" max="6409" width="37.85546875" bestFit="1" customWidth="1"/>
    <col min="6410" max="6410" width="13.42578125" customWidth="1"/>
    <col min="6411" max="6411" width="12.42578125" customWidth="1"/>
    <col min="6660" max="6660" width="28.140625" customWidth="1"/>
    <col min="6661" max="6661" width="42.28515625" customWidth="1"/>
    <col min="6662" max="6662" width="28.42578125" customWidth="1"/>
    <col min="6663" max="6663" width="17" customWidth="1"/>
    <col min="6664" max="6664" width="14.140625" customWidth="1"/>
    <col min="6665" max="6665" width="37.85546875" bestFit="1" customWidth="1"/>
    <col min="6666" max="6666" width="13.42578125" customWidth="1"/>
    <col min="6667" max="6667" width="12.42578125" customWidth="1"/>
    <col min="6916" max="6916" width="28.140625" customWidth="1"/>
    <col min="6917" max="6917" width="42.28515625" customWidth="1"/>
    <col min="6918" max="6918" width="28.42578125" customWidth="1"/>
    <col min="6919" max="6919" width="17" customWidth="1"/>
    <col min="6920" max="6920" width="14.140625" customWidth="1"/>
    <col min="6921" max="6921" width="37.85546875" bestFit="1" customWidth="1"/>
    <col min="6922" max="6922" width="13.42578125" customWidth="1"/>
    <col min="6923" max="6923" width="12.42578125" customWidth="1"/>
    <col min="7172" max="7172" width="28.140625" customWidth="1"/>
    <col min="7173" max="7173" width="42.28515625" customWidth="1"/>
    <col min="7174" max="7174" width="28.42578125" customWidth="1"/>
    <col min="7175" max="7175" width="17" customWidth="1"/>
    <col min="7176" max="7176" width="14.140625" customWidth="1"/>
    <col min="7177" max="7177" width="37.85546875" bestFit="1" customWidth="1"/>
    <col min="7178" max="7178" width="13.42578125" customWidth="1"/>
    <col min="7179" max="7179" width="12.42578125" customWidth="1"/>
    <col min="7428" max="7428" width="28.140625" customWidth="1"/>
    <col min="7429" max="7429" width="42.28515625" customWidth="1"/>
    <col min="7430" max="7430" width="28.42578125" customWidth="1"/>
    <col min="7431" max="7431" width="17" customWidth="1"/>
    <col min="7432" max="7432" width="14.140625" customWidth="1"/>
    <col min="7433" max="7433" width="37.85546875" bestFit="1" customWidth="1"/>
    <col min="7434" max="7434" width="13.42578125" customWidth="1"/>
    <col min="7435" max="7435" width="12.42578125" customWidth="1"/>
    <col min="7684" max="7684" width="28.140625" customWidth="1"/>
    <col min="7685" max="7685" width="42.28515625" customWidth="1"/>
    <col min="7686" max="7686" width="28.42578125" customWidth="1"/>
    <col min="7687" max="7687" width="17" customWidth="1"/>
    <col min="7688" max="7688" width="14.140625" customWidth="1"/>
    <col min="7689" max="7689" width="37.85546875" bestFit="1" customWidth="1"/>
    <col min="7690" max="7690" width="13.42578125" customWidth="1"/>
    <col min="7691" max="7691" width="12.42578125" customWidth="1"/>
    <col min="7940" max="7940" width="28.140625" customWidth="1"/>
    <col min="7941" max="7941" width="42.28515625" customWidth="1"/>
    <col min="7942" max="7942" width="28.42578125" customWidth="1"/>
    <col min="7943" max="7943" width="17" customWidth="1"/>
    <col min="7944" max="7944" width="14.140625" customWidth="1"/>
    <col min="7945" max="7945" width="37.85546875" bestFit="1" customWidth="1"/>
    <col min="7946" max="7946" width="13.42578125" customWidth="1"/>
    <col min="7947" max="7947" width="12.42578125" customWidth="1"/>
    <col min="8196" max="8196" width="28.140625" customWidth="1"/>
    <col min="8197" max="8197" width="42.28515625" customWidth="1"/>
    <col min="8198" max="8198" width="28.42578125" customWidth="1"/>
    <col min="8199" max="8199" width="17" customWidth="1"/>
    <col min="8200" max="8200" width="14.140625" customWidth="1"/>
    <col min="8201" max="8201" width="37.85546875" bestFit="1" customWidth="1"/>
    <col min="8202" max="8202" width="13.42578125" customWidth="1"/>
    <col min="8203" max="8203" width="12.42578125" customWidth="1"/>
    <col min="8452" max="8452" width="28.140625" customWidth="1"/>
    <col min="8453" max="8453" width="42.28515625" customWidth="1"/>
    <col min="8454" max="8454" width="28.42578125" customWidth="1"/>
    <col min="8455" max="8455" width="17" customWidth="1"/>
    <col min="8456" max="8456" width="14.140625" customWidth="1"/>
    <col min="8457" max="8457" width="37.85546875" bestFit="1" customWidth="1"/>
    <col min="8458" max="8458" width="13.42578125" customWidth="1"/>
    <col min="8459" max="8459" width="12.42578125" customWidth="1"/>
    <col min="8708" max="8708" width="28.140625" customWidth="1"/>
    <col min="8709" max="8709" width="42.28515625" customWidth="1"/>
    <col min="8710" max="8710" width="28.42578125" customWidth="1"/>
    <col min="8711" max="8711" width="17" customWidth="1"/>
    <col min="8712" max="8712" width="14.140625" customWidth="1"/>
    <col min="8713" max="8713" width="37.85546875" bestFit="1" customWidth="1"/>
    <col min="8714" max="8714" width="13.42578125" customWidth="1"/>
    <col min="8715" max="8715" width="12.42578125" customWidth="1"/>
    <col min="8964" max="8964" width="28.140625" customWidth="1"/>
    <col min="8965" max="8965" width="42.28515625" customWidth="1"/>
    <col min="8966" max="8966" width="28.42578125" customWidth="1"/>
    <col min="8967" max="8967" width="17" customWidth="1"/>
    <col min="8968" max="8968" width="14.140625" customWidth="1"/>
    <col min="8969" max="8969" width="37.85546875" bestFit="1" customWidth="1"/>
    <col min="8970" max="8970" width="13.42578125" customWidth="1"/>
    <col min="8971" max="8971" width="12.42578125" customWidth="1"/>
    <col min="9220" max="9220" width="28.140625" customWidth="1"/>
    <col min="9221" max="9221" width="42.28515625" customWidth="1"/>
    <col min="9222" max="9222" width="28.42578125" customWidth="1"/>
    <col min="9223" max="9223" width="17" customWidth="1"/>
    <col min="9224" max="9224" width="14.140625" customWidth="1"/>
    <col min="9225" max="9225" width="37.85546875" bestFit="1" customWidth="1"/>
    <col min="9226" max="9226" width="13.42578125" customWidth="1"/>
    <col min="9227" max="9227" width="12.42578125" customWidth="1"/>
    <col min="9476" max="9476" width="28.140625" customWidth="1"/>
    <col min="9477" max="9477" width="42.28515625" customWidth="1"/>
    <col min="9478" max="9478" width="28.42578125" customWidth="1"/>
    <col min="9479" max="9479" width="17" customWidth="1"/>
    <col min="9480" max="9480" width="14.140625" customWidth="1"/>
    <col min="9481" max="9481" width="37.85546875" bestFit="1" customWidth="1"/>
    <col min="9482" max="9482" width="13.42578125" customWidth="1"/>
    <col min="9483" max="9483" width="12.42578125" customWidth="1"/>
    <col min="9732" max="9732" width="28.140625" customWidth="1"/>
    <col min="9733" max="9733" width="42.28515625" customWidth="1"/>
    <col min="9734" max="9734" width="28.42578125" customWidth="1"/>
    <col min="9735" max="9735" width="17" customWidth="1"/>
    <col min="9736" max="9736" width="14.140625" customWidth="1"/>
    <col min="9737" max="9737" width="37.85546875" bestFit="1" customWidth="1"/>
    <col min="9738" max="9738" width="13.42578125" customWidth="1"/>
    <col min="9739" max="9739" width="12.42578125" customWidth="1"/>
    <col min="9988" max="9988" width="28.140625" customWidth="1"/>
    <col min="9989" max="9989" width="42.28515625" customWidth="1"/>
    <col min="9990" max="9990" width="28.42578125" customWidth="1"/>
    <col min="9991" max="9991" width="17" customWidth="1"/>
    <col min="9992" max="9992" width="14.140625" customWidth="1"/>
    <col min="9993" max="9993" width="37.85546875" bestFit="1" customWidth="1"/>
    <col min="9994" max="9994" width="13.42578125" customWidth="1"/>
    <col min="9995" max="9995" width="12.42578125" customWidth="1"/>
    <col min="10244" max="10244" width="28.140625" customWidth="1"/>
    <col min="10245" max="10245" width="42.28515625" customWidth="1"/>
    <col min="10246" max="10246" width="28.42578125" customWidth="1"/>
    <col min="10247" max="10247" width="17" customWidth="1"/>
    <col min="10248" max="10248" width="14.140625" customWidth="1"/>
    <col min="10249" max="10249" width="37.85546875" bestFit="1" customWidth="1"/>
    <col min="10250" max="10250" width="13.42578125" customWidth="1"/>
    <col min="10251" max="10251" width="12.42578125" customWidth="1"/>
    <col min="10500" max="10500" width="28.140625" customWidth="1"/>
    <col min="10501" max="10501" width="42.28515625" customWidth="1"/>
    <col min="10502" max="10502" width="28.42578125" customWidth="1"/>
    <col min="10503" max="10503" width="17" customWidth="1"/>
    <col min="10504" max="10504" width="14.140625" customWidth="1"/>
    <col min="10505" max="10505" width="37.85546875" bestFit="1" customWidth="1"/>
    <col min="10506" max="10506" width="13.42578125" customWidth="1"/>
    <col min="10507" max="10507" width="12.42578125" customWidth="1"/>
    <col min="10756" max="10756" width="28.140625" customWidth="1"/>
    <col min="10757" max="10757" width="42.28515625" customWidth="1"/>
    <col min="10758" max="10758" width="28.42578125" customWidth="1"/>
    <col min="10759" max="10759" width="17" customWidth="1"/>
    <col min="10760" max="10760" width="14.140625" customWidth="1"/>
    <col min="10761" max="10761" width="37.85546875" bestFit="1" customWidth="1"/>
    <col min="10762" max="10762" width="13.42578125" customWidth="1"/>
    <col min="10763" max="10763" width="12.42578125" customWidth="1"/>
    <col min="11012" max="11012" width="28.140625" customWidth="1"/>
    <col min="11013" max="11013" width="42.28515625" customWidth="1"/>
    <col min="11014" max="11014" width="28.42578125" customWidth="1"/>
    <col min="11015" max="11015" width="17" customWidth="1"/>
    <col min="11016" max="11016" width="14.140625" customWidth="1"/>
    <col min="11017" max="11017" width="37.85546875" bestFit="1" customWidth="1"/>
    <col min="11018" max="11018" width="13.42578125" customWidth="1"/>
    <col min="11019" max="11019" width="12.42578125" customWidth="1"/>
    <col min="11268" max="11268" width="28.140625" customWidth="1"/>
    <col min="11269" max="11269" width="42.28515625" customWidth="1"/>
    <col min="11270" max="11270" width="28.42578125" customWidth="1"/>
    <col min="11271" max="11271" width="17" customWidth="1"/>
    <col min="11272" max="11272" width="14.140625" customWidth="1"/>
    <col min="11273" max="11273" width="37.85546875" bestFit="1" customWidth="1"/>
    <col min="11274" max="11274" width="13.42578125" customWidth="1"/>
    <col min="11275" max="11275" width="12.42578125" customWidth="1"/>
    <col min="11524" max="11524" width="28.140625" customWidth="1"/>
    <col min="11525" max="11525" width="42.28515625" customWidth="1"/>
    <col min="11526" max="11526" width="28.42578125" customWidth="1"/>
    <col min="11527" max="11527" width="17" customWidth="1"/>
    <col min="11528" max="11528" width="14.140625" customWidth="1"/>
    <col min="11529" max="11529" width="37.85546875" bestFit="1" customWidth="1"/>
    <col min="11530" max="11530" width="13.42578125" customWidth="1"/>
    <col min="11531" max="11531" width="12.42578125" customWidth="1"/>
    <col min="11780" max="11780" width="28.140625" customWidth="1"/>
    <col min="11781" max="11781" width="42.28515625" customWidth="1"/>
    <col min="11782" max="11782" width="28.42578125" customWidth="1"/>
    <col min="11783" max="11783" width="17" customWidth="1"/>
    <col min="11784" max="11784" width="14.140625" customWidth="1"/>
    <col min="11785" max="11785" width="37.85546875" bestFit="1" customWidth="1"/>
    <col min="11786" max="11786" width="13.42578125" customWidth="1"/>
    <col min="11787" max="11787" width="12.42578125" customWidth="1"/>
    <col min="12036" max="12036" width="28.140625" customWidth="1"/>
    <col min="12037" max="12037" width="42.28515625" customWidth="1"/>
    <col min="12038" max="12038" width="28.42578125" customWidth="1"/>
    <col min="12039" max="12039" width="17" customWidth="1"/>
    <col min="12040" max="12040" width="14.140625" customWidth="1"/>
    <col min="12041" max="12041" width="37.85546875" bestFit="1" customWidth="1"/>
    <col min="12042" max="12042" width="13.42578125" customWidth="1"/>
    <col min="12043" max="12043" width="12.42578125" customWidth="1"/>
    <col min="12292" max="12292" width="28.140625" customWidth="1"/>
    <col min="12293" max="12293" width="42.28515625" customWidth="1"/>
    <col min="12294" max="12294" width="28.42578125" customWidth="1"/>
    <col min="12295" max="12295" width="17" customWidth="1"/>
    <col min="12296" max="12296" width="14.140625" customWidth="1"/>
    <col min="12297" max="12297" width="37.85546875" bestFit="1" customWidth="1"/>
    <col min="12298" max="12298" width="13.42578125" customWidth="1"/>
    <col min="12299" max="12299" width="12.42578125" customWidth="1"/>
    <col min="12548" max="12548" width="28.140625" customWidth="1"/>
    <col min="12549" max="12549" width="42.28515625" customWidth="1"/>
    <col min="12550" max="12550" width="28.42578125" customWidth="1"/>
    <col min="12551" max="12551" width="17" customWidth="1"/>
    <col min="12552" max="12552" width="14.140625" customWidth="1"/>
    <col min="12553" max="12553" width="37.85546875" bestFit="1" customWidth="1"/>
    <col min="12554" max="12554" width="13.42578125" customWidth="1"/>
    <col min="12555" max="12555" width="12.42578125" customWidth="1"/>
    <col min="12804" max="12804" width="28.140625" customWidth="1"/>
    <col min="12805" max="12805" width="42.28515625" customWidth="1"/>
    <col min="12806" max="12806" width="28.42578125" customWidth="1"/>
    <col min="12807" max="12807" width="17" customWidth="1"/>
    <col min="12808" max="12808" width="14.140625" customWidth="1"/>
    <col min="12809" max="12809" width="37.85546875" bestFit="1" customWidth="1"/>
    <col min="12810" max="12810" width="13.42578125" customWidth="1"/>
    <col min="12811" max="12811" width="12.42578125" customWidth="1"/>
    <col min="13060" max="13060" width="28.140625" customWidth="1"/>
    <col min="13061" max="13061" width="42.28515625" customWidth="1"/>
    <col min="13062" max="13062" width="28.42578125" customWidth="1"/>
    <col min="13063" max="13063" width="17" customWidth="1"/>
    <col min="13064" max="13064" width="14.140625" customWidth="1"/>
    <col min="13065" max="13065" width="37.85546875" bestFit="1" customWidth="1"/>
    <col min="13066" max="13066" width="13.42578125" customWidth="1"/>
    <col min="13067" max="13067" width="12.42578125" customWidth="1"/>
    <col min="13316" max="13316" width="28.140625" customWidth="1"/>
    <col min="13317" max="13317" width="42.28515625" customWidth="1"/>
    <col min="13318" max="13318" width="28.42578125" customWidth="1"/>
    <col min="13319" max="13319" width="17" customWidth="1"/>
    <col min="13320" max="13320" width="14.140625" customWidth="1"/>
    <col min="13321" max="13321" width="37.85546875" bestFit="1" customWidth="1"/>
    <col min="13322" max="13322" width="13.42578125" customWidth="1"/>
    <col min="13323" max="13323" width="12.42578125" customWidth="1"/>
    <col min="13572" max="13572" width="28.140625" customWidth="1"/>
    <col min="13573" max="13573" width="42.28515625" customWidth="1"/>
    <col min="13574" max="13574" width="28.42578125" customWidth="1"/>
    <col min="13575" max="13575" width="17" customWidth="1"/>
    <col min="13576" max="13576" width="14.140625" customWidth="1"/>
    <col min="13577" max="13577" width="37.85546875" bestFit="1" customWidth="1"/>
    <col min="13578" max="13578" width="13.42578125" customWidth="1"/>
    <col min="13579" max="13579" width="12.42578125" customWidth="1"/>
    <col min="13828" max="13828" width="28.140625" customWidth="1"/>
    <col min="13829" max="13829" width="42.28515625" customWidth="1"/>
    <col min="13830" max="13830" width="28.42578125" customWidth="1"/>
    <col min="13831" max="13831" width="17" customWidth="1"/>
    <col min="13832" max="13832" width="14.140625" customWidth="1"/>
    <col min="13833" max="13833" width="37.85546875" bestFit="1" customWidth="1"/>
    <col min="13834" max="13834" width="13.42578125" customWidth="1"/>
    <col min="13835" max="13835" width="12.42578125" customWidth="1"/>
    <col min="14084" max="14084" width="28.140625" customWidth="1"/>
    <col min="14085" max="14085" width="42.28515625" customWidth="1"/>
    <col min="14086" max="14086" width="28.42578125" customWidth="1"/>
    <col min="14087" max="14087" width="17" customWidth="1"/>
    <col min="14088" max="14088" width="14.140625" customWidth="1"/>
    <col min="14089" max="14089" width="37.85546875" bestFit="1" customWidth="1"/>
    <col min="14090" max="14090" width="13.42578125" customWidth="1"/>
    <col min="14091" max="14091" width="12.42578125" customWidth="1"/>
    <col min="14340" max="14340" width="28.140625" customWidth="1"/>
    <col min="14341" max="14341" width="42.28515625" customWidth="1"/>
    <col min="14342" max="14342" width="28.42578125" customWidth="1"/>
    <col min="14343" max="14343" width="17" customWidth="1"/>
    <col min="14344" max="14344" width="14.140625" customWidth="1"/>
    <col min="14345" max="14345" width="37.85546875" bestFit="1" customWidth="1"/>
    <col min="14346" max="14346" width="13.42578125" customWidth="1"/>
    <col min="14347" max="14347" width="12.42578125" customWidth="1"/>
    <col min="14596" max="14596" width="28.140625" customWidth="1"/>
    <col min="14597" max="14597" width="42.28515625" customWidth="1"/>
    <col min="14598" max="14598" width="28.42578125" customWidth="1"/>
    <col min="14599" max="14599" width="17" customWidth="1"/>
    <col min="14600" max="14600" width="14.140625" customWidth="1"/>
    <col min="14601" max="14601" width="37.85546875" bestFit="1" customWidth="1"/>
    <col min="14602" max="14602" width="13.42578125" customWidth="1"/>
    <col min="14603" max="14603" width="12.42578125" customWidth="1"/>
    <col min="14852" max="14852" width="28.140625" customWidth="1"/>
    <col min="14853" max="14853" width="42.28515625" customWidth="1"/>
    <col min="14854" max="14854" width="28.42578125" customWidth="1"/>
    <col min="14855" max="14855" width="17" customWidth="1"/>
    <col min="14856" max="14856" width="14.140625" customWidth="1"/>
    <col min="14857" max="14857" width="37.85546875" bestFit="1" customWidth="1"/>
    <col min="14858" max="14858" width="13.42578125" customWidth="1"/>
    <col min="14859" max="14859" width="12.42578125" customWidth="1"/>
    <col min="15108" max="15108" width="28.140625" customWidth="1"/>
    <col min="15109" max="15109" width="42.28515625" customWidth="1"/>
    <col min="15110" max="15110" width="28.42578125" customWidth="1"/>
    <col min="15111" max="15111" width="17" customWidth="1"/>
    <col min="15112" max="15112" width="14.140625" customWidth="1"/>
    <col min="15113" max="15113" width="37.85546875" bestFit="1" customWidth="1"/>
    <col min="15114" max="15114" width="13.42578125" customWidth="1"/>
    <col min="15115" max="15115" width="12.42578125" customWidth="1"/>
    <col min="15364" max="15364" width="28.140625" customWidth="1"/>
    <col min="15365" max="15365" width="42.28515625" customWidth="1"/>
    <col min="15366" max="15366" width="28.42578125" customWidth="1"/>
    <col min="15367" max="15367" width="17" customWidth="1"/>
    <col min="15368" max="15368" width="14.140625" customWidth="1"/>
    <col min="15369" max="15369" width="37.85546875" bestFit="1" customWidth="1"/>
    <col min="15370" max="15370" width="13.42578125" customWidth="1"/>
    <col min="15371" max="15371" width="12.42578125" customWidth="1"/>
    <col min="15620" max="15620" width="28.140625" customWidth="1"/>
    <col min="15621" max="15621" width="42.28515625" customWidth="1"/>
    <col min="15622" max="15622" width="28.42578125" customWidth="1"/>
    <col min="15623" max="15623" width="17" customWidth="1"/>
    <col min="15624" max="15624" width="14.140625" customWidth="1"/>
    <col min="15625" max="15625" width="37.85546875" bestFit="1" customWidth="1"/>
    <col min="15626" max="15626" width="13.42578125" customWidth="1"/>
    <col min="15627" max="15627" width="12.42578125" customWidth="1"/>
    <col min="15876" max="15876" width="28.140625" customWidth="1"/>
    <col min="15877" max="15877" width="42.28515625" customWidth="1"/>
    <col min="15878" max="15878" width="28.42578125" customWidth="1"/>
    <col min="15879" max="15879" width="17" customWidth="1"/>
    <col min="15880" max="15880" width="14.140625" customWidth="1"/>
    <col min="15881" max="15881" width="37.85546875" bestFit="1" customWidth="1"/>
    <col min="15882" max="15882" width="13.42578125" customWidth="1"/>
    <col min="15883" max="15883" width="12.42578125" customWidth="1"/>
    <col min="16132" max="16132" width="28.140625" customWidth="1"/>
    <col min="16133" max="16133" width="42.28515625" customWidth="1"/>
    <col min="16134" max="16134" width="28.42578125" customWidth="1"/>
    <col min="16135" max="16135" width="17" customWidth="1"/>
    <col min="16136" max="16136" width="14.140625" customWidth="1"/>
    <col min="16137" max="16137" width="37.85546875" bestFit="1" customWidth="1"/>
    <col min="16138" max="16138" width="13.42578125" customWidth="1"/>
    <col min="16139" max="16139" width="12.42578125" customWidth="1"/>
  </cols>
  <sheetData>
    <row r="1" spans="1:9" s="335" customFormat="1" ht="42.75" customHeight="1" thickBot="1">
      <c r="A1" s="1347" t="s">
        <v>1550</v>
      </c>
      <c r="B1" s="1348"/>
      <c r="C1" s="1348"/>
      <c r="D1" s="1348"/>
      <c r="E1" s="1348"/>
      <c r="F1" s="1348"/>
      <c r="G1" s="1348"/>
      <c r="H1" s="1348"/>
      <c r="I1" s="1349"/>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1810</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1958</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21</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1959</v>
      </c>
      <c r="B14" s="1322"/>
      <c r="C14" s="1323"/>
      <c r="D14" s="1324" t="s">
        <v>1819</v>
      </c>
      <c r="E14" s="1322"/>
      <c r="F14" s="1323"/>
      <c r="G14" s="1325" t="s">
        <v>1820</v>
      </c>
      <c r="H14" s="1326"/>
      <c r="I14" s="1327"/>
    </row>
    <row r="15" spans="1:9" s="335" customFormat="1" ht="30" customHeight="1">
      <c r="A15" s="1301" t="s">
        <v>1960</v>
      </c>
      <c r="B15" s="1302"/>
      <c r="C15" s="1303"/>
      <c r="D15" s="1304" t="s">
        <v>1822</v>
      </c>
      <c r="E15" s="1302"/>
      <c r="F15" s="1303"/>
      <c r="G15" s="1304">
        <v>1</v>
      </c>
      <c r="H15" s="1302"/>
      <c r="I15" s="1305"/>
    </row>
    <row r="16" spans="1:9" s="335" customFormat="1" ht="8.25" customHeight="1">
      <c r="A16" s="1044"/>
      <c r="B16" s="1045"/>
      <c r="C16" s="1045"/>
      <c r="D16" s="1045"/>
      <c r="E16" s="1045"/>
      <c r="F16" s="1045"/>
      <c r="G16" s="1045"/>
      <c r="H16" s="1045"/>
      <c r="I16" s="1046"/>
    </row>
    <row r="17" spans="1:9" s="335" customFormat="1" ht="26.25" customHeight="1">
      <c r="A17" s="1290" t="s">
        <v>1823</v>
      </c>
      <c r="B17" s="1291"/>
      <c r="C17" s="1291"/>
      <c r="D17" s="1291"/>
      <c r="E17" s="1291"/>
      <c r="F17" s="1291"/>
      <c r="G17" s="1292"/>
      <c r="H17" s="1292"/>
      <c r="I17" s="1293"/>
    </row>
    <row r="18" spans="1:9" s="335" customFormat="1" ht="32.25" customHeight="1">
      <c r="A18" s="1294" t="s">
        <v>1824</v>
      </c>
      <c r="B18" s="1295"/>
      <c r="C18" s="1295"/>
      <c r="D18" s="1295"/>
      <c r="E18" s="1295"/>
      <c r="F18" s="1295"/>
      <c r="G18" s="1292"/>
      <c r="H18" s="1292"/>
      <c r="I18" s="1293"/>
    </row>
    <row r="19" spans="1:9" s="335" customFormat="1" ht="27.75" customHeight="1">
      <c r="A19" s="1296" t="s">
        <v>1825</v>
      </c>
      <c r="B19" s="1297"/>
      <c r="C19" s="1297"/>
      <c r="D19" s="1297"/>
      <c r="E19" s="1297"/>
      <c r="F19" s="1297"/>
      <c r="G19" s="1298"/>
      <c r="H19" s="1299"/>
      <c r="I19" s="1300"/>
    </row>
    <row r="20" spans="1:9" s="335" customFormat="1" ht="33.75" customHeight="1">
      <c r="A20" s="343">
        <v>1</v>
      </c>
      <c r="B20" s="1274" t="s">
        <v>1566</v>
      </c>
      <c r="C20" s="1275"/>
      <c r="D20" s="1275"/>
      <c r="E20" s="1275"/>
      <c r="F20" s="1275"/>
      <c r="G20" s="1284" t="s">
        <v>1961</v>
      </c>
      <c r="H20" s="1285"/>
      <c r="I20" s="1286"/>
    </row>
    <row r="21" spans="1:9" s="335" customFormat="1" ht="30.75" customHeight="1">
      <c r="A21" s="343">
        <v>2</v>
      </c>
      <c r="B21" s="1274" t="s">
        <v>1827</v>
      </c>
      <c r="C21" s="1275"/>
      <c r="D21" s="1275"/>
      <c r="E21" s="1275"/>
      <c r="F21" s="1275"/>
      <c r="G21" s="1276" t="s">
        <v>1962</v>
      </c>
      <c r="H21" s="1277"/>
      <c r="I21" s="1278"/>
    </row>
    <row r="22" spans="1:9" s="335" customFormat="1" ht="27" customHeight="1">
      <c r="A22" s="343">
        <v>3</v>
      </c>
      <c r="B22" s="1274" t="s">
        <v>1570</v>
      </c>
      <c r="C22" s="1275"/>
      <c r="D22" s="1275"/>
      <c r="E22" s="1275"/>
      <c r="F22" s="1275"/>
      <c r="G22" s="1287">
        <v>3222.28</v>
      </c>
      <c r="H22" s="1288"/>
      <c r="I22" s="1289"/>
    </row>
    <row r="23" spans="1:9" s="335" customFormat="1" ht="29.25" customHeight="1">
      <c r="A23" s="343">
        <v>4</v>
      </c>
      <c r="B23" s="1274" t="s">
        <v>1829</v>
      </c>
      <c r="C23" s="1275"/>
      <c r="D23" s="1275"/>
      <c r="E23" s="1275"/>
      <c r="F23" s="1275"/>
      <c r="G23" s="1276" t="s">
        <v>1963</v>
      </c>
      <c r="H23" s="1277"/>
      <c r="I23" s="1278"/>
    </row>
    <row r="24" spans="1:9" s="335" customFormat="1" ht="28.5" customHeight="1" thickBot="1">
      <c r="A24" s="343">
        <v>5</v>
      </c>
      <c r="B24" s="1274" t="s">
        <v>1573</v>
      </c>
      <c r="C24" s="1275"/>
      <c r="D24" s="1275"/>
      <c r="E24" s="1275"/>
      <c r="F24" s="1275"/>
      <c r="G24" s="1279" t="s">
        <v>1964</v>
      </c>
      <c r="H24" s="1280"/>
      <c r="I24" s="1281"/>
    </row>
    <row r="25" spans="1:9" s="335" customFormat="1" ht="8.25" customHeight="1">
      <c r="A25" s="1044"/>
      <c r="B25" s="1045"/>
      <c r="C25" s="1045"/>
      <c r="D25" s="1045"/>
      <c r="E25" s="1045"/>
      <c r="F25" s="1045"/>
      <c r="G25" s="1045"/>
      <c r="H25" s="1045"/>
      <c r="I25" s="351"/>
    </row>
    <row r="26" spans="1:9" s="335" customFormat="1" ht="30" customHeight="1">
      <c r="A26" s="1282" t="s">
        <v>1832</v>
      </c>
      <c r="B26" s="1283"/>
      <c r="C26" s="1283"/>
      <c r="D26" s="1283"/>
      <c r="E26" s="1283"/>
      <c r="F26" s="1283"/>
      <c r="G26" s="1283"/>
      <c r="H26" s="1283"/>
      <c r="I26" s="352"/>
    </row>
    <row r="27" spans="1:9" s="335" customFormat="1" ht="24" customHeight="1">
      <c r="A27" s="1266" t="s">
        <v>1833</v>
      </c>
      <c r="B27" s="1267"/>
      <c r="C27" s="1267"/>
      <c r="D27" s="1267"/>
      <c r="E27" s="1267"/>
      <c r="F27" s="1267"/>
      <c r="G27" s="1267"/>
      <c r="H27" s="1267"/>
      <c r="I27" s="352"/>
    </row>
    <row r="28" spans="1:9" s="335" customFormat="1" ht="12.75" customHeight="1" thickBot="1">
      <c r="A28" s="1268"/>
      <c r="B28" s="1269"/>
      <c r="C28" s="1269"/>
      <c r="D28" s="1269"/>
      <c r="E28" s="1269"/>
      <c r="F28" s="1269"/>
      <c r="G28" s="1269"/>
      <c r="H28" s="1269"/>
      <c r="I28" s="353"/>
    </row>
    <row r="29" spans="1:9" s="335" customFormat="1" ht="27" thickBot="1">
      <c r="A29" s="1092" t="s">
        <v>1834</v>
      </c>
      <c r="B29" s="1093"/>
      <c r="C29" s="1093"/>
      <c r="D29" s="1093"/>
      <c r="E29" s="1093"/>
      <c r="F29" s="1093"/>
      <c r="G29" s="1093"/>
      <c r="H29" s="1094"/>
      <c r="I29" s="352"/>
    </row>
    <row r="30" spans="1:9" s="335" customFormat="1" ht="28.5" customHeight="1">
      <c r="A30" s="1270" t="s">
        <v>1575</v>
      </c>
      <c r="B30" s="1271"/>
      <c r="C30" s="1271"/>
      <c r="D30" s="1271"/>
      <c r="E30" s="1271"/>
      <c r="F30" s="1271" t="s">
        <v>1576</v>
      </c>
      <c r="G30" s="1271"/>
      <c r="H30" s="1271"/>
      <c r="I30" s="352"/>
    </row>
    <row r="31" spans="1:9" s="335" customFormat="1" ht="25.5" customHeight="1">
      <c r="A31" s="343" t="s">
        <v>1554</v>
      </c>
      <c r="B31" s="1101" t="s">
        <v>1835</v>
      </c>
      <c r="C31" s="1102"/>
      <c r="D31" s="1102"/>
      <c r="E31" s="1128"/>
      <c r="F31" s="1272"/>
      <c r="G31" s="1273"/>
      <c r="H31" s="1273"/>
      <c r="I31" s="352"/>
    </row>
    <row r="32" spans="1:9" s="335" customFormat="1" ht="43.5" customHeight="1">
      <c r="A32" s="343" t="s">
        <v>1556</v>
      </c>
      <c r="B32" s="1201" t="s">
        <v>1965</v>
      </c>
      <c r="C32" s="1202"/>
      <c r="D32" s="1202"/>
      <c r="E32" s="1203"/>
      <c r="F32" s="1262">
        <v>0</v>
      </c>
      <c r="G32" s="1263"/>
      <c r="H32" s="1263"/>
      <c r="I32" s="354"/>
    </row>
    <row r="33" spans="1:11" s="335" customFormat="1" ht="44.25" customHeight="1">
      <c r="A33" s="343" t="s">
        <v>1559</v>
      </c>
      <c r="B33" s="1101" t="s">
        <v>1579</v>
      </c>
      <c r="C33" s="1102"/>
      <c r="D33" s="1102"/>
      <c r="E33" s="1128"/>
      <c r="F33" s="1264"/>
      <c r="G33" s="1265"/>
      <c r="H33" s="1265"/>
      <c r="I33" s="355"/>
    </row>
    <row r="34" spans="1:11" s="335" customFormat="1" ht="48" customHeight="1">
      <c r="A34" s="343" t="s">
        <v>1562</v>
      </c>
      <c r="B34" s="1201" t="s">
        <v>1837</v>
      </c>
      <c r="C34" s="1202"/>
      <c r="D34" s="1202"/>
      <c r="E34" s="1203"/>
      <c r="F34" s="1262">
        <v>0</v>
      </c>
      <c r="G34" s="1263"/>
      <c r="H34" s="1263"/>
      <c r="I34" s="1251"/>
    </row>
    <row r="35" spans="1:11" s="335" customFormat="1" ht="45" customHeight="1">
      <c r="A35" s="343" t="s">
        <v>1581</v>
      </c>
      <c r="B35" s="1149" t="s">
        <v>1838</v>
      </c>
      <c r="C35" s="1150"/>
      <c r="D35" s="1150"/>
      <c r="E35" s="1151"/>
      <c r="F35" s="1253">
        <v>0</v>
      </c>
      <c r="G35" s="1254"/>
      <c r="H35" s="1254"/>
      <c r="I35" s="1252"/>
    </row>
    <row r="36" spans="1:11" s="335" customFormat="1" ht="30" customHeight="1">
      <c r="A36" s="343" t="s">
        <v>1583</v>
      </c>
      <c r="B36" s="1101" t="s">
        <v>1584</v>
      </c>
      <c r="C36" s="1102"/>
      <c r="D36" s="1102"/>
      <c r="E36" s="1128"/>
      <c r="F36" s="1255"/>
      <c r="G36" s="1256"/>
      <c r="H36" s="1256"/>
      <c r="I36" s="352"/>
    </row>
    <row r="37" spans="1:11" s="335" customFormat="1" ht="24" thickBot="1">
      <c r="A37" s="356"/>
      <c r="B37" s="1257" t="s">
        <v>1839</v>
      </c>
      <c r="C37" s="1258"/>
      <c r="D37" s="1258"/>
      <c r="E37" s="1259"/>
      <c r="F37" s="1260">
        <f>SUM(F31:H36)</f>
        <v>0</v>
      </c>
      <c r="G37" s="1261"/>
      <c r="H37" s="1261"/>
      <c r="I37" s="352"/>
    </row>
    <row r="38" spans="1:11" s="335" customFormat="1" ht="9.75" customHeight="1" thickBot="1">
      <c r="A38" s="1009" t="s">
        <v>1840</v>
      </c>
      <c r="B38" s="1010"/>
      <c r="C38" s="1010"/>
      <c r="D38" s="1010"/>
      <c r="E38" s="1010"/>
      <c r="F38" s="1010"/>
      <c r="G38" s="1010"/>
      <c r="H38" s="1010"/>
      <c r="I38" s="1011"/>
    </row>
    <row r="39" spans="1:11" s="335" customFormat="1" ht="18.75">
      <c r="A39" s="1239" t="s">
        <v>1841</v>
      </c>
      <c r="B39" s="1240"/>
      <c r="C39" s="1240"/>
      <c r="D39" s="1240"/>
      <c r="E39" s="1240"/>
      <c r="F39" s="1240"/>
      <c r="G39" s="1240"/>
      <c r="H39" s="1240"/>
      <c r="I39" s="1241"/>
    </row>
    <row r="40" spans="1:11" s="335" customFormat="1" ht="1.5" customHeight="1" thickBot="1">
      <c r="A40" s="1242"/>
      <c r="B40" s="1243"/>
      <c r="C40" s="1243"/>
      <c r="D40" s="1243"/>
      <c r="E40" s="1243"/>
      <c r="F40" s="1243"/>
      <c r="G40" s="1243"/>
      <c r="H40" s="1243"/>
      <c r="I40" s="1244"/>
    </row>
    <row r="41" spans="1:11" s="335" customFormat="1" ht="9.75" customHeight="1" thickBot="1">
      <c r="A41" s="1245"/>
      <c r="B41" s="1246"/>
      <c r="C41" s="1246"/>
      <c r="D41" s="1246"/>
      <c r="E41" s="1246"/>
      <c r="F41" s="1246"/>
      <c r="G41" s="1246"/>
      <c r="H41" s="1246"/>
      <c r="I41" s="1247"/>
    </row>
    <row r="42" spans="1:11" s="335" customFormat="1" ht="36" customHeight="1" thickBot="1">
      <c r="A42" s="1092" t="s">
        <v>1842</v>
      </c>
      <c r="B42" s="1093"/>
      <c r="C42" s="1093"/>
      <c r="D42" s="1093"/>
      <c r="E42" s="1093"/>
      <c r="F42" s="1093"/>
      <c r="G42" s="1093"/>
      <c r="H42" s="1093"/>
      <c r="I42" s="1094"/>
    </row>
    <row r="43" spans="1:11" s="335" customFormat="1" ht="34.5" customHeight="1">
      <c r="A43" s="1248" t="s">
        <v>1843</v>
      </c>
      <c r="B43" s="1249"/>
      <c r="C43" s="1249"/>
      <c r="D43" s="1249"/>
      <c r="E43" s="1249"/>
      <c r="F43" s="1249"/>
      <c r="G43" s="1249"/>
      <c r="H43" s="1249"/>
      <c r="I43" s="1250"/>
    </row>
    <row r="44" spans="1:11" s="335" customFormat="1" ht="27" customHeight="1">
      <c r="A44" s="343" t="s">
        <v>710</v>
      </c>
      <c r="B44" s="1236" t="s">
        <v>1844</v>
      </c>
      <c r="C44" s="1237"/>
      <c r="D44" s="1237"/>
      <c r="E44" s="1238"/>
      <c r="F44" s="1236" t="s">
        <v>1845</v>
      </c>
      <c r="G44" s="1237"/>
      <c r="H44" s="1238"/>
      <c r="I44" s="357" t="s">
        <v>1576</v>
      </c>
    </row>
    <row r="45" spans="1:11" s="335" customFormat="1" ht="18">
      <c r="A45" s="358" t="s">
        <v>1554</v>
      </c>
      <c r="B45" s="1207" t="s">
        <v>1846</v>
      </c>
      <c r="C45" s="1208"/>
      <c r="D45" s="1208"/>
      <c r="E45" s="1209"/>
      <c r="F45" s="1154">
        <v>8.3299999999999999E-2</v>
      </c>
      <c r="G45" s="1155"/>
      <c r="H45" s="1156"/>
      <c r="I45" s="359">
        <f>F37*F45</f>
        <v>0</v>
      </c>
      <c r="J45" s="437"/>
    </row>
    <row r="46" spans="1:11" s="335" customFormat="1" ht="18">
      <c r="A46" s="358" t="s">
        <v>1556</v>
      </c>
      <c r="B46" s="1207" t="s">
        <v>1966</v>
      </c>
      <c r="C46" s="1208"/>
      <c r="D46" s="1208"/>
      <c r="E46" s="1209"/>
      <c r="F46" s="1154">
        <v>0.121</v>
      </c>
      <c r="G46" s="1155"/>
      <c r="H46" s="1156"/>
      <c r="I46" s="359">
        <f>F46*F37</f>
        <v>0</v>
      </c>
      <c r="J46" s="437"/>
    </row>
    <row r="47" spans="1:11" s="335" customFormat="1" ht="20.25">
      <c r="A47" s="360"/>
      <c r="B47" s="1221" t="s">
        <v>1848</v>
      </c>
      <c r="C47" s="1222"/>
      <c r="D47" s="1222"/>
      <c r="E47" s="1223"/>
      <c r="F47" s="1224">
        <f>F45+F46</f>
        <v>0.20429999999999998</v>
      </c>
      <c r="G47" s="1225"/>
      <c r="H47" s="1226"/>
      <c r="I47" s="361">
        <f>I45+I46</f>
        <v>0</v>
      </c>
      <c r="K47" s="350"/>
    </row>
    <row r="48" spans="1:11" s="335" customFormat="1" ht="33.75" customHeight="1">
      <c r="A48" s="362"/>
      <c r="B48" s="1227" t="s">
        <v>1849</v>
      </c>
      <c r="C48" s="1228"/>
      <c r="D48" s="1228"/>
      <c r="E48" s="1229"/>
      <c r="F48" s="1230">
        <f>F61*F47</f>
        <v>7.5182399999999996E-2</v>
      </c>
      <c r="G48" s="1231"/>
      <c r="H48" s="1232"/>
      <c r="I48" s="363">
        <f>F61*I47</f>
        <v>0</v>
      </c>
    </row>
    <row r="49" spans="1:11" s="335" customFormat="1" ht="30" customHeight="1" thickBot="1">
      <c r="A49" s="364"/>
      <c r="B49" s="1233" t="s">
        <v>15</v>
      </c>
      <c r="C49" s="1234"/>
      <c r="D49" s="1234"/>
      <c r="E49" s="1235"/>
      <c r="F49" s="1146">
        <f>F47+F48</f>
        <v>0.27948239999999996</v>
      </c>
      <c r="G49" s="1147"/>
      <c r="H49" s="1148"/>
      <c r="I49" s="365">
        <f>I47+I48</f>
        <v>0</v>
      </c>
      <c r="J49" s="350"/>
      <c r="K49" s="350"/>
    </row>
    <row r="50" spans="1:11" s="367" customFormat="1" ht="8.25" customHeight="1" thickBot="1">
      <c r="A50" s="1009"/>
      <c r="B50" s="1010"/>
      <c r="C50" s="1010"/>
      <c r="D50" s="1010"/>
      <c r="E50" s="1010"/>
      <c r="F50" s="1010"/>
      <c r="G50" s="1010"/>
      <c r="H50" s="1010"/>
      <c r="I50" s="1011"/>
      <c r="J50" s="335"/>
      <c r="K50" s="335"/>
    </row>
    <row r="51" spans="1:11" s="335" customFormat="1" ht="41.25" customHeight="1">
      <c r="A51" s="1217" t="s">
        <v>1850</v>
      </c>
      <c r="B51" s="1218"/>
      <c r="C51" s="1218"/>
      <c r="D51" s="1218"/>
      <c r="E51" s="1218"/>
      <c r="F51" s="1218"/>
      <c r="G51" s="1218"/>
      <c r="H51" s="1218"/>
      <c r="I51" s="1219"/>
    </row>
    <row r="52" spans="1:11" s="335" customFormat="1" ht="24" customHeight="1">
      <c r="A52" s="343" t="s">
        <v>782</v>
      </c>
      <c r="B52" s="1153" t="s">
        <v>1594</v>
      </c>
      <c r="C52" s="1064"/>
      <c r="D52" s="1064"/>
      <c r="E52" s="1065"/>
      <c r="F52" s="1153" t="s">
        <v>1845</v>
      </c>
      <c r="G52" s="1065"/>
      <c r="H52" s="1153" t="s">
        <v>1576</v>
      </c>
      <c r="I52" s="1220"/>
    </row>
    <row r="53" spans="1:11" s="335" customFormat="1" ht="20.25">
      <c r="A53" s="343" t="s">
        <v>1554</v>
      </c>
      <c r="B53" s="1207" t="s">
        <v>1595</v>
      </c>
      <c r="C53" s="1208"/>
      <c r="D53" s="1208"/>
      <c r="E53" s="1209"/>
      <c r="F53" s="1074">
        <v>0.2</v>
      </c>
      <c r="G53" s="1075"/>
      <c r="H53" s="1072">
        <f>$F$37*F53</f>
        <v>0</v>
      </c>
      <c r="I53" s="1073"/>
      <c r="K53" s="350"/>
    </row>
    <row r="54" spans="1:11" s="335" customFormat="1" ht="20.25">
      <c r="A54" s="343" t="s">
        <v>1556</v>
      </c>
      <c r="B54" s="1207" t="s">
        <v>1596</v>
      </c>
      <c r="C54" s="1208"/>
      <c r="D54" s="1208"/>
      <c r="E54" s="1209"/>
      <c r="F54" s="1074">
        <v>2.5000000000000001E-2</v>
      </c>
      <c r="G54" s="1075"/>
      <c r="H54" s="1072">
        <f t="shared" ref="H54:H60" si="0">$F$37*F54</f>
        <v>0</v>
      </c>
      <c r="I54" s="1073"/>
      <c r="K54" s="350"/>
    </row>
    <row r="55" spans="1:11" s="335" customFormat="1" ht="20.25">
      <c r="A55" s="343" t="s">
        <v>1559</v>
      </c>
      <c r="B55" s="1216" t="s">
        <v>1851</v>
      </c>
      <c r="C55" s="1208"/>
      <c r="D55" s="1208"/>
      <c r="E55" s="1209"/>
      <c r="F55" s="1074">
        <v>0.03</v>
      </c>
      <c r="G55" s="1075"/>
      <c r="H55" s="1072">
        <f t="shared" si="0"/>
        <v>0</v>
      </c>
      <c r="I55" s="1073"/>
      <c r="K55" s="350"/>
    </row>
    <row r="56" spans="1:11" s="335" customFormat="1" ht="20.25">
      <c r="A56" s="343" t="s">
        <v>1562</v>
      </c>
      <c r="B56" s="1207" t="s">
        <v>1598</v>
      </c>
      <c r="C56" s="1208"/>
      <c r="D56" s="1208"/>
      <c r="E56" s="1209"/>
      <c r="F56" s="1074">
        <v>1.4999999999999999E-2</v>
      </c>
      <c r="G56" s="1075"/>
      <c r="H56" s="1072">
        <f t="shared" si="0"/>
        <v>0</v>
      </c>
      <c r="I56" s="1073"/>
      <c r="K56" s="350"/>
    </row>
    <row r="57" spans="1:11" s="335" customFormat="1" ht="20.25">
      <c r="A57" s="343" t="s">
        <v>1581</v>
      </c>
      <c r="B57" s="1207" t="s">
        <v>1852</v>
      </c>
      <c r="C57" s="1208"/>
      <c r="D57" s="1208"/>
      <c r="E57" s="1209"/>
      <c r="F57" s="1074">
        <v>0.01</v>
      </c>
      <c r="G57" s="1075"/>
      <c r="H57" s="1072">
        <f t="shared" si="0"/>
        <v>0</v>
      </c>
      <c r="I57" s="1073"/>
      <c r="K57" s="350"/>
    </row>
    <row r="58" spans="1:11" s="335" customFormat="1" ht="20.25">
      <c r="A58" s="343" t="s">
        <v>1583</v>
      </c>
      <c r="B58" s="1207" t="s">
        <v>1600</v>
      </c>
      <c r="C58" s="1208"/>
      <c r="D58" s="1208"/>
      <c r="E58" s="1209"/>
      <c r="F58" s="1074">
        <v>6.0000000000000001E-3</v>
      </c>
      <c r="G58" s="1075"/>
      <c r="H58" s="1072">
        <f t="shared" si="0"/>
        <v>0</v>
      </c>
      <c r="I58" s="1073"/>
      <c r="K58" s="350"/>
    </row>
    <row r="59" spans="1:11" s="335" customFormat="1" ht="20.25">
      <c r="A59" s="343" t="s">
        <v>1601</v>
      </c>
      <c r="B59" s="1207" t="s">
        <v>1602</v>
      </c>
      <c r="C59" s="1208"/>
      <c r="D59" s="1208"/>
      <c r="E59" s="1209"/>
      <c r="F59" s="1074">
        <v>2E-3</v>
      </c>
      <c r="G59" s="1075"/>
      <c r="H59" s="1072">
        <f t="shared" si="0"/>
        <v>0</v>
      </c>
      <c r="I59" s="1073"/>
      <c r="K59" s="350"/>
    </row>
    <row r="60" spans="1:11" s="335" customFormat="1" ht="20.25">
      <c r="A60" s="343" t="s">
        <v>1603</v>
      </c>
      <c r="B60" s="1207" t="s">
        <v>1604</v>
      </c>
      <c r="C60" s="1208"/>
      <c r="D60" s="1208"/>
      <c r="E60" s="1209"/>
      <c r="F60" s="1074">
        <v>0.08</v>
      </c>
      <c r="G60" s="1075"/>
      <c r="H60" s="1072">
        <f t="shared" si="0"/>
        <v>0</v>
      </c>
      <c r="I60" s="1073"/>
      <c r="K60" s="350"/>
    </row>
    <row r="61" spans="1:11" s="335" customFormat="1" ht="21" thickBot="1">
      <c r="A61" s="368"/>
      <c r="B61" s="1210" t="s">
        <v>1853</v>
      </c>
      <c r="C61" s="1211"/>
      <c r="D61" s="1211"/>
      <c r="E61" s="1212"/>
      <c r="F61" s="1334">
        <f>SUM(F53:G60)</f>
        <v>0.36800000000000005</v>
      </c>
      <c r="G61" s="1335"/>
      <c r="H61" s="1118">
        <f>SUM(H53:I60)</f>
        <v>0</v>
      </c>
      <c r="I61" s="1215"/>
      <c r="J61" s="350"/>
      <c r="K61" s="438"/>
    </row>
    <row r="62" spans="1:11" s="335" customFormat="1" ht="9.75" customHeight="1" thickBot="1">
      <c r="A62" s="1009"/>
      <c r="B62" s="1010"/>
      <c r="C62" s="1010"/>
      <c r="D62" s="1010"/>
      <c r="E62" s="1010"/>
      <c r="F62" s="1010"/>
      <c r="G62" s="1010"/>
      <c r="H62" s="1010"/>
      <c r="I62" s="1011"/>
    </row>
    <row r="63" spans="1:11" s="335" customFormat="1" ht="31.5" customHeight="1">
      <c r="A63" s="1344" t="s">
        <v>1854</v>
      </c>
      <c r="B63" s="1345"/>
      <c r="C63" s="1345"/>
      <c r="D63" s="1345"/>
      <c r="E63" s="1345"/>
      <c r="F63" s="1345"/>
      <c r="G63" s="1345"/>
      <c r="H63" s="1346"/>
      <c r="I63" s="369"/>
    </row>
    <row r="64" spans="1:11" s="335" customFormat="1" ht="27" customHeight="1">
      <c r="A64" s="370" t="s">
        <v>789</v>
      </c>
      <c r="B64" s="1152" t="s">
        <v>1607</v>
      </c>
      <c r="C64" s="1108"/>
      <c r="D64" s="1108"/>
      <c r="E64" s="1109"/>
      <c r="F64" s="1152" t="s">
        <v>1576</v>
      </c>
      <c r="G64" s="1108"/>
      <c r="H64" s="1109"/>
      <c r="I64" s="369"/>
      <c r="J64" s="439"/>
    </row>
    <row r="65" spans="1:13" s="335" customFormat="1" ht="37.5" customHeight="1">
      <c r="A65" s="343" t="s">
        <v>1554</v>
      </c>
      <c r="B65" s="1201" t="s">
        <v>1855</v>
      </c>
      <c r="C65" s="1202"/>
      <c r="D65" s="1202"/>
      <c r="E65" s="1203"/>
      <c r="F65" s="1204"/>
      <c r="G65" s="1205"/>
      <c r="H65" s="1206"/>
      <c r="I65" s="371"/>
      <c r="J65" s="440"/>
    </row>
    <row r="66" spans="1:13" s="335" customFormat="1" ht="28.5" customHeight="1">
      <c r="A66" s="343" t="s">
        <v>1556</v>
      </c>
      <c r="B66" s="1101" t="s">
        <v>1857</v>
      </c>
      <c r="C66" s="1102"/>
      <c r="D66" s="1102"/>
      <c r="E66" s="1128"/>
      <c r="F66" s="1084"/>
      <c r="G66" s="1178"/>
      <c r="H66" s="1179"/>
      <c r="I66" s="369"/>
      <c r="J66" s="441"/>
    </row>
    <row r="67" spans="1:13" s="335" customFormat="1" ht="25.5" customHeight="1">
      <c r="A67" s="343" t="s">
        <v>1858</v>
      </c>
      <c r="B67" s="1101" t="s">
        <v>1859</v>
      </c>
      <c r="C67" s="1102"/>
      <c r="D67" s="1102"/>
      <c r="E67" s="1128"/>
      <c r="F67" s="1192">
        <v>0</v>
      </c>
      <c r="G67" s="1193"/>
      <c r="H67" s="1194"/>
      <c r="I67" s="369"/>
      <c r="J67" s="441"/>
    </row>
    <row r="68" spans="1:13" s="335" customFormat="1" ht="23.25" customHeight="1">
      <c r="A68" s="343" t="s">
        <v>1860</v>
      </c>
      <c r="B68" s="1101" t="s">
        <v>1861</v>
      </c>
      <c r="C68" s="1102"/>
      <c r="D68" s="1102"/>
      <c r="E68" s="1128"/>
      <c r="F68" s="1195">
        <f>F66-F67</f>
        <v>0</v>
      </c>
      <c r="G68" s="1196"/>
      <c r="H68" s="1197"/>
      <c r="I68" s="369"/>
      <c r="J68" s="441"/>
    </row>
    <row r="69" spans="1:13" s="335" customFormat="1" ht="24" customHeight="1">
      <c r="A69" s="343" t="s">
        <v>1559</v>
      </c>
      <c r="B69" s="1185" t="s">
        <v>1862</v>
      </c>
      <c r="C69" s="1102"/>
      <c r="D69" s="1102"/>
      <c r="E69" s="1128"/>
      <c r="F69" s="1084"/>
      <c r="G69" s="1178"/>
      <c r="H69" s="1179"/>
      <c r="I69" s="369"/>
      <c r="J69" s="439"/>
    </row>
    <row r="70" spans="1:13" s="335" customFormat="1" ht="24.75" customHeight="1">
      <c r="A70" s="343" t="s">
        <v>1562</v>
      </c>
      <c r="B70" s="1101" t="s">
        <v>1863</v>
      </c>
      <c r="C70" s="1102"/>
      <c r="D70" s="1102"/>
      <c r="E70" s="1128"/>
      <c r="F70" s="1084"/>
      <c r="G70" s="1178"/>
      <c r="H70" s="1179"/>
      <c r="I70" s="369"/>
      <c r="J70" s="439"/>
    </row>
    <row r="71" spans="1:13" s="435" customFormat="1" ht="23.25" customHeight="1">
      <c r="A71" s="436" t="s">
        <v>1581</v>
      </c>
      <c r="B71" s="1186" t="s">
        <v>1864</v>
      </c>
      <c r="C71" s="1187"/>
      <c r="D71" s="1187"/>
      <c r="E71" s="1188"/>
      <c r="F71" s="1189"/>
      <c r="G71" s="1190"/>
      <c r="H71" s="1191"/>
      <c r="I71" s="434"/>
      <c r="J71" s="442"/>
    </row>
    <row r="72" spans="1:13" s="335" customFormat="1" ht="40.5" customHeight="1">
      <c r="A72" s="343" t="s">
        <v>1583</v>
      </c>
      <c r="B72" s="1101" t="s">
        <v>1967</v>
      </c>
      <c r="C72" s="1102"/>
      <c r="D72" s="1102"/>
      <c r="E72" s="1128"/>
      <c r="F72" s="1084">
        <v>0</v>
      </c>
      <c r="G72" s="1178"/>
      <c r="H72" s="1179"/>
      <c r="I72" s="373"/>
      <c r="J72" s="1343"/>
      <c r="K72" s="1343"/>
      <c r="L72" s="1343"/>
      <c r="M72" s="443"/>
    </row>
    <row r="73" spans="1:13" s="335" customFormat="1" ht="24.75" customHeight="1">
      <c r="A73" s="374"/>
      <c r="B73" s="1176" t="s">
        <v>1865</v>
      </c>
      <c r="C73" s="1177"/>
      <c r="D73" s="1177"/>
      <c r="E73" s="1180"/>
      <c r="F73" s="1181">
        <f>F65+F68+F69+F70+F71+F72</f>
        <v>0</v>
      </c>
      <c r="G73" s="1182"/>
      <c r="H73" s="1183"/>
      <c r="I73" s="369"/>
    </row>
    <row r="74" spans="1:13" s="335" customFormat="1" ht="7.5" customHeight="1">
      <c r="A74" s="1044"/>
      <c r="B74" s="1045"/>
      <c r="C74" s="1045"/>
      <c r="D74" s="1045"/>
      <c r="E74" s="1045"/>
      <c r="F74" s="1045"/>
      <c r="G74" s="1045"/>
      <c r="H74" s="1184"/>
      <c r="I74" s="369"/>
    </row>
    <row r="75" spans="1:13" s="335" customFormat="1" ht="30.75" customHeight="1">
      <c r="A75" s="1047" t="s">
        <v>1968</v>
      </c>
      <c r="B75" s="1048"/>
      <c r="C75" s="1048"/>
      <c r="D75" s="1048"/>
      <c r="E75" s="1048"/>
      <c r="F75" s="1048"/>
      <c r="G75" s="1048"/>
      <c r="H75" s="1048"/>
      <c r="I75" s="1049"/>
      <c r="J75" s="444"/>
    </row>
    <row r="76" spans="1:13" s="335" customFormat="1" ht="22.5" customHeight="1">
      <c r="A76" s="343">
        <v>2</v>
      </c>
      <c r="B76" s="1125" t="s">
        <v>1617</v>
      </c>
      <c r="C76" s="1126" t="s">
        <v>1889</v>
      </c>
      <c r="D76" s="1126" t="s">
        <v>1889</v>
      </c>
      <c r="E76" s="1126" t="s">
        <v>1889</v>
      </c>
      <c r="F76" s="1126" t="s">
        <v>1889</v>
      </c>
      <c r="G76" s="1126" t="s">
        <v>1889</v>
      </c>
      <c r="H76" s="1127" t="s">
        <v>1889</v>
      </c>
      <c r="I76" s="380" t="s">
        <v>1576</v>
      </c>
    </row>
    <row r="77" spans="1:13" s="335" customFormat="1" ht="23.25" customHeight="1">
      <c r="A77" s="375" t="s">
        <v>710</v>
      </c>
      <c r="B77" s="1173" t="str">
        <f>B44</f>
        <v>13º Salário, Férias e Adicional de Férias</v>
      </c>
      <c r="C77" s="1174"/>
      <c r="D77" s="1174"/>
      <c r="E77" s="1174"/>
      <c r="F77" s="1174"/>
      <c r="G77" s="1174"/>
      <c r="H77" s="1175"/>
      <c r="I77" s="376">
        <f>I49</f>
        <v>0</v>
      </c>
    </row>
    <row r="78" spans="1:13" s="335" customFormat="1" ht="24.75" customHeight="1">
      <c r="A78" s="375" t="s">
        <v>782</v>
      </c>
      <c r="B78" s="1170" t="str">
        <f>B52</f>
        <v>GPS, FGTS e outras contribuições</v>
      </c>
      <c r="C78" s="1171"/>
      <c r="D78" s="1171"/>
      <c r="E78" s="1171"/>
      <c r="F78" s="1171"/>
      <c r="G78" s="1171"/>
      <c r="H78" s="1172"/>
      <c r="I78" s="377">
        <f>H61</f>
        <v>0</v>
      </c>
    </row>
    <row r="79" spans="1:13" s="335" customFormat="1" ht="24.75" customHeight="1">
      <c r="A79" s="375" t="s">
        <v>789</v>
      </c>
      <c r="B79" s="1173" t="str">
        <f>B64</f>
        <v>Benefícios Mensais e Diários</v>
      </c>
      <c r="C79" s="1174" t="s">
        <v>1866</v>
      </c>
      <c r="D79" s="1174" t="s">
        <v>1866</v>
      </c>
      <c r="E79" s="1174" t="s">
        <v>1866</v>
      </c>
      <c r="F79" s="1174" t="s">
        <v>1866</v>
      </c>
      <c r="G79" s="1174" t="s">
        <v>1866</v>
      </c>
      <c r="H79" s="1175" t="s">
        <v>1866</v>
      </c>
      <c r="I79" s="376">
        <f>F73</f>
        <v>0</v>
      </c>
    </row>
    <row r="80" spans="1:13" s="335" customFormat="1" ht="21" customHeight="1">
      <c r="A80" s="1063" t="s">
        <v>15</v>
      </c>
      <c r="B80" s="1064"/>
      <c r="C80" s="1064"/>
      <c r="D80" s="1064"/>
      <c r="E80" s="1064"/>
      <c r="F80" s="1064"/>
      <c r="G80" s="1064"/>
      <c r="H80" s="1065"/>
      <c r="I80" s="378">
        <f>SUM(I77:I79)</f>
        <v>0</v>
      </c>
    </row>
    <row r="81" spans="1:15" s="335" customFormat="1" ht="8.25" customHeight="1">
      <c r="A81" s="1044"/>
      <c r="B81" s="1045"/>
      <c r="C81" s="1045"/>
      <c r="D81" s="1045"/>
      <c r="E81" s="1045"/>
      <c r="F81" s="1045"/>
      <c r="G81" s="1045"/>
      <c r="H81" s="1045"/>
      <c r="I81" s="1046"/>
    </row>
    <row r="82" spans="1:15" s="335" customFormat="1" ht="32.25" customHeight="1">
      <c r="A82" s="1160" t="s">
        <v>1867</v>
      </c>
      <c r="B82" s="1161"/>
      <c r="C82" s="1161"/>
      <c r="D82" s="1161"/>
      <c r="E82" s="1161"/>
      <c r="F82" s="1161"/>
      <c r="G82" s="1161"/>
      <c r="H82" s="1161"/>
      <c r="I82" s="1162"/>
    </row>
    <row r="83" spans="1:15" s="381" customFormat="1" ht="33.75" customHeight="1">
      <c r="A83" s="343">
        <v>3</v>
      </c>
      <c r="B83" s="1176" t="s">
        <v>1868</v>
      </c>
      <c r="C83" s="1177"/>
      <c r="D83" s="1177"/>
      <c r="E83" s="1177"/>
      <c r="F83" s="1177"/>
      <c r="G83" s="1177"/>
      <c r="H83" s="379" t="s">
        <v>1845</v>
      </c>
      <c r="I83" s="380" t="s">
        <v>1576</v>
      </c>
    </row>
    <row r="84" spans="1:15" s="335" customFormat="1" ht="28.5" customHeight="1">
      <c r="A84" s="382" t="s">
        <v>1554</v>
      </c>
      <c r="B84" s="1101" t="s">
        <v>1869</v>
      </c>
      <c r="C84" s="1102"/>
      <c r="D84" s="1102"/>
      <c r="E84" s="1102"/>
      <c r="F84" s="1102"/>
      <c r="G84" s="1102"/>
      <c r="H84" s="383">
        <f>1/12*5%</f>
        <v>4.1666666666666666E-3</v>
      </c>
      <c r="I84" s="384">
        <f>H84*$F$37</f>
        <v>0</v>
      </c>
    </row>
    <row r="85" spans="1:15" s="335" customFormat="1" ht="31.5" customHeight="1">
      <c r="A85" s="382" t="s">
        <v>1556</v>
      </c>
      <c r="B85" s="1101" t="s">
        <v>1870</v>
      </c>
      <c r="C85" s="1102"/>
      <c r="D85" s="1102"/>
      <c r="E85" s="1102"/>
      <c r="F85" s="1102"/>
      <c r="G85" s="1102"/>
      <c r="H85" s="383">
        <f>F60*H84</f>
        <v>3.3333333333333332E-4</v>
      </c>
      <c r="I85" s="384">
        <f>H85*$F$37</f>
        <v>0</v>
      </c>
    </row>
    <row r="86" spans="1:15" s="335" customFormat="1" ht="56.25" customHeight="1">
      <c r="A86" s="382" t="s">
        <v>1559</v>
      </c>
      <c r="B86" s="1169" t="s">
        <v>1871</v>
      </c>
      <c r="C86" s="1169"/>
      <c r="D86" s="1169"/>
      <c r="E86" s="1169"/>
      <c r="F86" s="1169"/>
      <c r="G86" s="1169"/>
      <c r="H86" s="385">
        <v>3.4700000000000002E-2</v>
      </c>
      <c r="I86" s="384">
        <f>H86*$F$37</f>
        <v>0</v>
      </c>
    </row>
    <row r="87" spans="1:15" s="335" customFormat="1" ht="33" customHeight="1">
      <c r="A87" s="382" t="s">
        <v>1562</v>
      </c>
      <c r="B87" s="1083" t="s">
        <v>1969</v>
      </c>
      <c r="C87" s="1150"/>
      <c r="D87" s="1150"/>
      <c r="E87" s="1150"/>
      <c r="F87" s="1150"/>
      <c r="G87" s="1150"/>
      <c r="H87" s="383">
        <f>6/30/12</f>
        <v>1.6666666666666666E-2</v>
      </c>
      <c r="I87" s="384">
        <f>H87*$F$37</f>
        <v>0</v>
      </c>
    </row>
    <row r="88" spans="1:15" s="335" customFormat="1" ht="36.75" customHeight="1">
      <c r="A88" s="382" t="s">
        <v>1581</v>
      </c>
      <c r="B88" s="1101" t="s">
        <v>1873</v>
      </c>
      <c r="C88" s="1102"/>
      <c r="D88" s="1102"/>
      <c r="E88" s="1102"/>
      <c r="F88" s="1102"/>
      <c r="G88" s="1102"/>
      <c r="H88" s="383">
        <f>F61*H87</f>
        <v>6.1333333333333344E-3</v>
      </c>
      <c r="I88" s="384">
        <f>F37*H88</f>
        <v>0</v>
      </c>
    </row>
    <row r="89" spans="1:15" s="335" customFormat="1" ht="39.75" customHeight="1">
      <c r="A89" s="382" t="s">
        <v>1583</v>
      </c>
      <c r="B89" s="1149" t="s">
        <v>1874</v>
      </c>
      <c r="C89" s="1150"/>
      <c r="D89" s="1150"/>
      <c r="E89" s="1150"/>
      <c r="F89" s="1150"/>
      <c r="G89" s="1150"/>
      <c r="H89" s="383">
        <v>5.3E-3</v>
      </c>
      <c r="I89" s="384">
        <f>H89*$F$37</f>
        <v>0</v>
      </c>
      <c r="J89" s="1342"/>
      <c r="K89" s="1342"/>
      <c r="L89" s="1342"/>
      <c r="M89" s="1342"/>
    </row>
    <row r="90" spans="1:15" s="335" customFormat="1" ht="33.75" customHeight="1">
      <c r="A90" s="1107" t="s">
        <v>15</v>
      </c>
      <c r="B90" s="1108"/>
      <c r="C90" s="1108"/>
      <c r="D90" s="1108"/>
      <c r="E90" s="1108"/>
      <c r="F90" s="1108"/>
      <c r="G90" s="1108"/>
      <c r="H90" s="386">
        <f>SUM(H84:H89)</f>
        <v>6.7299999999999999E-2</v>
      </c>
      <c r="I90" s="387">
        <f>SUM(I84:I89)</f>
        <v>0</v>
      </c>
      <c r="J90" s="1342"/>
      <c r="K90" s="1342"/>
      <c r="L90" s="1342"/>
      <c r="M90" s="1342"/>
      <c r="N90" s="1342"/>
      <c r="O90" s="1342"/>
    </row>
    <row r="91" spans="1:15" s="335" customFormat="1" ht="10.5" customHeight="1">
      <c r="A91" s="1157"/>
      <c r="B91" s="1158"/>
      <c r="C91" s="1158"/>
      <c r="D91" s="1158"/>
      <c r="E91" s="1158"/>
      <c r="F91" s="1158"/>
      <c r="G91" s="1158"/>
      <c r="H91" s="1158"/>
      <c r="I91" s="1159"/>
    </row>
    <row r="92" spans="1:15" s="335" customFormat="1" ht="10.5" customHeight="1">
      <c r="A92" s="388"/>
      <c r="B92" s="389"/>
      <c r="C92" s="389"/>
      <c r="D92" s="389"/>
      <c r="E92" s="389"/>
      <c r="F92" s="389"/>
      <c r="G92" s="389"/>
      <c r="H92" s="389"/>
      <c r="I92" s="390"/>
    </row>
    <row r="93" spans="1:15" s="335" customFormat="1" ht="29.25" customHeight="1" thickBot="1">
      <c r="A93" s="1160" t="s">
        <v>1875</v>
      </c>
      <c r="B93" s="1161"/>
      <c r="C93" s="1161"/>
      <c r="D93" s="1161"/>
      <c r="E93" s="1161"/>
      <c r="F93" s="1161"/>
      <c r="G93" s="1161"/>
      <c r="H93" s="1161"/>
      <c r="I93" s="1162"/>
    </row>
    <row r="94" spans="1:15" s="335" customFormat="1" ht="9.75" customHeight="1" thickBot="1">
      <c r="A94" s="1009"/>
      <c r="B94" s="1010"/>
      <c r="C94" s="1010"/>
      <c r="D94" s="1010"/>
      <c r="E94" s="1010"/>
      <c r="F94" s="1010"/>
      <c r="G94" s="1010"/>
      <c r="H94" s="1010"/>
      <c r="I94" s="1011"/>
    </row>
    <row r="95" spans="1:15" s="335" customFormat="1" ht="27" customHeight="1">
      <c r="A95" s="391">
        <v>4</v>
      </c>
      <c r="B95" s="1163" t="s">
        <v>1639</v>
      </c>
      <c r="C95" s="1164"/>
      <c r="D95" s="1164"/>
      <c r="E95" s="1164"/>
      <c r="F95" s="1164"/>
      <c r="G95" s="1164"/>
      <c r="H95" s="1164"/>
      <c r="I95" s="1165"/>
    </row>
    <row r="96" spans="1:15" s="335" customFormat="1" ht="28.5" customHeight="1">
      <c r="A96" s="1166" t="s">
        <v>1876</v>
      </c>
      <c r="B96" s="1167"/>
      <c r="C96" s="1167"/>
      <c r="D96" s="1167"/>
      <c r="E96" s="1167"/>
      <c r="F96" s="1167"/>
      <c r="G96" s="1167"/>
      <c r="H96" s="1167"/>
      <c r="I96" s="1168"/>
    </row>
    <row r="97" spans="1:45" s="335" customFormat="1" ht="20.25">
      <c r="A97" s="343" t="s">
        <v>1292</v>
      </c>
      <c r="B97" s="1152" t="s">
        <v>1877</v>
      </c>
      <c r="C97" s="1108"/>
      <c r="D97" s="1108"/>
      <c r="E97" s="1109"/>
      <c r="F97" s="1153" t="s">
        <v>1845</v>
      </c>
      <c r="G97" s="1064"/>
      <c r="H97" s="1065"/>
      <c r="I97" s="392" t="s">
        <v>1576</v>
      </c>
    </row>
    <row r="98" spans="1:45" s="335" customFormat="1" ht="42" customHeight="1">
      <c r="A98" s="393" t="s">
        <v>1554</v>
      </c>
      <c r="B98" s="1036" t="s">
        <v>1970</v>
      </c>
      <c r="C98" s="1037"/>
      <c r="D98" s="1037"/>
      <c r="E98" s="1038"/>
      <c r="F98" s="1138">
        <f>(8.33%+2.78%)/12</f>
        <v>9.2583333333333337E-3</v>
      </c>
      <c r="G98" s="1139"/>
      <c r="H98" s="1140"/>
      <c r="I98" s="394">
        <f>F98*F37</f>
        <v>0</v>
      </c>
    </row>
    <row r="99" spans="1:45" s="335" customFormat="1" ht="31.5" customHeight="1">
      <c r="A99" s="393" t="s">
        <v>1556</v>
      </c>
      <c r="B99" s="1036" t="s">
        <v>1879</v>
      </c>
      <c r="C99" s="1037"/>
      <c r="D99" s="1037"/>
      <c r="E99" s="1038"/>
      <c r="F99" s="1154">
        <f>1/12/30</f>
        <v>2.7777777777777775E-3</v>
      </c>
      <c r="G99" s="1155"/>
      <c r="H99" s="1156"/>
      <c r="I99" s="394">
        <f>F37*F99</f>
        <v>0</v>
      </c>
    </row>
    <row r="100" spans="1:45" s="335" customFormat="1" ht="41.25" customHeight="1">
      <c r="A100" s="393" t="s">
        <v>1559</v>
      </c>
      <c r="B100" s="1036" t="s">
        <v>1880</v>
      </c>
      <c r="C100" s="1037"/>
      <c r="D100" s="1037"/>
      <c r="E100" s="1038"/>
      <c r="F100" s="1138">
        <f>1/12/30*5*1.5%</f>
        <v>2.0833333333333332E-4</v>
      </c>
      <c r="G100" s="1139"/>
      <c r="H100" s="1140"/>
      <c r="I100" s="394">
        <f>F37*F100</f>
        <v>0</v>
      </c>
    </row>
    <row r="101" spans="1:45" s="335" customFormat="1" ht="51.75" customHeight="1">
      <c r="A101" s="393" t="s">
        <v>1562</v>
      </c>
      <c r="B101" s="1036" t="s">
        <v>1881</v>
      </c>
      <c r="C101" s="1037"/>
      <c r="D101" s="1037"/>
      <c r="E101" s="1038"/>
      <c r="F101" s="1138">
        <f>(15/30)/12*0.0078</f>
        <v>3.2499999999999999E-4</v>
      </c>
      <c r="G101" s="1139"/>
      <c r="H101" s="1140"/>
      <c r="I101" s="394">
        <f>F37*F101</f>
        <v>0</v>
      </c>
    </row>
    <row r="102" spans="1:45" s="335" customFormat="1" ht="44.25" customHeight="1">
      <c r="A102" s="393" t="s">
        <v>1581</v>
      </c>
      <c r="B102" s="1149" t="s">
        <v>1882</v>
      </c>
      <c r="C102" s="1150"/>
      <c r="D102" s="1150"/>
      <c r="E102" s="1151"/>
      <c r="F102" s="1138">
        <f>0.0144*0.1*0.44509*6/12</f>
        <v>3.2046480000000002E-4</v>
      </c>
      <c r="G102" s="1139"/>
      <c r="H102" s="1140"/>
      <c r="I102" s="394">
        <f>F37*F102</f>
        <v>0</v>
      </c>
    </row>
    <row r="103" spans="1:45" s="335" customFormat="1" ht="36" customHeight="1">
      <c r="A103" s="393" t="s">
        <v>1583</v>
      </c>
      <c r="B103" s="1036" t="s">
        <v>1883</v>
      </c>
      <c r="C103" s="1037"/>
      <c r="D103" s="1037"/>
      <c r="E103" s="1038"/>
      <c r="F103" s="1138">
        <f>5/30/12</f>
        <v>1.3888888888888888E-2</v>
      </c>
      <c r="G103" s="1139"/>
      <c r="H103" s="1140"/>
      <c r="I103" s="394">
        <f>F37*F103</f>
        <v>0</v>
      </c>
    </row>
    <row r="104" spans="1:45" s="335" customFormat="1" ht="21.75" customHeight="1">
      <c r="A104" s="393" t="s">
        <v>1601</v>
      </c>
      <c r="B104" s="1036" t="s">
        <v>1584</v>
      </c>
      <c r="C104" s="1037"/>
      <c r="D104" s="1037"/>
      <c r="E104" s="1038"/>
      <c r="F104" s="1141"/>
      <c r="G104" s="1142"/>
      <c r="H104" s="1143"/>
      <c r="I104" s="394"/>
    </row>
    <row r="105" spans="1:45" s="335" customFormat="1" ht="30" customHeight="1" thickBot="1">
      <c r="A105" s="395"/>
      <c r="B105" s="1144" t="s">
        <v>15</v>
      </c>
      <c r="C105" s="1087"/>
      <c r="D105" s="1087"/>
      <c r="E105" s="1145"/>
      <c r="F105" s="1146">
        <f>SUM(F98:H104)</f>
        <v>2.6778798133333333E-2</v>
      </c>
      <c r="G105" s="1147"/>
      <c r="H105" s="1148"/>
      <c r="I105" s="396">
        <f>SUM(I98:I104)</f>
        <v>0</v>
      </c>
    </row>
    <row r="106" spans="1:45" s="335" customFormat="1" ht="10.5" customHeight="1" thickBot="1">
      <c r="A106" s="1339"/>
      <c r="B106" s="1340"/>
      <c r="C106" s="1340"/>
      <c r="D106" s="1340"/>
      <c r="E106" s="1340"/>
      <c r="F106" s="1340"/>
      <c r="G106" s="1340"/>
      <c r="H106" s="1340"/>
      <c r="I106" s="1341"/>
    </row>
    <row r="107" spans="1:45" s="335" customFormat="1" ht="27" customHeight="1">
      <c r="A107" s="1129" t="s">
        <v>1635</v>
      </c>
      <c r="B107" s="1130"/>
      <c r="C107" s="1130"/>
      <c r="D107" s="1130"/>
      <c r="E107" s="1130"/>
      <c r="F107" s="1130"/>
      <c r="G107" s="1130"/>
      <c r="H107" s="1131"/>
      <c r="I107" s="397"/>
    </row>
    <row r="108" spans="1:45" s="399" customFormat="1" ht="20.25">
      <c r="A108" s="391" t="s">
        <v>1884</v>
      </c>
      <c r="B108" s="1132" t="s">
        <v>1636</v>
      </c>
      <c r="C108" s="1133"/>
      <c r="D108" s="1133"/>
      <c r="E108" s="1134"/>
      <c r="F108" s="1132" t="s">
        <v>1576</v>
      </c>
      <c r="G108" s="1133"/>
      <c r="H108" s="1134"/>
      <c r="I108" s="398"/>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c r="AQ108" s="335"/>
      <c r="AR108" s="335"/>
      <c r="AS108" s="335"/>
    </row>
    <row r="109" spans="1:45" s="335" customFormat="1" ht="35.25" customHeight="1">
      <c r="A109" s="382" t="s">
        <v>1554</v>
      </c>
      <c r="B109" s="1101" t="s">
        <v>1885</v>
      </c>
      <c r="C109" s="1102"/>
      <c r="D109" s="1102"/>
      <c r="E109" s="1128"/>
      <c r="F109" s="1135">
        <v>0</v>
      </c>
      <c r="G109" s="1136"/>
      <c r="H109" s="1137"/>
      <c r="I109" s="400"/>
    </row>
    <row r="110" spans="1:45" s="335" customFormat="1" ht="21" thickBot="1">
      <c r="A110" s="401"/>
      <c r="B110" s="1115" t="s">
        <v>15</v>
      </c>
      <c r="C110" s="1116"/>
      <c r="D110" s="1116"/>
      <c r="E110" s="1117"/>
      <c r="F110" s="1118">
        <v>0</v>
      </c>
      <c r="G110" s="1119"/>
      <c r="H110" s="1120"/>
      <c r="I110" s="398"/>
    </row>
    <row r="111" spans="1:45" s="335" customFormat="1" ht="10.5" customHeight="1" thickBot="1">
      <c r="A111" s="1009"/>
      <c r="B111" s="1010"/>
      <c r="C111" s="1010"/>
      <c r="D111" s="1010"/>
      <c r="E111" s="1010"/>
      <c r="F111" s="1010"/>
      <c r="G111" s="1010"/>
      <c r="H111" s="1010"/>
      <c r="I111" s="1011"/>
      <c r="J111" s="402"/>
      <c r="K111" s="402"/>
      <c r="L111" s="402"/>
    </row>
    <row r="112" spans="1:45" s="335" customFormat="1" ht="36" customHeight="1">
      <c r="A112" s="1121" t="s">
        <v>1886</v>
      </c>
      <c r="B112" s="1122"/>
      <c r="C112" s="1122"/>
      <c r="D112" s="1122"/>
      <c r="E112" s="1122"/>
      <c r="F112" s="1122"/>
      <c r="G112" s="1122"/>
      <c r="H112" s="1122"/>
      <c r="I112" s="1123"/>
      <c r="J112" s="402"/>
      <c r="K112" s="402"/>
      <c r="L112" s="402"/>
      <c r="P112" s="1124"/>
      <c r="Q112" s="1124"/>
      <c r="R112" s="1124"/>
      <c r="S112" s="1124"/>
      <c r="T112" s="1124"/>
      <c r="U112" s="1124"/>
      <c r="V112" s="1124"/>
      <c r="W112" s="1124"/>
      <c r="X112" s="1124"/>
      <c r="Y112" s="1124"/>
      <c r="Z112" s="1124"/>
    </row>
    <row r="113" spans="1:26" s="335" customFormat="1" ht="30.75" customHeight="1">
      <c r="A113" s="382" t="s">
        <v>1887</v>
      </c>
      <c r="B113" s="1125" t="s">
        <v>1639</v>
      </c>
      <c r="C113" s="1126"/>
      <c r="D113" s="1126"/>
      <c r="E113" s="1126"/>
      <c r="F113" s="1126"/>
      <c r="G113" s="1126"/>
      <c r="H113" s="1127"/>
      <c r="I113" s="380" t="s">
        <v>1576</v>
      </c>
      <c r="J113" s="402"/>
      <c r="K113" s="402"/>
      <c r="L113" s="402"/>
      <c r="P113" s="1124"/>
      <c r="Q113" s="1124"/>
      <c r="R113" s="1124"/>
      <c r="S113" s="1124"/>
      <c r="T113" s="1124"/>
      <c r="U113" s="1124"/>
      <c r="V113" s="1124"/>
      <c r="W113" s="1124"/>
      <c r="X113" s="1124"/>
      <c r="Y113" s="1124"/>
      <c r="Z113" s="1124"/>
    </row>
    <row r="114" spans="1:26" s="335" customFormat="1" ht="27.75" customHeight="1">
      <c r="A114" s="382" t="s">
        <v>1292</v>
      </c>
      <c r="B114" s="1036" t="s">
        <v>1888</v>
      </c>
      <c r="C114" s="1037" t="s">
        <v>1889</v>
      </c>
      <c r="D114" s="1037" t="s">
        <v>1889</v>
      </c>
      <c r="E114" s="1037" t="s">
        <v>1889</v>
      </c>
      <c r="F114" s="1037" t="s">
        <v>1889</v>
      </c>
      <c r="G114" s="1037" t="s">
        <v>1889</v>
      </c>
      <c r="H114" s="1038" t="s">
        <v>1889</v>
      </c>
      <c r="I114" s="403">
        <f>I105</f>
        <v>0</v>
      </c>
      <c r="J114" s="402"/>
      <c r="K114" s="402"/>
      <c r="L114" s="402"/>
      <c r="P114" s="1124"/>
      <c r="Q114" s="1124"/>
      <c r="R114" s="1124"/>
      <c r="S114" s="1124"/>
      <c r="T114" s="1124"/>
      <c r="U114" s="1124"/>
      <c r="V114" s="1124"/>
      <c r="W114" s="1124"/>
      <c r="X114" s="1124"/>
      <c r="Y114" s="1124"/>
      <c r="Z114" s="1124"/>
    </row>
    <row r="115" spans="1:26" s="335" customFormat="1" ht="29.25" customHeight="1">
      <c r="A115" s="382" t="s">
        <v>1884</v>
      </c>
      <c r="B115" s="1101" t="s">
        <v>1890</v>
      </c>
      <c r="C115" s="1102"/>
      <c r="D115" s="1102"/>
      <c r="E115" s="1102"/>
      <c r="F115" s="1102"/>
      <c r="G115" s="1102"/>
      <c r="H115" s="1128"/>
      <c r="I115" s="384">
        <f>F110</f>
        <v>0</v>
      </c>
      <c r="J115" s="402"/>
      <c r="K115" s="402"/>
      <c r="L115" s="402"/>
      <c r="P115" s="1124"/>
      <c r="Q115" s="1124"/>
      <c r="R115" s="1124"/>
      <c r="S115" s="1124"/>
      <c r="T115" s="1124"/>
      <c r="U115" s="1124"/>
      <c r="V115" s="1124"/>
      <c r="W115" s="1124"/>
      <c r="X115" s="1124"/>
      <c r="Y115" s="1124"/>
      <c r="Z115" s="1124"/>
    </row>
    <row r="116" spans="1:26" s="335" customFormat="1" ht="27.75" customHeight="1">
      <c r="A116" s="1107" t="s">
        <v>15</v>
      </c>
      <c r="B116" s="1108"/>
      <c r="C116" s="1108"/>
      <c r="D116" s="1108"/>
      <c r="E116" s="1108"/>
      <c r="F116" s="1108"/>
      <c r="G116" s="1108"/>
      <c r="H116" s="1109"/>
      <c r="I116" s="404">
        <f>I114+I115</f>
        <v>0</v>
      </c>
      <c r="J116" s="402"/>
      <c r="K116" s="402"/>
      <c r="L116" s="402"/>
    </row>
    <row r="117" spans="1:26" s="335" customFormat="1" ht="10.5" customHeight="1" thickBot="1">
      <c r="A117" s="1110"/>
      <c r="B117" s="1111"/>
      <c r="C117" s="1111"/>
      <c r="D117" s="1111"/>
      <c r="E117" s="1111"/>
      <c r="F117" s="1111"/>
      <c r="G117" s="1111"/>
      <c r="H117" s="1045"/>
      <c r="I117" s="1046"/>
      <c r="J117" s="402"/>
    </row>
    <row r="118" spans="1:26" s="335" customFormat="1" ht="32.25" customHeight="1" thickBot="1">
      <c r="A118" s="1092" t="s">
        <v>1891</v>
      </c>
      <c r="B118" s="1093"/>
      <c r="C118" s="1093"/>
      <c r="D118" s="1093"/>
      <c r="E118" s="1093"/>
      <c r="F118" s="1093"/>
      <c r="G118" s="1094"/>
      <c r="I118" s="405"/>
      <c r="J118" s="402"/>
    </row>
    <row r="119" spans="1:26" s="335" customFormat="1" ht="24.75" customHeight="1">
      <c r="A119" s="406" t="s">
        <v>1892</v>
      </c>
      <c r="B119" s="1112" t="s">
        <v>1641</v>
      </c>
      <c r="C119" s="1113"/>
      <c r="D119" s="1113"/>
      <c r="E119" s="1114" t="s">
        <v>1576</v>
      </c>
      <c r="F119" s="1114"/>
      <c r="G119" s="1114"/>
      <c r="I119" s="405"/>
      <c r="J119" s="402"/>
    </row>
    <row r="120" spans="1:26" s="335" customFormat="1" ht="27.75" customHeight="1">
      <c r="A120" s="407" t="s">
        <v>1554</v>
      </c>
      <c r="B120" s="1101" t="s">
        <v>1893</v>
      </c>
      <c r="C120" s="1102"/>
      <c r="D120" s="1102"/>
      <c r="E120" s="1103"/>
      <c r="F120" s="1103"/>
      <c r="G120" s="1103"/>
      <c r="I120" s="405"/>
      <c r="J120" s="402"/>
    </row>
    <row r="121" spans="1:26" s="335" customFormat="1" ht="38.25" customHeight="1">
      <c r="A121" s="408" t="s">
        <v>1556</v>
      </c>
      <c r="B121" s="1101" t="s">
        <v>1643</v>
      </c>
      <c r="C121" s="1102"/>
      <c r="D121" s="1102"/>
      <c r="E121" s="1103">
        <v>0</v>
      </c>
      <c r="F121" s="1103"/>
      <c r="G121" s="1103"/>
      <c r="H121" s="1104"/>
      <c r="I121" s="1105"/>
      <c r="J121" s="402"/>
    </row>
    <row r="122" spans="1:26" s="335" customFormat="1" ht="30" customHeight="1">
      <c r="A122" s="408" t="s">
        <v>1559</v>
      </c>
      <c r="B122" s="1101" t="s">
        <v>1894</v>
      </c>
      <c r="C122" s="1102"/>
      <c r="D122" s="1102"/>
      <c r="E122" s="1103"/>
      <c r="F122" s="1103"/>
      <c r="G122" s="1103"/>
      <c r="I122" s="405"/>
      <c r="J122" s="402"/>
    </row>
    <row r="123" spans="1:26" s="335" customFormat="1" ht="27" customHeight="1">
      <c r="A123" s="408" t="s">
        <v>1562</v>
      </c>
      <c r="B123" s="1101" t="s">
        <v>1584</v>
      </c>
      <c r="C123" s="1102"/>
      <c r="D123" s="1102"/>
      <c r="E123" s="1106"/>
      <c r="F123" s="1106"/>
      <c r="G123" s="1106"/>
      <c r="I123" s="405"/>
      <c r="J123" s="402"/>
    </row>
    <row r="124" spans="1:26" s="335" customFormat="1" ht="22.5" customHeight="1">
      <c r="A124" s="1086" t="s">
        <v>15</v>
      </c>
      <c r="B124" s="1087"/>
      <c r="C124" s="1087"/>
      <c r="D124" s="1087"/>
      <c r="E124" s="1088">
        <f>SUM(E120:G123)</f>
        <v>0</v>
      </c>
      <c r="F124" s="1088"/>
      <c r="G124" s="1088"/>
      <c r="I124" s="405"/>
      <c r="J124" s="402"/>
    </row>
    <row r="125" spans="1:26" s="335" customFormat="1" ht="19.5" thickBot="1">
      <c r="A125" s="1089" t="s">
        <v>1895</v>
      </c>
      <c r="B125" s="1090"/>
      <c r="C125" s="1090"/>
      <c r="D125" s="1090"/>
      <c r="E125" s="1090"/>
      <c r="F125" s="1090"/>
      <c r="G125" s="1091"/>
      <c r="I125" s="405"/>
      <c r="J125" s="402"/>
    </row>
    <row r="126" spans="1:26" s="335" customFormat="1" ht="10.5" customHeight="1" thickBot="1">
      <c r="A126" s="1009"/>
      <c r="B126" s="1010"/>
      <c r="C126" s="1010"/>
      <c r="D126" s="1010"/>
      <c r="E126" s="1010"/>
      <c r="F126" s="1010"/>
      <c r="G126" s="1010"/>
      <c r="H126" s="1010"/>
      <c r="I126" s="1011"/>
      <c r="J126" s="402"/>
    </row>
    <row r="127" spans="1:26" s="335" customFormat="1" ht="31.5" customHeight="1" thickBot="1">
      <c r="A127" s="1092" t="s">
        <v>1896</v>
      </c>
      <c r="B127" s="1093"/>
      <c r="C127" s="1093"/>
      <c r="D127" s="1093"/>
      <c r="E127" s="1093"/>
      <c r="F127" s="1093"/>
      <c r="G127" s="1093"/>
      <c r="H127" s="1093"/>
      <c r="I127" s="1094"/>
      <c r="J127" s="402"/>
    </row>
    <row r="128" spans="1:26" s="335" customFormat="1" ht="18">
      <c r="A128" s="406" t="s">
        <v>1897</v>
      </c>
      <c r="B128" s="1095" t="s">
        <v>1646</v>
      </c>
      <c r="C128" s="1096"/>
      <c r="D128" s="1096"/>
      <c r="E128" s="1097"/>
      <c r="F128" s="1095" t="s">
        <v>1588</v>
      </c>
      <c r="G128" s="1097"/>
      <c r="H128" s="1095" t="s">
        <v>1576</v>
      </c>
      <c r="I128" s="1100"/>
      <c r="J128" s="402"/>
    </row>
    <row r="129" spans="1:10" s="335" customFormat="1" ht="18">
      <c r="A129" s="382" t="s">
        <v>1554</v>
      </c>
      <c r="B129" s="1083" t="s">
        <v>1647</v>
      </c>
      <c r="C129" s="1037"/>
      <c r="D129" s="1037"/>
      <c r="E129" s="1038"/>
      <c r="F129" s="1070">
        <v>5.0000000000000001E-3</v>
      </c>
      <c r="G129" s="1071"/>
      <c r="H129" s="1084">
        <f>I146*F129</f>
        <v>0</v>
      </c>
      <c r="I129" s="1085"/>
      <c r="J129" s="402"/>
    </row>
    <row r="130" spans="1:10" s="335" customFormat="1" ht="18">
      <c r="A130" s="382" t="s">
        <v>1556</v>
      </c>
      <c r="B130" s="1083" t="s">
        <v>1648</v>
      </c>
      <c r="C130" s="1037"/>
      <c r="D130" s="1037"/>
      <c r="E130" s="1038"/>
      <c r="F130" s="1070">
        <v>5.0000000000000001E-3</v>
      </c>
      <c r="G130" s="1071"/>
      <c r="H130" s="1084">
        <f>SUM(I146+H129)*F130</f>
        <v>0</v>
      </c>
      <c r="I130" s="1085"/>
      <c r="J130" s="402"/>
    </row>
    <row r="131" spans="1:10" s="335" customFormat="1" ht="18">
      <c r="A131" s="382" t="s">
        <v>1559</v>
      </c>
      <c r="B131" s="1076" t="s">
        <v>1649</v>
      </c>
      <c r="C131" s="1077"/>
      <c r="D131" s="1077"/>
      <c r="E131" s="1078"/>
      <c r="F131" s="1079">
        <f>SUM(F132:G134)</f>
        <v>8.6499999999999994E-2</v>
      </c>
      <c r="G131" s="1080"/>
      <c r="H131" s="1081">
        <f>SUM(H132:I135)</f>
        <v>0</v>
      </c>
      <c r="I131" s="1082"/>
      <c r="J131" s="402"/>
    </row>
    <row r="132" spans="1:10" s="335" customFormat="1" ht="18">
      <c r="A132" s="339"/>
      <c r="B132" s="409" t="s">
        <v>1900</v>
      </c>
      <c r="C132" s="1056" t="s">
        <v>1901</v>
      </c>
      <c r="D132" s="1057"/>
      <c r="E132" s="1058"/>
      <c r="F132" s="1070">
        <v>6.4999999999999997E-3</v>
      </c>
      <c r="G132" s="1071"/>
      <c r="H132" s="1072">
        <f>I148*F132</f>
        <v>0</v>
      </c>
      <c r="I132" s="1073"/>
      <c r="J132" s="402"/>
    </row>
    <row r="133" spans="1:10" s="335" customFormat="1" ht="16.5" customHeight="1">
      <c r="A133" s="339"/>
      <c r="B133" s="409" t="s">
        <v>1902</v>
      </c>
      <c r="C133" s="1036" t="s">
        <v>1903</v>
      </c>
      <c r="D133" s="1037"/>
      <c r="E133" s="1038"/>
      <c r="F133" s="1070">
        <v>0.03</v>
      </c>
      <c r="G133" s="1071"/>
      <c r="H133" s="1072">
        <f>F133*$I$148</f>
        <v>0</v>
      </c>
      <c r="I133" s="1073"/>
      <c r="J133" s="402"/>
    </row>
    <row r="134" spans="1:10" s="335" customFormat="1" ht="16.5" customHeight="1">
      <c r="A134" s="339"/>
      <c r="B134" s="409" t="s">
        <v>1904</v>
      </c>
      <c r="C134" s="1036" t="s">
        <v>1905</v>
      </c>
      <c r="D134" s="1037"/>
      <c r="E134" s="1038"/>
      <c r="F134" s="1074">
        <v>0.05</v>
      </c>
      <c r="G134" s="1075"/>
      <c r="H134" s="1072">
        <f>F134*$I$148</f>
        <v>0</v>
      </c>
      <c r="I134" s="1073"/>
      <c r="J134" s="402"/>
    </row>
    <row r="135" spans="1:10" s="335" customFormat="1" ht="19.5" customHeight="1">
      <c r="A135" s="410"/>
      <c r="B135" s="409" t="s">
        <v>1906</v>
      </c>
      <c r="C135" s="1056" t="s">
        <v>1907</v>
      </c>
      <c r="D135" s="1057"/>
      <c r="E135" s="1058"/>
      <c r="F135" s="1059"/>
      <c r="G135" s="1060"/>
      <c r="H135" s="1061">
        <f>F135*$I$148</f>
        <v>0</v>
      </c>
      <c r="I135" s="1062"/>
      <c r="J135" s="402"/>
    </row>
    <row r="136" spans="1:10" s="335" customFormat="1" ht="20.25">
      <c r="A136" s="1063" t="s">
        <v>1908</v>
      </c>
      <c r="B136" s="1064"/>
      <c r="C136" s="1064"/>
      <c r="D136" s="1064"/>
      <c r="E136" s="1065"/>
      <c r="F136" s="1066">
        <f>F129+F130+F131</f>
        <v>9.6499999999999989E-2</v>
      </c>
      <c r="G136" s="1067"/>
      <c r="H136" s="1068">
        <f>H129+H130+H131</f>
        <v>0</v>
      </c>
      <c r="I136" s="1069"/>
      <c r="J136" s="402"/>
    </row>
    <row r="137" spans="1:10" s="399" customFormat="1" ht="15.75">
      <c r="A137" s="1050" t="s">
        <v>1909</v>
      </c>
      <c r="B137" s="1051"/>
      <c r="C137" s="1051"/>
      <c r="D137" s="1051"/>
      <c r="E137" s="1051"/>
      <c r="F137" s="1051"/>
      <c r="G137" s="1051"/>
      <c r="H137" s="1051"/>
      <c r="I137" s="1052"/>
      <c r="J137" s="411"/>
    </row>
    <row r="138" spans="1:10" s="335" customFormat="1" ht="10.5" customHeight="1">
      <c r="A138" s="1044"/>
      <c r="B138" s="1045"/>
      <c r="C138" s="1045"/>
      <c r="D138" s="1045"/>
      <c r="E138" s="1045"/>
      <c r="F138" s="1045"/>
      <c r="G138" s="1045"/>
      <c r="H138" s="1045"/>
      <c r="I138" s="1046"/>
      <c r="J138" s="402"/>
    </row>
    <row r="139" spans="1:10" s="335" customFormat="1" ht="25.5" customHeight="1">
      <c r="A139" s="1047" t="s">
        <v>1653</v>
      </c>
      <c r="B139" s="1048"/>
      <c r="C139" s="1048"/>
      <c r="D139" s="1048"/>
      <c r="E139" s="1048"/>
      <c r="F139" s="1048"/>
      <c r="G139" s="1048"/>
      <c r="H139" s="1048"/>
      <c r="I139" s="1049"/>
      <c r="J139" s="402"/>
    </row>
    <row r="140" spans="1:10" s="335" customFormat="1" ht="23.25" customHeight="1">
      <c r="A140" s="1336" t="s">
        <v>1971</v>
      </c>
      <c r="B140" s="1337"/>
      <c r="C140" s="1337"/>
      <c r="D140" s="1337"/>
      <c r="E140" s="1337"/>
      <c r="F140" s="1337"/>
      <c r="G140" s="1337"/>
      <c r="H140" s="1338"/>
      <c r="I140" s="380" t="s">
        <v>1576</v>
      </c>
      <c r="J140" s="402"/>
    </row>
    <row r="141" spans="1:10" s="335" customFormat="1" ht="22.5" customHeight="1">
      <c r="A141" s="382" t="s">
        <v>1554</v>
      </c>
      <c r="B141" s="1036" t="s">
        <v>1910</v>
      </c>
      <c r="C141" s="1037"/>
      <c r="D141" s="1037"/>
      <c r="E141" s="1037"/>
      <c r="F141" s="1037"/>
      <c r="G141" s="1037"/>
      <c r="H141" s="1038"/>
      <c r="I141" s="403">
        <f>F37</f>
        <v>0</v>
      </c>
      <c r="J141" s="402"/>
    </row>
    <row r="142" spans="1:10" s="335" customFormat="1" ht="21" customHeight="1">
      <c r="A142" s="382" t="s">
        <v>1556</v>
      </c>
      <c r="B142" s="1036" t="s">
        <v>1911</v>
      </c>
      <c r="C142" s="1037" t="s">
        <v>1889</v>
      </c>
      <c r="D142" s="1037" t="s">
        <v>1889</v>
      </c>
      <c r="E142" s="1037" t="s">
        <v>1889</v>
      </c>
      <c r="F142" s="1037" t="s">
        <v>1889</v>
      </c>
      <c r="G142" s="1037" t="s">
        <v>1889</v>
      </c>
      <c r="H142" s="1038" t="s">
        <v>1889</v>
      </c>
      <c r="I142" s="403">
        <f>I80</f>
        <v>0</v>
      </c>
      <c r="J142" s="402"/>
    </row>
    <row r="143" spans="1:10" s="335" customFormat="1" ht="20.25" customHeight="1">
      <c r="A143" s="382" t="s">
        <v>1559</v>
      </c>
      <c r="B143" s="1036" t="s">
        <v>1912</v>
      </c>
      <c r="C143" s="1037" t="s">
        <v>1866</v>
      </c>
      <c r="D143" s="1037" t="s">
        <v>1866</v>
      </c>
      <c r="E143" s="1037" t="s">
        <v>1866</v>
      </c>
      <c r="F143" s="1037" t="s">
        <v>1866</v>
      </c>
      <c r="G143" s="1037" t="s">
        <v>1866</v>
      </c>
      <c r="H143" s="1038" t="s">
        <v>1866</v>
      </c>
      <c r="I143" s="384">
        <f>I90</f>
        <v>0</v>
      </c>
      <c r="J143" s="402"/>
    </row>
    <row r="144" spans="1:10" s="335" customFormat="1" ht="18" customHeight="1">
      <c r="A144" s="382" t="s">
        <v>1562</v>
      </c>
      <c r="B144" s="1036" t="s">
        <v>1913</v>
      </c>
      <c r="C144" s="1037"/>
      <c r="D144" s="1037"/>
      <c r="E144" s="1037"/>
      <c r="F144" s="1037"/>
      <c r="G144" s="1037"/>
      <c r="H144" s="1038"/>
      <c r="I144" s="384">
        <f>I116</f>
        <v>0</v>
      </c>
      <c r="J144" s="402"/>
    </row>
    <row r="145" spans="1:10" s="335" customFormat="1" ht="22.5" customHeight="1">
      <c r="A145" s="382" t="s">
        <v>1581</v>
      </c>
      <c r="B145" s="1036" t="s">
        <v>1914</v>
      </c>
      <c r="C145" s="1037"/>
      <c r="D145" s="1037"/>
      <c r="E145" s="1037"/>
      <c r="F145" s="1037"/>
      <c r="G145" s="1037"/>
      <c r="H145" s="1038"/>
      <c r="I145" s="403">
        <f>E124</f>
        <v>0</v>
      </c>
      <c r="J145" s="402"/>
    </row>
    <row r="146" spans="1:10" s="335" customFormat="1" ht="22.5" customHeight="1">
      <c r="A146" s="408"/>
      <c r="B146" s="1039" t="s">
        <v>1915</v>
      </c>
      <c r="C146" s="1040"/>
      <c r="D146" s="1040"/>
      <c r="E146" s="1040"/>
      <c r="F146" s="1040"/>
      <c r="G146" s="1040"/>
      <c r="H146" s="1023"/>
      <c r="I146" s="387">
        <f>SUM(I141:I145)</f>
        <v>0</v>
      </c>
      <c r="J146" s="402"/>
    </row>
    <row r="147" spans="1:10" s="335" customFormat="1" ht="24.75" customHeight="1">
      <c r="A147" s="382" t="s">
        <v>1583</v>
      </c>
      <c r="B147" s="1036" t="s">
        <v>1656</v>
      </c>
      <c r="C147" s="1037"/>
      <c r="D147" s="1037"/>
      <c r="E147" s="1037"/>
      <c r="F147" s="1037"/>
      <c r="G147" s="1037"/>
      <c r="H147" s="1038"/>
      <c r="I147" s="384">
        <f>H136</f>
        <v>0</v>
      </c>
      <c r="J147" s="402"/>
    </row>
    <row r="148" spans="1:10" s="335" customFormat="1" ht="23.25" customHeight="1">
      <c r="A148" s="1041" t="s">
        <v>1916</v>
      </c>
      <c r="B148" s="1042"/>
      <c r="C148" s="1042"/>
      <c r="D148" s="1042"/>
      <c r="E148" s="1042"/>
      <c r="F148" s="1042"/>
      <c r="G148" s="1042"/>
      <c r="H148" s="1043"/>
      <c r="I148" s="415">
        <f>(I146+H129+H130)/(1-F131)</f>
        <v>0</v>
      </c>
      <c r="J148" s="402"/>
    </row>
    <row r="149" spans="1:10" s="335" customFormat="1" ht="7.5" customHeight="1">
      <c r="A149" s="1044"/>
      <c r="B149" s="1045"/>
      <c r="C149" s="1045"/>
      <c r="D149" s="1045"/>
      <c r="E149" s="1045"/>
      <c r="F149" s="1045"/>
      <c r="G149" s="1045"/>
      <c r="H149" s="1045"/>
      <c r="I149" s="1046"/>
      <c r="J149" s="402"/>
    </row>
    <row r="150" spans="1:10" s="335" customFormat="1" ht="23.25" customHeight="1">
      <c r="A150" s="1047" t="s">
        <v>1917</v>
      </c>
      <c r="B150" s="1048"/>
      <c r="C150" s="1048"/>
      <c r="D150" s="1048"/>
      <c r="E150" s="1048"/>
      <c r="F150" s="1048"/>
      <c r="G150" s="1048"/>
      <c r="H150" s="1048"/>
      <c r="I150" s="1049"/>
      <c r="J150" s="402"/>
    </row>
    <row r="151" spans="1:10" s="335" customFormat="1" ht="16.5" customHeight="1">
      <c r="A151" s="1026" t="s">
        <v>1659</v>
      </c>
      <c r="B151" s="1027"/>
      <c r="C151" s="1030" t="s">
        <v>1918</v>
      </c>
      <c r="D151" s="1027"/>
      <c r="E151" s="1032" t="s">
        <v>1660</v>
      </c>
      <c r="F151" s="1030" t="s">
        <v>1661</v>
      </c>
      <c r="G151" s="1027"/>
      <c r="H151" s="1032" t="s">
        <v>1662</v>
      </c>
      <c r="I151" s="1034" t="s">
        <v>1919</v>
      </c>
      <c r="J151" s="402"/>
    </row>
    <row r="152" spans="1:10" s="335" customFormat="1" ht="21.75" customHeight="1">
      <c r="A152" s="1028"/>
      <c r="B152" s="1029"/>
      <c r="C152" s="1031"/>
      <c r="D152" s="1029"/>
      <c r="E152" s="1033"/>
      <c r="F152" s="1031"/>
      <c r="G152" s="1029"/>
      <c r="H152" s="1033"/>
      <c r="I152" s="1035"/>
      <c r="J152" s="402"/>
    </row>
    <row r="153" spans="1:10" s="335" customFormat="1" ht="24" customHeight="1">
      <c r="A153" s="1019" t="s">
        <v>1920</v>
      </c>
      <c r="B153" s="1020"/>
      <c r="C153" s="1021" t="s">
        <v>1921</v>
      </c>
      <c r="D153" s="1020"/>
      <c r="E153" s="416" t="s">
        <v>1922</v>
      </c>
      <c r="F153" s="1021" t="s">
        <v>1923</v>
      </c>
      <c r="G153" s="1020"/>
      <c r="H153" s="416" t="s">
        <v>1248</v>
      </c>
      <c r="I153" s="417" t="s">
        <v>1924</v>
      </c>
      <c r="J153" s="402"/>
    </row>
    <row r="154" spans="1:10" s="335" customFormat="1" ht="28.5" customHeight="1" thickBot="1">
      <c r="A154" s="418" t="s">
        <v>1540</v>
      </c>
      <c r="B154" s="419" t="s">
        <v>1925</v>
      </c>
      <c r="C154" s="1022">
        <f>I148</f>
        <v>0</v>
      </c>
      <c r="D154" s="1023"/>
      <c r="E154" s="420">
        <v>1</v>
      </c>
      <c r="F154" s="1022">
        <f>C154*E154</f>
        <v>0</v>
      </c>
      <c r="G154" s="1023"/>
      <c r="H154" s="420">
        <f>G15</f>
        <v>1</v>
      </c>
      <c r="I154" s="421">
        <f>F154*H154</f>
        <v>0</v>
      </c>
      <c r="J154" s="402"/>
    </row>
    <row r="155" spans="1:10" s="335" customFormat="1" ht="9" customHeight="1" thickBot="1">
      <c r="A155" s="1009"/>
      <c r="B155" s="1010"/>
      <c r="C155" s="1010"/>
      <c r="D155" s="1010"/>
      <c r="E155" s="1010"/>
      <c r="F155" s="1010"/>
      <c r="G155" s="1010"/>
      <c r="H155" s="1010"/>
      <c r="I155" s="1011"/>
      <c r="J155" s="402"/>
    </row>
    <row r="156" spans="1:10" s="335" customFormat="1" ht="9" customHeight="1" thickBot="1">
      <c r="A156" s="423"/>
      <c r="I156" s="405"/>
      <c r="J156" s="402"/>
    </row>
    <row r="157" spans="1:10" s="335" customFormat="1" ht="23.25">
      <c r="A157" s="423"/>
      <c r="B157" s="1012" t="s">
        <v>1240</v>
      </c>
      <c r="C157" s="1014" t="s">
        <v>1926</v>
      </c>
      <c r="D157" s="1015"/>
      <c r="E157" s="424">
        <f>(1+F129)*(1+F130)/(1-F131)-1</f>
        <v>0.1056650246305415</v>
      </c>
      <c r="G157" s="1016">
        <f>E157*I146</f>
        <v>0</v>
      </c>
      <c r="I157" s="1017"/>
      <c r="J157" s="402"/>
    </row>
    <row r="158" spans="1:10" s="335" customFormat="1" ht="17.25" customHeight="1" thickBot="1">
      <c r="A158" s="423"/>
      <c r="B158" s="1013"/>
      <c r="C158" s="1328" t="s">
        <v>1972</v>
      </c>
      <c r="D158" s="1329"/>
      <c r="G158" s="1333"/>
      <c r="I158" s="1018"/>
      <c r="J158" s="402"/>
    </row>
    <row r="159" spans="1:10" s="335" customFormat="1" ht="7.5" customHeight="1">
      <c r="A159" s="423"/>
      <c r="I159" s="405"/>
      <c r="J159" s="402"/>
    </row>
    <row r="160" spans="1:10" s="335" customFormat="1" ht="20.25">
      <c r="A160" s="423"/>
      <c r="B160" s="1006" t="s">
        <v>1928</v>
      </c>
      <c r="C160" s="1006"/>
      <c r="D160" s="1006"/>
      <c r="E160" s="1006"/>
      <c r="G160" s="427" t="s">
        <v>1556</v>
      </c>
      <c r="H160" s="1007" t="s">
        <v>1929</v>
      </c>
      <c r="I160" s="1008"/>
      <c r="J160" s="402"/>
    </row>
    <row r="161" spans="1:10" s="335" customFormat="1" ht="20.25">
      <c r="A161" s="423"/>
      <c r="B161" s="1006" t="s">
        <v>1930</v>
      </c>
      <c r="C161" s="1006"/>
      <c r="D161" s="1006"/>
      <c r="E161" s="1006"/>
      <c r="G161" s="427" t="s">
        <v>1562</v>
      </c>
      <c r="H161" s="1007" t="s">
        <v>1931</v>
      </c>
      <c r="I161" s="1008"/>
      <c r="J161" s="402"/>
    </row>
    <row r="162" spans="1:10" s="335" customFormat="1" ht="20.25">
      <c r="A162" s="423"/>
      <c r="B162" s="1006" t="s">
        <v>1932</v>
      </c>
      <c r="C162" s="1006"/>
      <c r="D162" s="1006"/>
      <c r="E162" s="1006"/>
      <c r="G162" s="427" t="s">
        <v>1540</v>
      </c>
      <c r="H162" s="1007" t="s">
        <v>1933</v>
      </c>
      <c r="I162" s="1008"/>
      <c r="J162" s="402"/>
    </row>
    <row r="163" spans="1:10" s="335" customFormat="1" thickBot="1">
      <c r="A163" s="423"/>
      <c r="B163" s="429"/>
      <c r="C163" s="429"/>
      <c r="D163" s="429"/>
      <c r="E163" s="429"/>
      <c r="I163" s="405"/>
      <c r="J163" s="402"/>
    </row>
    <row r="164" spans="1:10" s="335" customFormat="1" ht="7.5" customHeight="1" thickBot="1">
      <c r="A164" s="1009"/>
      <c r="B164" s="1010"/>
      <c r="C164" s="1010"/>
      <c r="D164" s="1010"/>
      <c r="E164" s="1010"/>
      <c r="F164" s="1010"/>
      <c r="G164" s="1010"/>
      <c r="H164" s="1010"/>
      <c r="I164" s="1011"/>
      <c r="J164" s="402"/>
    </row>
  </sheetData>
  <mergeCells count="271">
    <mergeCell ref="B7:H7"/>
    <mergeCell ref="B8:H8"/>
    <mergeCell ref="B9:H9"/>
    <mergeCell ref="B10:H10"/>
    <mergeCell ref="B11:H11"/>
    <mergeCell ref="A12:I12"/>
    <mergeCell ref="A1:I1"/>
    <mergeCell ref="C2:H2"/>
    <mergeCell ref="C3:H3"/>
    <mergeCell ref="A4:H4"/>
    <mergeCell ref="A5:I5"/>
    <mergeCell ref="A6:I6"/>
    <mergeCell ref="A16:I16"/>
    <mergeCell ref="A17:F17"/>
    <mergeCell ref="G17:I17"/>
    <mergeCell ref="A18:F18"/>
    <mergeCell ref="G18:I18"/>
    <mergeCell ref="A19:F19"/>
    <mergeCell ref="G19:I19"/>
    <mergeCell ref="A13:I13"/>
    <mergeCell ref="A14:C14"/>
    <mergeCell ref="D14:F14"/>
    <mergeCell ref="G14:I14"/>
    <mergeCell ref="A15:C15"/>
    <mergeCell ref="D15:F15"/>
    <mergeCell ref="G15:I15"/>
    <mergeCell ref="B23:F23"/>
    <mergeCell ref="G23:I23"/>
    <mergeCell ref="B24:F24"/>
    <mergeCell ref="G24:I24"/>
    <mergeCell ref="A25:H25"/>
    <mergeCell ref="A26:H26"/>
    <mergeCell ref="B20:F20"/>
    <mergeCell ref="G20:I20"/>
    <mergeCell ref="B21:F21"/>
    <mergeCell ref="G21:I21"/>
    <mergeCell ref="B22:F22"/>
    <mergeCell ref="G22:I22"/>
    <mergeCell ref="B32:E32"/>
    <mergeCell ref="F32:H32"/>
    <mergeCell ref="B33:E33"/>
    <mergeCell ref="F33:H33"/>
    <mergeCell ref="B34:E34"/>
    <mergeCell ref="F34:H34"/>
    <mergeCell ref="A27:H27"/>
    <mergeCell ref="A28:H28"/>
    <mergeCell ref="A29:H29"/>
    <mergeCell ref="A30:E30"/>
    <mergeCell ref="F30:H30"/>
    <mergeCell ref="B31:E31"/>
    <mergeCell ref="F31:H31"/>
    <mergeCell ref="A38:I38"/>
    <mergeCell ref="A39:I39"/>
    <mergeCell ref="A40:I40"/>
    <mergeCell ref="A41:I41"/>
    <mergeCell ref="A42:I42"/>
    <mergeCell ref="A43:I43"/>
    <mergeCell ref="I34:I35"/>
    <mergeCell ref="B35:E35"/>
    <mergeCell ref="F35:H35"/>
    <mergeCell ref="B36:E36"/>
    <mergeCell ref="F36:H36"/>
    <mergeCell ref="B37:E37"/>
    <mergeCell ref="F37:H37"/>
    <mergeCell ref="B47:E47"/>
    <mergeCell ref="F47:H47"/>
    <mergeCell ref="B48:E48"/>
    <mergeCell ref="F48:H48"/>
    <mergeCell ref="B49:E49"/>
    <mergeCell ref="F49:H49"/>
    <mergeCell ref="B44:E44"/>
    <mergeCell ref="F44:H44"/>
    <mergeCell ref="B45:E45"/>
    <mergeCell ref="F45:H45"/>
    <mergeCell ref="B46:E46"/>
    <mergeCell ref="F46:H46"/>
    <mergeCell ref="B54:E54"/>
    <mergeCell ref="F54:G54"/>
    <mergeCell ref="H54:I54"/>
    <mergeCell ref="B55:E55"/>
    <mergeCell ref="F55:G55"/>
    <mergeCell ref="H55:I55"/>
    <mergeCell ref="A50:I50"/>
    <mergeCell ref="A51:I51"/>
    <mergeCell ref="B52:E52"/>
    <mergeCell ref="F52:G52"/>
    <mergeCell ref="H52:I52"/>
    <mergeCell ref="B53:E53"/>
    <mergeCell ref="F53:G53"/>
    <mergeCell ref="H53:I53"/>
    <mergeCell ref="B58:E58"/>
    <mergeCell ref="F58:G58"/>
    <mergeCell ref="H58:I58"/>
    <mergeCell ref="B59:E59"/>
    <mergeCell ref="F59:G59"/>
    <mergeCell ref="H59:I59"/>
    <mergeCell ref="B56:E56"/>
    <mergeCell ref="F56:G56"/>
    <mergeCell ref="H56:I56"/>
    <mergeCell ref="B57:E57"/>
    <mergeCell ref="F57:G57"/>
    <mergeCell ref="H57:I57"/>
    <mergeCell ref="A62:I62"/>
    <mergeCell ref="A63:H63"/>
    <mergeCell ref="B64:E64"/>
    <mergeCell ref="F64:H64"/>
    <mergeCell ref="B65:E65"/>
    <mergeCell ref="F65:H65"/>
    <mergeCell ref="B60:E60"/>
    <mergeCell ref="F60:G60"/>
    <mergeCell ref="H60:I60"/>
    <mergeCell ref="B61:E61"/>
    <mergeCell ref="F61:G61"/>
    <mergeCell ref="H61:I61"/>
    <mergeCell ref="B69:E69"/>
    <mergeCell ref="F69:H69"/>
    <mergeCell ref="B70:E70"/>
    <mergeCell ref="F70:H70"/>
    <mergeCell ref="B71:E71"/>
    <mergeCell ref="F71:H71"/>
    <mergeCell ref="B66:E66"/>
    <mergeCell ref="F66:H66"/>
    <mergeCell ref="B67:E67"/>
    <mergeCell ref="F67:H67"/>
    <mergeCell ref="B68:E68"/>
    <mergeCell ref="F68:H68"/>
    <mergeCell ref="A75:I75"/>
    <mergeCell ref="B76:H76"/>
    <mergeCell ref="B77:H77"/>
    <mergeCell ref="B78:H78"/>
    <mergeCell ref="B79:H79"/>
    <mergeCell ref="A80:H80"/>
    <mergeCell ref="B72:E72"/>
    <mergeCell ref="F72:H72"/>
    <mergeCell ref="J72:L72"/>
    <mergeCell ref="B73:E73"/>
    <mergeCell ref="F73:H73"/>
    <mergeCell ref="A74:H74"/>
    <mergeCell ref="B87:G87"/>
    <mergeCell ref="B88:G88"/>
    <mergeCell ref="B89:G89"/>
    <mergeCell ref="J89:M89"/>
    <mergeCell ref="A90:G90"/>
    <mergeCell ref="J90:O90"/>
    <mergeCell ref="A81:I81"/>
    <mergeCell ref="A82:I82"/>
    <mergeCell ref="B83:G83"/>
    <mergeCell ref="B84:G84"/>
    <mergeCell ref="B85:G85"/>
    <mergeCell ref="B86:G86"/>
    <mergeCell ref="B98:E98"/>
    <mergeCell ref="F98:H98"/>
    <mergeCell ref="B99:E99"/>
    <mergeCell ref="F99:H99"/>
    <mergeCell ref="B100:E100"/>
    <mergeCell ref="F100:H100"/>
    <mergeCell ref="A91:I91"/>
    <mergeCell ref="A93:I93"/>
    <mergeCell ref="A94:I94"/>
    <mergeCell ref="B95:I95"/>
    <mergeCell ref="A96:I96"/>
    <mergeCell ref="B97:E97"/>
    <mergeCell ref="F97:H97"/>
    <mergeCell ref="B104:E104"/>
    <mergeCell ref="F104:H104"/>
    <mergeCell ref="B105:E105"/>
    <mergeCell ref="F105:H105"/>
    <mergeCell ref="A106:I106"/>
    <mergeCell ref="A107:H107"/>
    <mergeCell ref="B101:E101"/>
    <mergeCell ref="F101:H101"/>
    <mergeCell ref="B102:E102"/>
    <mergeCell ref="F102:H102"/>
    <mergeCell ref="B103:E103"/>
    <mergeCell ref="F103:H103"/>
    <mergeCell ref="P112:Z115"/>
    <mergeCell ref="B113:H113"/>
    <mergeCell ref="B114:H114"/>
    <mergeCell ref="B115:H115"/>
    <mergeCell ref="B108:E108"/>
    <mergeCell ref="F108:H108"/>
    <mergeCell ref="B109:E109"/>
    <mergeCell ref="F109:H109"/>
    <mergeCell ref="B110:E110"/>
    <mergeCell ref="F110:H110"/>
    <mergeCell ref="A116:H116"/>
    <mergeCell ref="A117:I117"/>
    <mergeCell ref="A118:G118"/>
    <mergeCell ref="B119:D119"/>
    <mergeCell ref="E119:G119"/>
    <mergeCell ref="B120:D120"/>
    <mergeCell ref="E120:G120"/>
    <mergeCell ref="A111:I111"/>
    <mergeCell ref="A112:I112"/>
    <mergeCell ref="A124:D124"/>
    <mergeCell ref="E124:G124"/>
    <mergeCell ref="A125:G125"/>
    <mergeCell ref="A126:I126"/>
    <mergeCell ref="A127:I127"/>
    <mergeCell ref="B128:E128"/>
    <mergeCell ref="F128:G128"/>
    <mergeCell ref="H128:I128"/>
    <mergeCell ref="B121:D121"/>
    <mergeCell ref="E121:G121"/>
    <mergeCell ref="H121:I121"/>
    <mergeCell ref="B122:D122"/>
    <mergeCell ref="E122:G122"/>
    <mergeCell ref="B123:D123"/>
    <mergeCell ref="E123:G123"/>
    <mergeCell ref="B131:E131"/>
    <mergeCell ref="F131:G131"/>
    <mergeCell ref="H131:I131"/>
    <mergeCell ref="C132:E132"/>
    <mergeCell ref="F132:G132"/>
    <mergeCell ref="H132:I132"/>
    <mergeCell ref="B129:E129"/>
    <mergeCell ref="F129:G129"/>
    <mergeCell ref="H129:I129"/>
    <mergeCell ref="B130:E130"/>
    <mergeCell ref="F130:G130"/>
    <mergeCell ref="H130:I130"/>
    <mergeCell ref="C135:E135"/>
    <mergeCell ref="F135:G135"/>
    <mergeCell ref="H135:I135"/>
    <mergeCell ref="A136:E136"/>
    <mergeCell ref="F136:G136"/>
    <mergeCell ref="H136:I136"/>
    <mergeCell ref="C133:E133"/>
    <mergeCell ref="F133:G133"/>
    <mergeCell ref="H133:I133"/>
    <mergeCell ref="C134:E134"/>
    <mergeCell ref="F134:G134"/>
    <mergeCell ref="H134:I134"/>
    <mergeCell ref="B143:H143"/>
    <mergeCell ref="B144:H144"/>
    <mergeCell ref="B145:H145"/>
    <mergeCell ref="B146:H146"/>
    <mergeCell ref="B147:H147"/>
    <mergeCell ref="A148:H148"/>
    <mergeCell ref="A137:I137"/>
    <mergeCell ref="A138:I138"/>
    <mergeCell ref="A139:I139"/>
    <mergeCell ref="A140:H140"/>
    <mergeCell ref="B141:H141"/>
    <mergeCell ref="B142:H142"/>
    <mergeCell ref="A153:B153"/>
    <mergeCell ref="C153:D153"/>
    <mergeCell ref="F153:G153"/>
    <mergeCell ref="C154:D154"/>
    <mergeCell ref="F154:G154"/>
    <mergeCell ref="A155:I155"/>
    <mergeCell ref="A149:I149"/>
    <mergeCell ref="A150:I150"/>
    <mergeCell ref="A151:B152"/>
    <mergeCell ref="C151:D152"/>
    <mergeCell ref="E151:E152"/>
    <mergeCell ref="F151:G152"/>
    <mergeCell ref="H151:H152"/>
    <mergeCell ref="I151:I152"/>
    <mergeCell ref="B161:E161"/>
    <mergeCell ref="H161:I161"/>
    <mergeCell ref="B162:E162"/>
    <mergeCell ref="H162:I162"/>
    <mergeCell ref="A164:I164"/>
    <mergeCell ref="B157:B158"/>
    <mergeCell ref="C157:D157"/>
    <mergeCell ref="G157:G158"/>
    <mergeCell ref="I157:I158"/>
    <mergeCell ref="C158:D158"/>
    <mergeCell ref="B160:E160"/>
    <mergeCell ref="H160:I160"/>
  </mergeCells>
  <printOptions horizontalCentered="1"/>
  <pageMargins left="0.19685039370078741" right="0.19685039370078741" top="0.78740157480314965" bottom="0.78740157480314965" header="0.31496062992125984" footer="0.31496062992125984"/>
  <pageSetup paperSize="9" scale="51" fitToHeight="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36AE5-BB0E-46C7-A43C-755827B6179C}">
  <sheetPr>
    <tabColor rgb="FF7030A0"/>
    <pageSetUpPr fitToPage="1"/>
  </sheetPr>
  <dimension ref="A1:K36"/>
  <sheetViews>
    <sheetView workbookViewId="0">
      <selection activeCell="I35" sqref="I35"/>
    </sheetView>
  </sheetViews>
  <sheetFormatPr defaultRowHeight="15"/>
  <cols>
    <col min="2" max="2" width="25.5703125" customWidth="1"/>
    <col min="3" max="3" width="26.7109375" customWidth="1"/>
    <col min="4" max="4" width="10.140625" bestFit="1" customWidth="1"/>
    <col min="5" max="5" width="17.85546875" customWidth="1"/>
    <col min="6" max="6" width="19.85546875" bestFit="1" customWidth="1"/>
    <col min="7" max="8" width="19.5703125" customWidth="1"/>
    <col min="9" max="9" width="23.140625" customWidth="1"/>
    <col min="10" max="10" width="19.140625" bestFit="1" customWidth="1"/>
    <col min="258" max="258" width="25.5703125" customWidth="1"/>
    <col min="259" max="259" width="26.7109375" customWidth="1"/>
    <col min="260" max="260" width="10.140625" bestFit="1" customWidth="1"/>
    <col min="261" max="261" width="17.85546875" customWidth="1"/>
    <col min="262" max="262" width="19.85546875" bestFit="1" customWidth="1"/>
    <col min="263" max="264" width="19.5703125" customWidth="1"/>
    <col min="265" max="265" width="23.140625" customWidth="1"/>
    <col min="266" max="266" width="19.140625" bestFit="1" customWidth="1"/>
    <col min="514" max="514" width="25.5703125" customWidth="1"/>
    <col min="515" max="515" width="26.7109375" customWidth="1"/>
    <col min="516" max="516" width="10.140625" bestFit="1" customWidth="1"/>
    <col min="517" max="517" width="17.85546875" customWidth="1"/>
    <col min="518" max="518" width="19.85546875" bestFit="1" customWidth="1"/>
    <col min="519" max="520" width="19.5703125" customWidth="1"/>
    <col min="521" max="521" width="23.140625" customWidth="1"/>
    <col min="522" max="522" width="19.140625" bestFit="1" customWidth="1"/>
    <col min="770" max="770" width="25.5703125" customWidth="1"/>
    <col min="771" max="771" width="26.7109375" customWidth="1"/>
    <col min="772" max="772" width="10.140625" bestFit="1" customWidth="1"/>
    <col min="773" max="773" width="17.85546875" customWidth="1"/>
    <col min="774" max="774" width="19.85546875" bestFit="1" customWidth="1"/>
    <col min="775" max="776" width="19.5703125" customWidth="1"/>
    <col min="777" max="777" width="23.140625" customWidth="1"/>
    <col min="778" max="778" width="19.140625" bestFit="1" customWidth="1"/>
    <col min="1026" max="1026" width="25.5703125" customWidth="1"/>
    <col min="1027" max="1027" width="26.7109375" customWidth="1"/>
    <col min="1028" max="1028" width="10.140625" bestFit="1" customWidth="1"/>
    <col min="1029" max="1029" width="17.85546875" customWidth="1"/>
    <col min="1030" max="1030" width="19.85546875" bestFit="1" customWidth="1"/>
    <col min="1031" max="1032" width="19.5703125" customWidth="1"/>
    <col min="1033" max="1033" width="23.140625" customWidth="1"/>
    <col min="1034" max="1034" width="19.140625" bestFit="1" customWidth="1"/>
    <col min="1282" max="1282" width="25.5703125" customWidth="1"/>
    <col min="1283" max="1283" width="26.7109375" customWidth="1"/>
    <col min="1284" max="1284" width="10.140625" bestFit="1" customWidth="1"/>
    <col min="1285" max="1285" width="17.85546875" customWidth="1"/>
    <col min="1286" max="1286" width="19.85546875" bestFit="1" customWidth="1"/>
    <col min="1287" max="1288" width="19.5703125" customWidth="1"/>
    <col min="1289" max="1289" width="23.140625" customWidth="1"/>
    <col min="1290" max="1290" width="19.140625" bestFit="1" customWidth="1"/>
    <col min="1538" max="1538" width="25.5703125" customWidth="1"/>
    <col min="1539" max="1539" width="26.7109375" customWidth="1"/>
    <col min="1540" max="1540" width="10.140625" bestFit="1" customWidth="1"/>
    <col min="1541" max="1541" width="17.85546875" customWidth="1"/>
    <col min="1542" max="1542" width="19.85546875" bestFit="1" customWidth="1"/>
    <col min="1543" max="1544" width="19.5703125" customWidth="1"/>
    <col min="1545" max="1545" width="23.140625" customWidth="1"/>
    <col min="1546" max="1546" width="19.140625" bestFit="1" customWidth="1"/>
    <col min="1794" max="1794" width="25.5703125" customWidth="1"/>
    <col min="1795" max="1795" width="26.7109375" customWidth="1"/>
    <col min="1796" max="1796" width="10.140625" bestFit="1" customWidth="1"/>
    <col min="1797" max="1797" width="17.85546875" customWidth="1"/>
    <col min="1798" max="1798" width="19.85546875" bestFit="1" customWidth="1"/>
    <col min="1799" max="1800" width="19.5703125" customWidth="1"/>
    <col min="1801" max="1801" width="23.140625" customWidth="1"/>
    <col min="1802" max="1802" width="19.140625" bestFit="1" customWidth="1"/>
    <col min="2050" max="2050" width="25.5703125" customWidth="1"/>
    <col min="2051" max="2051" width="26.7109375" customWidth="1"/>
    <col min="2052" max="2052" width="10.140625" bestFit="1" customWidth="1"/>
    <col min="2053" max="2053" width="17.85546875" customWidth="1"/>
    <col min="2054" max="2054" width="19.85546875" bestFit="1" customWidth="1"/>
    <col min="2055" max="2056" width="19.5703125" customWidth="1"/>
    <col min="2057" max="2057" width="23.140625" customWidth="1"/>
    <col min="2058" max="2058" width="19.140625" bestFit="1" customWidth="1"/>
    <col min="2306" max="2306" width="25.5703125" customWidth="1"/>
    <col min="2307" max="2307" width="26.7109375" customWidth="1"/>
    <col min="2308" max="2308" width="10.140625" bestFit="1" customWidth="1"/>
    <col min="2309" max="2309" width="17.85546875" customWidth="1"/>
    <col min="2310" max="2310" width="19.85546875" bestFit="1" customWidth="1"/>
    <col min="2311" max="2312" width="19.5703125" customWidth="1"/>
    <col min="2313" max="2313" width="23.140625" customWidth="1"/>
    <col min="2314" max="2314" width="19.140625" bestFit="1" customWidth="1"/>
    <col min="2562" max="2562" width="25.5703125" customWidth="1"/>
    <col min="2563" max="2563" width="26.7109375" customWidth="1"/>
    <col min="2564" max="2564" width="10.140625" bestFit="1" customWidth="1"/>
    <col min="2565" max="2565" width="17.85546875" customWidth="1"/>
    <col min="2566" max="2566" width="19.85546875" bestFit="1" customWidth="1"/>
    <col min="2567" max="2568" width="19.5703125" customWidth="1"/>
    <col min="2569" max="2569" width="23.140625" customWidth="1"/>
    <col min="2570" max="2570" width="19.140625" bestFit="1" customWidth="1"/>
    <col min="2818" max="2818" width="25.5703125" customWidth="1"/>
    <col min="2819" max="2819" width="26.7109375" customWidth="1"/>
    <col min="2820" max="2820" width="10.140625" bestFit="1" customWidth="1"/>
    <col min="2821" max="2821" width="17.85546875" customWidth="1"/>
    <col min="2822" max="2822" width="19.85546875" bestFit="1" customWidth="1"/>
    <col min="2823" max="2824" width="19.5703125" customWidth="1"/>
    <col min="2825" max="2825" width="23.140625" customWidth="1"/>
    <col min="2826" max="2826" width="19.140625" bestFit="1" customWidth="1"/>
    <col min="3074" max="3074" width="25.5703125" customWidth="1"/>
    <col min="3075" max="3075" width="26.7109375" customWidth="1"/>
    <col min="3076" max="3076" width="10.140625" bestFit="1" customWidth="1"/>
    <col min="3077" max="3077" width="17.85546875" customWidth="1"/>
    <col min="3078" max="3078" width="19.85546875" bestFit="1" customWidth="1"/>
    <col min="3079" max="3080" width="19.5703125" customWidth="1"/>
    <col min="3081" max="3081" width="23.140625" customWidth="1"/>
    <col min="3082" max="3082" width="19.140625" bestFit="1" customWidth="1"/>
    <col min="3330" max="3330" width="25.5703125" customWidth="1"/>
    <col min="3331" max="3331" width="26.7109375" customWidth="1"/>
    <col min="3332" max="3332" width="10.140625" bestFit="1" customWidth="1"/>
    <col min="3333" max="3333" width="17.85546875" customWidth="1"/>
    <col min="3334" max="3334" width="19.85546875" bestFit="1" customWidth="1"/>
    <col min="3335" max="3336" width="19.5703125" customWidth="1"/>
    <col min="3337" max="3337" width="23.140625" customWidth="1"/>
    <col min="3338" max="3338" width="19.140625" bestFit="1" customWidth="1"/>
    <col min="3586" max="3586" width="25.5703125" customWidth="1"/>
    <col min="3587" max="3587" width="26.7109375" customWidth="1"/>
    <col min="3588" max="3588" width="10.140625" bestFit="1" customWidth="1"/>
    <col min="3589" max="3589" width="17.85546875" customWidth="1"/>
    <col min="3590" max="3590" width="19.85546875" bestFit="1" customWidth="1"/>
    <col min="3591" max="3592" width="19.5703125" customWidth="1"/>
    <col min="3593" max="3593" width="23.140625" customWidth="1"/>
    <col min="3594" max="3594" width="19.140625" bestFit="1" customWidth="1"/>
    <col min="3842" max="3842" width="25.5703125" customWidth="1"/>
    <col min="3843" max="3843" width="26.7109375" customWidth="1"/>
    <col min="3844" max="3844" width="10.140625" bestFit="1" customWidth="1"/>
    <col min="3845" max="3845" width="17.85546875" customWidth="1"/>
    <col min="3846" max="3846" width="19.85546875" bestFit="1" customWidth="1"/>
    <col min="3847" max="3848" width="19.5703125" customWidth="1"/>
    <col min="3849" max="3849" width="23.140625" customWidth="1"/>
    <col min="3850" max="3850" width="19.140625" bestFit="1" customWidth="1"/>
    <col min="4098" max="4098" width="25.5703125" customWidth="1"/>
    <col min="4099" max="4099" width="26.7109375" customWidth="1"/>
    <col min="4100" max="4100" width="10.140625" bestFit="1" customWidth="1"/>
    <col min="4101" max="4101" width="17.85546875" customWidth="1"/>
    <col min="4102" max="4102" width="19.85546875" bestFit="1" customWidth="1"/>
    <col min="4103" max="4104" width="19.5703125" customWidth="1"/>
    <col min="4105" max="4105" width="23.140625" customWidth="1"/>
    <col min="4106" max="4106" width="19.140625" bestFit="1" customWidth="1"/>
    <col min="4354" max="4354" width="25.5703125" customWidth="1"/>
    <col min="4355" max="4355" width="26.7109375" customWidth="1"/>
    <col min="4356" max="4356" width="10.140625" bestFit="1" customWidth="1"/>
    <col min="4357" max="4357" width="17.85546875" customWidth="1"/>
    <col min="4358" max="4358" width="19.85546875" bestFit="1" customWidth="1"/>
    <col min="4359" max="4360" width="19.5703125" customWidth="1"/>
    <col min="4361" max="4361" width="23.140625" customWidth="1"/>
    <col min="4362" max="4362" width="19.140625" bestFit="1" customWidth="1"/>
    <col min="4610" max="4610" width="25.5703125" customWidth="1"/>
    <col min="4611" max="4611" width="26.7109375" customWidth="1"/>
    <col min="4612" max="4612" width="10.140625" bestFit="1" customWidth="1"/>
    <col min="4613" max="4613" width="17.85546875" customWidth="1"/>
    <col min="4614" max="4614" width="19.85546875" bestFit="1" customWidth="1"/>
    <col min="4615" max="4616" width="19.5703125" customWidth="1"/>
    <col min="4617" max="4617" width="23.140625" customWidth="1"/>
    <col min="4618" max="4618" width="19.140625" bestFit="1" customWidth="1"/>
    <col min="4866" max="4866" width="25.5703125" customWidth="1"/>
    <col min="4867" max="4867" width="26.7109375" customWidth="1"/>
    <col min="4868" max="4868" width="10.140625" bestFit="1" customWidth="1"/>
    <col min="4869" max="4869" width="17.85546875" customWidth="1"/>
    <col min="4870" max="4870" width="19.85546875" bestFit="1" customWidth="1"/>
    <col min="4871" max="4872" width="19.5703125" customWidth="1"/>
    <col min="4873" max="4873" width="23.140625" customWidth="1"/>
    <col min="4874" max="4874" width="19.140625" bestFit="1" customWidth="1"/>
    <col min="5122" max="5122" width="25.5703125" customWidth="1"/>
    <col min="5123" max="5123" width="26.7109375" customWidth="1"/>
    <col min="5124" max="5124" width="10.140625" bestFit="1" customWidth="1"/>
    <col min="5125" max="5125" width="17.85546875" customWidth="1"/>
    <col min="5126" max="5126" width="19.85546875" bestFit="1" customWidth="1"/>
    <col min="5127" max="5128" width="19.5703125" customWidth="1"/>
    <col min="5129" max="5129" width="23.140625" customWidth="1"/>
    <col min="5130" max="5130" width="19.140625" bestFit="1" customWidth="1"/>
    <col min="5378" max="5378" width="25.5703125" customWidth="1"/>
    <col min="5379" max="5379" width="26.7109375" customWidth="1"/>
    <col min="5380" max="5380" width="10.140625" bestFit="1" customWidth="1"/>
    <col min="5381" max="5381" width="17.85546875" customWidth="1"/>
    <col min="5382" max="5382" width="19.85546875" bestFit="1" customWidth="1"/>
    <col min="5383" max="5384" width="19.5703125" customWidth="1"/>
    <col min="5385" max="5385" width="23.140625" customWidth="1"/>
    <col min="5386" max="5386" width="19.140625" bestFit="1" customWidth="1"/>
    <col min="5634" max="5634" width="25.5703125" customWidth="1"/>
    <col min="5635" max="5635" width="26.7109375" customWidth="1"/>
    <col min="5636" max="5636" width="10.140625" bestFit="1" customWidth="1"/>
    <col min="5637" max="5637" width="17.85546875" customWidth="1"/>
    <col min="5638" max="5638" width="19.85546875" bestFit="1" customWidth="1"/>
    <col min="5639" max="5640" width="19.5703125" customWidth="1"/>
    <col min="5641" max="5641" width="23.140625" customWidth="1"/>
    <col min="5642" max="5642" width="19.140625" bestFit="1" customWidth="1"/>
    <col min="5890" max="5890" width="25.5703125" customWidth="1"/>
    <col min="5891" max="5891" width="26.7109375" customWidth="1"/>
    <col min="5892" max="5892" width="10.140625" bestFit="1" customWidth="1"/>
    <col min="5893" max="5893" width="17.85546875" customWidth="1"/>
    <col min="5894" max="5894" width="19.85546875" bestFit="1" customWidth="1"/>
    <col min="5895" max="5896" width="19.5703125" customWidth="1"/>
    <col min="5897" max="5897" width="23.140625" customWidth="1"/>
    <col min="5898" max="5898" width="19.140625" bestFit="1" customWidth="1"/>
    <col min="6146" max="6146" width="25.5703125" customWidth="1"/>
    <col min="6147" max="6147" width="26.7109375" customWidth="1"/>
    <col min="6148" max="6148" width="10.140625" bestFit="1" customWidth="1"/>
    <col min="6149" max="6149" width="17.85546875" customWidth="1"/>
    <col min="6150" max="6150" width="19.85546875" bestFit="1" customWidth="1"/>
    <col min="6151" max="6152" width="19.5703125" customWidth="1"/>
    <col min="6153" max="6153" width="23.140625" customWidth="1"/>
    <col min="6154" max="6154" width="19.140625" bestFit="1" customWidth="1"/>
    <col min="6402" max="6402" width="25.5703125" customWidth="1"/>
    <col min="6403" max="6403" width="26.7109375" customWidth="1"/>
    <col min="6404" max="6404" width="10.140625" bestFit="1" customWidth="1"/>
    <col min="6405" max="6405" width="17.85546875" customWidth="1"/>
    <col min="6406" max="6406" width="19.85546875" bestFit="1" customWidth="1"/>
    <col min="6407" max="6408" width="19.5703125" customWidth="1"/>
    <col min="6409" max="6409" width="23.140625" customWidth="1"/>
    <col min="6410" max="6410" width="19.140625" bestFit="1" customWidth="1"/>
    <col min="6658" max="6658" width="25.5703125" customWidth="1"/>
    <col min="6659" max="6659" width="26.7109375" customWidth="1"/>
    <col min="6660" max="6660" width="10.140625" bestFit="1" customWidth="1"/>
    <col min="6661" max="6661" width="17.85546875" customWidth="1"/>
    <col min="6662" max="6662" width="19.85546875" bestFit="1" customWidth="1"/>
    <col min="6663" max="6664" width="19.5703125" customWidth="1"/>
    <col min="6665" max="6665" width="23.140625" customWidth="1"/>
    <col min="6666" max="6666" width="19.140625" bestFit="1" customWidth="1"/>
    <col min="6914" max="6914" width="25.5703125" customWidth="1"/>
    <col min="6915" max="6915" width="26.7109375" customWidth="1"/>
    <col min="6916" max="6916" width="10.140625" bestFit="1" customWidth="1"/>
    <col min="6917" max="6917" width="17.85546875" customWidth="1"/>
    <col min="6918" max="6918" width="19.85546875" bestFit="1" customWidth="1"/>
    <col min="6919" max="6920" width="19.5703125" customWidth="1"/>
    <col min="6921" max="6921" width="23.140625" customWidth="1"/>
    <col min="6922" max="6922" width="19.140625" bestFit="1" customWidth="1"/>
    <col min="7170" max="7170" width="25.5703125" customWidth="1"/>
    <col min="7171" max="7171" width="26.7109375" customWidth="1"/>
    <col min="7172" max="7172" width="10.140625" bestFit="1" customWidth="1"/>
    <col min="7173" max="7173" width="17.85546875" customWidth="1"/>
    <col min="7174" max="7174" width="19.85546875" bestFit="1" customWidth="1"/>
    <col min="7175" max="7176" width="19.5703125" customWidth="1"/>
    <col min="7177" max="7177" width="23.140625" customWidth="1"/>
    <col min="7178" max="7178" width="19.140625" bestFit="1" customWidth="1"/>
    <col min="7426" max="7426" width="25.5703125" customWidth="1"/>
    <col min="7427" max="7427" width="26.7109375" customWidth="1"/>
    <col min="7428" max="7428" width="10.140625" bestFit="1" customWidth="1"/>
    <col min="7429" max="7429" width="17.85546875" customWidth="1"/>
    <col min="7430" max="7430" width="19.85546875" bestFit="1" customWidth="1"/>
    <col min="7431" max="7432" width="19.5703125" customWidth="1"/>
    <col min="7433" max="7433" width="23.140625" customWidth="1"/>
    <col min="7434" max="7434" width="19.140625" bestFit="1" customWidth="1"/>
    <col min="7682" max="7682" width="25.5703125" customWidth="1"/>
    <col min="7683" max="7683" width="26.7109375" customWidth="1"/>
    <col min="7684" max="7684" width="10.140625" bestFit="1" customWidth="1"/>
    <col min="7685" max="7685" width="17.85546875" customWidth="1"/>
    <col min="7686" max="7686" width="19.85546875" bestFit="1" customWidth="1"/>
    <col min="7687" max="7688" width="19.5703125" customWidth="1"/>
    <col min="7689" max="7689" width="23.140625" customWidth="1"/>
    <col min="7690" max="7690" width="19.140625" bestFit="1" customWidth="1"/>
    <col min="7938" max="7938" width="25.5703125" customWidth="1"/>
    <col min="7939" max="7939" width="26.7109375" customWidth="1"/>
    <col min="7940" max="7940" width="10.140625" bestFit="1" customWidth="1"/>
    <col min="7941" max="7941" width="17.85546875" customWidth="1"/>
    <col min="7942" max="7942" width="19.85546875" bestFit="1" customWidth="1"/>
    <col min="7943" max="7944" width="19.5703125" customWidth="1"/>
    <col min="7945" max="7945" width="23.140625" customWidth="1"/>
    <col min="7946" max="7946" width="19.140625" bestFit="1" customWidth="1"/>
    <col min="8194" max="8194" width="25.5703125" customWidth="1"/>
    <col min="8195" max="8195" width="26.7109375" customWidth="1"/>
    <col min="8196" max="8196" width="10.140625" bestFit="1" customWidth="1"/>
    <col min="8197" max="8197" width="17.85546875" customWidth="1"/>
    <col min="8198" max="8198" width="19.85546875" bestFit="1" customWidth="1"/>
    <col min="8199" max="8200" width="19.5703125" customWidth="1"/>
    <col min="8201" max="8201" width="23.140625" customWidth="1"/>
    <col min="8202" max="8202" width="19.140625" bestFit="1" customWidth="1"/>
    <col min="8450" max="8450" width="25.5703125" customWidth="1"/>
    <col min="8451" max="8451" width="26.7109375" customWidth="1"/>
    <col min="8452" max="8452" width="10.140625" bestFit="1" customWidth="1"/>
    <col min="8453" max="8453" width="17.85546875" customWidth="1"/>
    <col min="8454" max="8454" width="19.85546875" bestFit="1" customWidth="1"/>
    <col min="8455" max="8456" width="19.5703125" customWidth="1"/>
    <col min="8457" max="8457" width="23.140625" customWidth="1"/>
    <col min="8458" max="8458" width="19.140625" bestFit="1" customWidth="1"/>
    <col min="8706" max="8706" width="25.5703125" customWidth="1"/>
    <col min="8707" max="8707" width="26.7109375" customWidth="1"/>
    <col min="8708" max="8708" width="10.140625" bestFit="1" customWidth="1"/>
    <col min="8709" max="8709" width="17.85546875" customWidth="1"/>
    <col min="8710" max="8710" width="19.85546875" bestFit="1" customWidth="1"/>
    <col min="8711" max="8712" width="19.5703125" customWidth="1"/>
    <col min="8713" max="8713" width="23.140625" customWidth="1"/>
    <col min="8714" max="8714" width="19.140625" bestFit="1" customWidth="1"/>
    <col min="8962" max="8962" width="25.5703125" customWidth="1"/>
    <col min="8963" max="8963" width="26.7109375" customWidth="1"/>
    <col min="8964" max="8964" width="10.140625" bestFit="1" customWidth="1"/>
    <col min="8965" max="8965" width="17.85546875" customWidth="1"/>
    <col min="8966" max="8966" width="19.85546875" bestFit="1" customWidth="1"/>
    <col min="8967" max="8968" width="19.5703125" customWidth="1"/>
    <col min="8969" max="8969" width="23.140625" customWidth="1"/>
    <col min="8970" max="8970" width="19.140625" bestFit="1" customWidth="1"/>
    <col min="9218" max="9218" width="25.5703125" customWidth="1"/>
    <col min="9219" max="9219" width="26.7109375" customWidth="1"/>
    <col min="9220" max="9220" width="10.140625" bestFit="1" customWidth="1"/>
    <col min="9221" max="9221" width="17.85546875" customWidth="1"/>
    <col min="9222" max="9222" width="19.85546875" bestFit="1" customWidth="1"/>
    <col min="9223" max="9224" width="19.5703125" customWidth="1"/>
    <col min="9225" max="9225" width="23.140625" customWidth="1"/>
    <col min="9226" max="9226" width="19.140625" bestFit="1" customWidth="1"/>
    <col min="9474" max="9474" width="25.5703125" customWidth="1"/>
    <col min="9475" max="9475" width="26.7109375" customWidth="1"/>
    <col min="9476" max="9476" width="10.140625" bestFit="1" customWidth="1"/>
    <col min="9477" max="9477" width="17.85546875" customWidth="1"/>
    <col min="9478" max="9478" width="19.85546875" bestFit="1" customWidth="1"/>
    <col min="9479" max="9480" width="19.5703125" customWidth="1"/>
    <col min="9481" max="9481" width="23.140625" customWidth="1"/>
    <col min="9482" max="9482" width="19.140625" bestFit="1" customWidth="1"/>
    <col min="9730" max="9730" width="25.5703125" customWidth="1"/>
    <col min="9731" max="9731" width="26.7109375" customWidth="1"/>
    <col min="9732" max="9732" width="10.140625" bestFit="1" customWidth="1"/>
    <col min="9733" max="9733" width="17.85546875" customWidth="1"/>
    <col min="9734" max="9734" width="19.85546875" bestFit="1" customWidth="1"/>
    <col min="9735" max="9736" width="19.5703125" customWidth="1"/>
    <col min="9737" max="9737" width="23.140625" customWidth="1"/>
    <col min="9738" max="9738" width="19.140625" bestFit="1" customWidth="1"/>
    <col min="9986" max="9986" width="25.5703125" customWidth="1"/>
    <col min="9987" max="9987" width="26.7109375" customWidth="1"/>
    <col min="9988" max="9988" width="10.140625" bestFit="1" customWidth="1"/>
    <col min="9989" max="9989" width="17.85546875" customWidth="1"/>
    <col min="9990" max="9990" width="19.85546875" bestFit="1" customWidth="1"/>
    <col min="9991" max="9992" width="19.5703125" customWidth="1"/>
    <col min="9993" max="9993" width="23.140625" customWidth="1"/>
    <col min="9994" max="9994" width="19.140625" bestFit="1" customWidth="1"/>
    <col min="10242" max="10242" width="25.5703125" customWidth="1"/>
    <col min="10243" max="10243" width="26.7109375" customWidth="1"/>
    <col min="10244" max="10244" width="10.140625" bestFit="1" customWidth="1"/>
    <col min="10245" max="10245" width="17.85546875" customWidth="1"/>
    <col min="10246" max="10246" width="19.85546875" bestFit="1" customWidth="1"/>
    <col min="10247" max="10248" width="19.5703125" customWidth="1"/>
    <col min="10249" max="10249" width="23.140625" customWidth="1"/>
    <col min="10250" max="10250" width="19.140625" bestFit="1" customWidth="1"/>
    <col min="10498" max="10498" width="25.5703125" customWidth="1"/>
    <col min="10499" max="10499" width="26.7109375" customWidth="1"/>
    <col min="10500" max="10500" width="10.140625" bestFit="1" customWidth="1"/>
    <col min="10501" max="10501" width="17.85546875" customWidth="1"/>
    <col min="10502" max="10502" width="19.85546875" bestFit="1" customWidth="1"/>
    <col min="10503" max="10504" width="19.5703125" customWidth="1"/>
    <col min="10505" max="10505" width="23.140625" customWidth="1"/>
    <col min="10506" max="10506" width="19.140625" bestFit="1" customWidth="1"/>
    <col min="10754" max="10754" width="25.5703125" customWidth="1"/>
    <col min="10755" max="10755" width="26.7109375" customWidth="1"/>
    <col min="10756" max="10756" width="10.140625" bestFit="1" customWidth="1"/>
    <col min="10757" max="10757" width="17.85546875" customWidth="1"/>
    <col min="10758" max="10758" width="19.85546875" bestFit="1" customWidth="1"/>
    <col min="10759" max="10760" width="19.5703125" customWidth="1"/>
    <col min="10761" max="10761" width="23.140625" customWidth="1"/>
    <col min="10762" max="10762" width="19.140625" bestFit="1" customWidth="1"/>
    <col min="11010" max="11010" width="25.5703125" customWidth="1"/>
    <col min="11011" max="11011" width="26.7109375" customWidth="1"/>
    <col min="11012" max="11012" width="10.140625" bestFit="1" customWidth="1"/>
    <col min="11013" max="11013" width="17.85546875" customWidth="1"/>
    <col min="11014" max="11014" width="19.85546875" bestFit="1" customWidth="1"/>
    <col min="11015" max="11016" width="19.5703125" customWidth="1"/>
    <col min="11017" max="11017" width="23.140625" customWidth="1"/>
    <col min="11018" max="11018" width="19.140625" bestFit="1" customWidth="1"/>
    <col min="11266" max="11266" width="25.5703125" customWidth="1"/>
    <col min="11267" max="11267" width="26.7109375" customWidth="1"/>
    <col min="11268" max="11268" width="10.140625" bestFit="1" customWidth="1"/>
    <col min="11269" max="11269" width="17.85546875" customWidth="1"/>
    <col min="11270" max="11270" width="19.85546875" bestFit="1" customWidth="1"/>
    <col min="11271" max="11272" width="19.5703125" customWidth="1"/>
    <col min="11273" max="11273" width="23.140625" customWidth="1"/>
    <col min="11274" max="11274" width="19.140625" bestFit="1" customWidth="1"/>
    <col min="11522" max="11522" width="25.5703125" customWidth="1"/>
    <col min="11523" max="11523" width="26.7109375" customWidth="1"/>
    <col min="11524" max="11524" width="10.140625" bestFit="1" customWidth="1"/>
    <col min="11525" max="11525" width="17.85546875" customWidth="1"/>
    <col min="11526" max="11526" width="19.85546875" bestFit="1" customWidth="1"/>
    <col min="11527" max="11528" width="19.5703125" customWidth="1"/>
    <col min="11529" max="11529" width="23.140625" customWidth="1"/>
    <col min="11530" max="11530" width="19.140625" bestFit="1" customWidth="1"/>
    <col min="11778" max="11778" width="25.5703125" customWidth="1"/>
    <col min="11779" max="11779" width="26.7109375" customWidth="1"/>
    <col min="11780" max="11780" width="10.140625" bestFit="1" customWidth="1"/>
    <col min="11781" max="11781" width="17.85546875" customWidth="1"/>
    <col min="11782" max="11782" width="19.85546875" bestFit="1" customWidth="1"/>
    <col min="11783" max="11784" width="19.5703125" customWidth="1"/>
    <col min="11785" max="11785" width="23.140625" customWidth="1"/>
    <col min="11786" max="11786" width="19.140625" bestFit="1" customWidth="1"/>
    <col min="12034" max="12034" width="25.5703125" customWidth="1"/>
    <col min="12035" max="12035" width="26.7109375" customWidth="1"/>
    <col min="12036" max="12036" width="10.140625" bestFit="1" customWidth="1"/>
    <col min="12037" max="12037" width="17.85546875" customWidth="1"/>
    <col min="12038" max="12038" width="19.85546875" bestFit="1" customWidth="1"/>
    <col min="12039" max="12040" width="19.5703125" customWidth="1"/>
    <col min="12041" max="12041" width="23.140625" customWidth="1"/>
    <col min="12042" max="12042" width="19.140625" bestFit="1" customWidth="1"/>
    <col min="12290" max="12290" width="25.5703125" customWidth="1"/>
    <col min="12291" max="12291" width="26.7109375" customWidth="1"/>
    <col min="12292" max="12292" width="10.140625" bestFit="1" customWidth="1"/>
    <col min="12293" max="12293" width="17.85546875" customWidth="1"/>
    <col min="12294" max="12294" width="19.85546875" bestFit="1" customWidth="1"/>
    <col min="12295" max="12296" width="19.5703125" customWidth="1"/>
    <col min="12297" max="12297" width="23.140625" customWidth="1"/>
    <col min="12298" max="12298" width="19.140625" bestFit="1" customWidth="1"/>
    <col min="12546" max="12546" width="25.5703125" customWidth="1"/>
    <col min="12547" max="12547" width="26.7109375" customWidth="1"/>
    <col min="12548" max="12548" width="10.140625" bestFit="1" customWidth="1"/>
    <col min="12549" max="12549" width="17.85546875" customWidth="1"/>
    <col min="12550" max="12550" width="19.85546875" bestFit="1" customWidth="1"/>
    <col min="12551" max="12552" width="19.5703125" customWidth="1"/>
    <col min="12553" max="12553" width="23.140625" customWidth="1"/>
    <col min="12554" max="12554" width="19.140625" bestFit="1" customWidth="1"/>
    <col min="12802" max="12802" width="25.5703125" customWidth="1"/>
    <col min="12803" max="12803" width="26.7109375" customWidth="1"/>
    <col min="12804" max="12804" width="10.140625" bestFit="1" customWidth="1"/>
    <col min="12805" max="12805" width="17.85546875" customWidth="1"/>
    <col min="12806" max="12806" width="19.85546875" bestFit="1" customWidth="1"/>
    <col min="12807" max="12808" width="19.5703125" customWidth="1"/>
    <col min="12809" max="12809" width="23.140625" customWidth="1"/>
    <col min="12810" max="12810" width="19.140625" bestFit="1" customWidth="1"/>
    <col min="13058" max="13058" width="25.5703125" customWidth="1"/>
    <col min="13059" max="13059" width="26.7109375" customWidth="1"/>
    <col min="13060" max="13060" width="10.140625" bestFit="1" customWidth="1"/>
    <col min="13061" max="13061" width="17.85546875" customWidth="1"/>
    <col min="13062" max="13062" width="19.85546875" bestFit="1" customWidth="1"/>
    <col min="13063" max="13064" width="19.5703125" customWidth="1"/>
    <col min="13065" max="13065" width="23.140625" customWidth="1"/>
    <col min="13066" max="13066" width="19.140625" bestFit="1" customWidth="1"/>
    <col min="13314" max="13314" width="25.5703125" customWidth="1"/>
    <col min="13315" max="13315" width="26.7109375" customWidth="1"/>
    <col min="13316" max="13316" width="10.140625" bestFit="1" customWidth="1"/>
    <col min="13317" max="13317" width="17.85546875" customWidth="1"/>
    <col min="13318" max="13318" width="19.85546875" bestFit="1" customWidth="1"/>
    <col min="13319" max="13320" width="19.5703125" customWidth="1"/>
    <col min="13321" max="13321" width="23.140625" customWidth="1"/>
    <col min="13322" max="13322" width="19.140625" bestFit="1" customWidth="1"/>
    <col min="13570" max="13570" width="25.5703125" customWidth="1"/>
    <col min="13571" max="13571" width="26.7109375" customWidth="1"/>
    <col min="13572" max="13572" width="10.140625" bestFit="1" customWidth="1"/>
    <col min="13573" max="13573" width="17.85546875" customWidth="1"/>
    <col min="13574" max="13574" width="19.85546875" bestFit="1" customWidth="1"/>
    <col min="13575" max="13576" width="19.5703125" customWidth="1"/>
    <col min="13577" max="13577" width="23.140625" customWidth="1"/>
    <col min="13578" max="13578" width="19.140625" bestFit="1" customWidth="1"/>
    <col min="13826" max="13826" width="25.5703125" customWidth="1"/>
    <col min="13827" max="13827" width="26.7109375" customWidth="1"/>
    <col min="13828" max="13828" width="10.140625" bestFit="1" customWidth="1"/>
    <col min="13829" max="13829" width="17.85546875" customWidth="1"/>
    <col min="13830" max="13830" width="19.85546875" bestFit="1" customWidth="1"/>
    <col min="13831" max="13832" width="19.5703125" customWidth="1"/>
    <col min="13833" max="13833" width="23.140625" customWidth="1"/>
    <col min="13834" max="13834" width="19.140625" bestFit="1" customWidth="1"/>
    <col min="14082" max="14082" width="25.5703125" customWidth="1"/>
    <col min="14083" max="14083" width="26.7109375" customWidth="1"/>
    <col min="14084" max="14084" width="10.140625" bestFit="1" customWidth="1"/>
    <col min="14085" max="14085" width="17.85546875" customWidth="1"/>
    <col min="14086" max="14086" width="19.85546875" bestFit="1" customWidth="1"/>
    <col min="14087" max="14088" width="19.5703125" customWidth="1"/>
    <col min="14089" max="14089" width="23.140625" customWidth="1"/>
    <col min="14090" max="14090" width="19.140625" bestFit="1" customWidth="1"/>
    <col min="14338" max="14338" width="25.5703125" customWidth="1"/>
    <col min="14339" max="14339" width="26.7109375" customWidth="1"/>
    <col min="14340" max="14340" width="10.140625" bestFit="1" customWidth="1"/>
    <col min="14341" max="14341" width="17.85546875" customWidth="1"/>
    <col min="14342" max="14342" width="19.85546875" bestFit="1" customWidth="1"/>
    <col min="14343" max="14344" width="19.5703125" customWidth="1"/>
    <col min="14345" max="14345" width="23.140625" customWidth="1"/>
    <col min="14346" max="14346" width="19.140625" bestFit="1" customWidth="1"/>
    <col min="14594" max="14594" width="25.5703125" customWidth="1"/>
    <col min="14595" max="14595" width="26.7109375" customWidth="1"/>
    <col min="14596" max="14596" width="10.140625" bestFit="1" customWidth="1"/>
    <col min="14597" max="14597" width="17.85546875" customWidth="1"/>
    <col min="14598" max="14598" width="19.85546875" bestFit="1" customWidth="1"/>
    <col min="14599" max="14600" width="19.5703125" customWidth="1"/>
    <col min="14601" max="14601" width="23.140625" customWidth="1"/>
    <col min="14602" max="14602" width="19.140625" bestFit="1" customWidth="1"/>
    <col min="14850" max="14850" width="25.5703125" customWidth="1"/>
    <col min="14851" max="14851" width="26.7109375" customWidth="1"/>
    <col min="14852" max="14852" width="10.140625" bestFit="1" customWidth="1"/>
    <col min="14853" max="14853" width="17.85546875" customWidth="1"/>
    <col min="14854" max="14854" width="19.85546875" bestFit="1" customWidth="1"/>
    <col min="14855" max="14856" width="19.5703125" customWidth="1"/>
    <col min="14857" max="14857" width="23.140625" customWidth="1"/>
    <col min="14858" max="14858" width="19.140625" bestFit="1" customWidth="1"/>
    <col min="15106" max="15106" width="25.5703125" customWidth="1"/>
    <col min="15107" max="15107" width="26.7109375" customWidth="1"/>
    <col min="15108" max="15108" width="10.140625" bestFit="1" customWidth="1"/>
    <col min="15109" max="15109" width="17.85546875" customWidth="1"/>
    <col min="15110" max="15110" width="19.85546875" bestFit="1" customWidth="1"/>
    <col min="15111" max="15112" width="19.5703125" customWidth="1"/>
    <col min="15113" max="15113" width="23.140625" customWidth="1"/>
    <col min="15114" max="15114" width="19.140625" bestFit="1" customWidth="1"/>
    <col min="15362" max="15362" width="25.5703125" customWidth="1"/>
    <col min="15363" max="15363" width="26.7109375" customWidth="1"/>
    <col min="15364" max="15364" width="10.140625" bestFit="1" customWidth="1"/>
    <col min="15365" max="15365" width="17.85546875" customWidth="1"/>
    <col min="15366" max="15366" width="19.85546875" bestFit="1" customWidth="1"/>
    <col min="15367" max="15368" width="19.5703125" customWidth="1"/>
    <col min="15369" max="15369" width="23.140625" customWidth="1"/>
    <col min="15370" max="15370" width="19.140625" bestFit="1" customWidth="1"/>
    <col min="15618" max="15618" width="25.5703125" customWidth="1"/>
    <col min="15619" max="15619" width="26.7109375" customWidth="1"/>
    <col min="15620" max="15620" width="10.140625" bestFit="1" customWidth="1"/>
    <col min="15621" max="15621" width="17.85546875" customWidth="1"/>
    <col min="15622" max="15622" width="19.85546875" bestFit="1" customWidth="1"/>
    <col min="15623" max="15624" width="19.5703125" customWidth="1"/>
    <col min="15625" max="15625" width="23.140625" customWidth="1"/>
    <col min="15626" max="15626" width="19.140625" bestFit="1" customWidth="1"/>
    <col min="15874" max="15874" width="25.5703125" customWidth="1"/>
    <col min="15875" max="15875" width="26.7109375" customWidth="1"/>
    <col min="15876" max="15876" width="10.140625" bestFit="1" customWidth="1"/>
    <col min="15877" max="15877" width="17.85546875" customWidth="1"/>
    <col min="15878" max="15878" width="19.85546875" bestFit="1" customWidth="1"/>
    <col min="15879" max="15880" width="19.5703125" customWidth="1"/>
    <col min="15881" max="15881" width="23.140625" customWidth="1"/>
    <col min="15882" max="15882" width="19.140625" bestFit="1" customWidth="1"/>
    <col min="16130" max="16130" width="25.5703125" customWidth="1"/>
    <col min="16131" max="16131" width="26.7109375" customWidth="1"/>
    <col min="16132" max="16132" width="10.140625" bestFit="1" customWidth="1"/>
    <col min="16133" max="16133" width="17.85546875" customWidth="1"/>
    <col min="16134" max="16134" width="19.85546875" bestFit="1" customWidth="1"/>
    <col min="16135" max="16136" width="19.5703125" customWidth="1"/>
    <col min="16137" max="16137" width="23.140625" customWidth="1"/>
    <col min="16138" max="16138" width="19.140625" bestFit="1" customWidth="1"/>
  </cols>
  <sheetData>
    <row r="1" spans="1:11">
      <c r="A1" s="1363" t="s">
        <v>1973</v>
      </c>
      <c r="B1" s="1363"/>
      <c r="C1" s="1363"/>
      <c r="D1" s="1363"/>
      <c r="E1" s="1363"/>
      <c r="F1" s="1363"/>
      <c r="G1" s="1363"/>
      <c r="H1" s="1363"/>
      <c r="I1" s="1363"/>
      <c r="J1" s="1363"/>
      <c r="K1" s="445"/>
    </row>
    <row r="2" spans="1:11" ht="15" customHeight="1">
      <c r="A2" s="1363"/>
      <c r="B2" s="1363"/>
      <c r="C2" s="1363"/>
      <c r="D2" s="1363"/>
      <c r="E2" s="1363"/>
      <c r="F2" s="1363"/>
      <c r="G2" s="1363"/>
      <c r="H2" s="1363"/>
      <c r="I2" s="1363"/>
      <c r="J2" s="1363"/>
      <c r="K2" s="445"/>
    </row>
    <row r="3" spans="1:11">
      <c r="A3" s="1363"/>
      <c r="B3" s="1363"/>
      <c r="C3" s="1363"/>
      <c r="D3" s="1363"/>
      <c r="E3" s="1363"/>
      <c r="F3" s="1363"/>
      <c r="G3" s="1363"/>
      <c r="H3" s="1363"/>
      <c r="I3" s="1363"/>
      <c r="J3" s="1363"/>
      <c r="K3" s="445"/>
    </row>
    <row r="4" spans="1:11" ht="75">
      <c r="A4" s="1364" t="s">
        <v>0</v>
      </c>
      <c r="B4" s="1365" t="s">
        <v>1974</v>
      </c>
      <c r="C4" s="1366" t="s">
        <v>1</v>
      </c>
      <c r="D4" s="448" t="s">
        <v>1975</v>
      </c>
      <c r="E4" s="449" t="s">
        <v>1976</v>
      </c>
      <c r="F4" s="446" t="s">
        <v>1977</v>
      </c>
      <c r="G4" s="450" t="s">
        <v>1978</v>
      </c>
      <c r="H4" s="450" t="s">
        <v>1979</v>
      </c>
      <c r="I4" s="450" t="s">
        <v>1980</v>
      </c>
      <c r="J4" s="450" t="s">
        <v>1981</v>
      </c>
      <c r="K4" s="445"/>
    </row>
    <row r="5" spans="1:11" ht="18.75">
      <c r="A5" s="1364"/>
      <c r="B5" s="1365"/>
      <c r="C5" s="1366"/>
      <c r="D5" s="447" t="s">
        <v>1554</v>
      </c>
      <c r="E5" s="449" t="s">
        <v>1556</v>
      </c>
      <c r="F5" s="446" t="s">
        <v>1982</v>
      </c>
      <c r="G5" s="446" t="s">
        <v>1562</v>
      </c>
      <c r="H5" s="446" t="s">
        <v>1581</v>
      </c>
      <c r="I5" s="446" t="s">
        <v>1983</v>
      </c>
      <c r="J5" s="446" t="s">
        <v>1984</v>
      </c>
      <c r="K5" s="445"/>
    </row>
    <row r="6" spans="1:11" ht="75">
      <c r="A6" s="451">
        <v>1</v>
      </c>
      <c r="B6" s="452" t="s">
        <v>1985</v>
      </c>
      <c r="C6" s="453" t="s">
        <v>1986</v>
      </c>
      <c r="D6" s="454">
        <v>20</v>
      </c>
      <c r="E6" s="452">
        <f>I29</f>
        <v>0</v>
      </c>
      <c r="F6" s="452">
        <f>D6*E6</f>
        <v>0</v>
      </c>
      <c r="G6" s="455">
        <v>0.1</v>
      </c>
      <c r="H6" s="451">
        <v>120</v>
      </c>
      <c r="I6" s="456">
        <f>(F6*0.9)/H6</f>
        <v>0</v>
      </c>
      <c r="J6" s="457" t="s">
        <v>1987</v>
      </c>
      <c r="K6" s="445"/>
    </row>
    <row r="7" spans="1:11" ht="114.75">
      <c r="A7" s="451">
        <v>2</v>
      </c>
      <c r="B7" s="452" t="s">
        <v>1985</v>
      </c>
      <c r="C7" s="458" t="s">
        <v>1988</v>
      </c>
      <c r="D7" s="459">
        <v>2</v>
      </c>
      <c r="E7" s="452">
        <f>I31</f>
        <v>0</v>
      </c>
      <c r="F7" s="452">
        <f>D7*E7</f>
        <v>0</v>
      </c>
      <c r="G7" s="455">
        <v>0.1</v>
      </c>
      <c r="H7" s="451">
        <v>120</v>
      </c>
      <c r="I7" s="456">
        <f>(F7*0.9)/H7</f>
        <v>0</v>
      </c>
      <c r="J7" s="457" t="s">
        <v>1989</v>
      </c>
      <c r="K7" s="445"/>
    </row>
    <row r="8" spans="1:11" ht="140.25">
      <c r="A8" s="451">
        <v>3</v>
      </c>
      <c r="B8" s="452" t="s">
        <v>1985</v>
      </c>
      <c r="C8" s="458" t="s">
        <v>1990</v>
      </c>
      <c r="D8" s="451">
        <v>2</v>
      </c>
      <c r="E8" s="452">
        <f>I33</f>
        <v>0</v>
      </c>
      <c r="F8" s="452">
        <f>D8*E8</f>
        <v>0</v>
      </c>
      <c r="G8" s="455">
        <v>0.1</v>
      </c>
      <c r="H8" s="451">
        <v>120</v>
      </c>
      <c r="I8" s="456">
        <f>(F8*0.9)/H8</f>
        <v>0</v>
      </c>
      <c r="J8" s="457" t="s">
        <v>1991</v>
      </c>
      <c r="K8" s="445"/>
    </row>
    <row r="9" spans="1:11" ht="280.5">
      <c r="A9" s="451">
        <v>4</v>
      </c>
      <c r="B9" s="452" t="s">
        <v>1985</v>
      </c>
      <c r="C9" s="458" t="s">
        <v>1992</v>
      </c>
      <c r="D9" s="451">
        <v>7</v>
      </c>
      <c r="E9" s="452">
        <f>I35</f>
        <v>0</v>
      </c>
      <c r="F9" s="452">
        <f>D9*E9</f>
        <v>0</v>
      </c>
      <c r="G9" s="455">
        <v>0.1</v>
      </c>
      <c r="H9" s="451">
        <v>120</v>
      </c>
      <c r="I9" s="456">
        <f>(F9*0.9)/H9</f>
        <v>0</v>
      </c>
      <c r="J9" s="457" t="s">
        <v>1993</v>
      </c>
      <c r="K9" s="445"/>
    </row>
    <row r="10" spans="1:11" ht="25.5" customHeight="1">
      <c r="A10" s="1367" t="s">
        <v>1694</v>
      </c>
      <c r="B10" s="1367"/>
      <c r="C10" s="1367"/>
      <c r="D10" s="460" t="s">
        <v>1994</v>
      </c>
      <c r="E10" s="461">
        <f>SUM(E6:E9)</f>
        <v>0</v>
      </c>
      <c r="F10" s="461">
        <f>SUM(F6:F9)</f>
        <v>0</v>
      </c>
      <c r="G10" s="462" t="s">
        <v>1994</v>
      </c>
      <c r="H10" s="462" t="s">
        <v>1994</v>
      </c>
      <c r="I10" s="463">
        <f>SUM(I6:I9)</f>
        <v>0</v>
      </c>
      <c r="J10" s="1368"/>
      <c r="K10" s="445"/>
    </row>
    <row r="11" spans="1:11" ht="27" customHeight="1">
      <c r="A11" s="1369"/>
      <c r="B11" s="1369"/>
      <c r="C11" s="1369"/>
      <c r="D11" s="1369"/>
      <c r="E11" s="1369"/>
      <c r="F11" s="1369"/>
      <c r="G11" s="1369"/>
      <c r="H11" s="1369"/>
      <c r="I11" s="1369"/>
      <c r="J11" s="1368"/>
      <c r="K11" s="445"/>
    </row>
    <row r="12" spans="1:11" ht="24">
      <c r="A12" s="1367" t="s">
        <v>1995</v>
      </c>
      <c r="B12" s="1367"/>
      <c r="C12" s="1367"/>
      <c r="D12" s="1367"/>
      <c r="E12" s="1367"/>
      <c r="F12" s="1367"/>
      <c r="G12" s="1367"/>
      <c r="H12" s="1367"/>
      <c r="I12" s="464">
        <f>I10/36</f>
        <v>0</v>
      </c>
      <c r="J12" s="1368"/>
      <c r="K12" s="445"/>
    </row>
    <row r="13" spans="1:11" ht="18.75">
      <c r="A13" s="1370" t="s">
        <v>1996</v>
      </c>
      <c r="B13" s="1370"/>
      <c r="C13" s="1370"/>
      <c r="D13" s="1370"/>
      <c r="E13" s="1370"/>
      <c r="F13" s="1370"/>
      <c r="G13" s="1370"/>
      <c r="H13" s="1370"/>
      <c r="I13" s="1370"/>
      <c r="J13" s="1370"/>
      <c r="K13" s="445"/>
    </row>
    <row r="14" spans="1:11" ht="18.75">
      <c r="A14" s="1370" t="s">
        <v>1997</v>
      </c>
      <c r="B14" s="1370"/>
      <c r="C14" s="1370"/>
      <c r="D14" s="1370"/>
      <c r="E14" s="1370"/>
      <c r="F14" s="1370"/>
      <c r="G14" s="1370"/>
      <c r="H14" s="1370"/>
      <c r="I14" s="1370"/>
      <c r="J14" s="1370"/>
      <c r="K14" s="445"/>
    </row>
    <row r="15" spans="1:11" ht="18.75">
      <c r="A15" s="1371"/>
      <c r="B15" s="1371"/>
      <c r="C15" s="1371"/>
      <c r="D15" s="1371"/>
      <c r="E15" s="1371"/>
      <c r="F15" s="1371"/>
      <c r="G15" s="1371"/>
      <c r="H15" s="1371"/>
      <c r="I15" s="1371"/>
      <c r="J15" s="1371"/>
      <c r="K15" s="445"/>
    </row>
    <row r="16" spans="1:11" ht="18.75">
      <c r="A16" s="1370" t="s">
        <v>1998</v>
      </c>
      <c r="B16" s="1370"/>
      <c r="C16" s="1370"/>
      <c r="D16" s="1370"/>
      <c r="E16" s="1370"/>
      <c r="F16" s="1370"/>
      <c r="G16" s="1370"/>
      <c r="H16" s="1370"/>
      <c r="I16" s="1370"/>
      <c r="J16" s="1370"/>
      <c r="K16" s="445"/>
    </row>
    <row r="20" spans="1:11" ht="83.25" customHeight="1"/>
    <row r="22" spans="1:11" ht="48.75" customHeight="1"/>
    <row r="26" spans="1:11">
      <c r="B26" s="1372" t="s">
        <v>1999</v>
      </c>
      <c r="C26" s="1372"/>
      <c r="D26" s="1372"/>
      <c r="E26" s="1372"/>
    </row>
    <row r="27" spans="1:11" ht="15.75" thickBot="1"/>
    <row r="28" spans="1:11" ht="26.25" thickTop="1">
      <c r="A28" s="1358" t="s">
        <v>1986</v>
      </c>
      <c r="B28" s="1359"/>
      <c r="C28" s="1359"/>
      <c r="D28" s="1362"/>
      <c r="E28" s="1362"/>
      <c r="F28" s="465"/>
      <c r="G28" s="466"/>
      <c r="H28" s="466"/>
      <c r="I28" s="467" t="s">
        <v>2000</v>
      </c>
      <c r="J28" s="468"/>
      <c r="K28" s="468"/>
    </row>
    <row r="29" spans="1:11" ht="36" customHeight="1">
      <c r="A29" s="1360"/>
      <c r="B29" s="1361"/>
      <c r="C29" s="1361"/>
      <c r="D29" s="1357"/>
      <c r="E29" s="1357"/>
      <c r="F29" s="469"/>
      <c r="G29" s="470"/>
      <c r="H29" s="470"/>
      <c r="I29" s="471"/>
      <c r="J29" s="468"/>
      <c r="K29" s="468"/>
    </row>
    <row r="30" spans="1:11" ht="15.75">
      <c r="A30" s="1350" t="s">
        <v>1988</v>
      </c>
      <c r="B30" s="1351"/>
      <c r="C30" s="1351"/>
      <c r="D30" s="1354"/>
      <c r="E30" s="1354"/>
      <c r="F30" s="472"/>
      <c r="G30" s="472"/>
      <c r="H30" s="472"/>
      <c r="I30" s="473"/>
      <c r="J30" s="468"/>
      <c r="K30" s="468"/>
    </row>
    <row r="31" spans="1:11" ht="57.75" customHeight="1">
      <c r="A31" s="1350"/>
      <c r="B31" s="1351"/>
      <c r="C31" s="1351"/>
      <c r="D31" s="1356"/>
      <c r="E31" s="1356"/>
      <c r="F31" s="474"/>
      <c r="G31" s="475"/>
      <c r="H31" s="475"/>
      <c r="I31" s="476"/>
      <c r="J31" s="468"/>
      <c r="K31" s="468"/>
    </row>
    <row r="32" spans="1:11" ht="15.75">
      <c r="A32" s="1350" t="s">
        <v>1990</v>
      </c>
      <c r="B32" s="1351"/>
      <c r="C32" s="1351"/>
      <c r="D32" s="1354"/>
      <c r="E32" s="1354"/>
      <c r="F32" s="472"/>
      <c r="G32" s="477"/>
      <c r="H32" s="477"/>
      <c r="I32" s="478"/>
      <c r="J32" s="468"/>
      <c r="K32" s="468"/>
    </row>
    <row r="33" spans="1:11" ht="38.25" customHeight="1">
      <c r="A33" s="1350"/>
      <c r="B33" s="1351"/>
      <c r="C33" s="1351"/>
      <c r="D33" s="1357"/>
      <c r="E33" s="1357"/>
      <c r="F33" s="469"/>
      <c r="G33" s="479"/>
      <c r="H33" s="479"/>
      <c r="I33" s="476"/>
      <c r="J33" s="468"/>
      <c r="K33" s="468"/>
    </row>
    <row r="34" spans="1:11" ht="15.75">
      <c r="A34" s="1350" t="s">
        <v>1992</v>
      </c>
      <c r="B34" s="1351"/>
      <c r="C34" s="1351"/>
      <c r="D34" s="1354"/>
      <c r="E34" s="1354"/>
      <c r="F34" s="472"/>
      <c r="G34" s="477"/>
      <c r="H34" s="477"/>
      <c r="I34" s="478"/>
      <c r="J34" s="468"/>
      <c r="K34" s="468"/>
    </row>
    <row r="35" spans="1:11" ht="110.25" customHeight="1" thickBot="1">
      <c r="A35" s="1352"/>
      <c r="B35" s="1353"/>
      <c r="C35" s="1353"/>
      <c r="D35" s="1355"/>
      <c r="E35" s="1355"/>
      <c r="F35" s="480"/>
      <c r="G35" s="481"/>
      <c r="H35" s="481"/>
      <c r="I35" s="482"/>
      <c r="J35" s="468"/>
      <c r="K35" s="468"/>
    </row>
    <row r="36" spans="1:11" ht="15.75" thickTop="1"/>
  </sheetData>
  <mergeCells count="25">
    <mergeCell ref="A28:C29"/>
    <mergeCell ref="D28:E28"/>
    <mergeCell ref="D29:E29"/>
    <mergeCell ref="A1:J3"/>
    <mergeCell ref="A4:A5"/>
    <mergeCell ref="B4:B5"/>
    <mergeCell ref="C4:C5"/>
    <mergeCell ref="A10:C10"/>
    <mergeCell ref="J10:J12"/>
    <mergeCell ref="A11:I11"/>
    <mergeCell ref="A12:H12"/>
    <mergeCell ref="A13:J13"/>
    <mergeCell ref="A14:J14"/>
    <mergeCell ref="A15:J15"/>
    <mergeCell ref="A16:J16"/>
    <mergeCell ref="B26:E26"/>
    <mergeCell ref="A34:C35"/>
    <mergeCell ref="D34:E34"/>
    <mergeCell ref="D35:E35"/>
    <mergeCell ref="A30:C31"/>
    <mergeCell ref="D30:E30"/>
    <mergeCell ref="D31:E31"/>
    <mergeCell ref="A32:C33"/>
    <mergeCell ref="D32:E32"/>
    <mergeCell ref="D33:E33"/>
  </mergeCells>
  <pageMargins left="0.511811024" right="0.511811024" top="0.78740157499999996" bottom="0.78740157499999996" header="0.31496062000000002" footer="0.31496062000000002"/>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E0BD8-AC39-4984-8FA6-43795022958B}">
  <sheetPr>
    <tabColor rgb="FFFFFF00"/>
  </sheetPr>
  <dimension ref="A1:K463"/>
  <sheetViews>
    <sheetView zoomScale="85" zoomScaleNormal="85" workbookViewId="0">
      <selection activeCell="F453" sqref="F453:F462"/>
    </sheetView>
  </sheetViews>
  <sheetFormatPr defaultRowHeight="15"/>
  <cols>
    <col min="1" max="1" width="6.7109375" style="1" customWidth="1"/>
    <col min="2" max="2" width="35.7109375" style="1" customWidth="1"/>
    <col min="3" max="4" width="10.7109375" style="1" customWidth="1"/>
    <col min="5" max="5" width="14.7109375" style="1" customWidth="1"/>
    <col min="6" max="7" width="15.7109375" style="1" customWidth="1"/>
    <col min="8" max="8" width="18.7109375" style="1" customWidth="1"/>
    <col min="9" max="10" width="15.7109375" customWidth="1"/>
    <col min="11" max="11" width="18.7109375" customWidth="1"/>
  </cols>
  <sheetData>
    <row r="1" spans="1:11" ht="16.5" thickBot="1">
      <c r="A1" s="776" t="s">
        <v>693</v>
      </c>
      <c r="B1" s="777"/>
      <c r="C1" s="777"/>
      <c r="D1" s="777"/>
      <c r="E1" s="777"/>
      <c r="F1" s="777"/>
      <c r="G1" s="777"/>
      <c r="H1" s="777"/>
      <c r="I1" s="778"/>
      <c r="J1" s="778"/>
      <c r="K1" s="779"/>
    </row>
    <row r="2" spans="1:11" ht="15.75" thickBot="1">
      <c r="A2" s="780" t="s">
        <v>1165</v>
      </c>
      <c r="B2" s="781"/>
      <c r="C2" s="76" t="s">
        <v>1204</v>
      </c>
      <c r="D2" s="77">
        <v>0.15</v>
      </c>
      <c r="E2" s="53"/>
      <c r="F2" s="54"/>
      <c r="G2" s="52"/>
      <c r="H2" s="780" t="s">
        <v>1202</v>
      </c>
      <c r="I2" s="781"/>
      <c r="J2" s="76" t="s">
        <v>1205</v>
      </c>
      <c r="K2" s="79">
        <v>0.01</v>
      </c>
    </row>
    <row r="3" spans="1:11">
      <c r="A3" s="795" t="s">
        <v>0</v>
      </c>
      <c r="B3" s="797" t="s">
        <v>1</v>
      </c>
      <c r="C3" s="790" t="s">
        <v>696</v>
      </c>
      <c r="D3" s="790" t="s">
        <v>42</v>
      </c>
      <c r="E3" s="792" t="s">
        <v>1173</v>
      </c>
      <c r="F3" s="784" t="s">
        <v>1164</v>
      </c>
      <c r="G3" s="785"/>
      <c r="H3" s="786"/>
      <c r="I3" s="784" t="s">
        <v>1212</v>
      </c>
      <c r="J3" s="785"/>
      <c r="K3" s="786"/>
    </row>
    <row r="4" spans="1:11">
      <c r="A4" s="795"/>
      <c r="B4" s="797"/>
      <c r="C4" s="790"/>
      <c r="D4" s="790"/>
      <c r="E4" s="793"/>
      <c r="F4" s="787" t="s">
        <v>14</v>
      </c>
      <c r="G4" s="788"/>
      <c r="H4" s="789" t="s">
        <v>15</v>
      </c>
      <c r="I4" s="787" t="s">
        <v>14</v>
      </c>
      <c r="J4" s="788"/>
      <c r="K4" s="789" t="s">
        <v>15</v>
      </c>
    </row>
    <row r="5" spans="1:11">
      <c r="A5" s="795"/>
      <c r="B5" s="797"/>
      <c r="C5" s="790"/>
      <c r="D5" s="790"/>
      <c r="E5" s="793"/>
      <c r="F5" s="46" t="s">
        <v>1210</v>
      </c>
      <c r="G5" s="47" t="s">
        <v>1211</v>
      </c>
      <c r="H5" s="789"/>
      <c r="I5" s="46" t="s">
        <v>1210</v>
      </c>
      <c r="J5" s="47" t="s">
        <v>1211</v>
      </c>
      <c r="K5" s="789"/>
    </row>
    <row r="6" spans="1:11" ht="15.75" thickBot="1">
      <c r="A6" s="796"/>
      <c r="B6" s="791"/>
      <c r="C6" s="794"/>
      <c r="D6" s="791"/>
      <c r="E6" s="48" t="s">
        <v>708</v>
      </c>
      <c r="F6" s="49" t="s">
        <v>709</v>
      </c>
      <c r="G6" s="50" t="s">
        <v>1206</v>
      </c>
      <c r="H6" s="51" t="s">
        <v>1207</v>
      </c>
      <c r="I6" s="49" t="s">
        <v>1203</v>
      </c>
      <c r="J6" s="50" t="s">
        <v>1208</v>
      </c>
      <c r="K6" s="51" t="s">
        <v>1209</v>
      </c>
    </row>
    <row r="7" spans="1:11" ht="15.75" thickBot="1">
      <c r="A7" s="86" t="s">
        <v>710</v>
      </c>
      <c r="B7" s="87" t="s">
        <v>694</v>
      </c>
      <c r="C7" s="88"/>
      <c r="D7" s="88"/>
      <c r="E7" s="88"/>
      <c r="F7" s="89"/>
      <c r="G7" s="90" t="s">
        <v>1213</v>
      </c>
      <c r="H7" s="91">
        <f>SUM(H8:H78)</f>
        <v>0</v>
      </c>
      <c r="I7" s="89"/>
      <c r="J7" s="90" t="s">
        <v>1214</v>
      </c>
      <c r="K7" s="91">
        <f>SUM(K8:K78)</f>
        <v>0</v>
      </c>
    </row>
    <row r="8" spans="1:11" ht="22.5">
      <c r="A8" s="80" t="s">
        <v>711</v>
      </c>
      <c r="B8" s="81" t="s">
        <v>1201</v>
      </c>
      <c r="C8" s="82" t="s">
        <v>1200</v>
      </c>
      <c r="D8" s="83" t="s">
        <v>48</v>
      </c>
      <c r="E8" s="82">
        <v>3</v>
      </c>
      <c r="F8" s="84"/>
      <c r="G8" s="84">
        <f>F8*(1+(D2))</f>
        <v>0</v>
      </c>
      <c r="H8" s="85">
        <f t="shared" ref="H8:H35" si="0">G8*E8</f>
        <v>0</v>
      </c>
      <c r="I8" s="84">
        <v>0</v>
      </c>
      <c r="J8" s="84">
        <f>I8*(1+(K2))</f>
        <v>0</v>
      </c>
      <c r="K8" s="85">
        <f>J8*E8</f>
        <v>0</v>
      </c>
    </row>
    <row r="9" spans="1:11" ht="22.5">
      <c r="A9" s="56" t="s">
        <v>712</v>
      </c>
      <c r="B9" s="57" t="s">
        <v>1255</v>
      </c>
      <c r="C9" s="58" t="s">
        <v>47</v>
      </c>
      <c r="D9" s="59" t="s">
        <v>52</v>
      </c>
      <c r="E9" s="58">
        <v>25</v>
      </c>
      <c r="F9" s="60"/>
      <c r="G9" s="60">
        <f>F9*(1+(D2))</f>
        <v>0</v>
      </c>
      <c r="H9" s="61">
        <f t="shared" si="0"/>
        <v>0</v>
      </c>
      <c r="I9" s="60">
        <v>0</v>
      </c>
      <c r="J9" s="60">
        <f>I9*(1+(K2))</f>
        <v>0</v>
      </c>
      <c r="K9" s="61">
        <f t="shared" ref="K9:K72" si="1">J9*E9</f>
        <v>0</v>
      </c>
    </row>
    <row r="10" spans="1:11">
      <c r="A10" s="56" t="s">
        <v>713</v>
      </c>
      <c r="B10" s="57" t="s">
        <v>53</v>
      </c>
      <c r="C10" s="58" t="s">
        <v>47</v>
      </c>
      <c r="D10" s="59" t="s">
        <v>54</v>
      </c>
      <c r="E10" s="58">
        <v>4</v>
      </c>
      <c r="F10" s="60"/>
      <c r="G10" s="60">
        <f>F10*(1+(D2))</f>
        <v>0</v>
      </c>
      <c r="H10" s="61">
        <f t="shared" si="0"/>
        <v>0</v>
      </c>
      <c r="I10" s="60">
        <v>0</v>
      </c>
      <c r="J10" s="60">
        <f>I10*(1+(K2))</f>
        <v>0</v>
      </c>
      <c r="K10" s="61">
        <f t="shared" si="1"/>
        <v>0</v>
      </c>
    </row>
    <row r="11" spans="1:11">
      <c r="A11" s="56" t="s">
        <v>714</v>
      </c>
      <c r="B11" s="57" t="s">
        <v>55</v>
      </c>
      <c r="C11" s="58" t="s">
        <v>41</v>
      </c>
      <c r="D11" s="59" t="s">
        <v>56</v>
      </c>
      <c r="E11" s="58">
        <v>40</v>
      </c>
      <c r="F11" s="60"/>
      <c r="G11" s="60">
        <f>F11*(1+(D2))</f>
        <v>0</v>
      </c>
      <c r="H11" s="61">
        <f t="shared" si="0"/>
        <v>0</v>
      </c>
      <c r="I11" s="60">
        <v>0</v>
      </c>
      <c r="J11" s="60">
        <f>I11*(1+(K2))</f>
        <v>0</v>
      </c>
      <c r="K11" s="61">
        <f t="shared" si="1"/>
        <v>0</v>
      </c>
    </row>
    <row r="12" spans="1:11">
      <c r="A12" s="56" t="s">
        <v>715</v>
      </c>
      <c r="B12" s="57" t="s">
        <v>1172</v>
      </c>
      <c r="C12" s="58" t="s">
        <v>41</v>
      </c>
      <c r="D12" s="58" t="s">
        <v>51</v>
      </c>
      <c r="E12" s="58">
        <v>29</v>
      </c>
      <c r="F12" s="60"/>
      <c r="G12" s="60">
        <f>F12*(1+(D2))</f>
        <v>0</v>
      </c>
      <c r="H12" s="61">
        <f t="shared" si="0"/>
        <v>0</v>
      </c>
      <c r="I12" s="60">
        <v>0</v>
      </c>
      <c r="J12" s="60">
        <f>I12*(1+(K2))</f>
        <v>0</v>
      </c>
      <c r="K12" s="61">
        <f t="shared" si="1"/>
        <v>0</v>
      </c>
    </row>
    <row r="13" spans="1:11">
      <c r="A13" s="56" t="s">
        <v>716</v>
      </c>
      <c r="B13" s="57" t="s">
        <v>57</v>
      </c>
      <c r="C13" s="58" t="s">
        <v>50</v>
      </c>
      <c r="D13" s="58" t="s">
        <v>51</v>
      </c>
      <c r="E13" s="58">
        <v>2</v>
      </c>
      <c r="F13" s="60"/>
      <c r="G13" s="60">
        <f>F13*(1+(D2))</f>
        <v>0</v>
      </c>
      <c r="H13" s="61">
        <f t="shared" si="0"/>
        <v>0</v>
      </c>
      <c r="I13" s="60">
        <v>0</v>
      </c>
      <c r="J13" s="60">
        <f>I13*(1+(K2))</f>
        <v>0</v>
      </c>
      <c r="K13" s="61">
        <f t="shared" si="1"/>
        <v>0</v>
      </c>
    </row>
    <row r="14" spans="1:11">
      <c r="A14" s="56" t="s">
        <v>717</v>
      </c>
      <c r="B14" s="57" t="s">
        <v>58</v>
      </c>
      <c r="C14" s="58" t="s">
        <v>41</v>
      </c>
      <c r="D14" s="59" t="s">
        <v>59</v>
      </c>
      <c r="E14" s="58">
        <v>1</v>
      </c>
      <c r="F14" s="60"/>
      <c r="G14" s="60">
        <f>F14*(1+(D2))</f>
        <v>0</v>
      </c>
      <c r="H14" s="61">
        <f t="shared" si="0"/>
        <v>0</v>
      </c>
      <c r="I14" s="60">
        <v>0</v>
      </c>
      <c r="J14" s="60">
        <f>I14*(1+(K2))</f>
        <v>0</v>
      </c>
      <c r="K14" s="61">
        <f t="shared" si="1"/>
        <v>0</v>
      </c>
    </row>
    <row r="15" spans="1:11">
      <c r="A15" s="56" t="s">
        <v>718</v>
      </c>
      <c r="B15" s="57" t="s">
        <v>60</v>
      </c>
      <c r="C15" s="58" t="s">
        <v>41</v>
      </c>
      <c r="D15" s="58" t="s">
        <v>51</v>
      </c>
      <c r="E15" s="58">
        <v>18</v>
      </c>
      <c r="F15" s="60"/>
      <c r="G15" s="60">
        <f>F15*(1+(D2))</f>
        <v>0</v>
      </c>
      <c r="H15" s="61">
        <f t="shared" si="0"/>
        <v>0</v>
      </c>
      <c r="I15" s="60">
        <v>0</v>
      </c>
      <c r="J15" s="60">
        <f>I15*(1+(K2))</f>
        <v>0</v>
      </c>
      <c r="K15" s="61">
        <f t="shared" si="1"/>
        <v>0</v>
      </c>
    </row>
    <row r="16" spans="1:11" ht="22.5">
      <c r="A16" s="56" t="s">
        <v>719</v>
      </c>
      <c r="B16" s="57" t="s">
        <v>61</v>
      </c>
      <c r="C16" s="58" t="s">
        <v>62</v>
      </c>
      <c r="D16" s="58" t="s">
        <v>51</v>
      </c>
      <c r="E16" s="58">
        <v>1</v>
      </c>
      <c r="F16" s="60"/>
      <c r="G16" s="60">
        <f>F16*(1+(D2))</f>
        <v>0</v>
      </c>
      <c r="H16" s="61">
        <f t="shared" si="0"/>
        <v>0</v>
      </c>
      <c r="I16" s="60">
        <v>0</v>
      </c>
      <c r="J16" s="60">
        <f>I16*(1+(K2))</f>
        <v>0</v>
      </c>
      <c r="K16" s="61">
        <f t="shared" si="1"/>
        <v>0</v>
      </c>
    </row>
    <row r="17" spans="1:11">
      <c r="A17" s="56" t="s">
        <v>720</v>
      </c>
      <c r="B17" s="57" t="s">
        <v>63</v>
      </c>
      <c r="C17" s="58" t="s">
        <v>64</v>
      </c>
      <c r="D17" s="59" t="s">
        <v>65</v>
      </c>
      <c r="E17" s="58">
        <v>2</v>
      </c>
      <c r="F17" s="60"/>
      <c r="G17" s="60">
        <f>F17*(1+(D2))</f>
        <v>0</v>
      </c>
      <c r="H17" s="61">
        <f t="shared" si="0"/>
        <v>0</v>
      </c>
      <c r="I17" s="60">
        <v>0</v>
      </c>
      <c r="J17" s="60">
        <f>I17*(1+(K2))</f>
        <v>0</v>
      </c>
      <c r="K17" s="61">
        <f t="shared" si="1"/>
        <v>0</v>
      </c>
    </row>
    <row r="18" spans="1:11" ht="22.5">
      <c r="A18" s="56" t="s">
        <v>721</v>
      </c>
      <c r="B18" s="57" t="s">
        <v>66</v>
      </c>
      <c r="C18" s="58" t="s">
        <v>41</v>
      </c>
      <c r="D18" s="59" t="s">
        <v>67</v>
      </c>
      <c r="E18" s="58">
        <v>60</v>
      </c>
      <c r="F18" s="60"/>
      <c r="G18" s="60">
        <f>F18*(1+(D2))</f>
        <v>0</v>
      </c>
      <c r="H18" s="61">
        <f t="shared" si="0"/>
        <v>0</v>
      </c>
      <c r="I18" s="60">
        <v>0</v>
      </c>
      <c r="J18" s="60">
        <f>I18*(1+(K2))</f>
        <v>0</v>
      </c>
      <c r="K18" s="61">
        <f t="shared" si="1"/>
        <v>0</v>
      </c>
    </row>
    <row r="19" spans="1:11">
      <c r="A19" s="56" t="s">
        <v>722</v>
      </c>
      <c r="B19" s="57" t="s">
        <v>68</v>
      </c>
      <c r="C19" s="58" t="s">
        <v>41</v>
      </c>
      <c r="D19" s="59" t="s">
        <v>69</v>
      </c>
      <c r="E19" s="58">
        <v>80</v>
      </c>
      <c r="F19" s="60"/>
      <c r="G19" s="60">
        <f>F19*(1+(D2))</f>
        <v>0</v>
      </c>
      <c r="H19" s="61">
        <f t="shared" si="0"/>
        <v>0</v>
      </c>
      <c r="I19" s="60">
        <v>0</v>
      </c>
      <c r="J19" s="60">
        <f>I19*(1+(K2))</f>
        <v>0</v>
      </c>
      <c r="K19" s="61">
        <f t="shared" si="1"/>
        <v>0</v>
      </c>
    </row>
    <row r="20" spans="1:11">
      <c r="A20" s="56" t="s">
        <v>723</v>
      </c>
      <c r="B20" s="57" t="s">
        <v>70</v>
      </c>
      <c r="C20" s="58" t="s">
        <v>71</v>
      </c>
      <c r="D20" s="59" t="s">
        <v>72</v>
      </c>
      <c r="E20" s="58">
        <v>160</v>
      </c>
      <c r="F20" s="60"/>
      <c r="G20" s="60">
        <f>F20*(1+(D2))</f>
        <v>0</v>
      </c>
      <c r="H20" s="61">
        <f t="shared" si="0"/>
        <v>0</v>
      </c>
      <c r="I20" s="60">
        <v>0</v>
      </c>
      <c r="J20" s="60">
        <f>I20*(1+(K2))</f>
        <v>0</v>
      </c>
      <c r="K20" s="61">
        <f t="shared" si="1"/>
        <v>0</v>
      </c>
    </row>
    <row r="21" spans="1:11" ht="22.5">
      <c r="A21" s="56" t="s">
        <v>724</v>
      </c>
      <c r="B21" s="57" t="s">
        <v>73</v>
      </c>
      <c r="C21" s="58" t="s">
        <v>74</v>
      </c>
      <c r="D21" s="59" t="s">
        <v>75</v>
      </c>
      <c r="E21" s="58">
        <v>25</v>
      </c>
      <c r="F21" s="60"/>
      <c r="G21" s="60">
        <f>F21*(1+(D2))</f>
        <v>0</v>
      </c>
      <c r="H21" s="61">
        <f t="shared" si="0"/>
        <v>0</v>
      </c>
      <c r="I21" s="60">
        <v>0</v>
      </c>
      <c r="J21" s="60">
        <f>I21*(1+(K2))</f>
        <v>0</v>
      </c>
      <c r="K21" s="61">
        <f t="shared" si="1"/>
        <v>0</v>
      </c>
    </row>
    <row r="22" spans="1:11" ht="33.75">
      <c r="A22" s="56" t="s">
        <v>725</v>
      </c>
      <c r="B22" s="57" t="s">
        <v>76</v>
      </c>
      <c r="C22" s="58" t="s">
        <v>41</v>
      </c>
      <c r="D22" s="59" t="s">
        <v>77</v>
      </c>
      <c r="E22" s="58">
        <v>21</v>
      </c>
      <c r="F22" s="60"/>
      <c r="G22" s="60">
        <f>F22*(1+(D2))</f>
        <v>0</v>
      </c>
      <c r="H22" s="61">
        <f t="shared" si="0"/>
        <v>0</v>
      </c>
      <c r="I22" s="60">
        <v>0</v>
      </c>
      <c r="J22" s="60">
        <f>I22*(1+(K2))</f>
        <v>0</v>
      </c>
      <c r="K22" s="61">
        <f t="shared" si="1"/>
        <v>0</v>
      </c>
    </row>
    <row r="23" spans="1:11">
      <c r="A23" s="56" t="s">
        <v>726</v>
      </c>
      <c r="B23" s="57" t="s">
        <v>78</v>
      </c>
      <c r="C23" s="58" t="s">
        <v>41</v>
      </c>
      <c r="D23" s="59" t="s">
        <v>79</v>
      </c>
      <c r="E23" s="58">
        <v>16</v>
      </c>
      <c r="F23" s="60"/>
      <c r="G23" s="60">
        <f>F23*(1+(D2))</f>
        <v>0</v>
      </c>
      <c r="H23" s="61">
        <f t="shared" si="0"/>
        <v>0</v>
      </c>
      <c r="I23" s="60">
        <v>0</v>
      </c>
      <c r="J23" s="60">
        <f>I23*(1+(K2))</f>
        <v>0</v>
      </c>
      <c r="K23" s="61">
        <f t="shared" si="1"/>
        <v>0</v>
      </c>
    </row>
    <row r="24" spans="1:11">
      <c r="A24" s="56" t="s">
        <v>727</v>
      </c>
      <c r="B24" s="57" t="s">
        <v>80</v>
      </c>
      <c r="C24" s="58" t="s">
        <v>50</v>
      </c>
      <c r="D24" s="58" t="s">
        <v>51</v>
      </c>
      <c r="E24" s="58">
        <v>24</v>
      </c>
      <c r="F24" s="60"/>
      <c r="G24" s="60">
        <f>F24*(1+(D2))</f>
        <v>0</v>
      </c>
      <c r="H24" s="61">
        <f t="shared" si="0"/>
        <v>0</v>
      </c>
      <c r="I24" s="60">
        <v>0</v>
      </c>
      <c r="J24" s="60">
        <f>I24*(1+(K2))</f>
        <v>0</v>
      </c>
      <c r="K24" s="61">
        <f t="shared" si="1"/>
        <v>0</v>
      </c>
    </row>
    <row r="25" spans="1:11">
      <c r="A25" s="56" t="s">
        <v>728</v>
      </c>
      <c r="B25" s="57" t="s">
        <v>81</v>
      </c>
      <c r="C25" s="58" t="s">
        <v>64</v>
      </c>
      <c r="D25" s="58" t="s">
        <v>51</v>
      </c>
      <c r="E25" s="58">
        <v>10</v>
      </c>
      <c r="F25" s="60"/>
      <c r="G25" s="60">
        <f>F25*(1+(D2))</f>
        <v>0</v>
      </c>
      <c r="H25" s="61">
        <f t="shared" si="0"/>
        <v>0</v>
      </c>
      <c r="I25" s="60">
        <v>0</v>
      </c>
      <c r="J25" s="60">
        <f>I25*(1+(K2))</f>
        <v>0</v>
      </c>
      <c r="K25" s="61">
        <f t="shared" si="1"/>
        <v>0</v>
      </c>
    </row>
    <row r="26" spans="1:11" ht="22.5">
      <c r="A26" s="56" t="s">
        <v>729</v>
      </c>
      <c r="B26" s="57" t="s">
        <v>82</v>
      </c>
      <c r="C26" s="58" t="s">
        <v>41</v>
      </c>
      <c r="D26" s="58" t="s">
        <v>51</v>
      </c>
      <c r="E26" s="58">
        <v>11</v>
      </c>
      <c r="F26" s="60"/>
      <c r="G26" s="60">
        <f>F26*(1+(D2))</f>
        <v>0</v>
      </c>
      <c r="H26" s="61">
        <f t="shared" si="0"/>
        <v>0</v>
      </c>
      <c r="I26" s="60">
        <v>0</v>
      </c>
      <c r="J26" s="60">
        <f>I26*(1+(K2))</f>
        <v>0</v>
      </c>
      <c r="K26" s="61">
        <f t="shared" si="1"/>
        <v>0</v>
      </c>
    </row>
    <row r="27" spans="1:11">
      <c r="A27" s="56" t="s">
        <v>730</v>
      </c>
      <c r="B27" s="57" t="s">
        <v>83</v>
      </c>
      <c r="C27" s="58" t="s">
        <v>84</v>
      </c>
      <c r="D27" s="58" t="s">
        <v>51</v>
      </c>
      <c r="E27" s="58">
        <v>3</v>
      </c>
      <c r="F27" s="60"/>
      <c r="G27" s="60">
        <f>F27*(1+(D2))</f>
        <v>0</v>
      </c>
      <c r="H27" s="61">
        <f t="shared" si="0"/>
        <v>0</v>
      </c>
      <c r="I27" s="60">
        <v>0</v>
      </c>
      <c r="J27" s="60">
        <f>I27*(1+(K2))</f>
        <v>0</v>
      </c>
      <c r="K27" s="61">
        <f t="shared" si="1"/>
        <v>0</v>
      </c>
    </row>
    <row r="28" spans="1:11">
      <c r="A28" s="56" t="s">
        <v>731</v>
      </c>
      <c r="B28" s="57" t="s">
        <v>85</v>
      </c>
      <c r="C28" s="58" t="s">
        <v>41</v>
      </c>
      <c r="D28" s="59" t="s">
        <v>86</v>
      </c>
      <c r="E28" s="58">
        <v>5</v>
      </c>
      <c r="F28" s="60"/>
      <c r="G28" s="60">
        <f>F28*(1+(D2))</f>
        <v>0</v>
      </c>
      <c r="H28" s="61">
        <f t="shared" si="0"/>
        <v>0</v>
      </c>
      <c r="I28" s="60">
        <v>0</v>
      </c>
      <c r="J28" s="60">
        <f>I28*(1+(K2))</f>
        <v>0</v>
      </c>
      <c r="K28" s="61">
        <f t="shared" si="1"/>
        <v>0</v>
      </c>
    </row>
    <row r="29" spans="1:11">
      <c r="A29" s="56" t="s">
        <v>732</v>
      </c>
      <c r="B29" s="57" t="s">
        <v>87</v>
      </c>
      <c r="C29" s="58" t="s">
        <v>74</v>
      </c>
      <c r="D29" s="59" t="s">
        <v>88</v>
      </c>
      <c r="E29" s="58">
        <v>14</v>
      </c>
      <c r="F29" s="60"/>
      <c r="G29" s="60">
        <f>F29*(1+(D2))</f>
        <v>0</v>
      </c>
      <c r="H29" s="61">
        <f t="shared" si="0"/>
        <v>0</v>
      </c>
      <c r="I29" s="60">
        <v>0</v>
      </c>
      <c r="J29" s="60">
        <f>I29*(1+(K2))</f>
        <v>0</v>
      </c>
      <c r="K29" s="61">
        <f t="shared" si="1"/>
        <v>0</v>
      </c>
    </row>
    <row r="30" spans="1:11">
      <c r="A30" s="56" t="s">
        <v>733</v>
      </c>
      <c r="B30" s="57" t="s">
        <v>89</v>
      </c>
      <c r="C30" s="58" t="s">
        <v>62</v>
      </c>
      <c r="D30" s="58" t="s">
        <v>51</v>
      </c>
      <c r="E30" s="58">
        <v>6</v>
      </c>
      <c r="F30" s="60"/>
      <c r="G30" s="60">
        <f>F30*(1+(D2))</f>
        <v>0</v>
      </c>
      <c r="H30" s="61">
        <f t="shared" si="0"/>
        <v>0</v>
      </c>
      <c r="I30" s="60">
        <v>0</v>
      </c>
      <c r="J30" s="60">
        <f>I30*(1+(K2))</f>
        <v>0</v>
      </c>
      <c r="K30" s="61">
        <f t="shared" si="1"/>
        <v>0</v>
      </c>
    </row>
    <row r="31" spans="1:11">
      <c r="A31" s="56" t="s">
        <v>734</v>
      </c>
      <c r="B31" s="57" t="s">
        <v>90</v>
      </c>
      <c r="C31" s="58" t="s">
        <v>41</v>
      </c>
      <c r="D31" s="58" t="s">
        <v>51</v>
      </c>
      <c r="E31" s="58">
        <v>41</v>
      </c>
      <c r="F31" s="60"/>
      <c r="G31" s="60">
        <f>F31*(1+(D2))</f>
        <v>0</v>
      </c>
      <c r="H31" s="61">
        <f t="shared" si="0"/>
        <v>0</v>
      </c>
      <c r="I31" s="60">
        <v>0</v>
      </c>
      <c r="J31" s="60">
        <f>I31*(1+(K2))</f>
        <v>0</v>
      </c>
      <c r="K31" s="61">
        <f t="shared" si="1"/>
        <v>0</v>
      </c>
    </row>
    <row r="32" spans="1:11" ht="56.25">
      <c r="A32" s="56" t="s">
        <v>735</v>
      </c>
      <c r="B32" s="57" t="s">
        <v>91</v>
      </c>
      <c r="C32" s="58" t="s">
        <v>64</v>
      </c>
      <c r="D32" s="59" t="s">
        <v>92</v>
      </c>
      <c r="E32" s="58">
        <v>10</v>
      </c>
      <c r="F32" s="60"/>
      <c r="G32" s="60">
        <f>F32*(1+(D2))</f>
        <v>0</v>
      </c>
      <c r="H32" s="61">
        <f t="shared" si="0"/>
        <v>0</v>
      </c>
      <c r="I32" s="60">
        <v>0</v>
      </c>
      <c r="J32" s="60">
        <f>I32*(1+(K2))</f>
        <v>0</v>
      </c>
      <c r="K32" s="61">
        <f t="shared" si="1"/>
        <v>0</v>
      </c>
    </row>
    <row r="33" spans="1:11">
      <c r="A33" s="56" t="s">
        <v>736</v>
      </c>
      <c r="B33" s="57" t="s">
        <v>93</v>
      </c>
      <c r="C33" s="58" t="s">
        <v>41</v>
      </c>
      <c r="D33" s="58" t="s">
        <v>51</v>
      </c>
      <c r="E33" s="58">
        <v>10</v>
      </c>
      <c r="F33" s="60"/>
      <c r="G33" s="60">
        <f>F33*(1+(D2))</f>
        <v>0</v>
      </c>
      <c r="H33" s="61">
        <f t="shared" si="0"/>
        <v>0</v>
      </c>
      <c r="I33" s="60">
        <v>0</v>
      </c>
      <c r="J33" s="60">
        <f>I33*(1+(K2))</f>
        <v>0</v>
      </c>
      <c r="K33" s="61">
        <f t="shared" si="1"/>
        <v>0</v>
      </c>
    </row>
    <row r="34" spans="1:11">
      <c r="A34" s="56" t="s">
        <v>737</v>
      </c>
      <c r="B34" s="57" t="s">
        <v>94</v>
      </c>
      <c r="C34" s="58" t="s">
        <v>41</v>
      </c>
      <c r="D34" s="59" t="s">
        <v>95</v>
      </c>
      <c r="E34" s="58">
        <v>500</v>
      </c>
      <c r="F34" s="60"/>
      <c r="G34" s="60">
        <f>F34*(1+(D2))</f>
        <v>0</v>
      </c>
      <c r="H34" s="61">
        <f t="shared" si="0"/>
        <v>0</v>
      </c>
      <c r="I34" s="60">
        <v>0</v>
      </c>
      <c r="J34" s="60">
        <f>I34*(1+(K2))</f>
        <v>0</v>
      </c>
      <c r="K34" s="61">
        <f t="shared" si="1"/>
        <v>0</v>
      </c>
    </row>
    <row r="35" spans="1:11">
      <c r="A35" s="56" t="s">
        <v>738</v>
      </c>
      <c r="B35" s="57" t="s">
        <v>96</v>
      </c>
      <c r="C35" s="58" t="s">
        <v>41</v>
      </c>
      <c r="D35" s="58" t="s">
        <v>51</v>
      </c>
      <c r="E35" s="58">
        <v>200</v>
      </c>
      <c r="F35" s="60"/>
      <c r="G35" s="60">
        <f>F35*(1+(D2))</f>
        <v>0</v>
      </c>
      <c r="H35" s="61">
        <f t="shared" si="0"/>
        <v>0</v>
      </c>
      <c r="I35" s="60">
        <v>0</v>
      </c>
      <c r="J35" s="60">
        <f>I35*(1+(K2))</f>
        <v>0</v>
      </c>
      <c r="K35" s="61">
        <f t="shared" si="1"/>
        <v>0</v>
      </c>
    </row>
    <row r="36" spans="1:11">
      <c r="A36" s="56" t="s">
        <v>739</v>
      </c>
      <c r="B36" s="57" t="s">
        <v>97</v>
      </c>
      <c r="C36" s="58" t="s">
        <v>98</v>
      </c>
      <c r="D36" s="58" t="s">
        <v>51</v>
      </c>
      <c r="E36" s="58">
        <v>5</v>
      </c>
      <c r="F36" s="60"/>
      <c r="G36" s="60">
        <f>F36*(1+(D2))</f>
        <v>0</v>
      </c>
      <c r="H36" s="61">
        <f t="shared" ref="H36:H67" si="2">G36*E36</f>
        <v>0</v>
      </c>
      <c r="I36" s="60">
        <v>0</v>
      </c>
      <c r="J36" s="60">
        <f>I36*(1+(K2))</f>
        <v>0</v>
      </c>
      <c r="K36" s="61">
        <f t="shared" si="1"/>
        <v>0</v>
      </c>
    </row>
    <row r="37" spans="1:11">
      <c r="A37" s="56" t="s">
        <v>740</v>
      </c>
      <c r="B37" s="57" t="s">
        <v>99</v>
      </c>
      <c r="C37" s="58" t="s">
        <v>41</v>
      </c>
      <c r="D37" s="59" t="s">
        <v>100</v>
      </c>
      <c r="E37" s="58">
        <v>10</v>
      </c>
      <c r="F37" s="60"/>
      <c r="G37" s="60">
        <f>F37*(1+(D2))</f>
        <v>0</v>
      </c>
      <c r="H37" s="61">
        <f t="shared" si="2"/>
        <v>0</v>
      </c>
      <c r="I37" s="60">
        <v>0</v>
      </c>
      <c r="J37" s="60">
        <f>I37*(1+(K2))</f>
        <v>0</v>
      </c>
      <c r="K37" s="61">
        <f t="shared" si="1"/>
        <v>0</v>
      </c>
    </row>
    <row r="38" spans="1:11" ht="33.75">
      <c r="A38" s="56" t="s">
        <v>741</v>
      </c>
      <c r="B38" s="57" t="s">
        <v>101</v>
      </c>
      <c r="C38" s="58" t="s">
        <v>47</v>
      </c>
      <c r="D38" s="59" t="s">
        <v>102</v>
      </c>
      <c r="E38" s="58">
        <v>20</v>
      </c>
      <c r="F38" s="60"/>
      <c r="G38" s="60">
        <f>F38*(1+(D2))</f>
        <v>0</v>
      </c>
      <c r="H38" s="61">
        <f t="shared" si="2"/>
        <v>0</v>
      </c>
      <c r="I38" s="60">
        <v>0</v>
      </c>
      <c r="J38" s="60">
        <f>I38*(1+(K2))</f>
        <v>0</v>
      </c>
      <c r="K38" s="61">
        <f t="shared" si="1"/>
        <v>0</v>
      </c>
    </row>
    <row r="39" spans="1:11" ht="22.5">
      <c r="A39" s="56" t="s">
        <v>742</v>
      </c>
      <c r="B39" s="57" t="s">
        <v>103</v>
      </c>
      <c r="C39" s="58" t="s">
        <v>41</v>
      </c>
      <c r="D39" s="58" t="s">
        <v>51</v>
      </c>
      <c r="E39" s="58">
        <v>20</v>
      </c>
      <c r="F39" s="60"/>
      <c r="G39" s="60">
        <f>F39*(1+(D2))</f>
        <v>0</v>
      </c>
      <c r="H39" s="61">
        <f t="shared" si="2"/>
        <v>0</v>
      </c>
      <c r="I39" s="60">
        <v>0</v>
      </c>
      <c r="J39" s="60">
        <f>I39*(1+(K2))</f>
        <v>0</v>
      </c>
      <c r="K39" s="61">
        <f t="shared" si="1"/>
        <v>0</v>
      </c>
    </row>
    <row r="40" spans="1:11">
      <c r="A40" s="56" t="s">
        <v>743</v>
      </c>
      <c r="B40" s="57" t="s">
        <v>104</v>
      </c>
      <c r="C40" s="58" t="s">
        <v>41</v>
      </c>
      <c r="D40" s="59" t="s">
        <v>105</v>
      </c>
      <c r="E40" s="58">
        <v>1000</v>
      </c>
      <c r="F40" s="60"/>
      <c r="G40" s="60">
        <f>F40*(1+(D2))</f>
        <v>0</v>
      </c>
      <c r="H40" s="61">
        <f t="shared" si="2"/>
        <v>0</v>
      </c>
      <c r="I40" s="60">
        <v>0</v>
      </c>
      <c r="J40" s="60">
        <f>I40*(1+(K2))</f>
        <v>0</v>
      </c>
      <c r="K40" s="61">
        <f t="shared" si="1"/>
        <v>0</v>
      </c>
    </row>
    <row r="41" spans="1:11">
      <c r="A41" s="56" t="s">
        <v>744</v>
      </c>
      <c r="B41" s="57" t="s">
        <v>106</v>
      </c>
      <c r="C41" s="58" t="s">
        <v>107</v>
      </c>
      <c r="D41" s="59" t="s">
        <v>108</v>
      </c>
      <c r="E41" s="58">
        <v>20</v>
      </c>
      <c r="F41" s="60"/>
      <c r="G41" s="60">
        <f>F41*(1+(D2))</f>
        <v>0</v>
      </c>
      <c r="H41" s="61">
        <f t="shared" si="2"/>
        <v>0</v>
      </c>
      <c r="I41" s="60">
        <v>0</v>
      </c>
      <c r="J41" s="60">
        <f>I41*(1+(K2))</f>
        <v>0</v>
      </c>
      <c r="K41" s="61">
        <f t="shared" si="1"/>
        <v>0</v>
      </c>
    </row>
    <row r="42" spans="1:11" ht="22.5">
      <c r="A42" s="56" t="s">
        <v>745</v>
      </c>
      <c r="B42" s="57" t="s">
        <v>109</v>
      </c>
      <c r="C42" s="58" t="s">
        <v>41</v>
      </c>
      <c r="D42" s="59" t="s">
        <v>110</v>
      </c>
      <c r="E42" s="58">
        <v>100</v>
      </c>
      <c r="F42" s="60"/>
      <c r="G42" s="60">
        <f>F42*(1+(D2))</f>
        <v>0</v>
      </c>
      <c r="H42" s="61">
        <f t="shared" si="2"/>
        <v>0</v>
      </c>
      <c r="I42" s="60">
        <v>0</v>
      </c>
      <c r="J42" s="60">
        <f>I42*(1+(K2))</f>
        <v>0</v>
      </c>
      <c r="K42" s="61">
        <f t="shared" si="1"/>
        <v>0</v>
      </c>
    </row>
    <row r="43" spans="1:11">
      <c r="A43" s="56" t="s">
        <v>746</v>
      </c>
      <c r="B43" s="57" t="s">
        <v>111</v>
      </c>
      <c r="C43" s="58" t="s">
        <v>62</v>
      </c>
      <c r="D43" s="58" t="s">
        <v>51</v>
      </c>
      <c r="E43" s="58">
        <v>6</v>
      </c>
      <c r="F43" s="60"/>
      <c r="G43" s="60">
        <f>F43*(1+(D2))</f>
        <v>0</v>
      </c>
      <c r="H43" s="61">
        <f t="shared" si="2"/>
        <v>0</v>
      </c>
      <c r="I43" s="60">
        <v>0</v>
      </c>
      <c r="J43" s="60">
        <f>I43*(1+(K2))</f>
        <v>0</v>
      </c>
      <c r="K43" s="61">
        <f t="shared" si="1"/>
        <v>0</v>
      </c>
    </row>
    <row r="44" spans="1:11">
      <c r="A44" s="56" t="s">
        <v>747</v>
      </c>
      <c r="B44" s="57" t="s">
        <v>112</v>
      </c>
      <c r="C44" s="58" t="s">
        <v>113</v>
      </c>
      <c r="D44" s="58" t="s">
        <v>51</v>
      </c>
      <c r="E44" s="58">
        <v>1</v>
      </c>
      <c r="F44" s="60"/>
      <c r="G44" s="60">
        <f>F44*(1+(D2))</f>
        <v>0</v>
      </c>
      <c r="H44" s="61">
        <f t="shared" si="2"/>
        <v>0</v>
      </c>
      <c r="I44" s="60">
        <v>0</v>
      </c>
      <c r="J44" s="60">
        <f>I44*(1+(K2))</f>
        <v>0</v>
      </c>
      <c r="K44" s="61">
        <f t="shared" si="1"/>
        <v>0</v>
      </c>
    </row>
    <row r="45" spans="1:11">
      <c r="A45" s="56" t="s">
        <v>748</v>
      </c>
      <c r="B45" s="57" t="s">
        <v>114</v>
      </c>
      <c r="C45" s="58" t="s">
        <v>74</v>
      </c>
      <c r="D45" s="58" t="s">
        <v>51</v>
      </c>
      <c r="E45" s="58">
        <v>20</v>
      </c>
      <c r="F45" s="60"/>
      <c r="G45" s="60">
        <f>F45*(1+(D2))</f>
        <v>0</v>
      </c>
      <c r="H45" s="61">
        <f t="shared" si="2"/>
        <v>0</v>
      </c>
      <c r="I45" s="60">
        <v>0</v>
      </c>
      <c r="J45" s="60">
        <f>I45*(1+(K2))</f>
        <v>0</v>
      </c>
      <c r="K45" s="61">
        <f t="shared" si="1"/>
        <v>0</v>
      </c>
    </row>
    <row r="46" spans="1:11" ht="22.5">
      <c r="A46" s="56" t="s">
        <v>749</v>
      </c>
      <c r="B46" s="57" t="s">
        <v>115</v>
      </c>
      <c r="C46" s="58" t="s">
        <v>41</v>
      </c>
      <c r="D46" s="59" t="s">
        <v>116</v>
      </c>
      <c r="E46" s="58">
        <v>30</v>
      </c>
      <c r="F46" s="60"/>
      <c r="G46" s="60">
        <f>F46*(1+(D2))</f>
        <v>0</v>
      </c>
      <c r="H46" s="61">
        <f t="shared" si="2"/>
        <v>0</v>
      </c>
      <c r="I46" s="60">
        <v>0</v>
      </c>
      <c r="J46" s="60">
        <f>I46*(1+(K2))</f>
        <v>0</v>
      </c>
      <c r="K46" s="61">
        <f t="shared" si="1"/>
        <v>0</v>
      </c>
    </row>
    <row r="47" spans="1:11">
      <c r="A47" s="56" t="s">
        <v>750</v>
      </c>
      <c r="B47" s="57" t="s">
        <v>117</v>
      </c>
      <c r="C47" s="58" t="s">
        <v>41</v>
      </c>
      <c r="D47" s="59" t="s">
        <v>118</v>
      </c>
      <c r="E47" s="58">
        <v>200</v>
      </c>
      <c r="F47" s="60"/>
      <c r="G47" s="60">
        <f>F47*(1+(D2))</f>
        <v>0</v>
      </c>
      <c r="H47" s="61">
        <f t="shared" si="2"/>
        <v>0</v>
      </c>
      <c r="I47" s="60">
        <v>0</v>
      </c>
      <c r="J47" s="60">
        <f>I47*(1+(K2))</f>
        <v>0</v>
      </c>
      <c r="K47" s="61">
        <f t="shared" si="1"/>
        <v>0</v>
      </c>
    </row>
    <row r="48" spans="1:11">
      <c r="A48" s="56" t="s">
        <v>751</v>
      </c>
      <c r="B48" s="57" t="s">
        <v>119</v>
      </c>
      <c r="C48" s="58" t="s">
        <v>120</v>
      </c>
      <c r="D48" s="58" t="s">
        <v>51</v>
      </c>
      <c r="E48" s="58">
        <v>50</v>
      </c>
      <c r="F48" s="60"/>
      <c r="G48" s="60">
        <f>F48*(1+(D2))</f>
        <v>0</v>
      </c>
      <c r="H48" s="61">
        <f t="shared" si="2"/>
        <v>0</v>
      </c>
      <c r="I48" s="60">
        <v>0</v>
      </c>
      <c r="J48" s="60">
        <f>I48*(1+(K2))</f>
        <v>0</v>
      </c>
      <c r="K48" s="61">
        <f t="shared" si="1"/>
        <v>0</v>
      </c>
    </row>
    <row r="49" spans="1:11">
      <c r="A49" s="56" t="s">
        <v>752</v>
      </c>
      <c r="B49" s="57" t="s">
        <v>121</v>
      </c>
      <c r="C49" s="58" t="s">
        <v>71</v>
      </c>
      <c r="D49" s="59" t="s">
        <v>122</v>
      </c>
      <c r="E49" s="58">
        <v>6</v>
      </c>
      <c r="F49" s="60"/>
      <c r="G49" s="60">
        <f>F49*(1+(D2))</f>
        <v>0</v>
      </c>
      <c r="H49" s="61">
        <f t="shared" si="2"/>
        <v>0</v>
      </c>
      <c r="I49" s="60">
        <v>0</v>
      </c>
      <c r="J49" s="60">
        <f>I49*(1+(K2))</f>
        <v>0</v>
      </c>
      <c r="K49" s="61">
        <f t="shared" si="1"/>
        <v>0</v>
      </c>
    </row>
    <row r="50" spans="1:11">
      <c r="A50" s="56" t="s">
        <v>753</v>
      </c>
      <c r="B50" s="57" t="s">
        <v>123</v>
      </c>
      <c r="C50" s="58" t="s">
        <v>74</v>
      </c>
      <c r="D50" s="59" t="s">
        <v>124</v>
      </c>
      <c r="E50" s="58">
        <v>20</v>
      </c>
      <c r="F50" s="60"/>
      <c r="G50" s="60">
        <f>F50*(1+(D2))</f>
        <v>0</v>
      </c>
      <c r="H50" s="61">
        <f t="shared" si="2"/>
        <v>0</v>
      </c>
      <c r="I50" s="60">
        <v>0</v>
      </c>
      <c r="J50" s="60">
        <f>I50*(1+(K2))</f>
        <v>0</v>
      </c>
      <c r="K50" s="61">
        <f t="shared" si="1"/>
        <v>0</v>
      </c>
    </row>
    <row r="51" spans="1:11">
      <c r="A51" s="56" t="s">
        <v>754</v>
      </c>
      <c r="B51" s="57" t="s">
        <v>125</v>
      </c>
      <c r="C51" s="58" t="s">
        <v>41</v>
      </c>
      <c r="D51" s="59" t="s">
        <v>126</v>
      </c>
      <c r="E51" s="58">
        <v>1000</v>
      </c>
      <c r="F51" s="60"/>
      <c r="G51" s="60">
        <f>F51*(1+(D2))</f>
        <v>0</v>
      </c>
      <c r="H51" s="61">
        <f t="shared" si="2"/>
        <v>0</v>
      </c>
      <c r="I51" s="60">
        <v>0</v>
      </c>
      <c r="J51" s="60">
        <f>I51*(1+(K2))</f>
        <v>0</v>
      </c>
      <c r="K51" s="61">
        <f t="shared" si="1"/>
        <v>0</v>
      </c>
    </row>
    <row r="52" spans="1:11" ht="22.5">
      <c r="A52" s="56" t="s">
        <v>755</v>
      </c>
      <c r="B52" s="57" t="s">
        <v>127</v>
      </c>
      <c r="C52" s="58" t="s">
        <v>64</v>
      </c>
      <c r="D52" s="59" t="s">
        <v>128</v>
      </c>
      <c r="E52" s="58">
        <v>18</v>
      </c>
      <c r="F52" s="60"/>
      <c r="G52" s="60">
        <f>F52*(1+(D2))</f>
        <v>0</v>
      </c>
      <c r="H52" s="61">
        <f t="shared" si="2"/>
        <v>0</v>
      </c>
      <c r="I52" s="60">
        <v>0</v>
      </c>
      <c r="J52" s="60">
        <f>I52*(1+(K2))</f>
        <v>0</v>
      </c>
      <c r="K52" s="61">
        <f t="shared" si="1"/>
        <v>0</v>
      </c>
    </row>
    <row r="53" spans="1:11">
      <c r="A53" s="56" t="s">
        <v>756</v>
      </c>
      <c r="B53" s="57" t="s">
        <v>129</v>
      </c>
      <c r="C53" s="58" t="s">
        <v>41</v>
      </c>
      <c r="D53" s="59" t="s">
        <v>130</v>
      </c>
      <c r="E53" s="58">
        <v>6</v>
      </c>
      <c r="F53" s="60"/>
      <c r="G53" s="60">
        <f>F53*(1+(D2))</f>
        <v>0</v>
      </c>
      <c r="H53" s="61">
        <f t="shared" si="2"/>
        <v>0</v>
      </c>
      <c r="I53" s="60">
        <v>0</v>
      </c>
      <c r="J53" s="60">
        <f>I53*(1+(K2))</f>
        <v>0</v>
      </c>
      <c r="K53" s="61">
        <f t="shared" si="1"/>
        <v>0</v>
      </c>
    </row>
    <row r="54" spans="1:11">
      <c r="A54" s="56" t="s">
        <v>757</v>
      </c>
      <c r="B54" s="57" t="s">
        <v>131</v>
      </c>
      <c r="C54" s="58" t="s">
        <v>41</v>
      </c>
      <c r="D54" s="58" t="s">
        <v>51</v>
      </c>
      <c r="E54" s="58">
        <v>16</v>
      </c>
      <c r="F54" s="60"/>
      <c r="G54" s="60">
        <f>F54*(1+(D2))</f>
        <v>0</v>
      </c>
      <c r="H54" s="61">
        <f t="shared" si="2"/>
        <v>0</v>
      </c>
      <c r="I54" s="60">
        <v>0</v>
      </c>
      <c r="J54" s="60">
        <f>I54*(1+(K2))</f>
        <v>0</v>
      </c>
      <c r="K54" s="61">
        <f t="shared" si="1"/>
        <v>0</v>
      </c>
    </row>
    <row r="55" spans="1:11">
      <c r="A55" s="56" t="s">
        <v>758</v>
      </c>
      <c r="B55" s="57" t="s">
        <v>132</v>
      </c>
      <c r="C55" s="58" t="s">
        <v>41</v>
      </c>
      <c r="D55" s="58" t="s">
        <v>51</v>
      </c>
      <c r="E55" s="58">
        <v>3</v>
      </c>
      <c r="F55" s="60"/>
      <c r="G55" s="60">
        <f>F55*(1+(D2))</f>
        <v>0</v>
      </c>
      <c r="H55" s="61">
        <f t="shared" si="2"/>
        <v>0</v>
      </c>
      <c r="I55" s="60">
        <v>0</v>
      </c>
      <c r="J55" s="60">
        <f>I55*(1+(K2))</f>
        <v>0</v>
      </c>
      <c r="K55" s="61">
        <f t="shared" si="1"/>
        <v>0</v>
      </c>
    </row>
    <row r="56" spans="1:11">
      <c r="A56" s="56" t="s">
        <v>759</v>
      </c>
      <c r="B56" s="57" t="s">
        <v>133</v>
      </c>
      <c r="C56" s="58" t="s">
        <v>71</v>
      </c>
      <c r="D56" s="59" t="s">
        <v>134</v>
      </c>
      <c r="E56" s="58">
        <v>2</v>
      </c>
      <c r="F56" s="60"/>
      <c r="G56" s="60">
        <f>F56*(1+(D2))</f>
        <v>0</v>
      </c>
      <c r="H56" s="61">
        <f t="shared" si="2"/>
        <v>0</v>
      </c>
      <c r="I56" s="60">
        <v>0</v>
      </c>
      <c r="J56" s="60">
        <f>I56*(1+(K2))</f>
        <v>0</v>
      </c>
      <c r="K56" s="61">
        <f t="shared" si="1"/>
        <v>0</v>
      </c>
    </row>
    <row r="57" spans="1:11">
      <c r="A57" s="56" t="s">
        <v>760</v>
      </c>
      <c r="B57" s="57" t="s">
        <v>135</v>
      </c>
      <c r="C57" s="58" t="s">
        <v>71</v>
      </c>
      <c r="D57" s="59" t="s">
        <v>136</v>
      </c>
      <c r="E57" s="58">
        <v>2</v>
      </c>
      <c r="F57" s="60"/>
      <c r="G57" s="60">
        <f>F57*(1+(D2))</f>
        <v>0</v>
      </c>
      <c r="H57" s="61">
        <f t="shared" si="2"/>
        <v>0</v>
      </c>
      <c r="I57" s="60">
        <v>0</v>
      </c>
      <c r="J57" s="60">
        <f>I57*(1+(K2))</f>
        <v>0</v>
      </c>
      <c r="K57" s="61">
        <f t="shared" si="1"/>
        <v>0</v>
      </c>
    </row>
    <row r="58" spans="1:11" ht="33.75">
      <c r="A58" s="56" t="s">
        <v>761</v>
      </c>
      <c r="B58" s="62" t="s">
        <v>137</v>
      </c>
      <c r="C58" s="58" t="s">
        <v>64</v>
      </c>
      <c r="D58" s="59" t="s">
        <v>138</v>
      </c>
      <c r="E58" s="58">
        <v>46</v>
      </c>
      <c r="F58" s="60"/>
      <c r="G58" s="60">
        <f>F58*(1+(D2))</f>
        <v>0</v>
      </c>
      <c r="H58" s="61">
        <f t="shared" si="2"/>
        <v>0</v>
      </c>
      <c r="I58" s="60">
        <v>0</v>
      </c>
      <c r="J58" s="60">
        <f>I58*(1+(K2))</f>
        <v>0</v>
      </c>
      <c r="K58" s="61">
        <f t="shared" si="1"/>
        <v>0</v>
      </c>
    </row>
    <row r="59" spans="1:11">
      <c r="A59" s="56" t="s">
        <v>762</v>
      </c>
      <c r="B59" s="57" t="s">
        <v>139</v>
      </c>
      <c r="C59" s="58" t="s">
        <v>74</v>
      </c>
      <c r="D59" s="58" t="s">
        <v>51</v>
      </c>
      <c r="E59" s="58">
        <v>6</v>
      </c>
      <c r="F59" s="60"/>
      <c r="G59" s="60">
        <f>F59*(1+(D2))</f>
        <v>0</v>
      </c>
      <c r="H59" s="61">
        <f t="shared" si="2"/>
        <v>0</v>
      </c>
      <c r="I59" s="60">
        <v>0</v>
      </c>
      <c r="J59" s="60">
        <f>I59*(1+(K2))</f>
        <v>0</v>
      </c>
      <c r="K59" s="61">
        <f t="shared" si="1"/>
        <v>0</v>
      </c>
    </row>
    <row r="60" spans="1:11">
      <c r="A60" s="56" t="s">
        <v>763</v>
      </c>
      <c r="B60" s="57" t="s">
        <v>140</v>
      </c>
      <c r="C60" s="58" t="s">
        <v>41</v>
      </c>
      <c r="D60" s="59" t="s">
        <v>141</v>
      </c>
      <c r="E60" s="58">
        <v>2</v>
      </c>
      <c r="F60" s="60"/>
      <c r="G60" s="60">
        <f>F60*(1+(D2))</f>
        <v>0</v>
      </c>
      <c r="H60" s="61">
        <f t="shared" si="2"/>
        <v>0</v>
      </c>
      <c r="I60" s="60">
        <v>0</v>
      </c>
      <c r="J60" s="60">
        <f>I60*(1+(K2))</f>
        <v>0</v>
      </c>
      <c r="K60" s="61">
        <f t="shared" si="1"/>
        <v>0</v>
      </c>
    </row>
    <row r="61" spans="1:11">
      <c r="A61" s="56" t="s">
        <v>764</v>
      </c>
      <c r="B61" s="57" t="s">
        <v>142</v>
      </c>
      <c r="C61" s="58" t="s">
        <v>98</v>
      </c>
      <c r="D61" s="58" t="s">
        <v>51</v>
      </c>
      <c r="E61" s="58">
        <v>2</v>
      </c>
      <c r="F61" s="60"/>
      <c r="G61" s="60">
        <f>F61*(1+(D2))</f>
        <v>0</v>
      </c>
      <c r="H61" s="61">
        <f t="shared" si="2"/>
        <v>0</v>
      </c>
      <c r="I61" s="60">
        <v>0</v>
      </c>
      <c r="J61" s="60">
        <f>I61*(1+(K2))</f>
        <v>0</v>
      </c>
      <c r="K61" s="61">
        <f t="shared" si="1"/>
        <v>0</v>
      </c>
    </row>
    <row r="62" spans="1:11">
      <c r="A62" s="56" t="s">
        <v>765</v>
      </c>
      <c r="B62" s="57" t="s">
        <v>143</v>
      </c>
      <c r="C62" s="58" t="s">
        <v>71</v>
      </c>
      <c r="D62" s="59" t="s">
        <v>144</v>
      </c>
      <c r="E62" s="58">
        <v>10</v>
      </c>
      <c r="F62" s="60"/>
      <c r="G62" s="60">
        <f>F62*(1+(D2))</f>
        <v>0</v>
      </c>
      <c r="H62" s="61">
        <f t="shared" si="2"/>
        <v>0</v>
      </c>
      <c r="I62" s="60">
        <v>0</v>
      </c>
      <c r="J62" s="60">
        <f>I62*(1+(K2))</f>
        <v>0</v>
      </c>
      <c r="K62" s="61">
        <f t="shared" si="1"/>
        <v>0</v>
      </c>
    </row>
    <row r="63" spans="1:11">
      <c r="A63" s="56" t="s">
        <v>766</v>
      </c>
      <c r="B63" s="57" t="s">
        <v>145</v>
      </c>
      <c r="C63" s="58" t="s">
        <v>74</v>
      </c>
      <c r="D63" s="58" t="s">
        <v>51</v>
      </c>
      <c r="E63" s="58">
        <v>20</v>
      </c>
      <c r="F63" s="60"/>
      <c r="G63" s="60">
        <f>F63*(1+(D2))</f>
        <v>0</v>
      </c>
      <c r="H63" s="61">
        <f t="shared" si="2"/>
        <v>0</v>
      </c>
      <c r="I63" s="60">
        <v>0</v>
      </c>
      <c r="J63" s="60">
        <f>I63*(1+(K2))</f>
        <v>0</v>
      </c>
      <c r="K63" s="61">
        <f t="shared" si="1"/>
        <v>0</v>
      </c>
    </row>
    <row r="64" spans="1:11">
      <c r="A64" s="56" t="s">
        <v>767</v>
      </c>
      <c r="B64" s="57" t="s">
        <v>146</v>
      </c>
      <c r="C64" s="58" t="s">
        <v>41</v>
      </c>
      <c r="D64" s="59" t="s">
        <v>147</v>
      </c>
      <c r="E64" s="58">
        <v>1000</v>
      </c>
      <c r="F64" s="60"/>
      <c r="G64" s="60">
        <f>F64*(1+(D2))</f>
        <v>0</v>
      </c>
      <c r="H64" s="61">
        <f t="shared" si="2"/>
        <v>0</v>
      </c>
      <c r="I64" s="60">
        <v>0</v>
      </c>
      <c r="J64" s="60">
        <f>I64*(1+(K2))</f>
        <v>0</v>
      </c>
      <c r="K64" s="61">
        <f t="shared" si="1"/>
        <v>0</v>
      </c>
    </row>
    <row r="65" spans="1:11">
      <c r="A65" s="56" t="s">
        <v>768</v>
      </c>
      <c r="B65" s="57" t="s">
        <v>148</v>
      </c>
      <c r="C65" s="58" t="s">
        <v>74</v>
      </c>
      <c r="D65" s="58" t="s">
        <v>51</v>
      </c>
      <c r="E65" s="58">
        <v>3</v>
      </c>
      <c r="F65" s="60"/>
      <c r="G65" s="60">
        <f>F65*(1+(D2))</f>
        <v>0</v>
      </c>
      <c r="H65" s="61">
        <f t="shared" si="2"/>
        <v>0</v>
      </c>
      <c r="I65" s="60">
        <v>0</v>
      </c>
      <c r="J65" s="60">
        <f>I65*(1+(K2))</f>
        <v>0</v>
      </c>
      <c r="K65" s="61">
        <f t="shared" si="1"/>
        <v>0</v>
      </c>
    </row>
    <row r="66" spans="1:11">
      <c r="A66" s="56" t="s">
        <v>769</v>
      </c>
      <c r="B66" s="57" t="s">
        <v>149</v>
      </c>
      <c r="C66" s="58" t="s">
        <v>41</v>
      </c>
      <c r="D66" s="59" t="s">
        <v>150</v>
      </c>
      <c r="E66" s="58">
        <v>5</v>
      </c>
      <c r="F66" s="60"/>
      <c r="G66" s="60">
        <f>F66*(1+(D2))</f>
        <v>0</v>
      </c>
      <c r="H66" s="61">
        <f t="shared" si="2"/>
        <v>0</v>
      </c>
      <c r="I66" s="60">
        <v>0</v>
      </c>
      <c r="J66" s="60">
        <f>I66*(1+(K2))</f>
        <v>0</v>
      </c>
      <c r="K66" s="61">
        <f t="shared" si="1"/>
        <v>0</v>
      </c>
    </row>
    <row r="67" spans="1:11">
      <c r="A67" s="56" t="s">
        <v>770</v>
      </c>
      <c r="B67" s="57" t="s">
        <v>151</v>
      </c>
      <c r="C67" s="58" t="s">
        <v>41</v>
      </c>
      <c r="D67" s="58" t="s">
        <v>51</v>
      </c>
      <c r="E67" s="58">
        <v>3</v>
      </c>
      <c r="F67" s="60"/>
      <c r="G67" s="60">
        <f>F67*(1+(D2))</f>
        <v>0</v>
      </c>
      <c r="H67" s="61">
        <f t="shared" si="2"/>
        <v>0</v>
      </c>
      <c r="I67" s="60">
        <v>0</v>
      </c>
      <c r="J67" s="60">
        <f>I67*(1+(K2))</f>
        <v>0</v>
      </c>
      <c r="K67" s="61">
        <f t="shared" si="1"/>
        <v>0</v>
      </c>
    </row>
    <row r="68" spans="1:11">
      <c r="A68" s="56" t="s">
        <v>771</v>
      </c>
      <c r="B68" s="57" t="s">
        <v>152</v>
      </c>
      <c r="C68" s="58" t="s">
        <v>74</v>
      </c>
      <c r="D68" s="58">
        <v>411</v>
      </c>
      <c r="E68" s="58">
        <v>100</v>
      </c>
      <c r="F68" s="60"/>
      <c r="G68" s="60">
        <f>F68*(1+(D2))</f>
        <v>0</v>
      </c>
      <c r="H68" s="61">
        <f t="shared" ref="H68:H78" si="3">G68*E68</f>
        <v>0</v>
      </c>
      <c r="I68" s="60">
        <v>0</v>
      </c>
      <c r="J68" s="60">
        <f>I68*(1+(K2))</f>
        <v>0</v>
      </c>
      <c r="K68" s="61">
        <f t="shared" si="1"/>
        <v>0</v>
      </c>
    </row>
    <row r="69" spans="1:11">
      <c r="A69" s="56" t="s">
        <v>772</v>
      </c>
      <c r="B69" s="57" t="s">
        <v>153</v>
      </c>
      <c r="C69" s="58" t="s">
        <v>41</v>
      </c>
      <c r="D69" s="58" t="s">
        <v>51</v>
      </c>
      <c r="E69" s="58">
        <v>1</v>
      </c>
      <c r="F69" s="60"/>
      <c r="G69" s="60">
        <f>F69*(1+(D2))</f>
        <v>0</v>
      </c>
      <c r="H69" s="61">
        <f t="shared" si="3"/>
        <v>0</v>
      </c>
      <c r="I69" s="60">
        <v>0</v>
      </c>
      <c r="J69" s="60">
        <f>I69*(1+(K2))</f>
        <v>0</v>
      </c>
      <c r="K69" s="61">
        <f t="shared" si="1"/>
        <v>0</v>
      </c>
    </row>
    <row r="70" spans="1:11">
      <c r="A70" s="56" t="s">
        <v>773</v>
      </c>
      <c r="B70" s="57" t="s">
        <v>154</v>
      </c>
      <c r="C70" s="58" t="s">
        <v>155</v>
      </c>
      <c r="D70" s="59" t="s">
        <v>156</v>
      </c>
      <c r="E70" s="58">
        <v>40</v>
      </c>
      <c r="F70" s="60"/>
      <c r="G70" s="60">
        <f>F70*(1+(D2))</f>
        <v>0</v>
      </c>
      <c r="H70" s="61">
        <f t="shared" si="3"/>
        <v>0</v>
      </c>
      <c r="I70" s="60">
        <v>0</v>
      </c>
      <c r="J70" s="60">
        <f>I70*(1+(K2))</f>
        <v>0</v>
      </c>
      <c r="K70" s="61">
        <f t="shared" si="1"/>
        <v>0</v>
      </c>
    </row>
    <row r="71" spans="1:11">
      <c r="A71" s="56" t="s">
        <v>774</v>
      </c>
      <c r="B71" s="57" t="s">
        <v>157</v>
      </c>
      <c r="C71" s="58" t="s">
        <v>41</v>
      </c>
      <c r="D71" s="59" t="s">
        <v>158</v>
      </c>
      <c r="E71" s="63">
        <v>700</v>
      </c>
      <c r="F71" s="60"/>
      <c r="G71" s="60">
        <f>F71*(1+(D2))</f>
        <v>0</v>
      </c>
      <c r="H71" s="61">
        <f t="shared" si="3"/>
        <v>0</v>
      </c>
      <c r="I71" s="60">
        <v>0</v>
      </c>
      <c r="J71" s="60">
        <f>I71*(1+(K2))</f>
        <v>0</v>
      </c>
      <c r="K71" s="61">
        <f t="shared" si="1"/>
        <v>0</v>
      </c>
    </row>
    <row r="72" spans="1:11">
      <c r="A72" s="56" t="s">
        <v>775</v>
      </c>
      <c r="B72" s="57" t="s">
        <v>159</v>
      </c>
      <c r="C72" s="58" t="s">
        <v>41</v>
      </c>
      <c r="D72" s="59" t="s">
        <v>160</v>
      </c>
      <c r="E72" s="58">
        <v>200</v>
      </c>
      <c r="F72" s="60"/>
      <c r="G72" s="60">
        <f>F72*(1+(D2))</f>
        <v>0</v>
      </c>
      <c r="H72" s="61">
        <f t="shared" si="3"/>
        <v>0</v>
      </c>
      <c r="I72" s="60">
        <v>0</v>
      </c>
      <c r="J72" s="60">
        <f>I72*(1+(K2))</f>
        <v>0</v>
      </c>
      <c r="K72" s="61">
        <f t="shared" si="1"/>
        <v>0</v>
      </c>
    </row>
    <row r="73" spans="1:11">
      <c r="A73" s="56" t="s">
        <v>776</v>
      </c>
      <c r="B73" s="57" t="s">
        <v>161</v>
      </c>
      <c r="C73" s="3" t="s">
        <v>162</v>
      </c>
      <c r="D73" s="59" t="s">
        <v>163</v>
      </c>
      <c r="E73" s="58">
        <v>25</v>
      </c>
      <c r="F73" s="60"/>
      <c r="G73" s="60">
        <f>F73*(1+(D2))</f>
        <v>0</v>
      </c>
      <c r="H73" s="61">
        <f t="shared" si="3"/>
        <v>0</v>
      </c>
      <c r="I73" s="60">
        <v>0</v>
      </c>
      <c r="J73" s="60">
        <f>I73*(1+(K2))</f>
        <v>0</v>
      </c>
      <c r="K73" s="61">
        <f t="shared" ref="K73:K78" si="4">J73*E73</f>
        <v>0</v>
      </c>
    </row>
    <row r="74" spans="1:11" ht="33.75">
      <c r="A74" s="56" t="s">
        <v>777</v>
      </c>
      <c r="B74" s="57" t="s">
        <v>164</v>
      </c>
      <c r="C74" s="58" t="s">
        <v>41</v>
      </c>
      <c r="D74" s="59" t="s">
        <v>165</v>
      </c>
      <c r="E74" s="58">
        <v>49</v>
      </c>
      <c r="F74" s="60"/>
      <c r="G74" s="60">
        <f>F74*(1+(D2))</f>
        <v>0</v>
      </c>
      <c r="H74" s="61">
        <f t="shared" si="3"/>
        <v>0</v>
      </c>
      <c r="I74" s="60">
        <v>0</v>
      </c>
      <c r="J74" s="60">
        <f>I74*(1+(K2))</f>
        <v>0</v>
      </c>
      <c r="K74" s="61">
        <f t="shared" si="4"/>
        <v>0</v>
      </c>
    </row>
    <row r="75" spans="1:11">
      <c r="A75" s="56" t="s">
        <v>778</v>
      </c>
      <c r="B75" s="57" t="s">
        <v>166</v>
      </c>
      <c r="C75" s="58" t="s">
        <v>41</v>
      </c>
      <c r="D75" s="58" t="s">
        <v>51</v>
      </c>
      <c r="E75" s="58">
        <v>1</v>
      </c>
      <c r="F75" s="60"/>
      <c r="G75" s="60">
        <f>F75*(1+(D2))</f>
        <v>0</v>
      </c>
      <c r="H75" s="61">
        <f t="shared" si="3"/>
        <v>0</v>
      </c>
      <c r="I75" s="60">
        <v>0</v>
      </c>
      <c r="J75" s="60">
        <f>I75*(1+(K2))</f>
        <v>0</v>
      </c>
      <c r="K75" s="61">
        <f t="shared" si="4"/>
        <v>0</v>
      </c>
    </row>
    <row r="76" spans="1:11" ht="22.5">
      <c r="A76" s="56" t="s">
        <v>779</v>
      </c>
      <c r="B76" s="57" t="s">
        <v>167</v>
      </c>
      <c r="C76" s="58" t="s">
        <v>71</v>
      </c>
      <c r="D76" s="59" t="s">
        <v>168</v>
      </c>
      <c r="E76" s="58">
        <v>1</v>
      </c>
      <c r="F76" s="60"/>
      <c r="G76" s="60">
        <f>F76*(1+(D2))</f>
        <v>0</v>
      </c>
      <c r="H76" s="61">
        <f t="shared" si="3"/>
        <v>0</v>
      </c>
      <c r="I76" s="60">
        <v>0</v>
      </c>
      <c r="J76" s="60">
        <f>I76*(1+(K2))</f>
        <v>0</v>
      </c>
      <c r="K76" s="61">
        <f t="shared" si="4"/>
        <v>0</v>
      </c>
    </row>
    <row r="77" spans="1:11">
      <c r="A77" s="56" t="s">
        <v>780</v>
      </c>
      <c r="B77" s="57" t="s">
        <v>169</v>
      </c>
      <c r="C77" s="58" t="s">
        <v>41</v>
      </c>
      <c r="D77" s="59" t="s">
        <v>170</v>
      </c>
      <c r="E77" s="58">
        <v>100</v>
      </c>
      <c r="F77" s="60"/>
      <c r="G77" s="60">
        <f>F77*(1+(D2))</f>
        <v>0</v>
      </c>
      <c r="H77" s="61">
        <f t="shared" si="3"/>
        <v>0</v>
      </c>
      <c r="I77" s="60">
        <v>0</v>
      </c>
      <c r="J77" s="60">
        <f>I77*(1+(K2))</f>
        <v>0</v>
      </c>
      <c r="K77" s="61">
        <f t="shared" si="4"/>
        <v>0</v>
      </c>
    </row>
    <row r="78" spans="1:11">
      <c r="A78" s="56" t="s">
        <v>781</v>
      </c>
      <c r="B78" s="57" t="s">
        <v>171</v>
      </c>
      <c r="C78" s="58" t="s">
        <v>41</v>
      </c>
      <c r="D78" s="59" t="s">
        <v>172</v>
      </c>
      <c r="E78" s="58">
        <v>400</v>
      </c>
      <c r="F78" s="60"/>
      <c r="G78" s="60">
        <f>F78*(1+(D2))</f>
        <v>0</v>
      </c>
      <c r="H78" s="61">
        <f t="shared" si="3"/>
        <v>0</v>
      </c>
      <c r="I78" s="60">
        <v>0</v>
      </c>
      <c r="J78" s="60">
        <f>I78*(1+(K2))</f>
        <v>0</v>
      </c>
      <c r="K78" s="61">
        <f t="shared" si="4"/>
        <v>0</v>
      </c>
    </row>
    <row r="79" spans="1:11">
      <c r="A79" s="11" t="s">
        <v>782</v>
      </c>
      <c r="B79" s="12" t="s">
        <v>174</v>
      </c>
      <c r="C79" s="13"/>
      <c r="D79" s="775"/>
      <c r="E79" s="775"/>
      <c r="F79" s="775" t="s">
        <v>1215</v>
      </c>
      <c r="G79" s="775"/>
      <c r="H79" s="14">
        <f>SUM(H80:H87)</f>
        <v>0</v>
      </c>
      <c r="I79" s="775" t="s">
        <v>1216</v>
      </c>
      <c r="J79" s="775"/>
      <c r="K79" s="14">
        <f>SUM(K80:K87)</f>
        <v>0</v>
      </c>
    </row>
    <row r="80" spans="1:11" ht="56.25">
      <c r="A80" s="161" t="s">
        <v>783</v>
      </c>
      <c r="B80" s="57" t="s">
        <v>175</v>
      </c>
      <c r="C80" s="58" t="s">
        <v>176</v>
      </c>
      <c r="D80" s="59" t="s">
        <v>1440</v>
      </c>
      <c r="E80" s="58">
        <v>215</v>
      </c>
      <c r="F80" s="60"/>
      <c r="G80" s="60">
        <f>F80*(1+(D2))</f>
        <v>0</v>
      </c>
      <c r="H80" s="61">
        <f t="shared" ref="H80:H87" si="5">G80*E80</f>
        <v>0</v>
      </c>
      <c r="I80" s="60">
        <v>0</v>
      </c>
      <c r="J80" s="60">
        <f>I80*(1+(K2))</f>
        <v>0</v>
      </c>
      <c r="K80" s="61">
        <f t="shared" ref="K80:K87" si="6">J80*E80</f>
        <v>0</v>
      </c>
    </row>
    <row r="81" spans="1:11" ht="22.5">
      <c r="A81" s="161" t="s">
        <v>784</v>
      </c>
      <c r="B81" s="57" t="s">
        <v>177</v>
      </c>
      <c r="C81" s="58" t="s">
        <v>41</v>
      </c>
      <c r="D81" s="59" t="s">
        <v>178</v>
      </c>
      <c r="E81" s="58">
        <v>5</v>
      </c>
      <c r="F81" s="60"/>
      <c r="G81" s="60">
        <f>F81*(1+(D2))</f>
        <v>0</v>
      </c>
      <c r="H81" s="61">
        <f t="shared" si="5"/>
        <v>0</v>
      </c>
      <c r="I81" s="60">
        <v>0</v>
      </c>
      <c r="J81" s="60">
        <f>I81*(1+(K2))</f>
        <v>0</v>
      </c>
      <c r="K81" s="61">
        <f t="shared" si="6"/>
        <v>0</v>
      </c>
    </row>
    <row r="82" spans="1:11">
      <c r="A82" s="161" t="s">
        <v>785</v>
      </c>
      <c r="B82" s="57" t="s">
        <v>179</v>
      </c>
      <c r="C82" s="58" t="s">
        <v>41</v>
      </c>
      <c r="D82" s="59" t="s">
        <v>180</v>
      </c>
      <c r="E82" s="58">
        <v>3</v>
      </c>
      <c r="F82" s="60"/>
      <c r="G82" s="60">
        <f>F82*(1+(D2))</f>
        <v>0</v>
      </c>
      <c r="H82" s="61">
        <f t="shared" si="5"/>
        <v>0</v>
      </c>
      <c r="I82" s="60">
        <v>0</v>
      </c>
      <c r="J82" s="60">
        <f>I82*(1+(K2))</f>
        <v>0</v>
      </c>
      <c r="K82" s="61">
        <f t="shared" si="6"/>
        <v>0</v>
      </c>
    </row>
    <row r="83" spans="1:11">
      <c r="A83" s="161" t="s">
        <v>786</v>
      </c>
      <c r="B83" s="57" t="s">
        <v>1176</v>
      </c>
      <c r="C83" s="58" t="s">
        <v>176</v>
      </c>
      <c r="D83" s="59" t="s">
        <v>51</v>
      </c>
      <c r="E83" s="58">
        <v>297</v>
      </c>
      <c r="F83" s="60"/>
      <c r="G83" s="60">
        <f>F83*(1+(D2))</f>
        <v>0</v>
      </c>
      <c r="H83" s="61">
        <f t="shared" si="5"/>
        <v>0</v>
      </c>
      <c r="I83" s="60">
        <v>0</v>
      </c>
      <c r="J83" s="60">
        <f>I83*(1+(K2))</f>
        <v>0</v>
      </c>
      <c r="K83" s="61">
        <f t="shared" si="6"/>
        <v>0</v>
      </c>
    </row>
    <row r="84" spans="1:11">
      <c r="A84" s="161" t="s">
        <v>787</v>
      </c>
      <c r="B84" s="57" t="s">
        <v>1174</v>
      </c>
      <c r="C84" s="58" t="s">
        <v>176</v>
      </c>
      <c r="D84" s="59" t="s">
        <v>51</v>
      </c>
      <c r="E84" s="58">
        <v>297</v>
      </c>
      <c r="F84" s="60"/>
      <c r="G84" s="60">
        <f>F84*(1+(D2))</f>
        <v>0</v>
      </c>
      <c r="H84" s="61">
        <f t="shared" si="5"/>
        <v>0</v>
      </c>
      <c r="I84" s="60">
        <v>0</v>
      </c>
      <c r="J84" s="60">
        <f>I84*(1+(K2))</f>
        <v>0</v>
      </c>
      <c r="K84" s="61">
        <f t="shared" si="6"/>
        <v>0</v>
      </c>
    </row>
    <row r="85" spans="1:11">
      <c r="A85" s="161" t="s">
        <v>788</v>
      </c>
      <c r="B85" s="57" t="s">
        <v>181</v>
      </c>
      <c r="C85" s="58" t="s">
        <v>41</v>
      </c>
      <c r="D85" s="59" t="s">
        <v>182</v>
      </c>
      <c r="E85" s="58">
        <v>1000</v>
      </c>
      <c r="F85" s="60"/>
      <c r="G85" s="60">
        <f>F85*(1+(D2))</f>
        <v>0</v>
      </c>
      <c r="H85" s="61">
        <f t="shared" si="5"/>
        <v>0</v>
      </c>
      <c r="I85" s="60">
        <v>0</v>
      </c>
      <c r="J85" s="60">
        <f>I85*(1+(K2))</f>
        <v>0</v>
      </c>
      <c r="K85" s="61">
        <f t="shared" si="6"/>
        <v>0</v>
      </c>
    </row>
    <row r="86" spans="1:11" ht="22.5">
      <c r="A86" s="161" t="s">
        <v>1177</v>
      </c>
      <c r="B86" s="57" t="s">
        <v>183</v>
      </c>
      <c r="C86" s="58" t="s">
        <v>71</v>
      </c>
      <c r="D86" s="59" t="s">
        <v>184</v>
      </c>
      <c r="E86" s="58">
        <v>80</v>
      </c>
      <c r="F86" s="60"/>
      <c r="G86" s="60">
        <f>F86*(1+(D2))</f>
        <v>0</v>
      </c>
      <c r="H86" s="61">
        <f t="shared" si="5"/>
        <v>0</v>
      </c>
      <c r="I86" s="60">
        <v>0</v>
      </c>
      <c r="J86" s="60">
        <f>I86*(1+(K2))</f>
        <v>0</v>
      </c>
      <c r="K86" s="61">
        <f t="shared" si="6"/>
        <v>0</v>
      </c>
    </row>
    <row r="87" spans="1:11" ht="22.5">
      <c r="A87" s="161" t="s">
        <v>1178</v>
      </c>
      <c r="B87" s="57" t="s">
        <v>1175</v>
      </c>
      <c r="C87" s="58" t="s">
        <v>176</v>
      </c>
      <c r="D87" s="59" t="s">
        <v>51</v>
      </c>
      <c r="E87" s="58">
        <v>594</v>
      </c>
      <c r="F87" s="60"/>
      <c r="G87" s="60">
        <f>F87*(1+(D2))</f>
        <v>0</v>
      </c>
      <c r="H87" s="61">
        <f t="shared" si="5"/>
        <v>0</v>
      </c>
      <c r="I87" s="60">
        <v>0</v>
      </c>
      <c r="J87" s="60">
        <f>I87*(1+(K2))</f>
        <v>0</v>
      </c>
      <c r="K87" s="61">
        <f t="shared" si="6"/>
        <v>0</v>
      </c>
    </row>
    <row r="88" spans="1:11">
      <c r="A88" s="11" t="s">
        <v>789</v>
      </c>
      <c r="B88" s="12" t="s">
        <v>186</v>
      </c>
      <c r="C88" s="13"/>
      <c r="D88" s="775"/>
      <c r="E88" s="775"/>
      <c r="F88" s="775" t="s">
        <v>1217</v>
      </c>
      <c r="G88" s="775"/>
      <c r="H88" s="14">
        <f>SUM(H89:H90)</f>
        <v>0</v>
      </c>
      <c r="I88" s="775" t="s">
        <v>1218</v>
      </c>
      <c r="J88" s="775"/>
      <c r="K88" s="14">
        <f>SUM(K89:K90)</f>
        <v>0</v>
      </c>
    </row>
    <row r="89" spans="1:11" ht="45">
      <c r="A89" s="56" t="s">
        <v>791</v>
      </c>
      <c r="B89" s="64" t="s">
        <v>188</v>
      </c>
      <c r="C89" s="58" t="s">
        <v>71</v>
      </c>
      <c r="D89" s="59" t="s">
        <v>189</v>
      </c>
      <c r="E89" s="58">
        <v>132</v>
      </c>
      <c r="F89" s="65"/>
      <c r="G89" s="60">
        <f>F89*(1+(D2))</f>
        <v>0</v>
      </c>
      <c r="H89" s="61">
        <f>G89*E89</f>
        <v>0</v>
      </c>
      <c r="I89" s="65">
        <v>0</v>
      </c>
      <c r="J89" s="60">
        <f>I89*(1+(K2))</f>
        <v>0</v>
      </c>
      <c r="K89" s="61">
        <f t="shared" ref="K89:K90" si="7">J89*E89</f>
        <v>0</v>
      </c>
    </row>
    <row r="90" spans="1:11" ht="33.75">
      <c r="A90" s="56" t="s">
        <v>792</v>
      </c>
      <c r="B90" s="64" t="s">
        <v>192</v>
      </c>
      <c r="C90" s="58" t="s">
        <v>47</v>
      </c>
      <c r="D90" s="59" t="s">
        <v>193</v>
      </c>
      <c r="E90" s="58">
        <v>90</v>
      </c>
      <c r="F90" s="65"/>
      <c r="G90" s="60">
        <f>F90*(1+(D2))</f>
        <v>0</v>
      </c>
      <c r="H90" s="61">
        <f>G90*E90</f>
        <v>0</v>
      </c>
      <c r="I90" s="65">
        <v>0</v>
      </c>
      <c r="J90" s="60">
        <f>I90*(1+(K2))</f>
        <v>0</v>
      </c>
      <c r="K90" s="61">
        <f t="shared" si="7"/>
        <v>0</v>
      </c>
    </row>
    <row r="91" spans="1:11">
      <c r="A91" s="11" t="s">
        <v>790</v>
      </c>
      <c r="B91" s="12" t="s">
        <v>195</v>
      </c>
      <c r="C91" s="13"/>
      <c r="D91" s="775"/>
      <c r="E91" s="775"/>
      <c r="F91" s="775" t="s">
        <v>1219</v>
      </c>
      <c r="G91" s="775"/>
      <c r="H91" s="14">
        <f>SUM(H92:H121)</f>
        <v>0</v>
      </c>
      <c r="I91" s="775" t="s">
        <v>1220</v>
      </c>
      <c r="J91" s="775"/>
      <c r="K91" s="14">
        <f>SUM(K92:K121)</f>
        <v>0</v>
      </c>
    </row>
    <row r="92" spans="1:11" ht="22.5">
      <c r="A92" s="56" t="s">
        <v>793</v>
      </c>
      <c r="B92" s="57" t="s">
        <v>196</v>
      </c>
      <c r="C92" s="58" t="s">
        <v>71</v>
      </c>
      <c r="D92" s="59" t="s">
        <v>197</v>
      </c>
      <c r="E92" s="58">
        <v>11</v>
      </c>
      <c r="F92" s="60"/>
      <c r="G92" s="60">
        <f>F92*(1+(D2))</f>
        <v>0</v>
      </c>
      <c r="H92" s="61">
        <f t="shared" ref="H92:H121" si="8">G92*E92</f>
        <v>0</v>
      </c>
      <c r="I92" s="60">
        <v>0</v>
      </c>
      <c r="J92" s="60">
        <f>I92*(1+(K2))</f>
        <v>0</v>
      </c>
      <c r="K92" s="61">
        <f t="shared" ref="K92:K121" si="9">J92*E92</f>
        <v>0</v>
      </c>
    </row>
    <row r="93" spans="1:11">
      <c r="A93" s="56" t="s">
        <v>794</v>
      </c>
      <c r="B93" s="57" t="s">
        <v>198</v>
      </c>
      <c r="C93" s="58" t="s">
        <v>41</v>
      </c>
      <c r="D93" s="58" t="s">
        <v>51</v>
      </c>
      <c r="E93" s="58">
        <v>10</v>
      </c>
      <c r="F93" s="60"/>
      <c r="G93" s="60">
        <f>F93*(1+(D2))</f>
        <v>0</v>
      </c>
      <c r="H93" s="61">
        <f t="shared" si="8"/>
        <v>0</v>
      </c>
      <c r="I93" s="60">
        <v>0</v>
      </c>
      <c r="J93" s="60">
        <f>I93*(1+(K2))</f>
        <v>0</v>
      </c>
      <c r="K93" s="61">
        <f t="shared" si="9"/>
        <v>0</v>
      </c>
    </row>
    <row r="94" spans="1:11">
      <c r="A94" s="56" t="s">
        <v>795</v>
      </c>
      <c r="B94" s="57" t="s">
        <v>199</v>
      </c>
      <c r="C94" s="58" t="s">
        <v>41</v>
      </c>
      <c r="D94" s="58" t="s">
        <v>51</v>
      </c>
      <c r="E94" s="58">
        <v>20</v>
      </c>
      <c r="F94" s="60"/>
      <c r="G94" s="60">
        <f>F94*(1+(D2))</f>
        <v>0</v>
      </c>
      <c r="H94" s="61">
        <f t="shared" si="8"/>
        <v>0</v>
      </c>
      <c r="I94" s="60">
        <v>0</v>
      </c>
      <c r="J94" s="60">
        <f>I94*(1+(K2))</f>
        <v>0</v>
      </c>
      <c r="K94" s="61">
        <f t="shared" si="9"/>
        <v>0</v>
      </c>
    </row>
    <row r="95" spans="1:11">
      <c r="A95" s="56" t="s">
        <v>796</v>
      </c>
      <c r="B95" s="57" t="s">
        <v>200</v>
      </c>
      <c r="C95" s="58" t="s">
        <v>74</v>
      </c>
      <c r="D95" s="58" t="s">
        <v>51</v>
      </c>
      <c r="E95" s="58">
        <v>2</v>
      </c>
      <c r="F95" s="60"/>
      <c r="G95" s="60">
        <f>F95*(1+(D2))</f>
        <v>0</v>
      </c>
      <c r="H95" s="61">
        <f t="shared" si="8"/>
        <v>0</v>
      </c>
      <c r="I95" s="60">
        <v>0</v>
      </c>
      <c r="J95" s="60">
        <f>I95*(1+(K2))</f>
        <v>0</v>
      </c>
      <c r="K95" s="61">
        <f t="shared" si="9"/>
        <v>0</v>
      </c>
    </row>
    <row r="96" spans="1:11" ht="22.5">
      <c r="A96" s="56" t="s">
        <v>797</v>
      </c>
      <c r="B96" s="57" t="s">
        <v>201</v>
      </c>
      <c r="C96" s="58" t="s">
        <v>41</v>
      </c>
      <c r="D96" s="58" t="s">
        <v>51</v>
      </c>
      <c r="E96" s="58">
        <v>2</v>
      </c>
      <c r="F96" s="60"/>
      <c r="G96" s="60">
        <f>F96*(1+(D2))</f>
        <v>0</v>
      </c>
      <c r="H96" s="61">
        <f t="shared" si="8"/>
        <v>0</v>
      </c>
      <c r="I96" s="60">
        <v>0</v>
      </c>
      <c r="J96" s="60">
        <f>I96*(1+(K2))</f>
        <v>0</v>
      </c>
      <c r="K96" s="61">
        <f t="shared" si="9"/>
        <v>0</v>
      </c>
    </row>
    <row r="97" spans="1:11">
      <c r="A97" s="56" t="s">
        <v>798</v>
      </c>
      <c r="B97" s="57" t="s">
        <v>202</v>
      </c>
      <c r="C97" s="58" t="s">
        <v>74</v>
      </c>
      <c r="D97" s="58" t="s">
        <v>51</v>
      </c>
      <c r="E97" s="58">
        <v>2</v>
      </c>
      <c r="F97" s="60"/>
      <c r="G97" s="60">
        <f>F97*(1+(D2))</f>
        <v>0</v>
      </c>
      <c r="H97" s="61">
        <f t="shared" si="8"/>
        <v>0</v>
      </c>
      <c r="I97" s="60">
        <v>0</v>
      </c>
      <c r="J97" s="60">
        <f>I97*(1+(K2))</f>
        <v>0</v>
      </c>
      <c r="K97" s="61">
        <f t="shared" si="9"/>
        <v>0</v>
      </c>
    </row>
    <row r="98" spans="1:11">
      <c r="A98" s="56" t="s">
        <v>799</v>
      </c>
      <c r="B98" s="57" t="s">
        <v>203</v>
      </c>
      <c r="C98" s="58" t="s">
        <v>41</v>
      </c>
      <c r="D98" s="58" t="s">
        <v>51</v>
      </c>
      <c r="E98" s="58">
        <v>2</v>
      </c>
      <c r="F98" s="60"/>
      <c r="G98" s="60">
        <f>F98*(1+(D2))</f>
        <v>0</v>
      </c>
      <c r="H98" s="61">
        <f t="shared" si="8"/>
        <v>0</v>
      </c>
      <c r="I98" s="60">
        <v>0</v>
      </c>
      <c r="J98" s="60">
        <f>I98*(1+(K2))</f>
        <v>0</v>
      </c>
      <c r="K98" s="61">
        <f t="shared" si="9"/>
        <v>0</v>
      </c>
    </row>
    <row r="99" spans="1:11">
      <c r="A99" s="56" t="s">
        <v>800</v>
      </c>
      <c r="B99" s="57" t="s">
        <v>204</v>
      </c>
      <c r="C99" s="58" t="s">
        <v>41</v>
      </c>
      <c r="D99" s="59" t="s">
        <v>205</v>
      </c>
      <c r="E99" s="58">
        <v>9</v>
      </c>
      <c r="F99" s="60"/>
      <c r="G99" s="60">
        <f>F99*(1+(D2))</f>
        <v>0</v>
      </c>
      <c r="H99" s="61">
        <f t="shared" si="8"/>
        <v>0</v>
      </c>
      <c r="I99" s="60">
        <v>0</v>
      </c>
      <c r="J99" s="60">
        <f>I99*(1+(K2))</f>
        <v>0</v>
      </c>
      <c r="K99" s="61">
        <f t="shared" si="9"/>
        <v>0</v>
      </c>
    </row>
    <row r="100" spans="1:11" ht="45">
      <c r="A100" s="56" t="s">
        <v>801</v>
      </c>
      <c r="B100" s="64" t="s">
        <v>206</v>
      </c>
      <c r="C100" s="58" t="s">
        <v>41</v>
      </c>
      <c r="D100" s="59" t="s">
        <v>207</v>
      </c>
      <c r="E100" s="58">
        <v>1000</v>
      </c>
      <c r="F100" s="60"/>
      <c r="G100" s="60">
        <f>F100*(1+(D2))</f>
        <v>0</v>
      </c>
      <c r="H100" s="61">
        <f t="shared" si="8"/>
        <v>0</v>
      </c>
      <c r="I100" s="60">
        <v>0</v>
      </c>
      <c r="J100" s="60">
        <f>I100*(1+(K2))</f>
        <v>0</v>
      </c>
      <c r="K100" s="61">
        <f t="shared" si="9"/>
        <v>0</v>
      </c>
    </row>
    <row r="101" spans="1:11" ht="22.5">
      <c r="A101" s="56" t="s">
        <v>802</v>
      </c>
      <c r="B101" s="64" t="s">
        <v>208</v>
      </c>
      <c r="C101" s="58" t="s">
        <v>74</v>
      </c>
      <c r="D101" s="58" t="s">
        <v>51</v>
      </c>
      <c r="E101" s="58">
        <v>8</v>
      </c>
      <c r="F101" s="60"/>
      <c r="G101" s="60">
        <f>F101*(1+(D2))</f>
        <v>0</v>
      </c>
      <c r="H101" s="61">
        <f t="shared" si="8"/>
        <v>0</v>
      </c>
      <c r="I101" s="60">
        <v>0</v>
      </c>
      <c r="J101" s="60">
        <f>I101*(1+(K2))</f>
        <v>0</v>
      </c>
      <c r="K101" s="61">
        <f t="shared" si="9"/>
        <v>0</v>
      </c>
    </row>
    <row r="102" spans="1:11" ht="45">
      <c r="A102" s="56" t="s">
        <v>803</v>
      </c>
      <c r="B102" s="64" t="s">
        <v>209</v>
      </c>
      <c r="C102" s="58" t="s">
        <v>41</v>
      </c>
      <c r="D102" s="59" t="s">
        <v>210</v>
      </c>
      <c r="E102" s="58">
        <v>55</v>
      </c>
      <c r="F102" s="60"/>
      <c r="G102" s="60">
        <f>F102*(1+(D2))</f>
        <v>0</v>
      </c>
      <c r="H102" s="61">
        <f t="shared" si="8"/>
        <v>0</v>
      </c>
      <c r="I102" s="60">
        <v>0</v>
      </c>
      <c r="J102" s="60">
        <f>I102*(1+(K2))</f>
        <v>0</v>
      </c>
      <c r="K102" s="61">
        <f t="shared" si="9"/>
        <v>0</v>
      </c>
    </row>
    <row r="103" spans="1:11">
      <c r="A103" s="56" t="s">
        <v>804</v>
      </c>
      <c r="B103" s="57" t="s">
        <v>211</v>
      </c>
      <c r="C103" s="58" t="s">
        <v>41</v>
      </c>
      <c r="D103" s="58" t="s">
        <v>51</v>
      </c>
      <c r="E103" s="58">
        <v>17</v>
      </c>
      <c r="F103" s="60"/>
      <c r="G103" s="60">
        <f>F103*(1+(D2))</f>
        <v>0</v>
      </c>
      <c r="H103" s="61">
        <f t="shared" si="8"/>
        <v>0</v>
      </c>
      <c r="I103" s="60">
        <v>0</v>
      </c>
      <c r="J103" s="60">
        <f>I103*(1+(K2))</f>
        <v>0</v>
      </c>
      <c r="K103" s="61">
        <f t="shared" si="9"/>
        <v>0</v>
      </c>
    </row>
    <row r="104" spans="1:11">
      <c r="A104" s="56" t="s">
        <v>805</v>
      </c>
      <c r="B104" s="57" t="s">
        <v>212</v>
      </c>
      <c r="C104" s="58" t="s">
        <v>50</v>
      </c>
      <c r="D104" s="58" t="s">
        <v>51</v>
      </c>
      <c r="E104" s="58">
        <v>2</v>
      </c>
      <c r="F104" s="60"/>
      <c r="G104" s="60">
        <f>F104*(1+(D2))</f>
        <v>0</v>
      </c>
      <c r="H104" s="61">
        <f t="shared" si="8"/>
        <v>0</v>
      </c>
      <c r="I104" s="60">
        <v>0</v>
      </c>
      <c r="J104" s="60">
        <f>I104*(1+(K2))</f>
        <v>0</v>
      </c>
      <c r="K104" s="61">
        <f t="shared" si="9"/>
        <v>0</v>
      </c>
    </row>
    <row r="105" spans="1:11" ht="22.5">
      <c r="A105" s="56" t="s">
        <v>806</v>
      </c>
      <c r="B105" s="57" t="s">
        <v>213</v>
      </c>
      <c r="C105" s="58" t="s">
        <v>74</v>
      </c>
      <c r="D105" s="58" t="s">
        <v>51</v>
      </c>
      <c r="E105" s="58">
        <v>8</v>
      </c>
      <c r="F105" s="60"/>
      <c r="G105" s="60">
        <f>F105*(1+(D2))</f>
        <v>0</v>
      </c>
      <c r="H105" s="61">
        <f t="shared" si="8"/>
        <v>0</v>
      </c>
      <c r="I105" s="60">
        <v>0</v>
      </c>
      <c r="J105" s="60">
        <f>I105*(1+(K2))</f>
        <v>0</v>
      </c>
      <c r="K105" s="61">
        <f t="shared" si="9"/>
        <v>0</v>
      </c>
    </row>
    <row r="106" spans="1:11">
      <c r="A106" s="56" t="s">
        <v>807</v>
      </c>
      <c r="B106" s="57" t="s">
        <v>214</v>
      </c>
      <c r="C106" s="58" t="s">
        <v>41</v>
      </c>
      <c r="D106" s="58" t="s">
        <v>51</v>
      </c>
      <c r="E106" s="58">
        <v>1</v>
      </c>
      <c r="F106" s="60"/>
      <c r="G106" s="60">
        <f>F106*(1+(D2))</f>
        <v>0</v>
      </c>
      <c r="H106" s="61">
        <f t="shared" si="8"/>
        <v>0</v>
      </c>
      <c r="I106" s="60">
        <v>0</v>
      </c>
      <c r="J106" s="60">
        <f>I106*(1+(K2))</f>
        <v>0</v>
      </c>
      <c r="K106" s="61">
        <f t="shared" si="9"/>
        <v>0</v>
      </c>
    </row>
    <row r="107" spans="1:11" ht="33.75">
      <c r="A107" s="56" t="s">
        <v>808</v>
      </c>
      <c r="B107" s="64" t="s">
        <v>215</v>
      </c>
      <c r="C107" s="58" t="s">
        <v>41</v>
      </c>
      <c r="D107" s="59" t="s">
        <v>216</v>
      </c>
      <c r="E107" s="58">
        <v>200</v>
      </c>
      <c r="F107" s="60"/>
      <c r="G107" s="60">
        <f>F107*(1+(D2))</f>
        <v>0</v>
      </c>
      <c r="H107" s="61">
        <f t="shared" si="8"/>
        <v>0</v>
      </c>
      <c r="I107" s="60">
        <v>0</v>
      </c>
      <c r="J107" s="60">
        <f>I107*(1+(K2))</f>
        <v>0</v>
      </c>
      <c r="K107" s="61">
        <f t="shared" si="9"/>
        <v>0</v>
      </c>
    </row>
    <row r="108" spans="1:11">
      <c r="A108" s="56" t="s">
        <v>809</v>
      </c>
      <c r="B108" s="57" t="s">
        <v>217</v>
      </c>
      <c r="C108" s="58" t="s">
        <v>41</v>
      </c>
      <c r="D108" s="58" t="s">
        <v>51</v>
      </c>
      <c r="E108" s="58">
        <v>20</v>
      </c>
      <c r="F108" s="60"/>
      <c r="G108" s="60">
        <f>F108*(1+(D2))</f>
        <v>0</v>
      </c>
      <c r="H108" s="61">
        <f t="shared" si="8"/>
        <v>0</v>
      </c>
      <c r="I108" s="60">
        <v>0</v>
      </c>
      <c r="J108" s="60">
        <f>I108*(1+(K2))</f>
        <v>0</v>
      </c>
      <c r="K108" s="61">
        <f t="shared" si="9"/>
        <v>0</v>
      </c>
    </row>
    <row r="109" spans="1:11">
      <c r="A109" s="56" t="s">
        <v>810</v>
      </c>
      <c r="B109" s="57" t="s">
        <v>218</v>
      </c>
      <c r="C109" s="58" t="s">
        <v>74</v>
      </c>
      <c r="D109" s="58" t="s">
        <v>51</v>
      </c>
      <c r="E109" s="58">
        <v>1000</v>
      </c>
      <c r="F109" s="60"/>
      <c r="G109" s="60">
        <f>F109*(1+(D2))</f>
        <v>0</v>
      </c>
      <c r="H109" s="61">
        <f t="shared" si="8"/>
        <v>0</v>
      </c>
      <c r="I109" s="60">
        <v>0</v>
      </c>
      <c r="J109" s="60">
        <f>I109*(1+(K2))</f>
        <v>0</v>
      </c>
      <c r="K109" s="61">
        <f t="shared" si="9"/>
        <v>0</v>
      </c>
    </row>
    <row r="110" spans="1:11">
      <c r="A110" s="56" t="s">
        <v>811</v>
      </c>
      <c r="B110" s="57" t="s">
        <v>219</v>
      </c>
      <c r="C110" s="58" t="s">
        <v>74</v>
      </c>
      <c r="D110" s="58" t="s">
        <v>51</v>
      </c>
      <c r="E110" s="58">
        <v>1000</v>
      </c>
      <c r="F110" s="60"/>
      <c r="G110" s="60">
        <f>F110*(1+(D2))</f>
        <v>0</v>
      </c>
      <c r="H110" s="61">
        <f t="shared" si="8"/>
        <v>0</v>
      </c>
      <c r="I110" s="60">
        <v>0</v>
      </c>
      <c r="J110" s="60">
        <f>I110*(1+(K2))</f>
        <v>0</v>
      </c>
      <c r="K110" s="61">
        <f t="shared" si="9"/>
        <v>0</v>
      </c>
    </row>
    <row r="111" spans="1:11">
      <c r="A111" s="56" t="s">
        <v>812</v>
      </c>
      <c r="B111" s="57" t="s">
        <v>220</v>
      </c>
      <c r="C111" s="58" t="s">
        <v>50</v>
      </c>
      <c r="D111" s="58" t="s">
        <v>51</v>
      </c>
      <c r="E111" s="58">
        <v>2</v>
      </c>
      <c r="F111" s="60"/>
      <c r="G111" s="60">
        <f>F111*(1+(D2))</f>
        <v>0</v>
      </c>
      <c r="H111" s="61">
        <f t="shared" si="8"/>
        <v>0</v>
      </c>
      <c r="I111" s="60">
        <v>0</v>
      </c>
      <c r="J111" s="60">
        <f>I111*(1+(K2))</f>
        <v>0</v>
      </c>
      <c r="K111" s="61">
        <f t="shared" si="9"/>
        <v>0</v>
      </c>
    </row>
    <row r="112" spans="1:11" ht="67.5">
      <c r="A112" s="56" t="s">
        <v>813</v>
      </c>
      <c r="B112" s="57" t="s">
        <v>221</v>
      </c>
      <c r="C112" s="58" t="s">
        <v>41</v>
      </c>
      <c r="D112" s="59" t="s">
        <v>222</v>
      </c>
      <c r="E112" s="58">
        <v>10</v>
      </c>
      <c r="F112" s="60"/>
      <c r="G112" s="60">
        <f>F112*(1+(D2))</f>
        <v>0</v>
      </c>
      <c r="H112" s="61">
        <f t="shared" si="8"/>
        <v>0</v>
      </c>
      <c r="I112" s="60">
        <v>0</v>
      </c>
      <c r="J112" s="60">
        <f>I112*(1+(K2))</f>
        <v>0</v>
      </c>
      <c r="K112" s="61">
        <f t="shared" si="9"/>
        <v>0</v>
      </c>
    </row>
    <row r="113" spans="1:11">
      <c r="A113" s="56" t="s">
        <v>814</v>
      </c>
      <c r="B113" s="57" t="s">
        <v>223</v>
      </c>
      <c r="C113" s="58" t="s">
        <v>41</v>
      </c>
      <c r="D113" s="59" t="s">
        <v>224</v>
      </c>
      <c r="E113" s="58">
        <v>1</v>
      </c>
      <c r="F113" s="60"/>
      <c r="G113" s="60">
        <f>F113*(1+(D2))</f>
        <v>0</v>
      </c>
      <c r="H113" s="61">
        <f t="shared" si="8"/>
        <v>0</v>
      </c>
      <c r="I113" s="60">
        <v>0</v>
      </c>
      <c r="J113" s="60">
        <f>I113*(1+(K2))</f>
        <v>0</v>
      </c>
      <c r="K113" s="61">
        <f t="shared" si="9"/>
        <v>0</v>
      </c>
    </row>
    <row r="114" spans="1:11">
      <c r="A114" s="56" t="s">
        <v>815</v>
      </c>
      <c r="B114" s="57" t="s">
        <v>225</v>
      </c>
      <c r="C114" s="58" t="s">
        <v>41</v>
      </c>
      <c r="D114" s="58" t="s">
        <v>51</v>
      </c>
      <c r="E114" s="58">
        <v>4</v>
      </c>
      <c r="F114" s="60"/>
      <c r="G114" s="60">
        <f>F114*(1+(D2))</f>
        <v>0</v>
      </c>
      <c r="H114" s="61">
        <f t="shared" si="8"/>
        <v>0</v>
      </c>
      <c r="I114" s="60">
        <v>0</v>
      </c>
      <c r="J114" s="60">
        <f>I114*(1+(K2))</f>
        <v>0</v>
      </c>
      <c r="K114" s="61">
        <f t="shared" si="9"/>
        <v>0</v>
      </c>
    </row>
    <row r="115" spans="1:11">
      <c r="A115" s="56" t="s">
        <v>816</v>
      </c>
      <c r="B115" s="57" t="s">
        <v>226</v>
      </c>
      <c r="C115" s="58" t="s">
        <v>227</v>
      </c>
      <c r="D115" s="58" t="s">
        <v>51</v>
      </c>
      <c r="E115" s="58">
        <v>4</v>
      </c>
      <c r="F115" s="60"/>
      <c r="G115" s="60">
        <f>F115*(1+(D2))</f>
        <v>0</v>
      </c>
      <c r="H115" s="61">
        <f t="shared" si="8"/>
        <v>0</v>
      </c>
      <c r="I115" s="60">
        <v>0</v>
      </c>
      <c r="J115" s="60">
        <f>I115*(1+(K2))</f>
        <v>0</v>
      </c>
      <c r="K115" s="61">
        <f t="shared" si="9"/>
        <v>0</v>
      </c>
    </row>
    <row r="116" spans="1:11" ht="22.5">
      <c r="A116" s="56" t="s">
        <v>817</v>
      </c>
      <c r="B116" s="57" t="s">
        <v>228</v>
      </c>
      <c r="C116" s="58" t="s">
        <v>41</v>
      </c>
      <c r="D116" s="59" t="s">
        <v>229</v>
      </c>
      <c r="E116" s="58">
        <v>5</v>
      </c>
      <c r="F116" s="60"/>
      <c r="G116" s="60">
        <f>F116*(1+(D2))</f>
        <v>0</v>
      </c>
      <c r="H116" s="61">
        <f t="shared" si="8"/>
        <v>0</v>
      </c>
      <c r="I116" s="60">
        <v>0</v>
      </c>
      <c r="J116" s="60">
        <f>I116*(1+(K2))</f>
        <v>0</v>
      </c>
      <c r="K116" s="61">
        <f t="shared" si="9"/>
        <v>0</v>
      </c>
    </row>
    <row r="117" spans="1:11" ht="33.75">
      <c r="A117" s="56" t="s">
        <v>818</v>
      </c>
      <c r="B117" s="57" t="s">
        <v>230</v>
      </c>
      <c r="C117" s="58" t="s">
        <v>41</v>
      </c>
      <c r="D117" s="59" t="s">
        <v>231</v>
      </c>
      <c r="E117" s="58">
        <v>500</v>
      </c>
      <c r="F117" s="60"/>
      <c r="G117" s="60">
        <f>F117*(1+(D2))</f>
        <v>0</v>
      </c>
      <c r="H117" s="61">
        <f t="shared" si="8"/>
        <v>0</v>
      </c>
      <c r="I117" s="60">
        <v>0</v>
      </c>
      <c r="J117" s="60">
        <f>I117*(1+(K2))</f>
        <v>0</v>
      </c>
      <c r="K117" s="61">
        <f t="shared" si="9"/>
        <v>0</v>
      </c>
    </row>
    <row r="118" spans="1:11" ht="22.5">
      <c r="A118" s="56" t="s">
        <v>819</v>
      </c>
      <c r="B118" s="57" t="s">
        <v>232</v>
      </c>
      <c r="C118" s="58" t="s">
        <v>64</v>
      </c>
      <c r="D118" s="59" t="s">
        <v>233</v>
      </c>
      <c r="E118" s="58">
        <v>10</v>
      </c>
      <c r="F118" s="60"/>
      <c r="G118" s="60">
        <f>F118*(1+(D2))</f>
        <v>0</v>
      </c>
      <c r="H118" s="61">
        <f t="shared" si="8"/>
        <v>0</v>
      </c>
      <c r="I118" s="60">
        <v>0</v>
      </c>
      <c r="J118" s="60">
        <f>I118*(1+(K2))</f>
        <v>0</v>
      </c>
      <c r="K118" s="61">
        <f t="shared" si="9"/>
        <v>0</v>
      </c>
    </row>
    <row r="119" spans="1:11">
      <c r="A119" s="56" t="s">
        <v>820</v>
      </c>
      <c r="B119" s="57" t="s">
        <v>234</v>
      </c>
      <c r="C119" s="58" t="s">
        <v>41</v>
      </c>
      <c r="D119" s="58" t="s">
        <v>51</v>
      </c>
      <c r="E119" s="58">
        <v>40</v>
      </c>
      <c r="F119" s="60"/>
      <c r="G119" s="60">
        <f>F119*(1+(D2))</f>
        <v>0</v>
      </c>
      <c r="H119" s="61">
        <f t="shared" si="8"/>
        <v>0</v>
      </c>
      <c r="I119" s="60">
        <v>0</v>
      </c>
      <c r="J119" s="60">
        <f>I119*(1+(K2))</f>
        <v>0</v>
      </c>
      <c r="K119" s="61">
        <f t="shared" si="9"/>
        <v>0</v>
      </c>
    </row>
    <row r="120" spans="1:11">
      <c r="A120" s="56" t="s">
        <v>821</v>
      </c>
      <c r="B120" s="57" t="s">
        <v>235</v>
      </c>
      <c r="C120" s="58" t="s">
        <v>41</v>
      </c>
      <c r="D120" s="58" t="s">
        <v>51</v>
      </c>
      <c r="E120" s="58">
        <v>40</v>
      </c>
      <c r="F120" s="60"/>
      <c r="G120" s="60">
        <f>F120*(1+(D2))</f>
        <v>0</v>
      </c>
      <c r="H120" s="61">
        <f t="shared" si="8"/>
        <v>0</v>
      </c>
      <c r="I120" s="60">
        <v>0</v>
      </c>
      <c r="J120" s="60">
        <f>I120*(1+(K2))</f>
        <v>0</v>
      </c>
      <c r="K120" s="61">
        <f t="shared" si="9"/>
        <v>0</v>
      </c>
    </row>
    <row r="121" spans="1:11">
      <c r="A121" s="56" t="s">
        <v>822</v>
      </c>
      <c r="B121" s="57" t="s">
        <v>236</v>
      </c>
      <c r="C121" s="58" t="s">
        <v>41</v>
      </c>
      <c r="D121" s="59" t="s">
        <v>237</v>
      </c>
      <c r="E121" s="58">
        <v>300</v>
      </c>
      <c r="F121" s="60"/>
      <c r="G121" s="60">
        <f>F121*(1+(D2))</f>
        <v>0</v>
      </c>
      <c r="H121" s="61">
        <f t="shared" si="8"/>
        <v>0</v>
      </c>
      <c r="I121" s="60">
        <v>0</v>
      </c>
      <c r="J121" s="60">
        <f>I121*(1+(K2))</f>
        <v>0</v>
      </c>
      <c r="K121" s="61">
        <f t="shared" si="9"/>
        <v>0</v>
      </c>
    </row>
    <row r="122" spans="1:11">
      <c r="A122" s="11" t="s">
        <v>823</v>
      </c>
      <c r="B122" s="12" t="s">
        <v>239</v>
      </c>
      <c r="C122" s="13"/>
      <c r="D122" s="775"/>
      <c r="E122" s="775"/>
      <c r="F122" s="775" t="s">
        <v>1221</v>
      </c>
      <c r="G122" s="775"/>
      <c r="H122" s="14">
        <f>SUM(H123:H154)</f>
        <v>0</v>
      </c>
      <c r="I122" s="775" t="s">
        <v>1222</v>
      </c>
      <c r="J122" s="775"/>
      <c r="K122" s="14">
        <f>SUM(K123:K154)</f>
        <v>0</v>
      </c>
    </row>
    <row r="123" spans="1:11" ht="33.75">
      <c r="A123" s="56" t="s">
        <v>824</v>
      </c>
      <c r="B123" s="57" t="s">
        <v>240</v>
      </c>
      <c r="C123" s="58" t="s">
        <v>64</v>
      </c>
      <c r="D123" s="59" t="s">
        <v>241</v>
      </c>
      <c r="E123" s="58">
        <v>36</v>
      </c>
      <c r="F123" s="60"/>
      <c r="G123" s="60">
        <f>F123*(1+(D2))</f>
        <v>0</v>
      </c>
      <c r="H123" s="61">
        <f t="shared" ref="H123:H154" si="10">G123*E123</f>
        <v>0</v>
      </c>
      <c r="I123" s="60">
        <v>0</v>
      </c>
      <c r="J123" s="60">
        <f>I123*(1+(K2))</f>
        <v>0</v>
      </c>
      <c r="K123" s="61">
        <f t="shared" ref="K123:K154" si="11">J123*E123</f>
        <v>0</v>
      </c>
    </row>
    <row r="124" spans="1:11" ht="22.5">
      <c r="A124" s="56" t="s">
        <v>825</v>
      </c>
      <c r="B124" s="57" t="s">
        <v>242</v>
      </c>
      <c r="C124" s="58" t="s">
        <v>64</v>
      </c>
      <c r="D124" s="59" t="s">
        <v>243</v>
      </c>
      <c r="E124" s="58">
        <v>36</v>
      </c>
      <c r="F124" s="60"/>
      <c r="G124" s="60">
        <f>F124*(1+(D2))</f>
        <v>0</v>
      </c>
      <c r="H124" s="61">
        <f t="shared" si="10"/>
        <v>0</v>
      </c>
      <c r="I124" s="60">
        <v>0</v>
      </c>
      <c r="J124" s="60">
        <f>I124*(1+(K2))</f>
        <v>0</v>
      </c>
      <c r="K124" s="61">
        <f t="shared" si="11"/>
        <v>0</v>
      </c>
    </row>
    <row r="125" spans="1:11">
      <c r="A125" s="56" t="s">
        <v>826</v>
      </c>
      <c r="B125" s="57" t="s">
        <v>244</v>
      </c>
      <c r="C125" s="58" t="s">
        <v>64</v>
      </c>
      <c r="D125" s="58" t="s">
        <v>51</v>
      </c>
      <c r="E125" s="58">
        <v>18</v>
      </c>
      <c r="F125" s="60"/>
      <c r="G125" s="60">
        <f>F125*(1+(D2))</f>
        <v>0</v>
      </c>
      <c r="H125" s="61">
        <f t="shared" si="10"/>
        <v>0</v>
      </c>
      <c r="I125" s="60">
        <v>0</v>
      </c>
      <c r="J125" s="60">
        <f>I125*(1+(K2))</f>
        <v>0</v>
      </c>
      <c r="K125" s="61">
        <f t="shared" si="11"/>
        <v>0</v>
      </c>
    </row>
    <row r="126" spans="1:11">
      <c r="A126" s="56" t="s">
        <v>827</v>
      </c>
      <c r="B126" s="57" t="s">
        <v>245</v>
      </c>
      <c r="C126" s="58" t="s">
        <v>71</v>
      </c>
      <c r="D126" s="59" t="s">
        <v>246</v>
      </c>
      <c r="E126" s="58">
        <v>150</v>
      </c>
      <c r="F126" s="60"/>
      <c r="G126" s="60">
        <f>F126*(1+(D2))</f>
        <v>0</v>
      </c>
      <c r="H126" s="61">
        <f t="shared" si="10"/>
        <v>0</v>
      </c>
      <c r="I126" s="60">
        <v>0</v>
      </c>
      <c r="J126" s="60">
        <f>I126*(1+(K2))</f>
        <v>0</v>
      </c>
      <c r="K126" s="61">
        <f t="shared" si="11"/>
        <v>0</v>
      </c>
    </row>
    <row r="127" spans="1:11">
      <c r="A127" s="56" t="s">
        <v>828</v>
      </c>
      <c r="B127" s="57" t="s">
        <v>247</v>
      </c>
      <c r="C127" s="58" t="s">
        <v>64</v>
      </c>
      <c r="D127" s="59" t="s">
        <v>248</v>
      </c>
      <c r="E127" s="58">
        <v>18</v>
      </c>
      <c r="F127" s="60"/>
      <c r="G127" s="60">
        <f>F127*(1+(D2))</f>
        <v>0</v>
      </c>
      <c r="H127" s="61">
        <f t="shared" si="10"/>
        <v>0</v>
      </c>
      <c r="I127" s="60">
        <v>0</v>
      </c>
      <c r="J127" s="60">
        <f>I127*(1+(K2))</f>
        <v>0</v>
      </c>
      <c r="K127" s="61">
        <f t="shared" si="11"/>
        <v>0</v>
      </c>
    </row>
    <row r="128" spans="1:11">
      <c r="A128" s="56" t="s">
        <v>829</v>
      </c>
      <c r="B128" s="57" t="s">
        <v>249</v>
      </c>
      <c r="C128" s="58" t="s">
        <v>64</v>
      </c>
      <c r="D128" s="59" t="s">
        <v>250</v>
      </c>
      <c r="E128" s="58">
        <v>18</v>
      </c>
      <c r="F128" s="60"/>
      <c r="G128" s="60">
        <f>F128*(1+(D2))</f>
        <v>0</v>
      </c>
      <c r="H128" s="61">
        <f t="shared" si="10"/>
        <v>0</v>
      </c>
      <c r="I128" s="60">
        <v>0</v>
      </c>
      <c r="J128" s="60">
        <f>I128*(1+(K2))</f>
        <v>0</v>
      </c>
      <c r="K128" s="61">
        <f t="shared" si="11"/>
        <v>0</v>
      </c>
    </row>
    <row r="129" spans="1:11" ht="22.5">
      <c r="A129" s="56" t="s">
        <v>830</v>
      </c>
      <c r="B129" s="57" t="s">
        <v>251</v>
      </c>
      <c r="C129" s="58" t="s">
        <v>64</v>
      </c>
      <c r="D129" s="59" t="s">
        <v>252</v>
      </c>
      <c r="E129" s="58">
        <v>18</v>
      </c>
      <c r="F129" s="60"/>
      <c r="G129" s="60">
        <f>F129*(1+(D2))</f>
        <v>0</v>
      </c>
      <c r="H129" s="61">
        <f t="shared" si="10"/>
        <v>0</v>
      </c>
      <c r="I129" s="60">
        <v>0</v>
      </c>
      <c r="J129" s="60">
        <f>I129*(1+(K2))</f>
        <v>0</v>
      </c>
      <c r="K129" s="61">
        <f t="shared" si="11"/>
        <v>0</v>
      </c>
    </row>
    <row r="130" spans="1:11">
      <c r="A130" s="56" t="s">
        <v>831</v>
      </c>
      <c r="B130" s="57" t="s">
        <v>253</v>
      </c>
      <c r="C130" s="58" t="s">
        <v>64</v>
      </c>
      <c r="D130" s="58" t="s">
        <v>51</v>
      </c>
      <c r="E130" s="58">
        <v>5</v>
      </c>
      <c r="F130" s="60"/>
      <c r="G130" s="60">
        <f>F130*(1+(D2))</f>
        <v>0</v>
      </c>
      <c r="H130" s="61">
        <f t="shared" si="10"/>
        <v>0</v>
      </c>
      <c r="I130" s="60">
        <v>0</v>
      </c>
      <c r="J130" s="60">
        <f>I130*(1+(K2))</f>
        <v>0</v>
      </c>
      <c r="K130" s="61">
        <f t="shared" si="11"/>
        <v>0</v>
      </c>
    </row>
    <row r="131" spans="1:11">
      <c r="A131" s="56" t="s">
        <v>832</v>
      </c>
      <c r="B131" s="57" t="s">
        <v>254</v>
      </c>
      <c r="C131" s="58" t="s">
        <v>41</v>
      </c>
      <c r="D131" s="59" t="s">
        <v>255</v>
      </c>
      <c r="E131" s="58">
        <v>26</v>
      </c>
      <c r="F131" s="60"/>
      <c r="G131" s="60">
        <f>F131*(1+(D2))</f>
        <v>0</v>
      </c>
      <c r="H131" s="61">
        <f t="shared" si="10"/>
        <v>0</v>
      </c>
      <c r="I131" s="60">
        <v>0</v>
      </c>
      <c r="J131" s="60">
        <f>I131*(1+(K2))</f>
        <v>0</v>
      </c>
      <c r="K131" s="61">
        <f t="shared" si="11"/>
        <v>0</v>
      </c>
    </row>
    <row r="132" spans="1:11">
      <c r="A132" s="56" t="s">
        <v>833</v>
      </c>
      <c r="B132" s="57" t="s">
        <v>256</v>
      </c>
      <c r="C132" s="58" t="s">
        <v>64</v>
      </c>
      <c r="D132" s="59" t="s">
        <v>257</v>
      </c>
      <c r="E132" s="58">
        <v>1</v>
      </c>
      <c r="F132" s="60"/>
      <c r="G132" s="60">
        <f>F132*(1+(D2))</f>
        <v>0</v>
      </c>
      <c r="H132" s="61">
        <f t="shared" si="10"/>
        <v>0</v>
      </c>
      <c r="I132" s="60">
        <v>0</v>
      </c>
      <c r="J132" s="60">
        <f>I132*(1+(K2))</f>
        <v>0</v>
      </c>
      <c r="K132" s="61">
        <f t="shared" si="11"/>
        <v>0</v>
      </c>
    </row>
    <row r="133" spans="1:11" ht="33.75">
      <c r="A133" s="56" t="s">
        <v>834</v>
      </c>
      <c r="B133" s="57" t="s">
        <v>258</v>
      </c>
      <c r="C133" s="58" t="s">
        <v>64</v>
      </c>
      <c r="D133" s="58" t="s">
        <v>51</v>
      </c>
      <c r="E133" s="58">
        <v>14</v>
      </c>
      <c r="F133" s="60"/>
      <c r="G133" s="60">
        <f>F133*(1+(D2))</f>
        <v>0</v>
      </c>
      <c r="H133" s="61">
        <f t="shared" si="10"/>
        <v>0</v>
      </c>
      <c r="I133" s="60">
        <v>0</v>
      </c>
      <c r="J133" s="60">
        <f>I133*(1+(K2))</f>
        <v>0</v>
      </c>
      <c r="K133" s="61">
        <f t="shared" si="11"/>
        <v>0</v>
      </c>
    </row>
    <row r="134" spans="1:11">
      <c r="A134" s="56" t="s">
        <v>835</v>
      </c>
      <c r="B134" s="57" t="s">
        <v>259</v>
      </c>
      <c r="C134" s="58" t="s">
        <v>64</v>
      </c>
      <c r="D134" s="59" t="s">
        <v>260</v>
      </c>
      <c r="E134" s="58">
        <v>7</v>
      </c>
      <c r="F134" s="60"/>
      <c r="G134" s="60">
        <f>F134*(1+(D2))</f>
        <v>0</v>
      </c>
      <c r="H134" s="61">
        <f t="shared" si="10"/>
        <v>0</v>
      </c>
      <c r="I134" s="60">
        <v>0</v>
      </c>
      <c r="J134" s="60">
        <f>I134*(1+(K2))</f>
        <v>0</v>
      </c>
      <c r="K134" s="61">
        <f t="shared" si="11"/>
        <v>0</v>
      </c>
    </row>
    <row r="135" spans="1:11">
      <c r="A135" s="56" t="s">
        <v>836</v>
      </c>
      <c r="B135" s="57" t="s">
        <v>261</v>
      </c>
      <c r="C135" s="58" t="s">
        <v>64</v>
      </c>
      <c r="D135" s="58" t="s">
        <v>51</v>
      </c>
      <c r="E135" s="58">
        <v>7</v>
      </c>
      <c r="F135" s="60"/>
      <c r="G135" s="60">
        <f>F135*(1+(D2))</f>
        <v>0</v>
      </c>
      <c r="H135" s="61">
        <f t="shared" si="10"/>
        <v>0</v>
      </c>
      <c r="I135" s="60">
        <v>0</v>
      </c>
      <c r="J135" s="60">
        <f>I135*(1+(K2))</f>
        <v>0</v>
      </c>
      <c r="K135" s="61">
        <f t="shared" si="11"/>
        <v>0</v>
      </c>
    </row>
    <row r="136" spans="1:11">
      <c r="A136" s="56" t="s">
        <v>837</v>
      </c>
      <c r="B136" s="57" t="s">
        <v>262</v>
      </c>
      <c r="C136" s="58" t="s">
        <v>41</v>
      </c>
      <c r="D136" s="59" t="s">
        <v>263</v>
      </c>
      <c r="E136" s="58">
        <v>12</v>
      </c>
      <c r="F136" s="60"/>
      <c r="G136" s="60">
        <f>F136*(1+(D2))</f>
        <v>0</v>
      </c>
      <c r="H136" s="61">
        <f t="shared" si="10"/>
        <v>0</v>
      </c>
      <c r="I136" s="60">
        <v>0</v>
      </c>
      <c r="J136" s="60">
        <f>I136*(1+(K2))</f>
        <v>0</v>
      </c>
      <c r="K136" s="61">
        <f t="shared" si="11"/>
        <v>0</v>
      </c>
    </row>
    <row r="137" spans="1:11">
      <c r="A137" s="56" t="s">
        <v>838</v>
      </c>
      <c r="B137" s="57" t="s">
        <v>264</v>
      </c>
      <c r="C137" s="58" t="s">
        <v>41</v>
      </c>
      <c r="D137" s="58" t="s">
        <v>51</v>
      </c>
      <c r="E137" s="58">
        <v>11</v>
      </c>
      <c r="F137" s="60"/>
      <c r="G137" s="60">
        <f>F137*(1+(D2))</f>
        <v>0</v>
      </c>
      <c r="H137" s="61">
        <f t="shared" si="10"/>
        <v>0</v>
      </c>
      <c r="I137" s="60">
        <v>0</v>
      </c>
      <c r="J137" s="60">
        <f>I137*(1+(K2))</f>
        <v>0</v>
      </c>
      <c r="K137" s="61">
        <f t="shared" si="11"/>
        <v>0</v>
      </c>
    </row>
    <row r="138" spans="1:11">
      <c r="A138" s="56" t="s">
        <v>839</v>
      </c>
      <c r="B138" s="57" t="s">
        <v>265</v>
      </c>
      <c r="C138" s="58" t="s">
        <v>41</v>
      </c>
      <c r="D138" s="59" t="s">
        <v>266</v>
      </c>
      <c r="E138" s="58">
        <v>20</v>
      </c>
      <c r="F138" s="60"/>
      <c r="G138" s="60">
        <f>F138*(1+(D2))</f>
        <v>0</v>
      </c>
      <c r="H138" s="61">
        <f t="shared" si="10"/>
        <v>0</v>
      </c>
      <c r="I138" s="60">
        <v>0</v>
      </c>
      <c r="J138" s="60">
        <f>I138*(1+(K2))</f>
        <v>0</v>
      </c>
      <c r="K138" s="61">
        <f t="shared" si="11"/>
        <v>0</v>
      </c>
    </row>
    <row r="139" spans="1:11">
      <c r="A139" s="56" t="s">
        <v>840</v>
      </c>
      <c r="B139" s="57" t="s">
        <v>267</v>
      </c>
      <c r="C139" s="58" t="s">
        <v>71</v>
      </c>
      <c r="D139" s="59" t="s">
        <v>268</v>
      </c>
      <c r="E139" s="58">
        <v>2</v>
      </c>
      <c r="F139" s="60"/>
      <c r="G139" s="60">
        <f>F139*(1+(D2))</f>
        <v>0</v>
      </c>
      <c r="H139" s="61">
        <f t="shared" si="10"/>
        <v>0</v>
      </c>
      <c r="I139" s="60">
        <v>0</v>
      </c>
      <c r="J139" s="60">
        <f>I139*(1+(K2))</f>
        <v>0</v>
      </c>
      <c r="K139" s="61">
        <f t="shared" si="11"/>
        <v>0</v>
      </c>
    </row>
    <row r="140" spans="1:11">
      <c r="A140" s="56" t="s">
        <v>841</v>
      </c>
      <c r="B140" s="57" t="s">
        <v>269</v>
      </c>
      <c r="C140" s="58" t="s">
        <v>41</v>
      </c>
      <c r="D140" s="58" t="s">
        <v>51</v>
      </c>
      <c r="E140" s="58">
        <v>20</v>
      </c>
      <c r="F140" s="60"/>
      <c r="G140" s="60">
        <f>F140*(1+(D2))</f>
        <v>0</v>
      </c>
      <c r="H140" s="61">
        <f t="shared" si="10"/>
        <v>0</v>
      </c>
      <c r="I140" s="60">
        <v>0</v>
      </c>
      <c r="J140" s="60">
        <f>I140*(1+(K2))</f>
        <v>0</v>
      </c>
      <c r="K140" s="61">
        <f t="shared" si="11"/>
        <v>0</v>
      </c>
    </row>
    <row r="141" spans="1:11">
      <c r="A141" s="56" t="s">
        <v>842</v>
      </c>
      <c r="B141" s="57" t="s">
        <v>270</v>
      </c>
      <c r="C141" s="58" t="s">
        <v>41</v>
      </c>
      <c r="D141" s="58" t="s">
        <v>51</v>
      </c>
      <c r="E141" s="58">
        <v>4</v>
      </c>
      <c r="F141" s="60"/>
      <c r="G141" s="60">
        <f>F141*(1+(D2))</f>
        <v>0</v>
      </c>
      <c r="H141" s="61">
        <f t="shared" si="10"/>
        <v>0</v>
      </c>
      <c r="I141" s="60">
        <v>0</v>
      </c>
      <c r="J141" s="60">
        <f>I141*(1+(K2))</f>
        <v>0</v>
      </c>
      <c r="K141" s="61">
        <f t="shared" si="11"/>
        <v>0</v>
      </c>
    </row>
    <row r="142" spans="1:11">
      <c r="A142" s="56" t="s">
        <v>843</v>
      </c>
      <c r="B142" s="57" t="s">
        <v>271</v>
      </c>
      <c r="C142" s="58" t="s">
        <v>41</v>
      </c>
      <c r="D142" s="58" t="s">
        <v>51</v>
      </c>
      <c r="E142" s="58">
        <v>3</v>
      </c>
      <c r="F142" s="60"/>
      <c r="G142" s="60">
        <f>F142*(1+(D2))</f>
        <v>0</v>
      </c>
      <c r="H142" s="61">
        <f t="shared" si="10"/>
        <v>0</v>
      </c>
      <c r="I142" s="60">
        <v>0</v>
      </c>
      <c r="J142" s="60">
        <f>I142*(1+(K2))</f>
        <v>0</v>
      </c>
      <c r="K142" s="61">
        <f t="shared" si="11"/>
        <v>0</v>
      </c>
    </row>
    <row r="143" spans="1:11">
      <c r="A143" s="56" t="s">
        <v>844</v>
      </c>
      <c r="B143" s="57" t="s">
        <v>272</v>
      </c>
      <c r="C143" s="58" t="s">
        <v>41</v>
      </c>
      <c r="D143" s="58" t="s">
        <v>51</v>
      </c>
      <c r="E143" s="63">
        <v>3</v>
      </c>
      <c r="F143" s="60"/>
      <c r="G143" s="60">
        <f>F143*(1+(D2))</f>
        <v>0</v>
      </c>
      <c r="H143" s="61">
        <f t="shared" si="10"/>
        <v>0</v>
      </c>
      <c r="I143" s="60">
        <v>0</v>
      </c>
      <c r="J143" s="60">
        <f>I143*(1+(K2))</f>
        <v>0</v>
      </c>
      <c r="K143" s="61">
        <f t="shared" si="11"/>
        <v>0</v>
      </c>
    </row>
    <row r="144" spans="1:11" ht="22.5">
      <c r="A144" s="56" t="s">
        <v>845</v>
      </c>
      <c r="B144" s="57" t="s">
        <v>273</v>
      </c>
      <c r="C144" s="58" t="s">
        <v>41</v>
      </c>
      <c r="D144" s="59" t="s">
        <v>274</v>
      </c>
      <c r="E144" s="58">
        <v>5</v>
      </c>
      <c r="F144" s="60"/>
      <c r="G144" s="60">
        <f>F144*(1+(D2))</f>
        <v>0</v>
      </c>
      <c r="H144" s="61">
        <f t="shared" si="10"/>
        <v>0</v>
      </c>
      <c r="I144" s="60">
        <v>0</v>
      </c>
      <c r="J144" s="60">
        <f>I144*(1+(K2))</f>
        <v>0</v>
      </c>
      <c r="K144" s="61">
        <f t="shared" si="11"/>
        <v>0</v>
      </c>
    </row>
    <row r="145" spans="1:11" ht="22.5">
      <c r="A145" s="56" t="s">
        <v>846</v>
      </c>
      <c r="B145" s="57" t="s">
        <v>275</v>
      </c>
      <c r="C145" s="58" t="s">
        <v>41</v>
      </c>
      <c r="D145" s="59" t="s">
        <v>276</v>
      </c>
      <c r="E145" s="58">
        <v>2</v>
      </c>
      <c r="F145" s="60"/>
      <c r="G145" s="60">
        <f>F145*(1+(D2))</f>
        <v>0</v>
      </c>
      <c r="H145" s="61">
        <f t="shared" si="10"/>
        <v>0</v>
      </c>
      <c r="I145" s="60">
        <v>0</v>
      </c>
      <c r="J145" s="60">
        <f>I145*(1+(K2))</f>
        <v>0</v>
      </c>
      <c r="K145" s="61">
        <f t="shared" si="11"/>
        <v>0</v>
      </c>
    </row>
    <row r="146" spans="1:11">
      <c r="A146" s="56" t="s">
        <v>847</v>
      </c>
      <c r="B146" s="57" t="s">
        <v>277</v>
      </c>
      <c r="C146" s="58" t="s">
        <v>278</v>
      </c>
      <c r="D146" s="59" t="s">
        <v>279</v>
      </c>
      <c r="E146" s="58">
        <v>10</v>
      </c>
      <c r="F146" s="60"/>
      <c r="G146" s="60">
        <f>F146*(1+(D2))</f>
        <v>0</v>
      </c>
      <c r="H146" s="61">
        <f t="shared" si="10"/>
        <v>0</v>
      </c>
      <c r="I146" s="60">
        <v>0</v>
      </c>
      <c r="J146" s="60">
        <f>I146*(1+(K2))</f>
        <v>0</v>
      </c>
      <c r="K146" s="61">
        <f t="shared" si="11"/>
        <v>0</v>
      </c>
    </row>
    <row r="147" spans="1:11">
      <c r="A147" s="56" t="s">
        <v>848</v>
      </c>
      <c r="B147" s="57" t="s">
        <v>280</v>
      </c>
      <c r="C147" s="58" t="s">
        <v>41</v>
      </c>
      <c r="D147" s="58" t="s">
        <v>51</v>
      </c>
      <c r="E147" s="58">
        <v>2</v>
      </c>
      <c r="F147" s="60"/>
      <c r="G147" s="60">
        <f>F147*(1+(D2))</f>
        <v>0</v>
      </c>
      <c r="H147" s="61">
        <f t="shared" si="10"/>
        <v>0</v>
      </c>
      <c r="I147" s="60">
        <v>0</v>
      </c>
      <c r="J147" s="60">
        <f>I147*(1+(K2))</f>
        <v>0</v>
      </c>
      <c r="K147" s="61">
        <f t="shared" si="11"/>
        <v>0</v>
      </c>
    </row>
    <row r="148" spans="1:11">
      <c r="A148" s="56" t="s">
        <v>849</v>
      </c>
      <c r="B148" s="57" t="s">
        <v>281</v>
      </c>
      <c r="C148" s="58" t="s">
        <v>41</v>
      </c>
      <c r="D148" s="58" t="s">
        <v>51</v>
      </c>
      <c r="E148" s="58">
        <v>2</v>
      </c>
      <c r="F148" s="60"/>
      <c r="G148" s="60">
        <f>F148*(1+(D2))</f>
        <v>0</v>
      </c>
      <c r="H148" s="61">
        <f t="shared" si="10"/>
        <v>0</v>
      </c>
      <c r="I148" s="60">
        <v>0</v>
      </c>
      <c r="J148" s="60">
        <f>I148*(1+(K2))</f>
        <v>0</v>
      </c>
      <c r="K148" s="61">
        <f t="shared" si="11"/>
        <v>0</v>
      </c>
    </row>
    <row r="149" spans="1:11">
      <c r="A149" s="56" t="s">
        <v>850</v>
      </c>
      <c r="B149" s="57" t="s">
        <v>282</v>
      </c>
      <c r="C149" s="58" t="s">
        <v>71</v>
      </c>
      <c r="D149" s="59" t="s">
        <v>283</v>
      </c>
      <c r="E149" s="58">
        <v>1</v>
      </c>
      <c r="F149" s="60"/>
      <c r="G149" s="60">
        <f>F149*(1+(D2))</f>
        <v>0</v>
      </c>
      <c r="H149" s="61">
        <f t="shared" si="10"/>
        <v>0</v>
      </c>
      <c r="I149" s="60">
        <v>0</v>
      </c>
      <c r="J149" s="60">
        <f>I149*(1+(K2))</f>
        <v>0</v>
      </c>
      <c r="K149" s="61">
        <f t="shared" si="11"/>
        <v>0</v>
      </c>
    </row>
    <row r="150" spans="1:11" ht="22.5">
      <c r="A150" s="56" t="s">
        <v>851</v>
      </c>
      <c r="B150" s="57" t="s">
        <v>284</v>
      </c>
      <c r="C150" s="58" t="s">
        <v>278</v>
      </c>
      <c r="D150" s="58" t="s">
        <v>51</v>
      </c>
      <c r="E150" s="58">
        <v>25</v>
      </c>
      <c r="F150" s="60"/>
      <c r="G150" s="60">
        <f>F150*(1+(D2))</f>
        <v>0</v>
      </c>
      <c r="H150" s="61">
        <f t="shared" si="10"/>
        <v>0</v>
      </c>
      <c r="I150" s="60">
        <v>0</v>
      </c>
      <c r="J150" s="60">
        <f>I150*(1+(K2))</f>
        <v>0</v>
      </c>
      <c r="K150" s="61">
        <f t="shared" si="11"/>
        <v>0</v>
      </c>
    </row>
    <row r="151" spans="1:11">
      <c r="A151" s="56" t="s">
        <v>852</v>
      </c>
      <c r="B151" s="57" t="s">
        <v>285</v>
      </c>
      <c r="C151" s="58" t="s">
        <v>50</v>
      </c>
      <c r="D151" s="58" t="s">
        <v>51</v>
      </c>
      <c r="E151" s="58">
        <v>4</v>
      </c>
      <c r="F151" s="60"/>
      <c r="G151" s="60">
        <f>F151*(1+(D2))</f>
        <v>0</v>
      </c>
      <c r="H151" s="61">
        <f t="shared" si="10"/>
        <v>0</v>
      </c>
      <c r="I151" s="60">
        <v>0</v>
      </c>
      <c r="J151" s="60">
        <f>I151*(1+(K2))</f>
        <v>0</v>
      </c>
      <c r="K151" s="61">
        <f t="shared" si="11"/>
        <v>0</v>
      </c>
    </row>
    <row r="152" spans="1:11">
      <c r="A152" s="56" t="s">
        <v>853</v>
      </c>
      <c r="B152" s="57" t="s">
        <v>286</v>
      </c>
      <c r="C152" s="58" t="s">
        <v>41</v>
      </c>
      <c r="D152" s="58" t="s">
        <v>51</v>
      </c>
      <c r="E152" s="58">
        <v>4</v>
      </c>
      <c r="F152" s="60"/>
      <c r="G152" s="60">
        <f>F152*(1+(D2))</f>
        <v>0</v>
      </c>
      <c r="H152" s="61">
        <f t="shared" si="10"/>
        <v>0</v>
      </c>
      <c r="I152" s="60">
        <v>0</v>
      </c>
      <c r="J152" s="60">
        <f>I152*(1+(K2))</f>
        <v>0</v>
      </c>
      <c r="K152" s="61">
        <f t="shared" si="11"/>
        <v>0</v>
      </c>
    </row>
    <row r="153" spans="1:11">
      <c r="A153" s="56" t="s">
        <v>854</v>
      </c>
      <c r="B153" s="57" t="s">
        <v>287</v>
      </c>
      <c r="C153" s="58" t="s">
        <v>41</v>
      </c>
      <c r="D153" s="58" t="s">
        <v>51</v>
      </c>
      <c r="E153" s="58">
        <v>4</v>
      </c>
      <c r="F153" s="60"/>
      <c r="G153" s="60">
        <f>F153*(1+(D2))</f>
        <v>0</v>
      </c>
      <c r="H153" s="61">
        <f t="shared" si="10"/>
        <v>0</v>
      </c>
      <c r="I153" s="60">
        <v>0</v>
      </c>
      <c r="J153" s="60">
        <f>I153*(1+(K2))</f>
        <v>0</v>
      </c>
      <c r="K153" s="61">
        <f t="shared" si="11"/>
        <v>0</v>
      </c>
    </row>
    <row r="154" spans="1:11">
      <c r="A154" s="56" t="s">
        <v>855</v>
      </c>
      <c r="B154" s="57" t="s">
        <v>288</v>
      </c>
      <c r="C154" s="58" t="s">
        <v>41</v>
      </c>
      <c r="D154" s="58" t="s">
        <v>51</v>
      </c>
      <c r="E154" s="58">
        <v>2</v>
      </c>
      <c r="F154" s="60"/>
      <c r="G154" s="60">
        <f>F154*(1+(D2))</f>
        <v>0</v>
      </c>
      <c r="H154" s="61">
        <f t="shared" si="10"/>
        <v>0</v>
      </c>
      <c r="I154" s="60">
        <v>0</v>
      </c>
      <c r="J154" s="60">
        <f>I154*(1+(K2))</f>
        <v>0</v>
      </c>
      <c r="K154" s="61">
        <f t="shared" si="11"/>
        <v>0</v>
      </c>
    </row>
    <row r="155" spans="1:11">
      <c r="A155" s="11" t="s">
        <v>856</v>
      </c>
      <c r="B155" s="12" t="s">
        <v>289</v>
      </c>
      <c r="C155" s="13"/>
      <c r="D155" s="775"/>
      <c r="E155" s="775"/>
      <c r="F155" s="775" t="s">
        <v>1223</v>
      </c>
      <c r="G155" s="775"/>
      <c r="H155" s="14">
        <f>SUM(H156:H157)</f>
        <v>0</v>
      </c>
      <c r="I155" s="775" t="s">
        <v>1224</v>
      </c>
      <c r="J155" s="775"/>
      <c r="K155" s="14">
        <f>SUM(K156:K157)</f>
        <v>0</v>
      </c>
    </row>
    <row r="156" spans="1:11">
      <c r="A156" s="56" t="s">
        <v>857</v>
      </c>
      <c r="B156" s="57" t="s">
        <v>290</v>
      </c>
      <c r="C156" s="58" t="s">
        <v>291</v>
      </c>
      <c r="D156" s="58" t="s">
        <v>51</v>
      </c>
      <c r="E156" s="58">
        <v>51.84</v>
      </c>
      <c r="F156" s="60"/>
      <c r="G156" s="60">
        <f>F156*(1+(D2))</f>
        <v>0</v>
      </c>
      <c r="H156" s="61">
        <f>G156*E156</f>
        <v>0</v>
      </c>
      <c r="I156" s="60">
        <v>0</v>
      </c>
      <c r="J156" s="60">
        <f>I156*(1+(K2))</f>
        <v>0</v>
      </c>
      <c r="K156" s="61">
        <f t="shared" ref="K156:K157" si="12">J156*E156</f>
        <v>0</v>
      </c>
    </row>
    <row r="157" spans="1:11">
      <c r="A157" s="56" t="s">
        <v>858</v>
      </c>
      <c r="B157" s="57" t="s">
        <v>292</v>
      </c>
      <c r="C157" s="58" t="s">
        <v>47</v>
      </c>
      <c r="D157" s="59" t="s">
        <v>293</v>
      </c>
      <c r="E157" s="58">
        <v>26.4</v>
      </c>
      <c r="F157" s="60"/>
      <c r="G157" s="60">
        <f>F157*(1+(D2))</f>
        <v>0</v>
      </c>
      <c r="H157" s="61">
        <f>G157*E157</f>
        <v>0</v>
      </c>
      <c r="I157" s="60">
        <v>0</v>
      </c>
      <c r="J157" s="60">
        <f>I157*(1+(K2))</f>
        <v>0</v>
      </c>
      <c r="K157" s="61">
        <f t="shared" si="12"/>
        <v>0</v>
      </c>
    </row>
    <row r="158" spans="1:11">
      <c r="A158" s="11" t="s">
        <v>859</v>
      </c>
      <c r="B158" s="12" t="s">
        <v>294</v>
      </c>
      <c r="C158" s="13"/>
      <c r="D158" s="775"/>
      <c r="E158" s="775"/>
      <c r="F158" s="775" t="s">
        <v>1225</v>
      </c>
      <c r="G158" s="775"/>
      <c r="H158" s="14">
        <f>SUM(H159:H182)</f>
        <v>0</v>
      </c>
      <c r="I158" s="775" t="s">
        <v>1226</v>
      </c>
      <c r="J158" s="775"/>
      <c r="K158" s="14">
        <f>SUM(K159:K182)</f>
        <v>0</v>
      </c>
    </row>
    <row r="159" spans="1:11" ht="22.5">
      <c r="A159" s="56" t="s">
        <v>860</v>
      </c>
      <c r="B159" s="57" t="s">
        <v>295</v>
      </c>
      <c r="C159" s="58" t="s">
        <v>296</v>
      </c>
      <c r="D159" s="58" t="s">
        <v>51</v>
      </c>
      <c r="E159" s="58">
        <v>2</v>
      </c>
      <c r="F159" s="60"/>
      <c r="G159" s="60">
        <f>F159*(1+(D2))</f>
        <v>0</v>
      </c>
      <c r="H159" s="61">
        <f t="shared" ref="H159:H182" si="13">G159*E159</f>
        <v>0</v>
      </c>
      <c r="I159" s="60">
        <v>0</v>
      </c>
      <c r="J159" s="60">
        <f>I159*(1+(K2))</f>
        <v>0</v>
      </c>
      <c r="K159" s="61">
        <f t="shared" ref="K159:K182" si="14">J159*E159</f>
        <v>0</v>
      </c>
    </row>
    <row r="160" spans="1:11">
      <c r="A160" s="56" t="s">
        <v>861</v>
      </c>
      <c r="B160" s="57" t="s">
        <v>297</v>
      </c>
      <c r="C160" s="58" t="s">
        <v>62</v>
      </c>
      <c r="D160" s="58" t="s">
        <v>51</v>
      </c>
      <c r="E160" s="58">
        <v>4</v>
      </c>
      <c r="F160" s="60"/>
      <c r="G160" s="60">
        <f>F160*(1+(D2))</f>
        <v>0</v>
      </c>
      <c r="H160" s="61">
        <f t="shared" si="13"/>
        <v>0</v>
      </c>
      <c r="I160" s="60">
        <v>0</v>
      </c>
      <c r="J160" s="60">
        <f>I160*(1+(K2))</f>
        <v>0</v>
      </c>
      <c r="K160" s="61">
        <f t="shared" si="14"/>
        <v>0</v>
      </c>
    </row>
    <row r="161" spans="1:11">
      <c r="A161" s="56" t="s">
        <v>862</v>
      </c>
      <c r="B161" s="57" t="s">
        <v>298</v>
      </c>
      <c r="C161" s="58" t="s">
        <v>47</v>
      </c>
      <c r="D161" s="58" t="s">
        <v>51</v>
      </c>
      <c r="E161" s="58">
        <v>2</v>
      </c>
      <c r="F161" s="60"/>
      <c r="G161" s="60">
        <f>F161*(1+(D2))</f>
        <v>0</v>
      </c>
      <c r="H161" s="61">
        <f t="shared" si="13"/>
        <v>0</v>
      </c>
      <c r="I161" s="60">
        <v>0</v>
      </c>
      <c r="J161" s="60">
        <f>I161*(1+(K2))</f>
        <v>0</v>
      </c>
      <c r="K161" s="61">
        <f t="shared" si="14"/>
        <v>0</v>
      </c>
    </row>
    <row r="162" spans="1:11">
      <c r="A162" s="56" t="s">
        <v>863</v>
      </c>
      <c r="B162" s="57" t="s">
        <v>299</v>
      </c>
      <c r="C162" s="58" t="s">
        <v>47</v>
      </c>
      <c r="D162" s="59" t="s">
        <v>300</v>
      </c>
      <c r="E162" s="58">
        <v>36</v>
      </c>
      <c r="F162" s="60"/>
      <c r="G162" s="60">
        <f>F162*(1+(D2))</f>
        <v>0</v>
      </c>
      <c r="H162" s="61">
        <f t="shared" si="13"/>
        <v>0</v>
      </c>
      <c r="I162" s="60">
        <v>0</v>
      </c>
      <c r="J162" s="60">
        <f>I162*(1+(K2))</f>
        <v>0</v>
      </c>
      <c r="K162" s="61">
        <f t="shared" si="14"/>
        <v>0</v>
      </c>
    </row>
    <row r="163" spans="1:11">
      <c r="A163" s="56" t="s">
        <v>864</v>
      </c>
      <c r="B163" s="57" t="s">
        <v>301</v>
      </c>
      <c r="C163" s="58" t="s">
        <v>47</v>
      </c>
      <c r="D163" s="59" t="s">
        <v>302</v>
      </c>
      <c r="E163" s="58">
        <v>2</v>
      </c>
      <c r="F163" s="60"/>
      <c r="G163" s="60">
        <f>F163*(1+(D2))</f>
        <v>0</v>
      </c>
      <c r="H163" s="61">
        <f t="shared" si="13"/>
        <v>0</v>
      </c>
      <c r="I163" s="60">
        <v>0</v>
      </c>
      <c r="J163" s="60">
        <f>I163*(1+(K2))</f>
        <v>0</v>
      </c>
      <c r="K163" s="61">
        <f t="shared" si="14"/>
        <v>0</v>
      </c>
    </row>
    <row r="164" spans="1:11">
      <c r="A164" s="56" t="s">
        <v>865</v>
      </c>
      <c r="B164" s="57" t="s">
        <v>303</v>
      </c>
      <c r="C164" s="58" t="s">
        <v>162</v>
      </c>
      <c r="D164" s="59" t="s">
        <v>304</v>
      </c>
      <c r="E164" s="58">
        <v>10</v>
      </c>
      <c r="F164" s="60"/>
      <c r="G164" s="60">
        <f>F164*(1+(D2))</f>
        <v>0</v>
      </c>
      <c r="H164" s="61">
        <f t="shared" si="13"/>
        <v>0</v>
      </c>
      <c r="I164" s="60">
        <v>0</v>
      </c>
      <c r="J164" s="60">
        <f>I164*(1+(K2))</f>
        <v>0</v>
      </c>
      <c r="K164" s="61">
        <f t="shared" si="14"/>
        <v>0</v>
      </c>
    </row>
    <row r="165" spans="1:11">
      <c r="A165" s="56" t="s">
        <v>866</v>
      </c>
      <c r="B165" s="57" t="s">
        <v>305</v>
      </c>
      <c r="C165" s="58" t="s">
        <v>50</v>
      </c>
      <c r="D165" s="58" t="s">
        <v>51</v>
      </c>
      <c r="E165" s="58">
        <v>2</v>
      </c>
      <c r="F165" s="60"/>
      <c r="G165" s="60">
        <f>F165*(1+(D2))</f>
        <v>0</v>
      </c>
      <c r="H165" s="61">
        <f t="shared" si="13"/>
        <v>0</v>
      </c>
      <c r="I165" s="60">
        <v>0</v>
      </c>
      <c r="J165" s="60">
        <f>I165*(1+(K2))</f>
        <v>0</v>
      </c>
      <c r="K165" s="61">
        <f t="shared" si="14"/>
        <v>0</v>
      </c>
    </row>
    <row r="166" spans="1:11">
      <c r="A166" s="56" t="s">
        <v>867</v>
      </c>
      <c r="B166" s="57" t="s">
        <v>306</v>
      </c>
      <c r="C166" s="58" t="s">
        <v>71</v>
      </c>
      <c r="D166" s="59" t="s">
        <v>307</v>
      </c>
      <c r="E166" s="63">
        <v>2</v>
      </c>
      <c r="F166" s="60"/>
      <c r="G166" s="60">
        <f>F166*(1+(D2))</f>
        <v>0</v>
      </c>
      <c r="H166" s="61">
        <f t="shared" si="13"/>
        <v>0</v>
      </c>
      <c r="I166" s="60">
        <v>0</v>
      </c>
      <c r="J166" s="60">
        <f>I166*(1+(K2))</f>
        <v>0</v>
      </c>
      <c r="K166" s="61">
        <f t="shared" si="14"/>
        <v>0</v>
      </c>
    </row>
    <row r="167" spans="1:11">
      <c r="A167" s="56" t="s">
        <v>868</v>
      </c>
      <c r="B167" s="57" t="s">
        <v>308</v>
      </c>
      <c r="C167" s="58" t="s">
        <v>296</v>
      </c>
      <c r="D167" s="58" t="s">
        <v>51</v>
      </c>
      <c r="E167" s="58">
        <v>2</v>
      </c>
      <c r="F167" s="60"/>
      <c r="G167" s="60">
        <f>F167*(1+(D2))</f>
        <v>0</v>
      </c>
      <c r="H167" s="61">
        <f t="shared" si="13"/>
        <v>0</v>
      </c>
      <c r="I167" s="60">
        <v>0</v>
      </c>
      <c r="J167" s="60">
        <f>I167*(1+(K2))</f>
        <v>0</v>
      </c>
      <c r="K167" s="61">
        <f t="shared" si="14"/>
        <v>0</v>
      </c>
    </row>
    <row r="168" spans="1:11">
      <c r="A168" s="56" t="s">
        <v>869</v>
      </c>
      <c r="B168" s="57" t="s">
        <v>309</v>
      </c>
      <c r="C168" s="58" t="s">
        <v>47</v>
      </c>
      <c r="D168" s="58" t="s">
        <v>51</v>
      </c>
      <c r="E168" s="58">
        <v>18</v>
      </c>
      <c r="F168" s="60"/>
      <c r="G168" s="60">
        <f>F168*(1+(D2))</f>
        <v>0</v>
      </c>
      <c r="H168" s="61">
        <f t="shared" si="13"/>
        <v>0</v>
      </c>
      <c r="I168" s="60">
        <v>0</v>
      </c>
      <c r="J168" s="60">
        <f>I168*(1+(K2))</f>
        <v>0</v>
      </c>
      <c r="K168" s="61">
        <f t="shared" si="14"/>
        <v>0</v>
      </c>
    </row>
    <row r="169" spans="1:11" ht="22.5">
      <c r="A169" s="56" t="s">
        <v>870</v>
      </c>
      <c r="B169" s="57" t="s">
        <v>310</v>
      </c>
      <c r="C169" s="58" t="s">
        <v>47</v>
      </c>
      <c r="D169" s="59" t="s">
        <v>311</v>
      </c>
      <c r="E169" s="58">
        <v>12</v>
      </c>
      <c r="F169" s="60"/>
      <c r="G169" s="60">
        <f>F169*(1+(D2))</f>
        <v>0</v>
      </c>
      <c r="H169" s="61">
        <f t="shared" si="13"/>
        <v>0</v>
      </c>
      <c r="I169" s="60">
        <v>0</v>
      </c>
      <c r="J169" s="60">
        <f>I169*(1+(K2))</f>
        <v>0</v>
      </c>
      <c r="K169" s="61">
        <f t="shared" si="14"/>
        <v>0</v>
      </c>
    </row>
    <row r="170" spans="1:11">
      <c r="A170" s="56" t="s">
        <v>871</v>
      </c>
      <c r="B170" s="57" t="s">
        <v>312</v>
      </c>
      <c r="C170" s="58" t="s">
        <v>313</v>
      </c>
      <c r="D170" s="58" t="s">
        <v>51</v>
      </c>
      <c r="E170" s="58">
        <v>3</v>
      </c>
      <c r="F170" s="60"/>
      <c r="G170" s="60">
        <f>F170*(1+(D2))</f>
        <v>0</v>
      </c>
      <c r="H170" s="61">
        <f t="shared" si="13"/>
        <v>0</v>
      </c>
      <c r="I170" s="60">
        <v>0</v>
      </c>
      <c r="J170" s="60">
        <f>I170*(1+(K2))</f>
        <v>0</v>
      </c>
      <c r="K170" s="61">
        <f t="shared" si="14"/>
        <v>0</v>
      </c>
    </row>
    <row r="171" spans="1:11">
      <c r="A171" s="56" t="s">
        <v>872</v>
      </c>
      <c r="B171" s="57" t="s">
        <v>314</v>
      </c>
      <c r="C171" s="58" t="s">
        <v>41</v>
      </c>
      <c r="D171" s="58" t="s">
        <v>51</v>
      </c>
      <c r="E171" s="58">
        <v>12</v>
      </c>
      <c r="F171" s="60"/>
      <c r="G171" s="60">
        <f>F171*(1+(D2))</f>
        <v>0</v>
      </c>
      <c r="H171" s="61">
        <f t="shared" si="13"/>
        <v>0</v>
      </c>
      <c r="I171" s="60">
        <v>0</v>
      </c>
      <c r="J171" s="60">
        <f>I171*(1+(K2))</f>
        <v>0</v>
      </c>
      <c r="K171" s="61">
        <f t="shared" si="14"/>
        <v>0</v>
      </c>
    </row>
    <row r="172" spans="1:11">
      <c r="A172" s="56" t="s">
        <v>873</v>
      </c>
      <c r="B172" s="57" t="s">
        <v>315</v>
      </c>
      <c r="C172" s="58" t="s">
        <v>313</v>
      </c>
      <c r="D172" s="59" t="s">
        <v>316</v>
      </c>
      <c r="E172" s="58">
        <v>2</v>
      </c>
      <c r="F172" s="60"/>
      <c r="G172" s="60">
        <f>F172*(1+(D2))</f>
        <v>0</v>
      </c>
      <c r="H172" s="61">
        <f t="shared" si="13"/>
        <v>0</v>
      </c>
      <c r="I172" s="60">
        <v>0</v>
      </c>
      <c r="J172" s="60">
        <f>I172*(1+(K2))</f>
        <v>0</v>
      </c>
      <c r="K172" s="61">
        <f t="shared" si="14"/>
        <v>0</v>
      </c>
    </row>
    <row r="173" spans="1:11">
      <c r="A173" s="56" t="s">
        <v>874</v>
      </c>
      <c r="B173" s="57" t="s">
        <v>317</v>
      </c>
      <c r="C173" s="58" t="s">
        <v>41</v>
      </c>
      <c r="D173" s="58" t="s">
        <v>51</v>
      </c>
      <c r="E173" s="58">
        <v>10</v>
      </c>
      <c r="F173" s="60"/>
      <c r="G173" s="60">
        <f>F173*(1+(D2))</f>
        <v>0</v>
      </c>
      <c r="H173" s="61">
        <f t="shared" si="13"/>
        <v>0</v>
      </c>
      <c r="I173" s="60">
        <v>0</v>
      </c>
      <c r="J173" s="60">
        <f>I173*(1+(K2))</f>
        <v>0</v>
      </c>
      <c r="K173" s="61">
        <f t="shared" si="14"/>
        <v>0</v>
      </c>
    </row>
    <row r="174" spans="1:11">
      <c r="A174" s="56" t="s">
        <v>875</v>
      </c>
      <c r="B174" s="57" t="s">
        <v>318</v>
      </c>
      <c r="C174" s="58" t="s">
        <v>47</v>
      </c>
      <c r="D174" s="58" t="s">
        <v>51</v>
      </c>
      <c r="E174" s="58">
        <v>12</v>
      </c>
      <c r="F174" s="60"/>
      <c r="G174" s="60">
        <f>F174*(1+(D2))</f>
        <v>0</v>
      </c>
      <c r="H174" s="61">
        <f t="shared" si="13"/>
        <v>0</v>
      </c>
      <c r="I174" s="60">
        <v>0</v>
      </c>
      <c r="J174" s="60">
        <f>I174*(1+(K2))</f>
        <v>0</v>
      </c>
      <c r="K174" s="61">
        <f t="shared" si="14"/>
        <v>0</v>
      </c>
    </row>
    <row r="175" spans="1:11" ht="22.5">
      <c r="A175" s="56" t="s">
        <v>876</v>
      </c>
      <c r="B175" s="57" t="s">
        <v>319</v>
      </c>
      <c r="C175" s="58" t="s">
        <v>320</v>
      </c>
      <c r="D175" s="58" t="s">
        <v>51</v>
      </c>
      <c r="E175" s="58">
        <v>2</v>
      </c>
      <c r="F175" s="60"/>
      <c r="G175" s="60">
        <f>F175*(1+(D2))</f>
        <v>0</v>
      </c>
      <c r="H175" s="61">
        <f t="shared" si="13"/>
        <v>0</v>
      </c>
      <c r="I175" s="60">
        <v>0</v>
      </c>
      <c r="J175" s="60">
        <f>I175*(1+(K2))</f>
        <v>0</v>
      </c>
      <c r="K175" s="61">
        <f t="shared" si="14"/>
        <v>0</v>
      </c>
    </row>
    <row r="176" spans="1:11">
      <c r="A176" s="56" t="s">
        <v>877</v>
      </c>
      <c r="B176" s="57" t="s">
        <v>321</v>
      </c>
      <c r="C176" s="58" t="s">
        <v>47</v>
      </c>
      <c r="D176" s="59" t="s">
        <v>322</v>
      </c>
      <c r="E176" s="58">
        <v>6</v>
      </c>
      <c r="F176" s="60"/>
      <c r="G176" s="60">
        <f>F176*(1+(D2))</f>
        <v>0</v>
      </c>
      <c r="H176" s="61">
        <f t="shared" si="13"/>
        <v>0</v>
      </c>
      <c r="I176" s="60">
        <v>0</v>
      </c>
      <c r="J176" s="60">
        <f>I176*(1+(K2))</f>
        <v>0</v>
      </c>
      <c r="K176" s="61">
        <f t="shared" si="14"/>
        <v>0</v>
      </c>
    </row>
    <row r="177" spans="1:11">
      <c r="A177" s="56" t="s">
        <v>878</v>
      </c>
      <c r="B177" s="57" t="s">
        <v>323</v>
      </c>
      <c r="C177" s="58" t="s">
        <v>74</v>
      </c>
      <c r="D177" s="58" t="s">
        <v>51</v>
      </c>
      <c r="E177" s="58">
        <v>50</v>
      </c>
      <c r="F177" s="60"/>
      <c r="G177" s="60">
        <f>F177*(1+(D2))</f>
        <v>0</v>
      </c>
      <c r="H177" s="61">
        <f t="shared" si="13"/>
        <v>0</v>
      </c>
      <c r="I177" s="60">
        <v>0</v>
      </c>
      <c r="J177" s="60">
        <f>I177*(1+(K2))</f>
        <v>0</v>
      </c>
      <c r="K177" s="61">
        <f t="shared" si="14"/>
        <v>0</v>
      </c>
    </row>
    <row r="178" spans="1:11">
      <c r="A178" s="56" t="s">
        <v>879</v>
      </c>
      <c r="B178" s="57" t="s">
        <v>324</v>
      </c>
      <c r="C178" s="58" t="s">
        <v>107</v>
      </c>
      <c r="D178" s="59" t="s">
        <v>108</v>
      </c>
      <c r="E178" s="58">
        <v>50</v>
      </c>
      <c r="F178" s="60"/>
      <c r="G178" s="60">
        <f>F178*(1+(D2))</f>
        <v>0</v>
      </c>
      <c r="H178" s="61">
        <f t="shared" si="13"/>
        <v>0</v>
      </c>
      <c r="I178" s="60">
        <v>0</v>
      </c>
      <c r="J178" s="60">
        <f>I178*(1+(K2))</f>
        <v>0</v>
      </c>
      <c r="K178" s="61">
        <f t="shared" si="14"/>
        <v>0</v>
      </c>
    </row>
    <row r="179" spans="1:11">
      <c r="A179" s="56" t="s">
        <v>880</v>
      </c>
      <c r="B179" s="57" t="s">
        <v>325</v>
      </c>
      <c r="C179" s="58" t="s">
        <v>41</v>
      </c>
      <c r="D179" s="59" t="s">
        <v>326</v>
      </c>
      <c r="E179" s="58">
        <v>100</v>
      </c>
      <c r="F179" s="60"/>
      <c r="G179" s="60">
        <f>F179*(1+(D2))</f>
        <v>0</v>
      </c>
      <c r="H179" s="61">
        <f t="shared" si="13"/>
        <v>0</v>
      </c>
      <c r="I179" s="60">
        <v>0</v>
      </c>
      <c r="J179" s="60">
        <f>I179*(1+(K2))</f>
        <v>0</v>
      </c>
      <c r="K179" s="61">
        <f t="shared" si="14"/>
        <v>0</v>
      </c>
    </row>
    <row r="180" spans="1:11">
      <c r="A180" s="56" t="s">
        <v>881</v>
      </c>
      <c r="B180" s="57" t="s">
        <v>327</v>
      </c>
      <c r="C180" s="58" t="s">
        <v>71</v>
      </c>
      <c r="D180" s="59" t="s">
        <v>328</v>
      </c>
      <c r="E180" s="58">
        <v>1</v>
      </c>
      <c r="F180" s="60"/>
      <c r="G180" s="60">
        <f>F180*(1+(D2))</f>
        <v>0</v>
      </c>
      <c r="H180" s="61">
        <f t="shared" si="13"/>
        <v>0</v>
      </c>
      <c r="I180" s="60">
        <v>0</v>
      </c>
      <c r="J180" s="60">
        <f>I180*(1+(K2))</f>
        <v>0</v>
      </c>
      <c r="K180" s="61">
        <f t="shared" si="14"/>
        <v>0</v>
      </c>
    </row>
    <row r="181" spans="1:11" ht="22.5">
      <c r="A181" s="56" t="s">
        <v>882</v>
      </c>
      <c r="B181" s="57" t="s">
        <v>329</v>
      </c>
      <c r="C181" s="58" t="s">
        <v>41</v>
      </c>
      <c r="D181" s="59" t="s">
        <v>330</v>
      </c>
      <c r="E181" s="58">
        <v>4</v>
      </c>
      <c r="F181" s="60"/>
      <c r="G181" s="60">
        <f>F181*(1+(D2))</f>
        <v>0</v>
      </c>
      <c r="H181" s="61">
        <f t="shared" si="13"/>
        <v>0</v>
      </c>
      <c r="I181" s="60">
        <v>0</v>
      </c>
      <c r="J181" s="60">
        <f>I181*(1+(K2))</f>
        <v>0</v>
      </c>
      <c r="K181" s="61">
        <f t="shared" si="14"/>
        <v>0</v>
      </c>
    </row>
    <row r="182" spans="1:11">
      <c r="A182" s="56" t="s">
        <v>883</v>
      </c>
      <c r="B182" s="57" t="s">
        <v>331</v>
      </c>
      <c r="C182" s="58" t="s">
        <v>74</v>
      </c>
      <c r="D182" s="58" t="s">
        <v>51</v>
      </c>
      <c r="E182" s="58">
        <v>50</v>
      </c>
      <c r="F182" s="60"/>
      <c r="G182" s="60">
        <f>F182*(1+(D2))</f>
        <v>0</v>
      </c>
      <c r="H182" s="61">
        <f t="shared" si="13"/>
        <v>0</v>
      </c>
      <c r="I182" s="60">
        <v>0</v>
      </c>
      <c r="J182" s="60">
        <f>I182*(1+(K2))</f>
        <v>0</v>
      </c>
      <c r="K182" s="61">
        <f t="shared" si="14"/>
        <v>0</v>
      </c>
    </row>
    <row r="183" spans="1:11">
      <c r="A183" s="11" t="s">
        <v>884</v>
      </c>
      <c r="B183" s="12" t="s">
        <v>332</v>
      </c>
      <c r="C183" s="13"/>
      <c r="D183" s="775"/>
      <c r="E183" s="775"/>
      <c r="F183" s="775" t="s">
        <v>1227</v>
      </c>
      <c r="G183" s="775"/>
      <c r="H183" s="14">
        <f>SUM(H184:H243)</f>
        <v>0</v>
      </c>
      <c r="I183" s="775" t="s">
        <v>1228</v>
      </c>
      <c r="J183" s="775"/>
      <c r="K183" s="14">
        <f>SUM(K184:K243)</f>
        <v>0</v>
      </c>
    </row>
    <row r="184" spans="1:11">
      <c r="A184" s="56" t="s">
        <v>885</v>
      </c>
      <c r="B184" s="57" t="s">
        <v>333</v>
      </c>
      <c r="C184" s="58" t="s">
        <v>41</v>
      </c>
      <c r="D184" s="58" t="s">
        <v>51</v>
      </c>
      <c r="E184" s="58">
        <v>15</v>
      </c>
      <c r="F184" s="60"/>
      <c r="G184" s="60">
        <f>F184*(1+(D2))</f>
        <v>0</v>
      </c>
      <c r="H184" s="61">
        <f t="shared" ref="H184:H215" si="15">G184*E184</f>
        <v>0</v>
      </c>
      <c r="I184" s="60">
        <v>0</v>
      </c>
      <c r="J184" s="60">
        <f>I184*(1+(K2))</f>
        <v>0</v>
      </c>
      <c r="K184" s="61">
        <f t="shared" ref="K184:K242" si="16">J184*E184</f>
        <v>0</v>
      </c>
    </row>
    <row r="185" spans="1:11">
      <c r="A185" s="56" t="s">
        <v>886</v>
      </c>
      <c r="B185" s="57" t="s">
        <v>334</v>
      </c>
      <c r="C185" s="58" t="s">
        <v>41</v>
      </c>
      <c r="D185" s="58" t="s">
        <v>51</v>
      </c>
      <c r="E185" s="58">
        <v>17</v>
      </c>
      <c r="F185" s="60"/>
      <c r="G185" s="60">
        <f>F185*(1+(D2))</f>
        <v>0</v>
      </c>
      <c r="H185" s="61">
        <f t="shared" si="15"/>
        <v>0</v>
      </c>
      <c r="I185" s="60">
        <v>0</v>
      </c>
      <c r="J185" s="60">
        <f>I185*(1+(K2))</f>
        <v>0</v>
      </c>
      <c r="K185" s="61">
        <f t="shared" si="16"/>
        <v>0</v>
      </c>
    </row>
    <row r="186" spans="1:11">
      <c r="A186" s="56" t="s">
        <v>887</v>
      </c>
      <c r="B186" s="57" t="s">
        <v>335</v>
      </c>
      <c r="C186" s="58" t="s">
        <v>41</v>
      </c>
      <c r="D186" s="58" t="s">
        <v>51</v>
      </c>
      <c r="E186" s="58">
        <v>10</v>
      </c>
      <c r="F186" s="60"/>
      <c r="G186" s="60">
        <f>F186*(1+(D2))</f>
        <v>0</v>
      </c>
      <c r="H186" s="61">
        <f t="shared" si="15"/>
        <v>0</v>
      </c>
      <c r="I186" s="60">
        <v>0</v>
      </c>
      <c r="J186" s="60">
        <f>I186*(1+(K2))</f>
        <v>0</v>
      </c>
      <c r="K186" s="61">
        <f t="shared" si="16"/>
        <v>0</v>
      </c>
    </row>
    <row r="187" spans="1:11">
      <c r="A187" s="56" t="s">
        <v>888</v>
      </c>
      <c r="B187" s="57" t="s">
        <v>336</v>
      </c>
      <c r="C187" s="58" t="s">
        <v>41</v>
      </c>
      <c r="D187" s="58" t="s">
        <v>51</v>
      </c>
      <c r="E187" s="58">
        <v>10</v>
      </c>
      <c r="F187" s="60"/>
      <c r="G187" s="60">
        <f>F187*(1+(D2))</f>
        <v>0</v>
      </c>
      <c r="H187" s="61">
        <f t="shared" si="15"/>
        <v>0</v>
      </c>
      <c r="I187" s="60">
        <v>0</v>
      </c>
      <c r="J187" s="60">
        <f>I187*(1+(K2))</f>
        <v>0</v>
      </c>
      <c r="K187" s="61">
        <f t="shared" si="16"/>
        <v>0</v>
      </c>
    </row>
    <row r="188" spans="1:11">
      <c r="A188" s="56" t="s">
        <v>889</v>
      </c>
      <c r="B188" s="57" t="s">
        <v>337</v>
      </c>
      <c r="C188" s="58" t="s">
        <v>41</v>
      </c>
      <c r="D188" s="58" t="s">
        <v>51</v>
      </c>
      <c r="E188" s="58">
        <v>20</v>
      </c>
      <c r="F188" s="60"/>
      <c r="G188" s="60">
        <f>F188*(1+(D2))</f>
        <v>0</v>
      </c>
      <c r="H188" s="61">
        <f t="shared" si="15"/>
        <v>0</v>
      </c>
      <c r="I188" s="60">
        <v>0</v>
      </c>
      <c r="J188" s="60">
        <f>I188*(1+(K2))</f>
        <v>0</v>
      </c>
      <c r="K188" s="61">
        <f t="shared" si="16"/>
        <v>0</v>
      </c>
    </row>
    <row r="189" spans="1:11">
      <c r="A189" s="56" t="s">
        <v>890</v>
      </c>
      <c r="B189" s="57" t="s">
        <v>338</v>
      </c>
      <c r="C189" s="58" t="s">
        <v>41</v>
      </c>
      <c r="D189" s="59" t="s">
        <v>339</v>
      </c>
      <c r="E189" s="58">
        <v>4</v>
      </c>
      <c r="F189" s="60"/>
      <c r="G189" s="60">
        <f>F189*(1+(D2))</f>
        <v>0</v>
      </c>
      <c r="H189" s="61">
        <f t="shared" si="15"/>
        <v>0</v>
      </c>
      <c r="I189" s="60">
        <v>0</v>
      </c>
      <c r="J189" s="60">
        <f>I189*(1+(K2))</f>
        <v>0</v>
      </c>
      <c r="K189" s="61">
        <f t="shared" si="16"/>
        <v>0</v>
      </c>
    </row>
    <row r="190" spans="1:11" ht="22.5">
      <c r="A190" s="56" t="s">
        <v>891</v>
      </c>
      <c r="B190" s="57" t="s">
        <v>340</v>
      </c>
      <c r="C190" s="58" t="s">
        <v>320</v>
      </c>
      <c r="D190" s="58" t="s">
        <v>51</v>
      </c>
      <c r="E190" s="58">
        <v>10</v>
      </c>
      <c r="F190" s="60"/>
      <c r="G190" s="60">
        <f>F190*(1+(D2))</f>
        <v>0</v>
      </c>
      <c r="H190" s="61">
        <f t="shared" si="15"/>
        <v>0</v>
      </c>
      <c r="I190" s="60">
        <v>0</v>
      </c>
      <c r="J190" s="60">
        <f>I190*(1+(K2))</f>
        <v>0</v>
      </c>
      <c r="K190" s="61">
        <f t="shared" si="16"/>
        <v>0</v>
      </c>
    </row>
    <row r="191" spans="1:11">
      <c r="A191" s="56" t="s">
        <v>892</v>
      </c>
      <c r="B191" s="57" t="s">
        <v>341</v>
      </c>
      <c r="C191" s="58" t="s">
        <v>41</v>
      </c>
      <c r="D191" s="58" t="s">
        <v>51</v>
      </c>
      <c r="E191" s="58">
        <v>60</v>
      </c>
      <c r="F191" s="60"/>
      <c r="G191" s="60">
        <f>F191*(1+(D2))</f>
        <v>0</v>
      </c>
      <c r="H191" s="61">
        <f t="shared" si="15"/>
        <v>0</v>
      </c>
      <c r="I191" s="60">
        <v>0</v>
      </c>
      <c r="J191" s="60">
        <f>I191*(1+(K2))</f>
        <v>0</v>
      </c>
      <c r="K191" s="61">
        <f t="shared" si="16"/>
        <v>0</v>
      </c>
    </row>
    <row r="192" spans="1:11">
      <c r="A192" s="56" t="s">
        <v>893</v>
      </c>
      <c r="B192" s="57" t="s">
        <v>342</v>
      </c>
      <c r="C192" s="58" t="s">
        <v>41</v>
      </c>
      <c r="D192" s="58" t="s">
        <v>51</v>
      </c>
      <c r="E192" s="58">
        <v>2</v>
      </c>
      <c r="F192" s="60"/>
      <c r="G192" s="60">
        <f>F192*(1+(D2))</f>
        <v>0</v>
      </c>
      <c r="H192" s="61">
        <f t="shared" si="15"/>
        <v>0</v>
      </c>
      <c r="I192" s="60">
        <v>0</v>
      </c>
      <c r="J192" s="60">
        <f>I192*(1+(K2))</f>
        <v>0</v>
      </c>
      <c r="K192" s="61">
        <f t="shared" si="16"/>
        <v>0</v>
      </c>
    </row>
    <row r="193" spans="1:11">
      <c r="A193" s="56" t="s">
        <v>894</v>
      </c>
      <c r="B193" s="57" t="s">
        <v>343</v>
      </c>
      <c r="C193" s="58" t="s">
        <v>344</v>
      </c>
      <c r="D193" s="58" t="s">
        <v>51</v>
      </c>
      <c r="E193" s="58">
        <v>2</v>
      </c>
      <c r="F193" s="60"/>
      <c r="G193" s="60">
        <f>F193*(1+(D2))</f>
        <v>0</v>
      </c>
      <c r="H193" s="61">
        <f t="shared" si="15"/>
        <v>0</v>
      </c>
      <c r="I193" s="60">
        <v>0</v>
      </c>
      <c r="J193" s="60">
        <f>I193*(1+(K2))</f>
        <v>0</v>
      </c>
      <c r="K193" s="61">
        <f t="shared" si="16"/>
        <v>0</v>
      </c>
    </row>
    <row r="194" spans="1:11">
      <c r="A194" s="56" t="s">
        <v>895</v>
      </c>
      <c r="B194" s="57" t="s">
        <v>345</v>
      </c>
      <c r="C194" s="58" t="s">
        <v>41</v>
      </c>
      <c r="D194" s="58" t="s">
        <v>51</v>
      </c>
      <c r="E194" s="58">
        <v>4</v>
      </c>
      <c r="F194" s="60"/>
      <c r="G194" s="60">
        <f>F194*(1+(D2))</f>
        <v>0</v>
      </c>
      <c r="H194" s="61">
        <f t="shared" si="15"/>
        <v>0</v>
      </c>
      <c r="I194" s="60">
        <v>0</v>
      </c>
      <c r="J194" s="60">
        <f>I194*(1+(K2))</f>
        <v>0</v>
      </c>
      <c r="K194" s="61">
        <f t="shared" si="16"/>
        <v>0</v>
      </c>
    </row>
    <row r="195" spans="1:11">
      <c r="A195" s="56" t="s">
        <v>896</v>
      </c>
      <c r="B195" s="57" t="s">
        <v>346</v>
      </c>
      <c r="C195" s="58" t="s">
        <v>41</v>
      </c>
      <c r="D195" s="58" t="s">
        <v>51</v>
      </c>
      <c r="E195" s="58">
        <v>60</v>
      </c>
      <c r="F195" s="60"/>
      <c r="G195" s="60">
        <f>F195*(1+(D2))</f>
        <v>0</v>
      </c>
      <c r="H195" s="61">
        <f t="shared" si="15"/>
        <v>0</v>
      </c>
      <c r="I195" s="60">
        <v>0</v>
      </c>
      <c r="J195" s="60">
        <f>I195*(1+(K2))</f>
        <v>0</v>
      </c>
      <c r="K195" s="61">
        <f t="shared" si="16"/>
        <v>0</v>
      </c>
    </row>
    <row r="196" spans="1:11">
      <c r="A196" s="56" t="s">
        <v>897</v>
      </c>
      <c r="B196" s="57" t="s">
        <v>347</v>
      </c>
      <c r="C196" s="58" t="s">
        <v>50</v>
      </c>
      <c r="D196" s="58" t="s">
        <v>51</v>
      </c>
      <c r="E196" s="58">
        <v>1</v>
      </c>
      <c r="F196" s="60"/>
      <c r="G196" s="60">
        <f>F196*(1+(D2))</f>
        <v>0</v>
      </c>
      <c r="H196" s="61">
        <f t="shared" si="15"/>
        <v>0</v>
      </c>
      <c r="I196" s="60">
        <v>0</v>
      </c>
      <c r="J196" s="60">
        <f>I196*(1+(K2))</f>
        <v>0</v>
      </c>
      <c r="K196" s="61">
        <f t="shared" si="16"/>
        <v>0</v>
      </c>
    </row>
    <row r="197" spans="1:11" ht="33.75">
      <c r="A197" s="56" t="s">
        <v>898</v>
      </c>
      <c r="B197" s="57" t="s">
        <v>348</v>
      </c>
      <c r="C197" s="58" t="s">
        <v>47</v>
      </c>
      <c r="D197" s="59" t="s">
        <v>349</v>
      </c>
      <c r="E197" s="58">
        <v>30</v>
      </c>
      <c r="F197" s="60"/>
      <c r="G197" s="60">
        <f>F197*(1+(D2))</f>
        <v>0</v>
      </c>
      <c r="H197" s="61">
        <f t="shared" si="15"/>
        <v>0</v>
      </c>
      <c r="I197" s="60">
        <v>0</v>
      </c>
      <c r="J197" s="60">
        <f>I197*(1+(K2))</f>
        <v>0</v>
      </c>
      <c r="K197" s="61">
        <f t="shared" si="16"/>
        <v>0</v>
      </c>
    </row>
    <row r="198" spans="1:11">
      <c r="A198" s="56" t="s">
        <v>899</v>
      </c>
      <c r="B198" s="57" t="s">
        <v>350</v>
      </c>
      <c r="C198" s="58" t="s">
        <v>41</v>
      </c>
      <c r="D198" s="58" t="s">
        <v>51</v>
      </c>
      <c r="E198" s="58">
        <v>16</v>
      </c>
      <c r="F198" s="60"/>
      <c r="G198" s="60">
        <f>F198*(1+(D2))</f>
        <v>0</v>
      </c>
      <c r="H198" s="61">
        <f t="shared" si="15"/>
        <v>0</v>
      </c>
      <c r="I198" s="60">
        <v>0</v>
      </c>
      <c r="J198" s="60">
        <f>I198*(1+(K2))</f>
        <v>0</v>
      </c>
      <c r="K198" s="61">
        <f t="shared" si="16"/>
        <v>0</v>
      </c>
    </row>
    <row r="199" spans="1:11" ht="22.5">
      <c r="A199" s="56" t="s">
        <v>900</v>
      </c>
      <c r="B199" s="57" t="s">
        <v>351</v>
      </c>
      <c r="C199" s="58" t="s">
        <v>352</v>
      </c>
      <c r="D199" s="58" t="s">
        <v>51</v>
      </c>
      <c r="E199" s="58">
        <v>5</v>
      </c>
      <c r="F199" s="60"/>
      <c r="G199" s="60">
        <f>F199*(1+(D2))</f>
        <v>0</v>
      </c>
      <c r="H199" s="61">
        <f t="shared" si="15"/>
        <v>0</v>
      </c>
      <c r="I199" s="60">
        <v>0</v>
      </c>
      <c r="J199" s="60">
        <f>I199*(1+(K2))</f>
        <v>0</v>
      </c>
      <c r="K199" s="61">
        <f t="shared" si="16"/>
        <v>0</v>
      </c>
    </row>
    <row r="200" spans="1:11" ht="22.5">
      <c r="A200" s="56" t="s">
        <v>901</v>
      </c>
      <c r="B200" s="57" t="s">
        <v>1180</v>
      </c>
      <c r="C200" s="58" t="s">
        <v>41</v>
      </c>
      <c r="D200" s="58" t="s">
        <v>51</v>
      </c>
      <c r="E200" s="58">
        <v>10</v>
      </c>
      <c r="F200" s="60"/>
      <c r="G200" s="60">
        <f>F200*(1+(D2))</f>
        <v>0</v>
      </c>
      <c r="H200" s="61">
        <f t="shared" si="15"/>
        <v>0</v>
      </c>
      <c r="I200" s="60">
        <v>0</v>
      </c>
      <c r="J200" s="60">
        <f>I200*(1+(K2))</f>
        <v>0</v>
      </c>
      <c r="K200" s="61">
        <f t="shared" si="16"/>
        <v>0</v>
      </c>
    </row>
    <row r="201" spans="1:11">
      <c r="A201" s="56" t="s">
        <v>902</v>
      </c>
      <c r="B201" s="57" t="s">
        <v>353</v>
      </c>
      <c r="C201" s="58" t="s">
        <v>41</v>
      </c>
      <c r="D201" s="58" t="s">
        <v>51</v>
      </c>
      <c r="E201" s="58">
        <v>1</v>
      </c>
      <c r="F201" s="60"/>
      <c r="G201" s="60">
        <f>F201*(1+(D2))</f>
        <v>0</v>
      </c>
      <c r="H201" s="61">
        <f t="shared" si="15"/>
        <v>0</v>
      </c>
      <c r="I201" s="60">
        <v>0</v>
      </c>
      <c r="J201" s="60">
        <f>I201*(1+(K2))</f>
        <v>0</v>
      </c>
      <c r="K201" s="61">
        <f t="shared" si="16"/>
        <v>0</v>
      </c>
    </row>
    <row r="202" spans="1:11" ht="56.25">
      <c r="A202" s="56" t="s">
        <v>903</v>
      </c>
      <c r="B202" s="64" t="s">
        <v>354</v>
      </c>
      <c r="C202" s="58" t="s">
        <v>74</v>
      </c>
      <c r="D202" s="59" t="s">
        <v>355</v>
      </c>
      <c r="E202" s="58">
        <v>2</v>
      </c>
      <c r="F202" s="60"/>
      <c r="G202" s="60">
        <f>F202*(1+(D2))</f>
        <v>0</v>
      </c>
      <c r="H202" s="61">
        <f t="shared" si="15"/>
        <v>0</v>
      </c>
      <c r="I202" s="60">
        <v>0</v>
      </c>
      <c r="J202" s="60">
        <f>I202*(1+(K2))</f>
        <v>0</v>
      </c>
      <c r="K202" s="61">
        <f t="shared" si="16"/>
        <v>0</v>
      </c>
    </row>
    <row r="203" spans="1:11">
      <c r="A203" s="56" t="s">
        <v>904</v>
      </c>
      <c r="B203" s="57" t="s">
        <v>356</v>
      </c>
      <c r="C203" s="58" t="s">
        <v>41</v>
      </c>
      <c r="D203" s="58" t="s">
        <v>51</v>
      </c>
      <c r="E203" s="58">
        <v>4</v>
      </c>
      <c r="F203" s="60"/>
      <c r="G203" s="60">
        <f>F203*(1+(D2))</f>
        <v>0</v>
      </c>
      <c r="H203" s="61">
        <f t="shared" si="15"/>
        <v>0</v>
      </c>
      <c r="I203" s="60">
        <v>0</v>
      </c>
      <c r="J203" s="60">
        <f>I203*(1+(K2))</f>
        <v>0</v>
      </c>
      <c r="K203" s="61">
        <f t="shared" si="16"/>
        <v>0</v>
      </c>
    </row>
    <row r="204" spans="1:11">
      <c r="A204" s="56" t="s">
        <v>905</v>
      </c>
      <c r="B204" s="57" t="s">
        <v>357</v>
      </c>
      <c r="C204" s="58" t="s">
        <v>41</v>
      </c>
      <c r="D204" s="58" t="s">
        <v>51</v>
      </c>
      <c r="E204" s="58">
        <v>10</v>
      </c>
      <c r="F204" s="60"/>
      <c r="G204" s="60">
        <f>F204*(1+(D2))</f>
        <v>0</v>
      </c>
      <c r="H204" s="61">
        <f t="shared" si="15"/>
        <v>0</v>
      </c>
      <c r="I204" s="60">
        <v>0</v>
      </c>
      <c r="J204" s="60">
        <f>I204*(1+(K2))</f>
        <v>0</v>
      </c>
      <c r="K204" s="61">
        <f t="shared" si="16"/>
        <v>0</v>
      </c>
    </row>
    <row r="205" spans="1:11" ht="22.5">
      <c r="A205" s="56" t="s">
        <v>906</v>
      </c>
      <c r="B205" s="57" t="s">
        <v>358</v>
      </c>
      <c r="C205" s="58" t="s">
        <v>41</v>
      </c>
      <c r="D205" s="58" t="s">
        <v>51</v>
      </c>
      <c r="E205" s="58">
        <v>10</v>
      </c>
      <c r="F205" s="60"/>
      <c r="G205" s="60">
        <f>F205*(1+(D2))</f>
        <v>0</v>
      </c>
      <c r="H205" s="61">
        <f t="shared" si="15"/>
        <v>0</v>
      </c>
      <c r="I205" s="60">
        <v>0</v>
      </c>
      <c r="J205" s="60">
        <f>I205*(1+(K2))</f>
        <v>0</v>
      </c>
      <c r="K205" s="61">
        <f t="shared" si="16"/>
        <v>0</v>
      </c>
    </row>
    <row r="206" spans="1:11" ht="22.5">
      <c r="A206" s="56" t="s">
        <v>907</v>
      </c>
      <c r="B206" s="57" t="s">
        <v>359</v>
      </c>
      <c r="C206" s="58" t="s">
        <v>41</v>
      </c>
      <c r="D206" s="58" t="s">
        <v>51</v>
      </c>
      <c r="E206" s="58">
        <v>10</v>
      </c>
      <c r="F206" s="60"/>
      <c r="G206" s="60">
        <f>F206*(1+(D2))</f>
        <v>0</v>
      </c>
      <c r="H206" s="61">
        <f t="shared" si="15"/>
        <v>0</v>
      </c>
      <c r="I206" s="60">
        <v>0</v>
      </c>
      <c r="J206" s="60">
        <f>I206*(1+(K2))</f>
        <v>0</v>
      </c>
      <c r="K206" s="61">
        <f t="shared" si="16"/>
        <v>0</v>
      </c>
    </row>
    <row r="207" spans="1:11" ht="33.75">
      <c r="A207" s="56" t="s">
        <v>908</v>
      </c>
      <c r="B207" s="57" t="s">
        <v>360</v>
      </c>
      <c r="C207" s="58" t="s">
        <v>41</v>
      </c>
      <c r="D207" s="59" t="s">
        <v>361</v>
      </c>
      <c r="E207" s="58">
        <v>8</v>
      </c>
      <c r="F207" s="60"/>
      <c r="G207" s="60">
        <f>F207*(1+(D2))</f>
        <v>0</v>
      </c>
      <c r="H207" s="61">
        <f t="shared" si="15"/>
        <v>0</v>
      </c>
      <c r="I207" s="60">
        <v>0</v>
      </c>
      <c r="J207" s="60">
        <f>I207*(1+(K2))</f>
        <v>0</v>
      </c>
      <c r="K207" s="61">
        <f t="shared" si="16"/>
        <v>0</v>
      </c>
    </row>
    <row r="208" spans="1:11">
      <c r="A208" s="56" t="s">
        <v>909</v>
      </c>
      <c r="B208" s="57" t="s">
        <v>362</v>
      </c>
      <c r="C208" s="58" t="s">
        <v>74</v>
      </c>
      <c r="D208" s="58" t="s">
        <v>51</v>
      </c>
      <c r="E208" s="58">
        <v>15</v>
      </c>
      <c r="F208" s="60"/>
      <c r="G208" s="60">
        <f>F208*(1+(D2))</f>
        <v>0</v>
      </c>
      <c r="H208" s="61">
        <f t="shared" si="15"/>
        <v>0</v>
      </c>
      <c r="I208" s="60">
        <v>0</v>
      </c>
      <c r="J208" s="60">
        <f>I208*(1+(K2))</f>
        <v>0</v>
      </c>
      <c r="K208" s="61">
        <f t="shared" si="16"/>
        <v>0</v>
      </c>
    </row>
    <row r="209" spans="1:11" ht="33.75">
      <c r="A209" s="56" t="s">
        <v>910</v>
      </c>
      <c r="B209" s="57" t="s">
        <v>363</v>
      </c>
      <c r="C209" s="58" t="s">
        <v>41</v>
      </c>
      <c r="D209" s="59" t="s">
        <v>364</v>
      </c>
      <c r="E209" s="58">
        <v>7</v>
      </c>
      <c r="F209" s="60"/>
      <c r="G209" s="60">
        <f>F209*(1+(D2))</f>
        <v>0</v>
      </c>
      <c r="H209" s="61">
        <f t="shared" si="15"/>
        <v>0</v>
      </c>
      <c r="I209" s="60">
        <v>0</v>
      </c>
      <c r="J209" s="60">
        <f>I209*(1+(K2))</f>
        <v>0</v>
      </c>
      <c r="K209" s="61">
        <f t="shared" si="16"/>
        <v>0</v>
      </c>
    </row>
    <row r="210" spans="1:11">
      <c r="A210" s="56" t="s">
        <v>911</v>
      </c>
      <c r="B210" s="57" t="s">
        <v>365</v>
      </c>
      <c r="C210" s="58" t="s">
        <v>41</v>
      </c>
      <c r="D210" s="58" t="s">
        <v>51</v>
      </c>
      <c r="E210" s="58">
        <v>5</v>
      </c>
      <c r="F210" s="60"/>
      <c r="G210" s="60">
        <f>F210*(1+(D2))</f>
        <v>0</v>
      </c>
      <c r="H210" s="61">
        <f t="shared" si="15"/>
        <v>0</v>
      </c>
      <c r="I210" s="60">
        <v>0</v>
      </c>
      <c r="J210" s="60">
        <f>I210*(1+(K2))</f>
        <v>0</v>
      </c>
      <c r="K210" s="61">
        <f t="shared" si="16"/>
        <v>0</v>
      </c>
    </row>
    <row r="211" spans="1:11" ht="22.5">
      <c r="A211" s="56" t="s">
        <v>912</v>
      </c>
      <c r="B211" s="57" t="s">
        <v>366</v>
      </c>
      <c r="C211" s="58" t="s">
        <v>47</v>
      </c>
      <c r="D211" s="59" t="s">
        <v>367</v>
      </c>
      <c r="E211" s="58">
        <v>12</v>
      </c>
      <c r="F211" s="60"/>
      <c r="G211" s="60">
        <f>F211*(1+(D2))</f>
        <v>0</v>
      </c>
      <c r="H211" s="61">
        <f t="shared" si="15"/>
        <v>0</v>
      </c>
      <c r="I211" s="60">
        <v>0</v>
      </c>
      <c r="J211" s="60">
        <f>I211*(1+(K2))</f>
        <v>0</v>
      </c>
      <c r="K211" s="61">
        <f t="shared" si="16"/>
        <v>0</v>
      </c>
    </row>
    <row r="212" spans="1:11">
      <c r="A212" s="56" t="s">
        <v>913</v>
      </c>
      <c r="B212" s="57" t="s">
        <v>368</v>
      </c>
      <c r="C212" s="58" t="s">
        <v>41</v>
      </c>
      <c r="D212" s="58" t="s">
        <v>51</v>
      </c>
      <c r="E212" s="58">
        <v>10</v>
      </c>
      <c r="F212" s="60"/>
      <c r="G212" s="60">
        <f>F212*(1+(D2))</f>
        <v>0</v>
      </c>
      <c r="H212" s="61">
        <f t="shared" si="15"/>
        <v>0</v>
      </c>
      <c r="I212" s="60">
        <v>0</v>
      </c>
      <c r="J212" s="60">
        <f>I212*(1+(K2))</f>
        <v>0</v>
      </c>
      <c r="K212" s="61">
        <f t="shared" si="16"/>
        <v>0</v>
      </c>
    </row>
    <row r="213" spans="1:11" ht="22.5">
      <c r="A213" s="56" t="s">
        <v>914</v>
      </c>
      <c r="B213" s="57" t="s">
        <v>369</v>
      </c>
      <c r="C213" s="58" t="s">
        <v>41</v>
      </c>
      <c r="D213" s="59" t="s">
        <v>370</v>
      </c>
      <c r="E213" s="58">
        <v>4</v>
      </c>
      <c r="F213" s="60"/>
      <c r="G213" s="60">
        <f>F213*(1+(D2))</f>
        <v>0</v>
      </c>
      <c r="H213" s="61">
        <f t="shared" si="15"/>
        <v>0</v>
      </c>
      <c r="I213" s="60">
        <v>0</v>
      </c>
      <c r="J213" s="60">
        <f>I213*(1+(K2))</f>
        <v>0</v>
      </c>
      <c r="K213" s="61">
        <f t="shared" si="16"/>
        <v>0</v>
      </c>
    </row>
    <row r="214" spans="1:11">
      <c r="A214" s="56" t="s">
        <v>915</v>
      </c>
      <c r="B214" s="57" t="s">
        <v>371</v>
      </c>
      <c r="C214" s="58" t="s">
        <v>372</v>
      </c>
      <c r="D214" s="59" t="s">
        <v>373</v>
      </c>
      <c r="E214" s="58">
        <v>12</v>
      </c>
      <c r="F214" s="60"/>
      <c r="G214" s="60">
        <f>F214*(1+(D2))</f>
        <v>0</v>
      </c>
      <c r="H214" s="61">
        <f t="shared" si="15"/>
        <v>0</v>
      </c>
      <c r="I214" s="60">
        <v>0</v>
      </c>
      <c r="J214" s="60">
        <f>I214*(1+(K2))</f>
        <v>0</v>
      </c>
      <c r="K214" s="61">
        <f t="shared" si="16"/>
        <v>0</v>
      </c>
    </row>
    <row r="215" spans="1:11">
      <c r="A215" s="56" t="s">
        <v>916</v>
      </c>
      <c r="B215" s="57" t="s">
        <v>374</v>
      </c>
      <c r="C215" s="58" t="s">
        <v>41</v>
      </c>
      <c r="D215" s="58" t="s">
        <v>51</v>
      </c>
      <c r="E215" s="58">
        <v>1</v>
      </c>
      <c r="F215" s="60"/>
      <c r="G215" s="60">
        <f>F215*(1+(D2))</f>
        <v>0</v>
      </c>
      <c r="H215" s="61">
        <f t="shared" si="15"/>
        <v>0</v>
      </c>
      <c r="I215" s="60">
        <v>0</v>
      </c>
      <c r="J215" s="60">
        <f>I215*(1+(K2))</f>
        <v>0</v>
      </c>
      <c r="K215" s="61">
        <f t="shared" si="16"/>
        <v>0</v>
      </c>
    </row>
    <row r="216" spans="1:11">
      <c r="A216" s="56" t="s">
        <v>917</v>
      </c>
      <c r="B216" s="57" t="s">
        <v>375</v>
      </c>
      <c r="C216" s="58" t="s">
        <v>41</v>
      </c>
      <c r="D216" s="58" t="s">
        <v>51</v>
      </c>
      <c r="E216" s="58">
        <v>2</v>
      </c>
      <c r="F216" s="60"/>
      <c r="G216" s="60">
        <f>F216*(1+(D2))</f>
        <v>0</v>
      </c>
      <c r="H216" s="61">
        <f t="shared" ref="H216:H242" si="17">G216*E216</f>
        <v>0</v>
      </c>
      <c r="I216" s="60">
        <v>0</v>
      </c>
      <c r="J216" s="60">
        <f>I216*(1+(K2))</f>
        <v>0</v>
      </c>
      <c r="K216" s="61">
        <f t="shared" si="16"/>
        <v>0</v>
      </c>
    </row>
    <row r="217" spans="1:11" ht="45">
      <c r="A217" s="56" t="s">
        <v>918</v>
      </c>
      <c r="B217" s="64" t="s">
        <v>376</v>
      </c>
      <c r="C217" s="58" t="s">
        <v>41</v>
      </c>
      <c r="D217" s="59" t="s">
        <v>377</v>
      </c>
      <c r="E217" s="58">
        <v>2</v>
      </c>
      <c r="F217" s="60"/>
      <c r="G217" s="60">
        <f>F217*(1+(D2))</f>
        <v>0</v>
      </c>
      <c r="H217" s="61">
        <f t="shared" si="17"/>
        <v>0</v>
      </c>
      <c r="I217" s="60">
        <v>0</v>
      </c>
      <c r="J217" s="60">
        <f>I217*(1+(K2))</f>
        <v>0</v>
      </c>
      <c r="K217" s="61">
        <f t="shared" si="16"/>
        <v>0</v>
      </c>
    </row>
    <row r="218" spans="1:11" ht="22.5">
      <c r="A218" s="56" t="s">
        <v>919</v>
      </c>
      <c r="B218" s="57" t="s">
        <v>378</v>
      </c>
      <c r="C218" s="58" t="s">
        <v>41</v>
      </c>
      <c r="D218" s="58" t="s">
        <v>51</v>
      </c>
      <c r="E218" s="58">
        <v>4</v>
      </c>
      <c r="F218" s="60"/>
      <c r="G218" s="60">
        <f>F218*(1+(D2))</f>
        <v>0</v>
      </c>
      <c r="H218" s="61">
        <f t="shared" si="17"/>
        <v>0</v>
      </c>
      <c r="I218" s="60">
        <v>0</v>
      </c>
      <c r="J218" s="60">
        <f>I218*(1+(K2))</f>
        <v>0</v>
      </c>
      <c r="K218" s="61">
        <f t="shared" si="16"/>
        <v>0</v>
      </c>
    </row>
    <row r="219" spans="1:11">
      <c r="A219" s="56" t="s">
        <v>920</v>
      </c>
      <c r="B219" s="57" t="s">
        <v>379</v>
      </c>
      <c r="C219" s="58" t="s">
        <v>41</v>
      </c>
      <c r="D219" s="59" t="s">
        <v>380</v>
      </c>
      <c r="E219" s="58">
        <v>10</v>
      </c>
      <c r="F219" s="60"/>
      <c r="G219" s="60">
        <f>F219*(1+(D2))</f>
        <v>0</v>
      </c>
      <c r="H219" s="61">
        <f t="shared" si="17"/>
        <v>0</v>
      </c>
      <c r="I219" s="60">
        <v>0</v>
      </c>
      <c r="J219" s="60">
        <f>I219*(1+(K2))</f>
        <v>0</v>
      </c>
      <c r="K219" s="61">
        <f t="shared" si="16"/>
        <v>0</v>
      </c>
    </row>
    <row r="220" spans="1:11" ht="33.75">
      <c r="A220" s="56" t="s">
        <v>921</v>
      </c>
      <c r="B220" s="57" t="s">
        <v>381</v>
      </c>
      <c r="C220" s="58" t="s">
        <v>41</v>
      </c>
      <c r="D220" s="59" t="s">
        <v>382</v>
      </c>
      <c r="E220" s="58">
        <v>2</v>
      </c>
      <c r="F220" s="60"/>
      <c r="G220" s="60">
        <f>F220*(1+(D2))</f>
        <v>0</v>
      </c>
      <c r="H220" s="61">
        <f t="shared" si="17"/>
        <v>0</v>
      </c>
      <c r="I220" s="60">
        <v>0</v>
      </c>
      <c r="J220" s="60">
        <f>I220*(1+(K2))</f>
        <v>0</v>
      </c>
      <c r="K220" s="61">
        <f t="shared" si="16"/>
        <v>0</v>
      </c>
    </row>
    <row r="221" spans="1:11" ht="45">
      <c r="A221" s="56" t="s">
        <v>922</v>
      </c>
      <c r="B221" s="57" t="s">
        <v>1179</v>
      </c>
      <c r="C221" s="58" t="s">
        <v>41</v>
      </c>
      <c r="D221" s="59" t="s">
        <v>383</v>
      </c>
      <c r="E221" s="58">
        <v>3</v>
      </c>
      <c r="F221" s="60"/>
      <c r="G221" s="60">
        <f>F221*(1+(D2))</f>
        <v>0</v>
      </c>
      <c r="H221" s="61">
        <f t="shared" si="17"/>
        <v>0</v>
      </c>
      <c r="I221" s="60">
        <v>0</v>
      </c>
      <c r="J221" s="60">
        <f>I221*(1+(K2))</f>
        <v>0</v>
      </c>
      <c r="K221" s="61">
        <f t="shared" si="16"/>
        <v>0</v>
      </c>
    </row>
    <row r="222" spans="1:11">
      <c r="A222" s="56" t="s">
        <v>923</v>
      </c>
      <c r="B222" s="57" t="s">
        <v>384</v>
      </c>
      <c r="C222" s="58" t="s">
        <v>41</v>
      </c>
      <c r="D222" s="58" t="s">
        <v>51</v>
      </c>
      <c r="E222" s="58">
        <v>3</v>
      </c>
      <c r="F222" s="60"/>
      <c r="G222" s="60">
        <f>F222*(1+(D2))</f>
        <v>0</v>
      </c>
      <c r="H222" s="61">
        <f t="shared" si="17"/>
        <v>0</v>
      </c>
      <c r="I222" s="60">
        <v>0</v>
      </c>
      <c r="J222" s="60">
        <f>I222*(1+(K2))</f>
        <v>0</v>
      </c>
      <c r="K222" s="61">
        <f t="shared" si="16"/>
        <v>0</v>
      </c>
    </row>
    <row r="223" spans="1:11">
      <c r="A223" s="56" t="s">
        <v>924</v>
      </c>
      <c r="B223" s="57" t="s">
        <v>385</v>
      </c>
      <c r="C223" s="58" t="s">
        <v>41</v>
      </c>
      <c r="D223" s="59" t="s">
        <v>386</v>
      </c>
      <c r="E223" s="58">
        <v>11</v>
      </c>
      <c r="F223" s="60"/>
      <c r="G223" s="60">
        <f>F223*(1+(D2))</f>
        <v>0</v>
      </c>
      <c r="H223" s="61">
        <f t="shared" si="17"/>
        <v>0</v>
      </c>
      <c r="I223" s="60">
        <v>0</v>
      </c>
      <c r="J223" s="60">
        <f>I223*(1+(K2))</f>
        <v>0</v>
      </c>
      <c r="K223" s="61">
        <f t="shared" si="16"/>
        <v>0</v>
      </c>
    </row>
    <row r="224" spans="1:11">
      <c r="A224" s="56" t="s">
        <v>925</v>
      </c>
      <c r="B224" s="57" t="s">
        <v>387</v>
      </c>
      <c r="C224" s="58" t="s">
        <v>47</v>
      </c>
      <c r="D224" s="59" t="s">
        <v>388</v>
      </c>
      <c r="E224" s="58">
        <v>12</v>
      </c>
      <c r="F224" s="60"/>
      <c r="G224" s="60">
        <f>F224*(1+(D2))</f>
        <v>0</v>
      </c>
      <c r="H224" s="61">
        <f t="shared" si="17"/>
        <v>0</v>
      </c>
      <c r="I224" s="60">
        <v>0</v>
      </c>
      <c r="J224" s="60">
        <f>I224*(1+(K2))</f>
        <v>0</v>
      </c>
      <c r="K224" s="61">
        <f t="shared" si="16"/>
        <v>0</v>
      </c>
    </row>
    <row r="225" spans="1:11">
      <c r="A225" s="56" t="s">
        <v>926</v>
      </c>
      <c r="B225" s="57" t="s">
        <v>389</v>
      </c>
      <c r="C225" s="58" t="s">
        <v>41</v>
      </c>
      <c r="D225" s="58" t="s">
        <v>51</v>
      </c>
      <c r="E225" s="58">
        <v>10</v>
      </c>
      <c r="F225" s="60"/>
      <c r="G225" s="60">
        <f>F225*(1+(D2))</f>
        <v>0</v>
      </c>
      <c r="H225" s="61">
        <f t="shared" si="17"/>
        <v>0</v>
      </c>
      <c r="I225" s="60">
        <v>0</v>
      </c>
      <c r="J225" s="60">
        <f>I225*(1+(K2))</f>
        <v>0</v>
      </c>
      <c r="K225" s="61">
        <f t="shared" si="16"/>
        <v>0</v>
      </c>
    </row>
    <row r="226" spans="1:11">
      <c r="A226" s="56" t="s">
        <v>927</v>
      </c>
      <c r="B226" s="57" t="s">
        <v>390</v>
      </c>
      <c r="C226" s="58" t="s">
        <v>41</v>
      </c>
      <c r="D226" s="59" t="s">
        <v>391</v>
      </c>
      <c r="E226" s="58">
        <v>19</v>
      </c>
      <c r="F226" s="60"/>
      <c r="G226" s="60">
        <f>F226*(1+(D2))</f>
        <v>0</v>
      </c>
      <c r="H226" s="61">
        <f t="shared" si="17"/>
        <v>0</v>
      </c>
      <c r="I226" s="60">
        <v>0</v>
      </c>
      <c r="J226" s="60">
        <f>I226*(1+(K2))</f>
        <v>0</v>
      </c>
      <c r="K226" s="61">
        <f t="shared" si="16"/>
        <v>0</v>
      </c>
    </row>
    <row r="227" spans="1:11">
      <c r="A227" s="56" t="s">
        <v>928</v>
      </c>
      <c r="B227" s="57" t="s">
        <v>392</v>
      </c>
      <c r="C227" s="58" t="s">
        <v>41</v>
      </c>
      <c r="D227" s="58" t="s">
        <v>51</v>
      </c>
      <c r="E227" s="58">
        <v>2</v>
      </c>
      <c r="F227" s="60"/>
      <c r="G227" s="60">
        <f>F227*(1+(D2))</f>
        <v>0</v>
      </c>
      <c r="H227" s="61">
        <f t="shared" si="17"/>
        <v>0</v>
      </c>
      <c r="I227" s="60">
        <v>0</v>
      </c>
      <c r="J227" s="60">
        <f>I227*(1+(K2))</f>
        <v>0</v>
      </c>
      <c r="K227" s="61">
        <f t="shared" si="16"/>
        <v>0</v>
      </c>
    </row>
    <row r="228" spans="1:11" ht="22.5">
      <c r="A228" s="56" t="s">
        <v>929</v>
      </c>
      <c r="B228" s="57" t="s">
        <v>393</v>
      </c>
      <c r="C228" s="58" t="s">
        <v>47</v>
      </c>
      <c r="D228" s="59" t="s">
        <v>394</v>
      </c>
      <c r="E228" s="58">
        <v>6</v>
      </c>
      <c r="F228" s="60"/>
      <c r="G228" s="60">
        <f>F228*(1+(D2))</f>
        <v>0</v>
      </c>
      <c r="H228" s="61">
        <f t="shared" si="17"/>
        <v>0</v>
      </c>
      <c r="I228" s="60">
        <v>0</v>
      </c>
      <c r="J228" s="60">
        <f>I228*(1+(K2))</f>
        <v>0</v>
      </c>
      <c r="K228" s="61">
        <f t="shared" si="16"/>
        <v>0</v>
      </c>
    </row>
    <row r="229" spans="1:11">
      <c r="A229" s="56" t="s">
        <v>930</v>
      </c>
      <c r="B229" s="57" t="s">
        <v>395</v>
      </c>
      <c r="C229" s="58" t="s">
        <v>50</v>
      </c>
      <c r="D229" s="58" t="s">
        <v>51</v>
      </c>
      <c r="E229" s="58">
        <v>10</v>
      </c>
      <c r="F229" s="60"/>
      <c r="G229" s="60">
        <f>F229*(1+(D2))</f>
        <v>0</v>
      </c>
      <c r="H229" s="61">
        <f t="shared" si="17"/>
        <v>0</v>
      </c>
      <c r="I229" s="60">
        <v>0</v>
      </c>
      <c r="J229" s="60">
        <f>I229*(1+(K2))</f>
        <v>0</v>
      </c>
      <c r="K229" s="61">
        <f t="shared" si="16"/>
        <v>0</v>
      </c>
    </row>
    <row r="230" spans="1:11">
      <c r="A230" s="56" t="s">
        <v>931</v>
      </c>
      <c r="B230" s="57" t="s">
        <v>396</v>
      </c>
      <c r="C230" s="58" t="s">
        <v>41</v>
      </c>
      <c r="D230" s="58" t="s">
        <v>51</v>
      </c>
      <c r="E230" s="58">
        <v>10</v>
      </c>
      <c r="F230" s="60"/>
      <c r="G230" s="60">
        <f>F230*(1+(D2))</f>
        <v>0</v>
      </c>
      <c r="H230" s="61">
        <f t="shared" si="17"/>
        <v>0</v>
      </c>
      <c r="I230" s="60">
        <v>0</v>
      </c>
      <c r="J230" s="60">
        <f>I230*(1+(K2))</f>
        <v>0</v>
      </c>
      <c r="K230" s="61">
        <f t="shared" si="16"/>
        <v>0</v>
      </c>
    </row>
    <row r="231" spans="1:11" ht="45">
      <c r="A231" s="56" t="s">
        <v>932</v>
      </c>
      <c r="B231" s="57" t="s">
        <v>397</v>
      </c>
      <c r="C231" s="58" t="s">
        <v>41</v>
      </c>
      <c r="D231" s="59" t="s">
        <v>398</v>
      </c>
      <c r="E231" s="58">
        <v>1</v>
      </c>
      <c r="F231" s="60"/>
      <c r="G231" s="60">
        <f>F231*(1+(D2))</f>
        <v>0</v>
      </c>
      <c r="H231" s="61">
        <f t="shared" si="17"/>
        <v>0</v>
      </c>
      <c r="I231" s="60">
        <v>0</v>
      </c>
      <c r="J231" s="60">
        <f>I231*(1+(K2))</f>
        <v>0</v>
      </c>
      <c r="K231" s="61">
        <f t="shared" si="16"/>
        <v>0</v>
      </c>
    </row>
    <row r="232" spans="1:11">
      <c r="A232" s="56" t="s">
        <v>933</v>
      </c>
      <c r="B232" s="57" t="s">
        <v>399</v>
      </c>
      <c r="C232" s="58" t="s">
        <v>41</v>
      </c>
      <c r="D232" s="59" t="s">
        <v>400</v>
      </c>
      <c r="E232" s="58">
        <v>5</v>
      </c>
      <c r="F232" s="60"/>
      <c r="G232" s="60">
        <f>F232*(1+(D2))</f>
        <v>0</v>
      </c>
      <c r="H232" s="61">
        <f t="shared" si="17"/>
        <v>0</v>
      </c>
      <c r="I232" s="60">
        <v>0</v>
      </c>
      <c r="J232" s="60">
        <f>I232*(1+(K2))</f>
        <v>0</v>
      </c>
      <c r="K232" s="61">
        <f t="shared" si="16"/>
        <v>0</v>
      </c>
    </row>
    <row r="233" spans="1:11">
      <c r="A233" s="56" t="s">
        <v>934</v>
      </c>
      <c r="B233" s="57" t="s">
        <v>401</v>
      </c>
      <c r="C233" s="58" t="s">
        <v>41</v>
      </c>
      <c r="D233" s="59" t="s">
        <v>402</v>
      </c>
      <c r="E233" s="58">
        <v>4</v>
      </c>
      <c r="F233" s="60"/>
      <c r="G233" s="60">
        <f>F233*(1+(D2))</f>
        <v>0</v>
      </c>
      <c r="H233" s="61">
        <f t="shared" si="17"/>
        <v>0</v>
      </c>
      <c r="I233" s="60">
        <v>0</v>
      </c>
      <c r="J233" s="60">
        <f>I233*(1+(K2))</f>
        <v>0</v>
      </c>
      <c r="K233" s="61">
        <f t="shared" si="16"/>
        <v>0</v>
      </c>
    </row>
    <row r="234" spans="1:11">
      <c r="A234" s="56" t="s">
        <v>935</v>
      </c>
      <c r="B234" s="57" t="s">
        <v>403</v>
      </c>
      <c r="C234" s="58" t="s">
        <v>41</v>
      </c>
      <c r="D234" s="59" t="s">
        <v>404</v>
      </c>
      <c r="E234" s="58">
        <v>5</v>
      </c>
      <c r="F234" s="60"/>
      <c r="G234" s="60">
        <f>F234*(1+(D2))</f>
        <v>0</v>
      </c>
      <c r="H234" s="61">
        <f t="shared" si="17"/>
        <v>0</v>
      </c>
      <c r="I234" s="60">
        <v>0</v>
      </c>
      <c r="J234" s="60">
        <f>I234*(1+(K2))</f>
        <v>0</v>
      </c>
      <c r="K234" s="61">
        <f t="shared" si="16"/>
        <v>0</v>
      </c>
    </row>
    <row r="235" spans="1:11">
      <c r="A235" s="56" t="s">
        <v>936</v>
      </c>
      <c r="B235" s="57" t="s">
        <v>405</v>
      </c>
      <c r="C235" s="58" t="s">
        <v>41</v>
      </c>
      <c r="D235" s="58" t="s">
        <v>51</v>
      </c>
      <c r="E235" s="58">
        <v>1</v>
      </c>
      <c r="F235" s="60"/>
      <c r="G235" s="60">
        <f>F235*(1+(D2))</f>
        <v>0</v>
      </c>
      <c r="H235" s="61">
        <f t="shared" si="17"/>
        <v>0</v>
      </c>
      <c r="I235" s="60">
        <v>0</v>
      </c>
      <c r="J235" s="60">
        <f>I235*(1+(K2))</f>
        <v>0</v>
      </c>
      <c r="K235" s="61">
        <f t="shared" si="16"/>
        <v>0</v>
      </c>
    </row>
    <row r="236" spans="1:11">
      <c r="A236" s="56" t="s">
        <v>937</v>
      </c>
      <c r="B236" s="57" t="s">
        <v>406</v>
      </c>
      <c r="C236" s="58" t="s">
        <v>41</v>
      </c>
      <c r="D236" s="59" t="s">
        <v>407</v>
      </c>
      <c r="E236" s="58">
        <v>5</v>
      </c>
      <c r="F236" s="60"/>
      <c r="G236" s="60">
        <f>F236*(1+(D2))</f>
        <v>0</v>
      </c>
      <c r="H236" s="61">
        <f t="shared" si="17"/>
        <v>0</v>
      </c>
      <c r="I236" s="60">
        <v>0</v>
      </c>
      <c r="J236" s="60">
        <f>I236*(1+(K2))</f>
        <v>0</v>
      </c>
      <c r="K236" s="61">
        <f t="shared" si="16"/>
        <v>0</v>
      </c>
    </row>
    <row r="237" spans="1:11">
      <c r="A237" s="56" t="s">
        <v>938</v>
      </c>
      <c r="B237" s="57" t="s">
        <v>408</v>
      </c>
      <c r="C237" s="58" t="s">
        <v>41</v>
      </c>
      <c r="D237" s="59" t="s">
        <v>409</v>
      </c>
      <c r="E237" s="58">
        <v>5</v>
      </c>
      <c r="F237" s="60"/>
      <c r="G237" s="60">
        <f>F237*(1+(D2))</f>
        <v>0</v>
      </c>
      <c r="H237" s="61">
        <f t="shared" si="17"/>
        <v>0</v>
      </c>
      <c r="I237" s="60">
        <v>0</v>
      </c>
      <c r="J237" s="60">
        <f>I237*(1+(K2))</f>
        <v>0</v>
      </c>
      <c r="K237" s="61">
        <f t="shared" si="16"/>
        <v>0</v>
      </c>
    </row>
    <row r="238" spans="1:11">
      <c r="A238" s="56" t="s">
        <v>939</v>
      </c>
      <c r="B238" s="57" t="s">
        <v>410</v>
      </c>
      <c r="C238" s="58" t="s">
        <v>41</v>
      </c>
      <c r="D238" s="59" t="s">
        <v>411</v>
      </c>
      <c r="E238" s="58">
        <v>5</v>
      </c>
      <c r="F238" s="60"/>
      <c r="G238" s="60">
        <f>F238*(1+(D2))</f>
        <v>0</v>
      </c>
      <c r="H238" s="61">
        <f t="shared" si="17"/>
        <v>0</v>
      </c>
      <c r="I238" s="60">
        <v>0</v>
      </c>
      <c r="J238" s="60">
        <f>I238*(1+(K2))</f>
        <v>0</v>
      </c>
      <c r="K238" s="61">
        <f t="shared" si="16"/>
        <v>0</v>
      </c>
    </row>
    <row r="239" spans="1:11">
      <c r="A239" s="56" t="s">
        <v>940</v>
      </c>
      <c r="B239" s="57" t="s">
        <v>412</v>
      </c>
      <c r="C239" s="58" t="s">
        <v>41</v>
      </c>
      <c r="D239" s="59" t="s">
        <v>413</v>
      </c>
      <c r="E239" s="58">
        <v>20</v>
      </c>
      <c r="F239" s="60"/>
      <c r="G239" s="60">
        <f>F239*(1+(D2))</f>
        <v>0</v>
      </c>
      <c r="H239" s="61">
        <f t="shared" si="17"/>
        <v>0</v>
      </c>
      <c r="I239" s="60">
        <v>0</v>
      </c>
      <c r="J239" s="60">
        <f>I239*(1+(K2))</f>
        <v>0</v>
      </c>
      <c r="K239" s="61">
        <f t="shared" si="16"/>
        <v>0</v>
      </c>
    </row>
    <row r="240" spans="1:11">
      <c r="A240" s="56" t="s">
        <v>941</v>
      </c>
      <c r="B240" s="57" t="s">
        <v>414</v>
      </c>
      <c r="C240" s="58" t="s">
        <v>41</v>
      </c>
      <c r="D240" s="59" t="s">
        <v>415</v>
      </c>
      <c r="E240" s="58">
        <v>5</v>
      </c>
      <c r="F240" s="60"/>
      <c r="G240" s="60">
        <f>F240*(1+(D2))</f>
        <v>0</v>
      </c>
      <c r="H240" s="61">
        <f t="shared" si="17"/>
        <v>0</v>
      </c>
      <c r="I240" s="60">
        <v>0</v>
      </c>
      <c r="J240" s="60">
        <f>I240*(1+(K2))</f>
        <v>0</v>
      </c>
      <c r="K240" s="61">
        <f t="shared" si="16"/>
        <v>0</v>
      </c>
    </row>
    <row r="241" spans="1:11">
      <c r="A241" s="56" t="s">
        <v>942</v>
      </c>
      <c r="B241" s="57" t="s">
        <v>416</v>
      </c>
      <c r="C241" s="58" t="s">
        <v>41</v>
      </c>
      <c r="D241" s="59" t="s">
        <v>417</v>
      </c>
      <c r="E241" s="58">
        <v>5</v>
      </c>
      <c r="F241" s="60"/>
      <c r="G241" s="60">
        <f>F241*(1+(D2))</f>
        <v>0</v>
      </c>
      <c r="H241" s="61">
        <f t="shared" si="17"/>
        <v>0</v>
      </c>
      <c r="I241" s="60">
        <v>0</v>
      </c>
      <c r="J241" s="60">
        <f>I241*(1+(K2))</f>
        <v>0</v>
      </c>
      <c r="K241" s="61">
        <f t="shared" si="16"/>
        <v>0</v>
      </c>
    </row>
    <row r="242" spans="1:11">
      <c r="A242" s="56" t="s">
        <v>943</v>
      </c>
      <c r="B242" s="57" t="s">
        <v>418</v>
      </c>
      <c r="C242" s="58" t="s">
        <v>41</v>
      </c>
      <c r="D242" s="59" t="s">
        <v>419</v>
      </c>
      <c r="E242" s="58">
        <v>5</v>
      </c>
      <c r="F242" s="60"/>
      <c r="G242" s="60">
        <f>F242*(1+(D2))</f>
        <v>0</v>
      </c>
      <c r="H242" s="61">
        <f t="shared" si="17"/>
        <v>0</v>
      </c>
      <c r="I242" s="60">
        <v>0</v>
      </c>
      <c r="J242" s="60">
        <f>I242*(1+(K2))</f>
        <v>0</v>
      </c>
      <c r="K242" s="61">
        <f t="shared" si="16"/>
        <v>0</v>
      </c>
    </row>
    <row r="243" spans="1:11">
      <c r="A243" s="11" t="s">
        <v>944</v>
      </c>
      <c r="B243" s="12" t="s">
        <v>420</v>
      </c>
      <c r="C243" s="13"/>
      <c r="D243" s="775"/>
      <c r="E243" s="775"/>
      <c r="F243" s="775" t="s">
        <v>1229</v>
      </c>
      <c r="G243" s="775"/>
      <c r="H243" s="14">
        <f>SUM(H244:H310)</f>
        <v>0</v>
      </c>
      <c r="I243" s="775" t="s">
        <v>1230</v>
      </c>
      <c r="J243" s="775"/>
      <c r="K243" s="14">
        <f>SUM(K244:K310)</f>
        <v>0</v>
      </c>
    </row>
    <row r="244" spans="1:11">
      <c r="A244" s="56" t="s">
        <v>945</v>
      </c>
      <c r="B244" s="57" t="s">
        <v>1194</v>
      </c>
      <c r="C244" s="58" t="s">
        <v>41</v>
      </c>
      <c r="D244" s="58" t="s">
        <v>51</v>
      </c>
      <c r="E244" s="58">
        <v>3</v>
      </c>
      <c r="F244" s="60"/>
      <c r="G244" s="60">
        <f>F244*(1+(D2))</f>
        <v>0</v>
      </c>
      <c r="H244" s="61">
        <f t="shared" ref="H244:H275" si="18">G244*E244</f>
        <v>0</v>
      </c>
      <c r="I244" s="60">
        <v>0</v>
      </c>
      <c r="J244" s="60">
        <f>I244*(1+(K2))</f>
        <v>0</v>
      </c>
      <c r="K244" s="61">
        <f t="shared" ref="K244:K307" si="19">J244*E244</f>
        <v>0</v>
      </c>
    </row>
    <row r="245" spans="1:11">
      <c r="A245" s="56" t="s">
        <v>946</v>
      </c>
      <c r="B245" s="57" t="s">
        <v>421</v>
      </c>
      <c r="C245" s="58" t="s">
        <v>50</v>
      </c>
      <c r="D245" s="58" t="s">
        <v>51</v>
      </c>
      <c r="E245" s="58">
        <v>1</v>
      </c>
      <c r="F245" s="60"/>
      <c r="G245" s="60">
        <f>F245*(1+(D2))</f>
        <v>0</v>
      </c>
      <c r="H245" s="61">
        <f t="shared" si="18"/>
        <v>0</v>
      </c>
      <c r="I245" s="60">
        <v>0</v>
      </c>
      <c r="J245" s="60">
        <f>I245*(1+(K2))</f>
        <v>0</v>
      </c>
      <c r="K245" s="61">
        <f t="shared" si="19"/>
        <v>0</v>
      </c>
    </row>
    <row r="246" spans="1:11" ht="33.75">
      <c r="A246" s="56" t="s">
        <v>947</v>
      </c>
      <c r="B246" s="57" t="s">
        <v>422</v>
      </c>
      <c r="C246" s="58" t="s">
        <v>50</v>
      </c>
      <c r="D246" s="58" t="s">
        <v>51</v>
      </c>
      <c r="E246" s="58">
        <v>2</v>
      </c>
      <c r="F246" s="60"/>
      <c r="G246" s="60">
        <f>F246*(1+(D2))</f>
        <v>0</v>
      </c>
      <c r="H246" s="61">
        <f t="shared" si="18"/>
        <v>0</v>
      </c>
      <c r="I246" s="60">
        <v>0</v>
      </c>
      <c r="J246" s="60">
        <f>I246*(1+(K2))</f>
        <v>0</v>
      </c>
      <c r="K246" s="61">
        <f t="shared" si="19"/>
        <v>0</v>
      </c>
    </row>
    <row r="247" spans="1:11" ht="22.5">
      <c r="A247" s="56" t="s">
        <v>948</v>
      </c>
      <c r="B247" s="57" t="s">
        <v>423</v>
      </c>
      <c r="C247" s="58" t="s">
        <v>50</v>
      </c>
      <c r="D247" s="58" t="s">
        <v>51</v>
      </c>
      <c r="E247" s="58">
        <v>2</v>
      </c>
      <c r="F247" s="60"/>
      <c r="G247" s="60">
        <f>F247*(1+(D2))</f>
        <v>0</v>
      </c>
      <c r="H247" s="61">
        <f t="shared" si="18"/>
        <v>0</v>
      </c>
      <c r="I247" s="60">
        <v>0</v>
      </c>
      <c r="J247" s="60">
        <f>I247*(1+(K2))</f>
        <v>0</v>
      </c>
      <c r="K247" s="61">
        <f t="shared" si="19"/>
        <v>0</v>
      </c>
    </row>
    <row r="248" spans="1:11">
      <c r="A248" s="56" t="s">
        <v>949</v>
      </c>
      <c r="B248" s="57" t="s">
        <v>424</v>
      </c>
      <c r="C248" s="58" t="s">
        <v>50</v>
      </c>
      <c r="D248" s="58" t="s">
        <v>51</v>
      </c>
      <c r="E248" s="58">
        <v>2</v>
      </c>
      <c r="F248" s="60"/>
      <c r="G248" s="60">
        <f>F248*(1+(D2))</f>
        <v>0</v>
      </c>
      <c r="H248" s="61">
        <f t="shared" si="18"/>
        <v>0</v>
      </c>
      <c r="I248" s="60">
        <v>0</v>
      </c>
      <c r="J248" s="60">
        <f>I248*(1+(K2))</f>
        <v>0</v>
      </c>
      <c r="K248" s="61">
        <f t="shared" si="19"/>
        <v>0</v>
      </c>
    </row>
    <row r="249" spans="1:11">
      <c r="A249" s="56" t="s">
        <v>950</v>
      </c>
      <c r="B249" s="57" t="s">
        <v>425</v>
      </c>
      <c r="C249" s="58" t="s">
        <v>50</v>
      </c>
      <c r="D249" s="58" t="s">
        <v>51</v>
      </c>
      <c r="E249" s="58">
        <v>2</v>
      </c>
      <c r="F249" s="60"/>
      <c r="G249" s="60">
        <f>F249*(1+(D2))</f>
        <v>0</v>
      </c>
      <c r="H249" s="61">
        <f t="shared" si="18"/>
        <v>0</v>
      </c>
      <c r="I249" s="60">
        <v>0</v>
      </c>
      <c r="J249" s="60">
        <f>I249*(1+(K2))</f>
        <v>0</v>
      </c>
      <c r="K249" s="61">
        <f t="shared" si="19"/>
        <v>0</v>
      </c>
    </row>
    <row r="250" spans="1:11">
      <c r="A250" s="56" t="s">
        <v>951</v>
      </c>
      <c r="B250" s="57" t="s">
        <v>426</v>
      </c>
      <c r="C250" s="58" t="s">
        <v>50</v>
      </c>
      <c r="D250" s="58" t="s">
        <v>51</v>
      </c>
      <c r="E250" s="58">
        <v>1</v>
      </c>
      <c r="F250" s="60"/>
      <c r="G250" s="60">
        <f>F250*(1+(D2))</f>
        <v>0</v>
      </c>
      <c r="H250" s="61">
        <f t="shared" si="18"/>
        <v>0</v>
      </c>
      <c r="I250" s="60">
        <v>0</v>
      </c>
      <c r="J250" s="60">
        <f>I250*(1+(K2))</f>
        <v>0</v>
      </c>
      <c r="K250" s="61">
        <f t="shared" si="19"/>
        <v>0</v>
      </c>
    </row>
    <row r="251" spans="1:11">
      <c r="A251" s="56" t="s">
        <v>952</v>
      </c>
      <c r="B251" s="57" t="s">
        <v>427</v>
      </c>
      <c r="C251" s="58" t="s">
        <v>50</v>
      </c>
      <c r="D251" s="58" t="s">
        <v>51</v>
      </c>
      <c r="E251" s="58">
        <v>1</v>
      </c>
      <c r="F251" s="60"/>
      <c r="G251" s="60">
        <f>F251*(1+(D2))</f>
        <v>0</v>
      </c>
      <c r="H251" s="61">
        <f t="shared" si="18"/>
        <v>0</v>
      </c>
      <c r="I251" s="60">
        <v>0</v>
      </c>
      <c r="J251" s="60">
        <f>I251*(1+(K2))</f>
        <v>0</v>
      </c>
      <c r="K251" s="61">
        <f t="shared" si="19"/>
        <v>0</v>
      </c>
    </row>
    <row r="252" spans="1:11">
      <c r="A252" s="56" t="s">
        <v>953</v>
      </c>
      <c r="B252" s="57" t="s">
        <v>428</v>
      </c>
      <c r="C252" s="58" t="s">
        <v>50</v>
      </c>
      <c r="D252" s="58" t="s">
        <v>51</v>
      </c>
      <c r="E252" s="58">
        <v>1</v>
      </c>
      <c r="F252" s="60"/>
      <c r="G252" s="60">
        <f>F252*(1+(D2))</f>
        <v>0</v>
      </c>
      <c r="H252" s="61">
        <f t="shared" si="18"/>
        <v>0</v>
      </c>
      <c r="I252" s="60">
        <v>0</v>
      </c>
      <c r="J252" s="60">
        <f>I252*(1+(K2))</f>
        <v>0</v>
      </c>
      <c r="K252" s="61">
        <f t="shared" si="19"/>
        <v>0</v>
      </c>
    </row>
    <row r="253" spans="1:11">
      <c r="A253" s="56" t="s">
        <v>954</v>
      </c>
      <c r="B253" s="57" t="s">
        <v>429</v>
      </c>
      <c r="C253" s="58" t="s">
        <v>50</v>
      </c>
      <c r="D253" s="58" t="s">
        <v>51</v>
      </c>
      <c r="E253" s="58">
        <v>1</v>
      </c>
      <c r="F253" s="60"/>
      <c r="G253" s="60">
        <f>F253*(1+(D2))</f>
        <v>0</v>
      </c>
      <c r="H253" s="61">
        <f t="shared" si="18"/>
        <v>0</v>
      </c>
      <c r="I253" s="60">
        <v>0</v>
      </c>
      <c r="J253" s="60">
        <f>I253*(1+(K2))</f>
        <v>0</v>
      </c>
      <c r="K253" s="61">
        <f t="shared" si="19"/>
        <v>0</v>
      </c>
    </row>
    <row r="254" spans="1:11" ht="22.5">
      <c r="A254" s="56" t="s">
        <v>955</v>
      </c>
      <c r="B254" s="57" t="s">
        <v>430</v>
      </c>
      <c r="C254" s="58" t="s">
        <v>50</v>
      </c>
      <c r="D254" s="58" t="s">
        <v>51</v>
      </c>
      <c r="E254" s="58">
        <v>1</v>
      </c>
      <c r="F254" s="60"/>
      <c r="G254" s="60">
        <f>F254*(1+(D2))</f>
        <v>0</v>
      </c>
      <c r="H254" s="61">
        <f t="shared" si="18"/>
        <v>0</v>
      </c>
      <c r="I254" s="60">
        <v>0</v>
      </c>
      <c r="J254" s="60">
        <f>I254*(1+(K2))</f>
        <v>0</v>
      </c>
      <c r="K254" s="61">
        <f t="shared" si="19"/>
        <v>0</v>
      </c>
    </row>
    <row r="255" spans="1:11">
      <c r="A255" s="56" t="s">
        <v>956</v>
      </c>
      <c r="B255" s="57" t="s">
        <v>431</v>
      </c>
      <c r="C255" s="58" t="s">
        <v>41</v>
      </c>
      <c r="D255" s="58" t="s">
        <v>51</v>
      </c>
      <c r="E255" s="58">
        <v>3</v>
      </c>
      <c r="F255" s="60"/>
      <c r="G255" s="60">
        <f>F255*(1+(D2))</f>
        <v>0</v>
      </c>
      <c r="H255" s="61">
        <f t="shared" si="18"/>
        <v>0</v>
      </c>
      <c r="I255" s="60">
        <v>0</v>
      </c>
      <c r="J255" s="60">
        <f>I255*(1+(K2))</f>
        <v>0</v>
      </c>
      <c r="K255" s="61">
        <f t="shared" si="19"/>
        <v>0</v>
      </c>
    </row>
    <row r="256" spans="1:11">
      <c r="A256" s="56" t="s">
        <v>957</v>
      </c>
      <c r="B256" s="57" t="s">
        <v>432</v>
      </c>
      <c r="C256" s="58" t="s">
        <v>41</v>
      </c>
      <c r="D256" s="58" t="s">
        <v>51</v>
      </c>
      <c r="E256" s="58">
        <v>9</v>
      </c>
      <c r="F256" s="60"/>
      <c r="G256" s="60">
        <f>F256*(1+(D2))</f>
        <v>0</v>
      </c>
      <c r="H256" s="61">
        <f t="shared" si="18"/>
        <v>0</v>
      </c>
      <c r="I256" s="60">
        <v>0</v>
      </c>
      <c r="J256" s="60">
        <f>I256*(1+(K2))</f>
        <v>0</v>
      </c>
      <c r="K256" s="61">
        <f t="shared" si="19"/>
        <v>0</v>
      </c>
    </row>
    <row r="257" spans="1:11">
      <c r="A257" s="56" t="s">
        <v>958</v>
      </c>
      <c r="B257" s="57" t="s">
        <v>433</v>
      </c>
      <c r="C257" s="58" t="s">
        <v>41</v>
      </c>
      <c r="D257" s="58" t="s">
        <v>51</v>
      </c>
      <c r="E257" s="58">
        <v>1</v>
      </c>
      <c r="F257" s="60"/>
      <c r="G257" s="60">
        <f>F257*(1+(D2))</f>
        <v>0</v>
      </c>
      <c r="H257" s="61">
        <f t="shared" si="18"/>
        <v>0</v>
      </c>
      <c r="I257" s="60">
        <v>0</v>
      </c>
      <c r="J257" s="60">
        <f>I257*(1+(K2))</f>
        <v>0</v>
      </c>
      <c r="K257" s="61">
        <f t="shared" si="19"/>
        <v>0</v>
      </c>
    </row>
    <row r="258" spans="1:11" ht="22.5">
      <c r="A258" s="56" t="s">
        <v>959</v>
      </c>
      <c r="B258" s="57" t="s">
        <v>434</v>
      </c>
      <c r="C258" s="58" t="s">
        <v>41</v>
      </c>
      <c r="D258" s="58" t="s">
        <v>51</v>
      </c>
      <c r="E258" s="58">
        <v>1</v>
      </c>
      <c r="F258" s="60"/>
      <c r="G258" s="60">
        <f>F258*(1+(D2))</f>
        <v>0</v>
      </c>
      <c r="H258" s="61">
        <f t="shared" si="18"/>
        <v>0</v>
      </c>
      <c r="I258" s="60">
        <v>0</v>
      </c>
      <c r="J258" s="60">
        <f>I258*(1+(K2))</f>
        <v>0</v>
      </c>
      <c r="K258" s="61">
        <f t="shared" si="19"/>
        <v>0</v>
      </c>
    </row>
    <row r="259" spans="1:11">
      <c r="A259" s="56" t="s">
        <v>960</v>
      </c>
      <c r="B259" s="57" t="s">
        <v>435</v>
      </c>
      <c r="C259" s="58" t="s">
        <v>41</v>
      </c>
      <c r="D259" s="58" t="s">
        <v>51</v>
      </c>
      <c r="E259" s="58">
        <v>1</v>
      </c>
      <c r="F259" s="60"/>
      <c r="G259" s="60">
        <f>F259*(1+(D2))</f>
        <v>0</v>
      </c>
      <c r="H259" s="61">
        <f t="shared" si="18"/>
        <v>0</v>
      </c>
      <c r="I259" s="60">
        <v>0</v>
      </c>
      <c r="J259" s="60">
        <f>I259*(1+(K2))</f>
        <v>0</v>
      </c>
      <c r="K259" s="61">
        <f t="shared" si="19"/>
        <v>0</v>
      </c>
    </row>
    <row r="260" spans="1:11">
      <c r="A260" s="56" t="s">
        <v>961</v>
      </c>
      <c r="B260" s="57" t="s">
        <v>436</v>
      </c>
      <c r="C260" s="58" t="s">
        <v>41</v>
      </c>
      <c r="D260" s="58" t="s">
        <v>51</v>
      </c>
      <c r="E260" s="58">
        <v>1</v>
      </c>
      <c r="F260" s="60"/>
      <c r="G260" s="60">
        <f>F260*(1+(D2))</f>
        <v>0</v>
      </c>
      <c r="H260" s="61">
        <f t="shared" si="18"/>
        <v>0</v>
      </c>
      <c r="I260" s="60">
        <v>0</v>
      </c>
      <c r="J260" s="60">
        <f>I260*(1+(K2))</f>
        <v>0</v>
      </c>
      <c r="K260" s="61">
        <f t="shared" si="19"/>
        <v>0</v>
      </c>
    </row>
    <row r="261" spans="1:11">
      <c r="A261" s="56" t="s">
        <v>962</v>
      </c>
      <c r="B261" s="57" t="s">
        <v>437</v>
      </c>
      <c r="C261" s="58" t="s">
        <v>41</v>
      </c>
      <c r="D261" s="58" t="s">
        <v>51</v>
      </c>
      <c r="E261" s="58">
        <v>6</v>
      </c>
      <c r="F261" s="60"/>
      <c r="G261" s="60">
        <f>F261*(1+(D2))</f>
        <v>0</v>
      </c>
      <c r="H261" s="61">
        <f t="shared" si="18"/>
        <v>0</v>
      </c>
      <c r="I261" s="60">
        <v>0</v>
      </c>
      <c r="J261" s="60">
        <f>I261*(1+(K2))</f>
        <v>0</v>
      </c>
      <c r="K261" s="61">
        <f t="shared" si="19"/>
        <v>0</v>
      </c>
    </row>
    <row r="262" spans="1:11">
      <c r="A262" s="56" t="s">
        <v>963</v>
      </c>
      <c r="B262" s="57" t="s">
        <v>438</v>
      </c>
      <c r="C262" s="58" t="s">
        <v>41</v>
      </c>
      <c r="D262" s="58" t="s">
        <v>51</v>
      </c>
      <c r="E262" s="58">
        <v>1</v>
      </c>
      <c r="F262" s="60"/>
      <c r="G262" s="60">
        <f>F262*(1+(D2))</f>
        <v>0</v>
      </c>
      <c r="H262" s="61">
        <f t="shared" si="18"/>
        <v>0</v>
      </c>
      <c r="I262" s="60">
        <v>0</v>
      </c>
      <c r="J262" s="60">
        <f>I262*(1+(K2))</f>
        <v>0</v>
      </c>
      <c r="K262" s="61">
        <f t="shared" si="19"/>
        <v>0</v>
      </c>
    </row>
    <row r="263" spans="1:11">
      <c r="A263" s="56" t="s">
        <v>964</v>
      </c>
      <c r="B263" s="57" t="s">
        <v>439</v>
      </c>
      <c r="C263" s="58" t="s">
        <v>41</v>
      </c>
      <c r="D263" s="58" t="s">
        <v>51</v>
      </c>
      <c r="E263" s="58">
        <v>5</v>
      </c>
      <c r="F263" s="60"/>
      <c r="G263" s="60">
        <f>F263*(1+(D2))</f>
        <v>0</v>
      </c>
      <c r="H263" s="61">
        <f t="shared" si="18"/>
        <v>0</v>
      </c>
      <c r="I263" s="60">
        <v>0</v>
      </c>
      <c r="J263" s="60">
        <f>I263*(1+(K2))</f>
        <v>0</v>
      </c>
      <c r="K263" s="61">
        <f t="shared" si="19"/>
        <v>0</v>
      </c>
    </row>
    <row r="264" spans="1:11">
      <c r="A264" s="56" t="s">
        <v>965</v>
      </c>
      <c r="B264" s="57" t="s">
        <v>1187</v>
      </c>
      <c r="C264" s="58" t="s">
        <v>41</v>
      </c>
      <c r="D264" s="58" t="s">
        <v>51</v>
      </c>
      <c r="E264" s="58">
        <v>1</v>
      </c>
      <c r="F264" s="60"/>
      <c r="G264" s="60">
        <f>F264*(1+(D2))</f>
        <v>0</v>
      </c>
      <c r="H264" s="61">
        <f t="shared" si="18"/>
        <v>0</v>
      </c>
      <c r="I264" s="60">
        <v>0</v>
      </c>
      <c r="J264" s="60">
        <f>I264*(1+(K2))</f>
        <v>0</v>
      </c>
      <c r="K264" s="61">
        <f t="shared" si="19"/>
        <v>0</v>
      </c>
    </row>
    <row r="265" spans="1:11">
      <c r="A265" s="56" t="s">
        <v>966</v>
      </c>
      <c r="B265" s="57" t="s">
        <v>440</v>
      </c>
      <c r="C265" s="58" t="s">
        <v>41</v>
      </c>
      <c r="D265" s="58" t="s">
        <v>51</v>
      </c>
      <c r="E265" s="58">
        <v>1</v>
      </c>
      <c r="F265" s="60"/>
      <c r="G265" s="60">
        <f>F265*(1+(D2))</f>
        <v>0</v>
      </c>
      <c r="H265" s="61">
        <f t="shared" si="18"/>
        <v>0</v>
      </c>
      <c r="I265" s="60">
        <v>0</v>
      </c>
      <c r="J265" s="60">
        <f>I265*(1+(K2))</f>
        <v>0</v>
      </c>
      <c r="K265" s="61">
        <f t="shared" si="19"/>
        <v>0</v>
      </c>
    </row>
    <row r="266" spans="1:11">
      <c r="A266" s="56" t="s">
        <v>967</v>
      </c>
      <c r="B266" s="57" t="s">
        <v>1188</v>
      </c>
      <c r="C266" s="58" t="s">
        <v>41</v>
      </c>
      <c r="D266" s="58" t="s">
        <v>51</v>
      </c>
      <c r="E266" s="58">
        <v>10</v>
      </c>
      <c r="F266" s="60"/>
      <c r="G266" s="60">
        <f>F266*(1+(D2))</f>
        <v>0</v>
      </c>
      <c r="H266" s="61">
        <f t="shared" si="18"/>
        <v>0</v>
      </c>
      <c r="I266" s="60">
        <v>0</v>
      </c>
      <c r="J266" s="60">
        <f>I266*(1+(K2))</f>
        <v>0</v>
      </c>
      <c r="K266" s="61">
        <f t="shared" si="19"/>
        <v>0</v>
      </c>
    </row>
    <row r="267" spans="1:11">
      <c r="A267" s="56" t="s">
        <v>968</v>
      </c>
      <c r="B267" s="57" t="s">
        <v>1189</v>
      </c>
      <c r="C267" s="58" t="s">
        <v>41</v>
      </c>
      <c r="D267" s="58" t="s">
        <v>51</v>
      </c>
      <c r="E267" s="58">
        <v>6</v>
      </c>
      <c r="F267" s="60"/>
      <c r="G267" s="60">
        <f>F267*(1+(D2))</f>
        <v>0</v>
      </c>
      <c r="H267" s="61">
        <f t="shared" si="18"/>
        <v>0</v>
      </c>
      <c r="I267" s="60">
        <v>0</v>
      </c>
      <c r="J267" s="60">
        <f>I267*(1+(K2))</f>
        <v>0</v>
      </c>
      <c r="K267" s="61">
        <f t="shared" si="19"/>
        <v>0</v>
      </c>
    </row>
    <row r="268" spans="1:11">
      <c r="A268" s="56" t="s">
        <v>969</v>
      </c>
      <c r="B268" s="57" t="s">
        <v>441</v>
      </c>
      <c r="C268" s="58" t="s">
        <v>74</v>
      </c>
      <c r="D268" s="58" t="s">
        <v>51</v>
      </c>
      <c r="E268" s="58">
        <v>16</v>
      </c>
      <c r="F268" s="60"/>
      <c r="G268" s="60">
        <f>F268*(1+(D2))</f>
        <v>0</v>
      </c>
      <c r="H268" s="61">
        <f t="shared" si="18"/>
        <v>0</v>
      </c>
      <c r="I268" s="60">
        <v>0</v>
      </c>
      <c r="J268" s="60">
        <f>I268*(1+(K2))</f>
        <v>0</v>
      </c>
      <c r="K268" s="61">
        <f t="shared" si="19"/>
        <v>0</v>
      </c>
    </row>
    <row r="269" spans="1:11">
      <c r="A269" s="56" t="s">
        <v>970</v>
      </c>
      <c r="B269" s="57" t="s">
        <v>1190</v>
      </c>
      <c r="C269" s="58" t="s">
        <v>41</v>
      </c>
      <c r="D269" s="58" t="s">
        <v>51</v>
      </c>
      <c r="E269" s="58">
        <v>3</v>
      </c>
      <c r="F269" s="60"/>
      <c r="G269" s="60">
        <f>F269*(1+(D2))</f>
        <v>0</v>
      </c>
      <c r="H269" s="61">
        <f t="shared" si="18"/>
        <v>0</v>
      </c>
      <c r="I269" s="60">
        <v>0</v>
      </c>
      <c r="J269" s="60">
        <f>I269*(1+(K2))</f>
        <v>0</v>
      </c>
      <c r="K269" s="61">
        <f t="shared" si="19"/>
        <v>0</v>
      </c>
    </row>
    <row r="270" spans="1:11">
      <c r="A270" s="56" t="s">
        <v>971</v>
      </c>
      <c r="B270" s="57" t="s">
        <v>1191</v>
      </c>
      <c r="C270" s="58" t="s">
        <v>41</v>
      </c>
      <c r="D270" s="58" t="s">
        <v>51</v>
      </c>
      <c r="E270" s="58">
        <v>1</v>
      </c>
      <c r="F270" s="60"/>
      <c r="G270" s="60">
        <f>F270*(1+(D2))</f>
        <v>0</v>
      </c>
      <c r="H270" s="61">
        <f t="shared" si="18"/>
        <v>0</v>
      </c>
      <c r="I270" s="60">
        <v>0</v>
      </c>
      <c r="J270" s="60">
        <f>I270*(1+(K2))</f>
        <v>0</v>
      </c>
      <c r="K270" s="61">
        <f t="shared" si="19"/>
        <v>0</v>
      </c>
    </row>
    <row r="271" spans="1:11">
      <c r="A271" s="56" t="s">
        <v>972</v>
      </c>
      <c r="B271" s="57" t="s">
        <v>442</v>
      </c>
      <c r="C271" s="58" t="s">
        <v>50</v>
      </c>
      <c r="D271" s="58" t="s">
        <v>51</v>
      </c>
      <c r="E271" s="58">
        <v>1</v>
      </c>
      <c r="F271" s="60"/>
      <c r="G271" s="60">
        <f>F271*(1+(D2))</f>
        <v>0</v>
      </c>
      <c r="H271" s="61">
        <f t="shared" si="18"/>
        <v>0</v>
      </c>
      <c r="I271" s="60">
        <v>0</v>
      </c>
      <c r="J271" s="60">
        <f>I271*(1+(K2))</f>
        <v>0</v>
      </c>
      <c r="K271" s="61">
        <f t="shared" si="19"/>
        <v>0</v>
      </c>
    </row>
    <row r="272" spans="1:11">
      <c r="A272" s="56" t="s">
        <v>973</v>
      </c>
      <c r="B272" s="57" t="s">
        <v>1192</v>
      </c>
      <c r="C272" s="58" t="s">
        <v>41</v>
      </c>
      <c r="D272" s="58" t="s">
        <v>51</v>
      </c>
      <c r="E272" s="58">
        <v>1</v>
      </c>
      <c r="F272" s="60"/>
      <c r="G272" s="60">
        <f>F272*(1+(D2))</f>
        <v>0</v>
      </c>
      <c r="H272" s="61">
        <f t="shared" si="18"/>
        <v>0</v>
      </c>
      <c r="I272" s="60">
        <v>0</v>
      </c>
      <c r="J272" s="60">
        <f>I272*(1+(K2))</f>
        <v>0</v>
      </c>
      <c r="K272" s="61">
        <f t="shared" si="19"/>
        <v>0</v>
      </c>
    </row>
    <row r="273" spans="1:11">
      <c r="A273" s="56" t="s">
        <v>974</v>
      </c>
      <c r="B273" s="57" t="s">
        <v>1193</v>
      </c>
      <c r="C273" s="58" t="s">
        <v>41</v>
      </c>
      <c r="D273" s="58" t="s">
        <v>51</v>
      </c>
      <c r="E273" s="58">
        <v>1</v>
      </c>
      <c r="F273" s="60"/>
      <c r="G273" s="60">
        <f>F273*(1+(D2))</f>
        <v>0</v>
      </c>
      <c r="H273" s="61">
        <f t="shared" si="18"/>
        <v>0</v>
      </c>
      <c r="I273" s="60">
        <v>0</v>
      </c>
      <c r="J273" s="60">
        <f>I273*(1+(K2))</f>
        <v>0</v>
      </c>
      <c r="K273" s="61">
        <f t="shared" si="19"/>
        <v>0</v>
      </c>
    </row>
    <row r="274" spans="1:11">
      <c r="A274" s="56" t="s">
        <v>975</v>
      </c>
      <c r="B274" s="57" t="s">
        <v>1185</v>
      </c>
      <c r="C274" s="58" t="s">
        <v>41</v>
      </c>
      <c r="D274" s="58" t="s">
        <v>51</v>
      </c>
      <c r="E274" s="58">
        <v>1</v>
      </c>
      <c r="F274" s="60"/>
      <c r="G274" s="60">
        <f>F274*(1+(D2))</f>
        <v>0</v>
      </c>
      <c r="H274" s="61">
        <f t="shared" si="18"/>
        <v>0</v>
      </c>
      <c r="I274" s="60">
        <v>0</v>
      </c>
      <c r="J274" s="60">
        <f>I274*(1+(K2))</f>
        <v>0</v>
      </c>
      <c r="K274" s="61">
        <f t="shared" si="19"/>
        <v>0</v>
      </c>
    </row>
    <row r="275" spans="1:11">
      <c r="A275" s="56" t="s">
        <v>976</v>
      </c>
      <c r="B275" s="57" t="s">
        <v>1186</v>
      </c>
      <c r="C275" s="58" t="s">
        <v>41</v>
      </c>
      <c r="D275" s="58" t="s">
        <v>51</v>
      </c>
      <c r="E275" s="58">
        <v>2</v>
      </c>
      <c r="F275" s="60"/>
      <c r="G275" s="60">
        <f>F275*(1+(D2))</f>
        <v>0</v>
      </c>
      <c r="H275" s="61">
        <f t="shared" si="18"/>
        <v>0</v>
      </c>
      <c r="I275" s="60">
        <v>0</v>
      </c>
      <c r="J275" s="60">
        <f>I275*(1+(K2))</f>
        <v>0</v>
      </c>
      <c r="K275" s="61">
        <f t="shared" si="19"/>
        <v>0</v>
      </c>
    </row>
    <row r="276" spans="1:11" ht="22.5">
      <c r="A276" s="56" t="s">
        <v>977</v>
      </c>
      <c r="B276" s="57" t="s">
        <v>443</v>
      </c>
      <c r="C276" s="58" t="s">
        <v>74</v>
      </c>
      <c r="D276" s="58" t="s">
        <v>51</v>
      </c>
      <c r="E276" s="58">
        <v>3</v>
      </c>
      <c r="F276" s="60"/>
      <c r="G276" s="60">
        <f>F276*(1+(D2))</f>
        <v>0</v>
      </c>
      <c r="H276" s="61">
        <f t="shared" ref="H276:H307" si="20">G276*E276</f>
        <v>0</v>
      </c>
      <c r="I276" s="60">
        <v>0</v>
      </c>
      <c r="J276" s="60">
        <f>I276*(1+(K2))</f>
        <v>0</v>
      </c>
      <c r="K276" s="61">
        <f t="shared" si="19"/>
        <v>0</v>
      </c>
    </row>
    <row r="277" spans="1:11">
      <c r="A277" s="56" t="s">
        <v>978</v>
      </c>
      <c r="B277" s="57" t="s">
        <v>444</v>
      </c>
      <c r="C277" s="58" t="s">
        <v>41</v>
      </c>
      <c r="D277" s="58" t="s">
        <v>51</v>
      </c>
      <c r="E277" s="58">
        <v>2</v>
      </c>
      <c r="F277" s="60"/>
      <c r="G277" s="60">
        <f>F277*(1+(D2))</f>
        <v>0</v>
      </c>
      <c r="H277" s="61">
        <f t="shared" si="20"/>
        <v>0</v>
      </c>
      <c r="I277" s="60">
        <v>0</v>
      </c>
      <c r="J277" s="60">
        <f>I277*(1+(K2))</f>
        <v>0</v>
      </c>
      <c r="K277" s="61">
        <f t="shared" si="19"/>
        <v>0</v>
      </c>
    </row>
    <row r="278" spans="1:11">
      <c r="A278" s="56" t="s">
        <v>979</v>
      </c>
      <c r="B278" s="57" t="s">
        <v>445</v>
      </c>
      <c r="C278" s="58" t="s">
        <v>41</v>
      </c>
      <c r="D278" s="58" t="s">
        <v>51</v>
      </c>
      <c r="E278" s="58">
        <v>7</v>
      </c>
      <c r="F278" s="60"/>
      <c r="G278" s="60">
        <f>F278*(1+(D2))</f>
        <v>0</v>
      </c>
      <c r="H278" s="61">
        <f t="shared" si="20"/>
        <v>0</v>
      </c>
      <c r="I278" s="60">
        <v>0</v>
      </c>
      <c r="J278" s="60">
        <f>I278*(1+(K2))</f>
        <v>0</v>
      </c>
      <c r="K278" s="61">
        <f t="shared" si="19"/>
        <v>0</v>
      </c>
    </row>
    <row r="279" spans="1:11">
      <c r="A279" s="56" t="s">
        <v>980</v>
      </c>
      <c r="B279" s="57" t="s">
        <v>446</v>
      </c>
      <c r="C279" s="58" t="s">
        <v>41</v>
      </c>
      <c r="D279" s="58" t="s">
        <v>51</v>
      </c>
      <c r="E279" s="58">
        <v>1</v>
      </c>
      <c r="F279" s="60"/>
      <c r="G279" s="60">
        <f>F279*(1+(D2))</f>
        <v>0</v>
      </c>
      <c r="H279" s="61">
        <f t="shared" si="20"/>
        <v>0</v>
      </c>
      <c r="I279" s="60">
        <v>0</v>
      </c>
      <c r="J279" s="60">
        <f>I279*(1+(K2))</f>
        <v>0</v>
      </c>
      <c r="K279" s="61">
        <f t="shared" si="19"/>
        <v>0</v>
      </c>
    </row>
    <row r="280" spans="1:11">
      <c r="A280" s="56" t="s">
        <v>981</v>
      </c>
      <c r="B280" s="57" t="s">
        <v>447</v>
      </c>
      <c r="C280" s="58" t="s">
        <v>50</v>
      </c>
      <c r="D280" s="58" t="s">
        <v>51</v>
      </c>
      <c r="E280" s="58">
        <v>2</v>
      </c>
      <c r="F280" s="60"/>
      <c r="G280" s="60">
        <f>F280*(1+(D2))</f>
        <v>0</v>
      </c>
      <c r="H280" s="61">
        <f t="shared" si="20"/>
        <v>0</v>
      </c>
      <c r="I280" s="60">
        <v>0</v>
      </c>
      <c r="J280" s="60">
        <f>I280*(1+(K2))</f>
        <v>0</v>
      </c>
      <c r="K280" s="61">
        <f t="shared" si="19"/>
        <v>0</v>
      </c>
    </row>
    <row r="281" spans="1:11">
      <c r="A281" s="56" t="s">
        <v>982</v>
      </c>
      <c r="B281" s="57" t="s">
        <v>448</v>
      </c>
      <c r="C281" s="58" t="s">
        <v>41</v>
      </c>
      <c r="D281" s="58" t="s">
        <v>51</v>
      </c>
      <c r="E281" s="58">
        <v>1</v>
      </c>
      <c r="F281" s="60"/>
      <c r="G281" s="60">
        <f>F281*(1+(D2))</f>
        <v>0</v>
      </c>
      <c r="H281" s="61">
        <f t="shared" si="20"/>
        <v>0</v>
      </c>
      <c r="I281" s="60">
        <v>0</v>
      </c>
      <c r="J281" s="60">
        <f>I281*(1+(K2))</f>
        <v>0</v>
      </c>
      <c r="K281" s="61">
        <f t="shared" si="19"/>
        <v>0</v>
      </c>
    </row>
    <row r="282" spans="1:11">
      <c r="A282" s="56" t="s">
        <v>983</v>
      </c>
      <c r="B282" s="57" t="s">
        <v>449</v>
      </c>
      <c r="C282" s="58" t="s">
        <v>450</v>
      </c>
      <c r="D282" s="58" t="s">
        <v>51</v>
      </c>
      <c r="E282" s="58">
        <v>15</v>
      </c>
      <c r="F282" s="60"/>
      <c r="G282" s="60">
        <f>F282*(1+(D2))</f>
        <v>0</v>
      </c>
      <c r="H282" s="61">
        <f t="shared" si="20"/>
        <v>0</v>
      </c>
      <c r="I282" s="60">
        <v>0</v>
      </c>
      <c r="J282" s="60">
        <f>I282*(1+(K2))</f>
        <v>0</v>
      </c>
      <c r="K282" s="61">
        <f t="shared" si="19"/>
        <v>0</v>
      </c>
    </row>
    <row r="283" spans="1:11">
      <c r="A283" s="56" t="s">
        <v>984</v>
      </c>
      <c r="B283" s="57" t="s">
        <v>451</v>
      </c>
      <c r="C283" s="58" t="s">
        <v>50</v>
      </c>
      <c r="D283" s="58" t="s">
        <v>51</v>
      </c>
      <c r="E283" s="58">
        <v>10</v>
      </c>
      <c r="F283" s="60"/>
      <c r="G283" s="60">
        <f>F283*(1+(D2))</f>
        <v>0</v>
      </c>
      <c r="H283" s="61">
        <f t="shared" si="20"/>
        <v>0</v>
      </c>
      <c r="I283" s="60">
        <v>0</v>
      </c>
      <c r="J283" s="60">
        <f>I283*(1+(K2))</f>
        <v>0</v>
      </c>
      <c r="K283" s="61">
        <f t="shared" si="19"/>
        <v>0</v>
      </c>
    </row>
    <row r="284" spans="1:11">
      <c r="A284" s="56" t="s">
        <v>985</v>
      </c>
      <c r="B284" s="57" t="s">
        <v>452</v>
      </c>
      <c r="C284" s="58" t="s">
        <v>74</v>
      </c>
      <c r="D284" s="58" t="s">
        <v>51</v>
      </c>
      <c r="E284" s="58">
        <v>11</v>
      </c>
      <c r="F284" s="60"/>
      <c r="G284" s="60">
        <f>F284*(1+(D2))</f>
        <v>0</v>
      </c>
      <c r="H284" s="61">
        <f t="shared" si="20"/>
        <v>0</v>
      </c>
      <c r="I284" s="60">
        <v>0</v>
      </c>
      <c r="J284" s="60">
        <f>I284*(1+(K2))</f>
        <v>0</v>
      </c>
      <c r="K284" s="61">
        <f t="shared" si="19"/>
        <v>0</v>
      </c>
    </row>
    <row r="285" spans="1:11">
      <c r="A285" s="56" t="s">
        <v>986</v>
      </c>
      <c r="B285" s="66" t="s">
        <v>453</v>
      </c>
      <c r="C285" s="58" t="s">
        <v>41</v>
      </c>
      <c r="D285" s="58" t="s">
        <v>51</v>
      </c>
      <c r="E285" s="58">
        <v>4</v>
      </c>
      <c r="F285" s="60"/>
      <c r="G285" s="60">
        <f>F285*(1+(D2))</f>
        <v>0</v>
      </c>
      <c r="H285" s="61">
        <f t="shared" si="20"/>
        <v>0</v>
      </c>
      <c r="I285" s="60">
        <v>0</v>
      </c>
      <c r="J285" s="60">
        <f>I285*(1+(K2))</f>
        <v>0</v>
      </c>
      <c r="K285" s="61">
        <f t="shared" si="19"/>
        <v>0</v>
      </c>
    </row>
    <row r="286" spans="1:11">
      <c r="A286" s="56" t="s">
        <v>987</v>
      </c>
      <c r="B286" s="57" t="s">
        <v>454</v>
      </c>
      <c r="C286" s="58" t="s">
        <v>74</v>
      </c>
      <c r="D286" s="58" t="s">
        <v>51</v>
      </c>
      <c r="E286" s="58">
        <v>8</v>
      </c>
      <c r="F286" s="60"/>
      <c r="G286" s="60">
        <f>F286*(1+(D2))</f>
        <v>0</v>
      </c>
      <c r="H286" s="61">
        <f t="shared" si="20"/>
        <v>0</v>
      </c>
      <c r="I286" s="60">
        <v>0</v>
      </c>
      <c r="J286" s="60">
        <f>I286*(1+(K2))</f>
        <v>0</v>
      </c>
      <c r="K286" s="61">
        <f t="shared" si="19"/>
        <v>0</v>
      </c>
    </row>
    <row r="287" spans="1:11">
      <c r="A287" s="56" t="s">
        <v>988</v>
      </c>
      <c r="B287" s="57" t="s">
        <v>455</v>
      </c>
      <c r="C287" s="58" t="s">
        <v>352</v>
      </c>
      <c r="D287" s="58" t="s">
        <v>51</v>
      </c>
      <c r="E287" s="58">
        <v>2</v>
      </c>
      <c r="F287" s="60"/>
      <c r="G287" s="60">
        <f>F287*(1+(D2))</f>
        <v>0</v>
      </c>
      <c r="H287" s="61">
        <f t="shared" si="20"/>
        <v>0</v>
      </c>
      <c r="I287" s="60">
        <v>0</v>
      </c>
      <c r="J287" s="60">
        <f>I287*(1+(K2))</f>
        <v>0</v>
      </c>
      <c r="K287" s="61">
        <f t="shared" si="19"/>
        <v>0</v>
      </c>
    </row>
    <row r="288" spans="1:11">
      <c r="A288" s="56" t="s">
        <v>989</v>
      </c>
      <c r="B288" s="57" t="s">
        <v>456</v>
      </c>
      <c r="C288" s="58" t="s">
        <v>41</v>
      </c>
      <c r="D288" s="58" t="s">
        <v>51</v>
      </c>
      <c r="E288" s="58">
        <v>12</v>
      </c>
      <c r="F288" s="60"/>
      <c r="G288" s="60">
        <f>F288*(1+(D2))</f>
        <v>0</v>
      </c>
      <c r="H288" s="61">
        <f t="shared" si="20"/>
        <v>0</v>
      </c>
      <c r="I288" s="60">
        <v>0</v>
      </c>
      <c r="J288" s="60">
        <f>I288*(1+(K2))</f>
        <v>0</v>
      </c>
      <c r="K288" s="61">
        <f t="shared" si="19"/>
        <v>0</v>
      </c>
    </row>
    <row r="289" spans="1:11" ht="22.5">
      <c r="A289" s="56" t="s">
        <v>990</v>
      </c>
      <c r="B289" s="57" t="s">
        <v>457</v>
      </c>
      <c r="C289" s="58" t="s">
        <v>120</v>
      </c>
      <c r="D289" s="58" t="s">
        <v>51</v>
      </c>
      <c r="E289" s="58">
        <v>18</v>
      </c>
      <c r="F289" s="60"/>
      <c r="G289" s="60">
        <f>F289*(1+(D2))</f>
        <v>0</v>
      </c>
      <c r="H289" s="61">
        <f t="shared" si="20"/>
        <v>0</v>
      </c>
      <c r="I289" s="60">
        <v>0</v>
      </c>
      <c r="J289" s="60">
        <f>I289*(1+(K2))</f>
        <v>0</v>
      </c>
      <c r="K289" s="61">
        <f t="shared" si="19"/>
        <v>0</v>
      </c>
    </row>
    <row r="290" spans="1:11" ht="22.5">
      <c r="A290" s="56" t="s">
        <v>991</v>
      </c>
      <c r="B290" s="57" t="s">
        <v>458</v>
      </c>
      <c r="C290" s="58" t="s">
        <v>74</v>
      </c>
      <c r="D290" s="58" t="s">
        <v>51</v>
      </c>
      <c r="E290" s="58">
        <v>3</v>
      </c>
      <c r="F290" s="60"/>
      <c r="G290" s="60">
        <f>F290*(1+(D2))</f>
        <v>0</v>
      </c>
      <c r="H290" s="61">
        <f t="shared" si="20"/>
        <v>0</v>
      </c>
      <c r="I290" s="60">
        <v>0</v>
      </c>
      <c r="J290" s="60">
        <f>I290*(1+(K2))</f>
        <v>0</v>
      </c>
      <c r="K290" s="61">
        <f t="shared" si="19"/>
        <v>0</v>
      </c>
    </row>
    <row r="291" spans="1:11" ht="22.5">
      <c r="A291" s="56" t="s">
        <v>992</v>
      </c>
      <c r="B291" s="57" t="s">
        <v>459</v>
      </c>
      <c r="C291" s="58" t="s">
        <v>50</v>
      </c>
      <c r="D291" s="58" t="s">
        <v>51</v>
      </c>
      <c r="E291" s="58">
        <v>1</v>
      </c>
      <c r="F291" s="60"/>
      <c r="G291" s="60">
        <f>F291*(1+(D2))</f>
        <v>0</v>
      </c>
      <c r="H291" s="61">
        <f t="shared" si="20"/>
        <v>0</v>
      </c>
      <c r="I291" s="60">
        <v>0</v>
      </c>
      <c r="J291" s="60">
        <f>I291*(1+(K2))</f>
        <v>0</v>
      </c>
      <c r="K291" s="61">
        <f t="shared" si="19"/>
        <v>0</v>
      </c>
    </row>
    <row r="292" spans="1:11">
      <c r="A292" s="56" t="s">
        <v>993</v>
      </c>
      <c r="B292" s="57" t="s">
        <v>460</v>
      </c>
      <c r="C292" s="58" t="s">
        <v>47</v>
      </c>
      <c r="D292" s="58">
        <v>39708</v>
      </c>
      <c r="E292" s="58">
        <v>38</v>
      </c>
      <c r="F292" s="60"/>
      <c r="G292" s="60">
        <f>F292*(1+(D2))</f>
        <v>0</v>
      </c>
      <c r="H292" s="61">
        <f t="shared" si="20"/>
        <v>0</v>
      </c>
      <c r="I292" s="60">
        <v>0</v>
      </c>
      <c r="J292" s="60">
        <f>I292*(1+(K2))</f>
        <v>0</v>
      </c>
      <c r="K292" s="61">
        <f t="shared" si="19"/>
        <v>0</v>
      </c>
    </row>
    <row r="293" spans="1:11">
      <c r="A293" s="56" t="s">
        <v>994</v>
      </c>
      <c r="B293" s="57" t="s">
        <v>461</v>
      </c>
      <c r="C293" s="58" t="s">
        <v>47</v>
      </c>
      <c r="D293" s="58">
        <v>39711</v>
      </c>
      <c r="E293" s="58">
        <v>24</v>
      </c>
      <c r="F293" s="60"/>
      <c r="G293" s="60">
        <f>F293*(1+(D2))</f>
        <v>0</v>
      </c>
      <c r="H293" s="61">
        <f t="shared" si="20"/>
        <v>0</v>
      </c>
      <c r="I293" s="60">
        <v>0</v>
      </c>
      <c r="J293" s="60">
        <f>I293*(1+(K2))</f>
        <v>0</v>
      </c>
      <c r="K293" s="61">
        <f t="shared" si="19"/>
        <v>0</v>
      </c>
    </row>
    <row r="294" spans="1:11">
      <c r="A294" s="56" t="s">
        <v>995</v>
      </c>
      <c r="B294" s="57" t="s">
        <v>462</v>
      </c>
      <c r="C294" s="58" t="s">
        <v>47</v>
      </c>
      <c r="D294" s="58">
        <v>39716</v>
      </c>
      <c r="E294" s="58">
        <v>18</v>
      </c>
      <c r="F294" s="60"/>
      <c r="G294" s="60">
        <f>F294*(1+(D2))</f>
        <v>0</v>
      </c>
      <c r="H294" s="61">
        <f t="shared" si="20"/>
        <v>0</v>
      </c>
      <c r="I294" s="60">
        <v>0</v>
      </c>
      <c r="J294" s="60">
        <f>I294*(1+(K2))</f>
        <v>0</v>
      </c>
      <c r="K294" s="61">
        <f t="shared" si="19"/>
        <v>0</v>
      </c>
    </row>
    <row r="295" spans="1:11">
      <c r="A295" s="56" t="s">
        <v>996</v>
      </c>
      <c r="B295" s="57" t="s">
        <v>463</v>
      </c>
      <c r="C295" s="58" t="s">
        <v>47</v>
      </c>
      <c r="D295" s="58">
        <v>39712</v>
      </c>
      <c r="E295" s="58">
        <v>36</v>
      </c>
      <c r="F295" s="60"/>
      <c r="G295" s="60">
        <f>F295*(1+(D2))</f>
        <v>0</v>
      </c>
      <c r="H295" s="61">
        <f t="shared" si="20"/>
        <v>0</v>
      </c>
      <c r="I295" s="60">
        <v>0</v>
      </c>
      <c r="J295" s="60">
        <f>I295*(1+(K2))</f>
        <v>0</v>
      </c>
      <c r="K295" s="61">
        <f t="shared" si="19"/>
        <v>0</v>
      </c>
    </row>
    <row r="296" spans="1:11">
      <c r="A296" s="56" t="s">
        <v>997</v>
      </c>
      <c r="B296" s="57" t="s">
        <v>464</v>
      </c>
      <c r="C296" s="58" t="s">
        <v>41</v>
      </c>
      <c r="D296" s="58">
        <v>9867</v>
      </c>
      <c r="E296" s="58">
        <v>6</v>
      </c>
      <c r="F296" s="60"/>
      <c r="G296" s="60">
        <f>F296*(1+(D2))</f>
        <v>0</v>
      </c>
      <c r="H296" s="61">
        <f t="shared" si="20"/>
        <v>0</v>
      </c>
      <c r="I296" s="60">
        <v>0</v>
      </c>
      <c r="J296" s="60">
        <f>I296*(1+(K2))</f>
        <v>0</v>
      </c>
      <c r="K296" s="61">
        <f t="shared" si="19"/>
        <v>0</v>
      </c>
    </row>
    <row r="297" spans="1:11">
      <c r="A297" s="56" t="s">
        <v>998</v>
      </c>
      <c r="B297" s="57" t="s">
        <v>465</v>
      </c>
      <c r="C297" s="58" t="s">
        <v>41</v>
      </c>
      <c r="D297" s="58">
        <v>3542</v>
      </c>
      <c r="E297" s="58">
        <v>5</v>
      </c>
      <c r="F297" s="60"/>
      <c r="G297" s="60">
        <f>F297*(1+(D2))</f>
        <v>0</v>
      </c>
      <c r="H297" s="61">
        <f t="shared" si="20"/>
        <v>0</v>
      </c>
      <c r="I297" s="60">
        <v>0</v>
      </c>
      <c r="J297" s="60">
        <f>I297*(1+(K2))</f>
        <v>0</v>
      </c>
      <c r="K297" s="61">
        <f t="shared" si="19"/>
        <v>0</v>
      </c>
    </row>
    <row r="298" spans="1:11">
      <c r="A298" s="56" t="s">
        <v>999</v>
      </c>
      <c r="B298" s="57" t="s">
        <v>466</v>
      </c>
      <c r="C298" s="58" t="s">
        <v>41</v>
      </c>
      <c r="D298" s="58">
        <v>7138</v>
      </c>
      <c r="E298" s="58">
        <v>5</v>
      </c>
      <c r="F298" s="60"/>
      <c r="G298" s="60">
        <f>F298*(1+(D2))</f>
        <v>0</v>
      </c>
      <c r="H298" s="61">
        <f t="shared" si="20"/>
        <v>0</v>
      </c>
      <c r="I298" s="60">
        <v>0</v>
      </c>
      <c r="J298" s="60">
        <f>I298*(1+(K2))</f>
        <v>0</v>
      </c>
      <c r="K298" s="61">
        <f t="shared" si="19"/>
        <v>0</v>
      </c>
    </row>
    <row r="299" spans="1:11">
      <c r="A299" s="56" t="s">
        <v>1000</v>
      </c>
      <c r="B299" s="57" t="s">
        <v>467</v>
      </c>
      <c r="C299" s="58" t="s">
        <v>74</v>
      </c>
      <c r="D299" s="58" t="s">
        <v>51</v>
      </c>
      <c r="E299" s="58">
        <v>1</v>
      </c>
      <c r="F299" s="60"/>
      <c r="G299" s="60">
        <f>F299*(1+(D2))</f>
        <v>0</v>
      </c>
      <c r="H299" s="61">
        <f t="shared" si="20"/>
        <v>0</v>
      </c>
      <c r="I299" s="60">
        <v>0</v>
      </c>
      <c r="J299" s="60">
        <f>I299*(1+(K2))</f>
        <v>0</v>
      </c>
      <c r="K299" s="61">
        <f t="shared" si="19"/>
        <v>0</v>
      </c>
    </row>
    <row r="300" spans="1:11">
      <c r="A300" s="56" t="s">
        <v>1001</v>
      </c>
      <c r="B300" s="57" t="s">
        <v>468</v>
      </c>
      <c r="C300" s="58" t="s">
        <v>41</v>
      </c>
      <c r="D300" s="58" t="s">
        <v>51</v>
      </c>
      <c r="E300" s="58">
        <v>6</v>
      </c>
      <c r="F300" s="60"/>
      <c r="G300" s="60">
        <f>F300*(1+(D2))</f>
        <v>0</v>
      </c>
      <c r="H300" s="61">
        <f t="shared" si="20"/>
        <v>0</v>
      </c>
      <c r="I300" s="60">
        <v>0</v>
      </c>
      <c r="J300" s="60">
        <f>I300*(1+(K2))</f>
        <v>0</v>
      </c>
      <c r="K300" s="61">
        <f t="shared" si="19"/>
        <v>0</v>
      </c>
    </row>
    <row r="301" spans="1:11">
      <c r="A301" s="56" t="s">
        <v>1002</v>
      </c>
      <c r="B301" s="57" t="s">
        <v>469</v>
      </c>
      <c r="C301" s="58" t="s">
        <v>47</v>
      </c>
      <c r="D301" s="58">
        <v>39660</v>
      </c>
      <c r="E301" s="58">
        <v>17</v>
      </c>
      <c r="F301" s="60"/>
      <c r="G301" s="60">
        <f>F301*(1+(D2))</f>
        <v>0</v>
      </c>
      <c r="H301" s="61">
        <f t="shared" si="20"/>
        <v>0</v>
      </c>
      <c r="I301" s="60">
        <v>0</v>
      </c>
      <c r="J301" s="60">
        <f>I301*(1+(K2))</f>
        <v>0</v>
      </c>
      <c r="K301" s="61">
        <f t="shared" si="19"/>
        <v>0</v>
      </c>
    </row>
    <row r="302" spans="1:11">
      <c r="A302" s="56" t="s">
        <v>1003</v>
      </c>
      <c r="B302" s="57" t="s">
        <v>470</v>
      </c>
      <c r="C302" s="58" t="s">
        <v>47</v>
      </c>
      <c r="D302" s="58">
        <v>39665</v>
      </c>
      <c r="E302" s="58">
        <v>19</v>
      </c>
      <c r="F302" s="60"/>
      <c r="G302" s="60">
        <f>F302*(1+(D2))</f>
        <v>0</v>
      </c>
      <c r="H302" s="61">
        <f t="shared" si="20"/>
        <v>0</v>
      </c>
      <c r="I302" s="60">
        <v>0</v>
      </c>
      <c r="J302" s="60">
        <f>I302*(1+(K2))</f>
        <v>0</v>
      </c>
      <c r="K302" s="61">
        <f t="shared" si="19"/>
        <v>0</v>
      </c>
    </row>
    <row r="303" spans="1:11">
      <c r="A303" s="56" t="s">
        <v>1004</v>
      </c>
      <c r="B303" s="57" t="s">
        <v>471</v>
      </c>
      <c r="C303" s="58" t="s">
        <v>47</v>
      </c>
      <c r="D303" s="58">
        <v>39664</v>
      </c>
      <c r="E303" s="58">
        <v>36.26</v>
      </c>
      <c r="F303" s="60"/>
      <c r="G303" s="60">
        <f>F303*(1+(D2))</f>
        <v>0</v>
      </c>
      <c r="H303" s="61">
        <f t="shared" si="20"/>
        <v>0</v>
      </c>
      <c r="I303" s="60">
        <v>0</v>
      </c>
      <c r="J303" s="60">
        <f>I303*(1+(K2))</f>
        <v>0</v>
      </c>
      <c r="K303" s="61">
        <f t="shared" si="19"/>
        <v>0</v>
      </c>
    </row>
    <row r="304" spans="1:11">
      <c r="A304" s="56" t="s">
        <v>1005</v>
      </c>
      <c r="B304" s="57" t="s">
        <v>472</v>
      </c>
      <c r="C304" s="58" t="s">
        <v>47</v>
      </c>
      <c r="D304" s="58">
        <v>39662</v>
      </c>
      <c r="E304" s="58">
        <v>34.39</v>
      </c>
      <c r="F304" s="60"/>
      <c r="G304" s="60">
        <f>F304*(1+(D2))</f>
        <v>0</v>
      </c>
      <c r="H304" s="61">
        <f t="shared" si="20"/>
        <v>0</v>
      </c>
      <c r="I304" s="60">
        <v>0</v>
      </c>
      <c r="J304" s="60">
        <f>I304*(1+(K2))</f>
        <v>0</v>
      </c>
      <c r="K304" s="61">
        <f t="shared" si="19"/>
        <v>0</v>
      </c>
    </row>
    <row r="305" spans="1:11">
      <c r="A305" s="56" t="s">
        <v>1006</v>
      </c>
      <c r="B305" s="57" t="s">
        <v>473</v>
      </c>
      <c r="C305" s="58" t="s">
        <v>74</v>
      </c>
      <c r="D305" s="58" t="s">
        <v>51</v>
      </c>
      <c r="E305" s="58">
        <v>2</v>
      </c>
      <c r="F305" s="60"/>
      <c r="G305" s="60">
        <f>F305*(1+(D2))</f>
        <v>0</v>
      </c>
      <c r="H305" s="61">
        <f t="shared" si="20"/>
        <v>0</v>
      </c>
      <c r="I305" s="60">
        <v>0</v>
      </c>
      <c r="J305" s="60">
        <f>I305*(1+(K2))</f>
        <v>0</v>
      </c>
      <c r="K305" s="61">
        <f t="shared" si="19"/>
        <v>0</v>
      </c>
    </row>
    <row r="306" spans="1:11">
      <c r="A306" s="56" t="s">
        <v>1007</v>
      </c>
      <c r="B306" s="57" t="s">
        <v>474</v>
      </c>
      <c r="C306" s="58" t="s">
        <v>74</v>
      </c>
      <c r="D306" s="58" t="s">
        <v>51</v>
      </c>
      <c r="E306" s="58">
        <v>8</v>
      </c>
      <c r="F306" s="60"/>
      <c r="G306" s="60">
        <f>F306*(1+(D2))</f>
        <v>0</v>
      </c>
      <c r="H306" s="61">
        <f t="shared" si="20"/>
        <v>0</v>
      </c>
      <c r="I306" s="60">
        <v>0</v>
      </c>
      <c r="J306" s="60">
        <f>I306*(1+(K2))</f>
        <v>0</v>
      </c>
      <c r="K306" s="61">
        <f t="shared" si="19"/>
        <v>0</v>
      </c>
    </row>
    <row r="307" spans="1:11">
      <c r="A307" s="56" t="s">
        <v>1008</v>
      </c>
      <c r="B307" s="57" t="s">
        <v>1184</v>
      </c>
      <c r="C307" s="58" t="s">
        <v>41</v>
      </c>
      <c r="D307" s="58" t="s">
        <v>51</v>
      </c>
      <c r="E307" s="58">
        <v>10</v>
      </c>
      <c r="F307" s="60"/>
      <c r="G307" s="60">
        <f>F307*(1+(D2))</f>
        <v>0</v>
      </c>
      <c r="H307" s="61">
        <f t="shared" si="20"/>
        <v>0</v>
      </c>
      <c r="I307" s="60">
        <v>0</v>
      </c>
      <c r="J307" s="60">
        <f>I307*(1+(K2))</f>
        <v>0</v>
      </c>
      <c r="K307" s="61">
        <f t="shared" si="19"/>
        <v>0</v>
      </c>
    </row>
    <row r="308" spans="1:11">
      <c r="A308" s="56" t="s">
        <v>1009</v>
      </c>
      <c r="B308" s="57" t="s">
        <v>1181</v>
      </c>
      <c r="C308" s="58" t="s">
        <v>41</v>
      </c>
      <c r="D308" s="58" t="s">
        <v>51</v>
      </c>
      <c r="E308" s="58">
        <v>10</v>
      </c>
      <c r="F308" s="60"/>
      <c r="G308" s="60">
        <f>F308*(1+(D2))</f>
        <v>0</v>
      </c>
      <c r="H308" s="61">
        <f t="shared" ref="H308:H310" si="21">G308*E308</f>
        <v>0</v>
      </c>
      <c r="I308" s="60">
        <v>0</v>
      </c>
      <c r="J308" s="60">
        <f>I308*(1+(K2))</f>
        <v>0</v>
      </c>
      <c r="K308" s="61">
        <f t="shared" ref="K308:K310" si="22">J308*E308</f>
        <v>0</v>
      </c>
    </row>
    <row r="309" spans="1:11" ht="22.5">
      <c r="A309" s="56" t="s">
        <v>1010</v>
      </c>
      <c r="B309" s="57" t="s">
        <v>1182</v>
      </c>
      <c r="C309" s="58" t="s">
        <v>41</v>
      </c>
      <c r="D309" s="58" t="s">
        <v>51</v>
      </c>
      <c r="E309" s="58">
        <v>10</v>
      </c>
      <c r="F309" s="60"/>
      <c r="G309" s="60">
        <f>F309*(1+(D2))</f>
        <v>0</v>
      </c>
      <c r="H309" s="61">
        <f t="shared" si="21"/>
        <v>0</v>
      </c>
      <c r="I309" s="60">
        <v>0</v>
      </c>
      <c r="J309" s="60">
        <f>I309*(1+(K2))</f>
        <v>0</v>
      </c>
      <c r="K309" s="61">
        <f t="shared" si="22"/>
        <v>0</v>
      </c>
    </row>
    <row r="310" spans="1:11">
      <c r="A310" s="56" t="s">
        <v>1011</v>
      </c>
      <c r="B310" s="57" t="s">
        <v>1183</v>
      </c>
      <c r="C310" s="58" t="s">
        <v>41</v>
      </c>
      <c r="D310" s="58" t="s">
        <v>51</v>
      </c>
      <c r="E310" s="58">
        <v>6</v>
      </c>
      <c r="F310" s="60"/>
      <c r="G310" s="60">
        <f>F310*(1+(D2))</f>
        <v>0</v>
      </c>
      <c r="H310" s="61">
        <f t="shared" si="21"/>
        <v>0</v>
      </c>
      <c r="I310" s="60">
        <v>0</v>
      </c>
      <c r="J310" s="60">
        <f>I310*(1+(K2))</f>
        <v>0</v>
      </c>
      <c r="K310" s="61">
        <f t="shared" si="22"/>
        <v>0</v>
      </c>
    </row>
    <row r="311" spans="1:11">
      <c r="A311" s="11" t="s">
        <v>1012</v>
      </c>
      <c r="B311" s="12" t="s">
        <v>475</v>
      </c>
      <c r="C311" s="13"/>
      <c r="D311" s="775"/>
      <c r="E311" s="775"/>
      <c r="F311" s="775" t="s">
        <v>1231</v>
      </c>
      <c r="G311" s="775"/>
      <c r="H311" s="14">
        <f>SUM(H312:H405)</f>
        <v>0</v>
      </c>
      <c r="I311" s="775" t="s">
        <v>1232</v>
      </c>
      <c r="J311" s="775"/>
      <c r="K311" s="14">
        <f>SUM(K312:K405)</f>
        <v>0</v>
      </c>
    </row>
    <row r="312" spans="1:11" ht="22.5">
      <c r="A312" s="56" t="s">
        <v>1013</v>
      </c>
      <c r="B312" s="57" t="s">
        <v>476</v>
      </c>
      <c r="C312" s="58" t="s">
        <v>47</v>
      </c>
      <c r="D312" s="59" t="s">
        <v>477</v>
      </c>
      <c r="E312" s="162">
        <v>9000</v>
      </c>
      <c r="F312" s="60"/>
      <c r="G312" s="60">
        <f>F312*(1+(D2))</f>
        <v>0</v>
      </c>
      <c r="H312" s="61">
        <f t="shared" ref="H312:H337" si="23">G312*E312</f>
        <v>0</v>
      </c>
      <c r="I312" s="60">
        <v>0</v>
      </c>
      <c r="J312" s="60">
        <f>I312*(1+(K2))</f>
        <v>0</v>
      </c>
      <c r="K312" s="61">
        <f t="shared" ref="K312:K375" si="24">J312*E312</f>
        <v>0</v>
      </c>
    </row>
    <row r="313" spans="1:11">
      <c r="A313" s="56" t="s">
        <v>1014</v>
      </c>
      <c r="B313" s="57" t="s">
        <v>478</v>
      </c>
      <c r="C313" s="58" t="s">
        <v>47</v>
      </c>
      <c r="D313" s="59" t="s">
        <v>479</v>
      </c>
      <c r="E313" s="58">
        <v>90</v>
      </c>
      <c r="F313" s="60"/>
      <c r="G313" s="60">
        <f>F313*(1+(D2))</f>
        <v>0</v>
      </c>
      <c r="H313" s="61">
        <f t="shared" si="23"/>
        <v>0</v>
      </c>
      <c r="I313" s="60">
        <v>0</v>
      </c>
      <c r="J313" s="60">
        <f>I313*(1+(K2))</f>
        <v>0</v>
      </c>
      <c r="K313" s="61">
        <f t="shared" si="24"/>
        <v>0</v>
      </c>
    </row>
    <row r="314" spans="1:11">
      <c r="A314" s="56" t="s">
        <v>1015</v>
      </c>
      <c r="B314" s="57" t="s">
        <v>1198</v>
      </c>
      <c r="C314" s="58" t="s">
        <v>41</v>
      </c>
      <c r="D314" s="58" t="s">
        <v>51</v>
      </c>
      <c r="E314" s="58">
        <v>2</v>
      </c>
      <c r="F314" s="60"/>
      <c r="G314" s="60">
        <f>F314*(1+(D2))</f>
        <v>0</v>
      </c>
      <c r="H314" s="61">
        <f t="shared" si="23"/>
        <v>0</v>
      </c>
      <c r="I314" s="60">
        <v>0</v>
      </c>
      <c r="J314" s="60">
        <f>I314*(1+(K2))</f>
        <v>0</v>
      </c>
      <c r="K314" s="61">
        <f t="shared" si="24"/>
        <v>0</v>
      </c>
    </row>
    <row r="315" spans="1:11">
      <c r="A315" s="56" t="s">
        <v>1016</v>
      </c>
      <c r="B315" s="57" t="s">
        <v>480</v>
      </c>
      <c r="C315" s="58" t="s">
        <v>47</v>
      </c>
      <c r="D315" s="59" t="s">
        <v>481</v>
      </c>
      <c r="E315" s="58">
        <v>185</v>
      </c>
      <c r="F315" s="60"/>
      <c r="G315" s="60">
        <f>F315*(1+(D2))</f>
        <v>0</v>
      </c>
      <c r="H315" s="61">
        <f t="shared" si="23"/>
        <v>0</v>
      </c>
      <c r="I315" s="60">
        <v>0</v>
      </c>
      <c r="J315" s="60">
        <f>I315*(1+(K2))</f>
        <v>0</v>
      </c>
      <c r="K315" s="61">
        <f t="shared" si="24"/>
        <v>0</v>
      </c>
    </row>
    <row r="316" spans="1:11">
      <c r="A316" s="56" t="s">
        <v>1017</v>
      </c>
      <c r="B316" s="57" t="s">
        <v>482</v>
      </c>
      <c r="C316" s="58" t="s">
        <v>41</v>
      </c>
      <c r="D316" s="58" t="s">
        <v>51</v>
      </c>
      <c r="E316" s="58">
        <v>16</v>
      </c>
      <c r="F316" s="60"/>
      <c r="G316" s="60">
        <f>F316*(1+(D2))</f>
        <v>0</v>
      </c>
      <c r="H316" s="61">
        <f t="shared" si="23"/>
        <v>0</v>
      </c>
      <c r="I316" s="60">
        <v>0</v>
      </c>
      <c r="J316" s="60">
        <f>I316*(1+(K2))</f>
        <v>0</v>
      </c>
      <c r="K316" s="61">
        <f t="shared" si="24"/>
        <v>0</v>
      </c>
    </row>
    <row r="317" spans="1:11">
      <c r="A317" s="56" t="s">
        <v>1018</v>
      </c>
      <c r="B317" s="57" t="s">
        <v>483</v>
      </c>
      <c r="C317" s="58" t="s">
        <v>50</v>
      </c>
      <c r="D317" s="58" t="s">
        <v>51</v>
      </c>
      <c r="E317" s="58">
        <v>1</v>
      </c>
      <c r="F317" s="60"/>
      <c r="G317" s="60">
        <f>F317*(1+(D2))</f>
        <v>0</v>
      </c>
      <c r="H317" s="61">
        <f t="shared" si="23"/>
        <v>0</v>
      </c>
      <c r="I317" s="60">
        <v>0</v>
      </c>
      <c r="J317" s="60">
        <f>I317*(1+(K2))</f>
        <v>0</v>
      </c>
      <c r="K317" s="61">
        <f t="shared" si="24"/>
        <v>0</v>
      </c>
    </row>
    <row r="318" spans="1:11">
      <c r="A318" s="56" t="s">
        <v>1019</v>
      </c>
      <c r="B318" s="57" t="s">
        <v>484</v>
      </c>
      <c r="C318" s="58" t="s">
        <v>41</v>
      </c>
      <c r="D318" s="59" t="s">
        <v>485</v>
      </c>
      <c r="E318" s="58">
        <v>120</v>
      </c>
      <c r="F318" s="60"/>
      <c r="G318" s="60">
        <f>F318*(1+(D2))</f>
        <v>0</v>
      </c>
      <c r="H318" s="61">
        <f t="shared" si="23"/>
        <v>0</v>
      </c>
      <c r="I318" s="60">
        <v>0</v>
      </c>
      <c r="J318" s="60">
        <f>I318*(1+(K2))</f>
        <v>0</v>
      </c>
      <c r="K318" s="61">
        <f t="shared" si="24"/>
        <v>0</v>
      </c>
    </row>
    <row r="319" spans="1:11">
      <c r="A319" s="56" t="s">
        <v>1020</v>
      </c>
      <c r="B319" s="57" t="s">
        <v>1196</v>
      </c>
      <c r="C319" s="58" t="s">
        <v>41</v>
      </c>
      <c r="D319" s="59" t="s">
        <v>486</v>
      </c>
      <c r="E319" s="58">
        <v>200</v>
      </c>
      <c r="F319" s="60"/>
      <c r="G319" s="60">
        <f>F319*(1+(D2))</f>
        <v>0</v>
      </c>
      <c r="H319" s="61">
        <f t="shared" si="23"/>
        <v>0</v>
      </c>
      <c r="I319" s="60">
        <v>0</v>
      </c>
      <c r="J319" s="60">
        <f>I319*(1+(K2))</f>
        <v>0</v>
      </c>
      <c r="K319" s="61">
        <f t="shared" si="24"/>
        <v>0</v>
      </c>
    </row>
    <row r="320" spans="1:11">
      <c r="A320" s="56" t="s">
        <v>1021</v>
      </c>
      <c r="B320" s="57" t="s">
        <v>487</v>
      </c>
      <c r="C320" s="58" t="s">
        <v>50</v>
      </c>
      <c r="D320" s="58" t="s">
        <v>51</v>
      </c>
      <c r="E320" s="58">
        <v>1</v>
      </c>
      <c r="F320" s="60"/>
      <c r="G320" s="60">
        <f>F320*(1+(D2))</f>
        <v>0</v>
      </c>
      <c r="H320" s="61">
        <f t="shared" si="23"/>
        <v>0</v>
      </c>
      <c r="I320" s="60">
        <v>0</v>
      </c>
      <c r="J320" s="60">
        <f>I320*(1+(K2))</f>
        <v>0</v>
      </c>
      <c r="K320" s="61">
        <f t="shared" si="24"/>
        <v>0</v>
      </c>
    </row>
    <row r="321" spans="1:11">
      <c r="A321" s="56" t="s">
        <v>1022</v>
      </c>
      <c r="B321" s="57" t="s">
        <v>488</v>
      </c>
      <c r="C321" s="58" t="s">
        <v>41</v>
      </c>
      <c r="D321" s="58" t="s">
        <v>51</v>
      </c>
      <c r="E321" s="58">
        <v>10</v>
      </c>
      <c r="F321" s="60"/>
      <c r="G321" s="60">
        <f>F321*(1+(D2))</f>
        <v>0</v>
      </c>
      <c r="H321" s="61">
        <f t="shared" si="23"/>
        <v>0</v>
      </c>
      <c r="I321" s="60">
        <v>0</v>
      </c>
      <c r="J321" s="60">
        <f>I321*(1+(K2))</f>
        <v>0</v>
      </c>
      <c r="K321" s="61">
        <f t="shared" si="24"/>
        <v>0</v>
      </c>
    </row>
    <row r="322" spans="1:11">
      <c r="A322" s="56" t="s">
        <v>1023</v>
      </c>
      <c r="B322" s="57" t="s">
        <v>489</v>
      </c>
      <c r="C322" s="58" t="s">
        <v>41</v>
      </c>
      <c r="D322" s="59" t="s">
        <v>490</v>
      </c>
      <c r="E322" s="58">
        <v>120</v>
      </c>
      <c r="F322" s="60"/>
      <c r="G322" s="60">
        <f>F322*(1+(D2))</f>
        <v>0</v>
      </c>
      <c r="H322" s="61">
        <f t="shared" si="23"/>
        <v>0</v>
      </c>
      <c r="I322" s="60">
        <v>0</v>
      </c>
      <c r="J322" s="60">
        <f>I322*(1+(K2))</f>
        <v>0</v>
      </c>
      <c r="K322" s="61">
        <f t="shared" si="24"/>
        <v>0</v>
      </c>
    </row>
    <row r="323" spans="1:11" ht="22.5">
      <c r="A323" s="56" t="s">
        <v>1024</v>
      </c>
      <c r="B323" s="57" t="s">
        <v>491</v>
      </c>
      <c r="C323" s="58" t="s">
        <v>41</v>
      </c>
      <c r="D323" s="58" t="s">
        <v>51</v>
      </c>
      <c r="E323" s="58">
        <v>60</v>
      </c>
      <c r="F323" s="60"/>
      <c r="G323" s="60">
        <f>F323*(1+(D2))</f>
        <v>0</v>
      </c>
      <c r="H323" s="61">
        <f t="shared" si="23"/>
        <v>0</v>
      </c>
      <c r="I323" s="60">
        <v>0</v>
      </c>
      <c r="J323" s="60">
        <f>I323*(1+(K2))</f>
        <v>0</v>
      </c>
      <c r="K323" s="61">
        <f t="shared" si="24"/>
        <v>0</v>
      </c>
    </row>
    <row r="324" spans="1:11">
      <c r="A324" s="56" t="s">
        <v>1025</v>
      </c>
      <c r="B324" s="57" t="s">
        <v>492</v>
      </c>
      <c r="C324" s="58" t="s">
        <v>41</v>
      </c>
      <c r="D324" s="59" t="s">
        <v>493</v>
      </c>
      <c r="E324" s="58">
        <v>100</v>
      </c>
      <c r="F324" s="60"/>
      <c r="G324" s="60">
        <f>F324*(1+(D2))</f>
        <v>0</v>
      </c>
      <c r="H324" s="61">
        <f t="shared" si="23"/>
        <v>0</v>
      </c>
      <c r="I324" s="60">
        <v>0</v>
      </c>
      <c r="J324" s="60">
        <f>I324*(1+(K2))</f>
        <v>0</v>
      </c>
      <c r="K324" s="61">
        <f t="shared" si="24"/>
        <v>0</v>
      </c>
    </row>
    <row r="325" spans="1:11">
      <c r="A325" s="56" t="s">
        <v>1026</v>
      </c>
      <c r="B325" s="57" t="s">
        <v>494</v>
      </c>
      <c r="C325" s="58" t="s">
        <v>41</v>
      </c>
      <c r="D325" s="58" t="s">
        <v>51</v>
      </c>
      <c r="E325" s="58">
        <v>20</v>
      </c>
      <c r="F325" s="60"/>
      <c r="G325" s="60">
        <f>F325*(1+(D2))</f>
        <v>0</v>
      </c>
      <c r="H325" s="61">
        <f t="shared" si="23"/>
        <v>0</v>
      </c>
      <c r="I325" s="60">
        <v>0</v>
      </c>
      <c r="J325" s="60">
        <f>I325*(1+(K2))</f>
        <v>0</v>
      </c>
      <c r="K325" s="61">
        <f t="shared" si="24"/>
        <v>0</v>
      </c>
    </row>
    <row r="326" spans="1:11">
      <c r="A326" s="56" t="s">
        <v>1027</v>
      </c>
      <c r="B326" s="57" t="s">
        <v>495</v>
      </c>
      <c r="C326" s="58" t="s">
        <v>74</v>
      </c>
      <c r="D326" s="58" t="s">
        <v>51</v>
      </c>
      <c r="E326" s="58">
        <v>1</v>
      </c>
      <c r="F326" s="60"/>
      <c r="G326" s="60">
        <f>F326*(1+(D2))</f>
        <v>0</v>
      </c>
      <c r="H326" s="61">
        <f t="shared" si="23"/>
        <v>0</v>
      </c>
      <c r="I326" s="60">
        <v>0</v>
      </c>
      <c r="J326" s="60">
        <f>I326*(1+(K2))</f>
        <v>0</v>
      </c>
      <c r="K326" s="61">
        <f t="shared" si="24"/>
        <v>0</v>
      </c>
    </row>
    <row r="327" spans="1:11">
      <c r="A327" s="56" t="s">
        <v>1028</v>
      </c>
      <c r="B327" s="57" t="s">
        <v>496</v>
      </c>
      <c r="C327" s="58" t="s">
        <v>47</v>
      </c>
      <c r="D327" s="59" t="s">
        <v>497</v>
      </c>
      <c r="E327" s="58">
        <v>60</v>
      </c>
      <c r="F327" s="60"/>
      <c r="G327" s="60">
        <f>F327*(1+(D2))</f>
        <v>0</v>
      </c>
      <c r="H327" s="61">
        <f t="shared" si="23"/>
        <v>0</v>
      </c>
      <c r="I327" s="60">
        <v>0</v>
      </c>
      <c r="J327" s="60">
        <f>I327*(1+(K2))</f>
        <v>0</v>
      </c>
      <c r="K327" s="61">
        <f t="shared" si="24"/>
        <v>0</v>
      </c>
    </row>
    <row r="328" spans="1:11" ht="22.5">
      <c r="A328" s="56" t="s">
        <v>1029</v>
      </c>
      <c r="B328" s="57" t="s">
        <v>498</v>
      </c>
      <c r="C328" s="58" t="s">
        <v>41</v>
      </c>
      <c r="D328" s="59" t="s">
        <v>499</v>
      </c>
      <c r="E328" s="58">
        <v>87</v>
      </c>
      <c r="F328" s="60"/>
      <c r="G328" s="60">
        <f>F328*(1+(D2))</f>
        <v>0</v>
      </c>
      <c r="H328" s="61">
        <f t="shared" si="23"/>
        <v>0</v>
      </c>
      <c r="I328" s="60">
        <v>0</v>
      </c>
      <c r="J328" s="60">
        <f>I328*(1+(K2))</f>
        <v>0</v>
      </c>
      <c r="K328" s="61">
        <f t="shared" si="24"/>
        <v>0</v>
      </c>
    </row>
    <row r="329" spans="1:11">
      <c r="A329" s="56" t="s">
        <v>1030</v>
      </c>
      <c r="B329" s="57" t="s">
        <v>500</v>
      </c>
      <c r="C329" s="58" t="s">
        <v>41</v>
      </c>
      <c r="D329" s="58" t="s">
        <v>51</v>
      </c>
      <c r="E329" s="58">
        <v>20</v>
      </c>
      <c r="F329" s="60"/>
      <c r="G329" s="60">
        <f>F329*(1+(D2))</f>
        <v>0</v>
      </c>
      <c r="H329" s="61">
        <f t="shared" si="23"/>
        <v>0</v>
      </c>
      <c r="I329" s="60">
        <v>0</v>
      </c>
      <c r="J329" s="60">
        <f>I329*(1+(K2))</f>
        <v>0</v>
      </c>
      <c r="K329" s="61">
        <f t="shared" si="24"/>
        <v>0</v>
      </c>
    </row>
    <row r="330" spans="1:11">
      <c r="A330" s="56" t="s">
        <v>1031</v>
      </c>
      <c r="B330" s="57" t="s">
        <v>1197</v>
      </c>
      <c r="C330" s="58" t="s">
        <v>41</v>
      </c>
      <c r="D330" s="59" t="s">
        <v>501</v>
      </c>
      <c r="E330" s="58">
        <v>2</v>
      </c>
      <c r="F330" s="60"/>
      <c r="G330" s="60">
        <f>F330*(1+(D2))</f>
        <v>0</v>
      </c>
      <c r="H330" s="61">
        <f t="shared" si="23"/>
        <v>0</v>
      </c>
      <c r="I330" s="60">
        <v>0</v>
      </c>
      <c r="J330" s="60">
        <f>I330*(1+(K2))</f>
        <v>0</v>
      </c>
      <c r="K330" s="61">
        <f t="shared" si="24"/>
        <v>0</v>
      </c>
    </row>
    <row r="331" spans="1:11">
      <c r="A331" s="56" t="s">
        <v>1032</v>
      </c>
      <c r="B331" s="57" t="s">
        <v>502</v>
      </c>
      <c r="C331" s="58" t="s">
        <v>41</v>
      </c>
      <c r="D331" s="59" t="s">
        <v>503</v>
      </c>
      <c r="E331" s="58">
        <v>11</v>
      </c>
      <c r="F331" s="60"/>
      <c r="G331" s="60">
        <f>F331*(1+(D2))</f>
        <v>0</v>
      </c>
      <c r="H331" s="61">
        <f t="shared" si="23"/>
        <v>0</v>
      </c>
      <c r="I331" s="60">
        <v>0</v>
      </c>
      <c r="J331" s="60">
        <f>I331*(1+(K2))</f>
        <v>0</v>
      </c>
      <c r="K331" s="61">
        <f t="shared" si="24"/>
        <v>0</v>
      </c>
    </row>
    <row r="332" spans="1:11">
      <c r="A332" s="56" t="s">
        <v>1033</v>
      </c>
      <c r="B332" s="57" t="s">
        <v>504</v>
      </c>
      <c r="C332" s="58" t="s">
        <v>47</v>
      </c>
      <c r="D332" s="58" t="s">
        <v>51</v>
      </c>
      <c r="E332" s="58">
        <v>50</v>
      </c>
      <c r="F332" s="60"/>
      <c r="G332" s="60">
        <f>F332*(1+(D2))</f>
        <v>0</v>
      </c>
      <c r="H332" s="61">
        <f t="shared" si="23"/>
        <v>0</v>
      </c>
      <c r="I332" s="60">
        <v>0</v>
      </c>
      <c r="J332" s="60">
        <f>I332*(1+(K2))</f>
        <v>0</v>
      </c>
      <c r="K332" s="61">
        <f t="shared" si="24"/>
        <v>0</v>
      </c>
    </row>
    <row r="333" spans="1:11">
      <c r="A333" s="56" t="s">
        <v>1034</v>
      </c>
      <c r="B333" s="57" t="s">
        <v>505</v>
      </c>
      <c r="C333" s="58" t="s">
        <v>41</v>
      </c>
      <c r="D333" s="59" t="s">
        <v>506</v>
      </c>
      <c r="E333" s="58">
        <v>9</v>
      </c>
      <c r="F333" s="60"/>
      <c r="G333" s="60">
        <f>F333*(1+(D2))</f>
        <v>0</v>
      </c>
      <c r="H333" s="61">
        <f t="shared" si="23"/>
        <v>0</v>
      </c>
      <c r="I333" s="60">
        <v>0</v>
      </c>
      <c r="J333" s="60">
        <f>I333*(1+(K2))</f>
        <v>0</v>
      </c>
      <c r="K333" s="61">
        <f t="shared" si="24"/>
        <v>0</v>
      </c>
    </row>
    <row r="334" spans="1:11">
      <c r="A334" s="56" t="s">
        <v>1035</v>
      </c>
      <c r="B334" s="57" t="s">
        <v>1195</v>
      </c>
      <c r="C334" s="58" t="s">
        <v>41</v>
      </c>
      <c r="D334" s="59" t="s">
        <v>507</v>
      </c>
      <c r="E334" s="58">
        <v>50</v>
      </c>
      <c r="F334" s="60"/>
      <c r="G334" s="60">
        <f>F334*(1+(D2))</f>
        <v>0</v>
      </c>
      <c r="H334" s="61">
        <f t="shared" si="23"/>
        <v>0</v>
      </c>
      <c r="I334" s="60">
        <v>0</v>
      </c>
      <c r="J334" s="60">
        <f>I334*(1+(K2))</f>
        <v>0</v>
      </c>
      <c r="K334" s="61">
        <f t="shared" si="24"/>
        <v>0</v>
      </c>
    </row>
    <row r="335" spans="1:11">
      <c r="A335" s="56" t="s">
        <v>1036</v>
      </c>
      <c r="B335" s="57" t="s">
        <v>508</v>
      </c>
      <c r="C335" s="58" t="s">
        <v>120</v>
      </c>
      <c r="D335" s="59" t="s">
        <v>509</v>
      </c>
      <c r="E335" s="58">
        <v>140</v>
      </c>
      <c r="F335" s="60"/>
      <c r="G335" s="60">
        <f>F335*(1+(D2))</f>
        <v>0</v>
      </c>
      <c r="H335" s="61">
        <f t="shared" si="23"/>
        <v>0</v>
      </c>
      <c r="I335" s="60">
        <v>0</v>
      </c>
      <c r="J335" s="60">
        <f>I335*(1+(K2))</f>
        <v>0</v>
      </c>
      <c r="K335" s="61">
        <f t="shared" si="24"/>
        <v>0</v>
      </c>
    </row>
    <row r="336" spans="1:11" ht="22.5">
      <c r="A336" s="56" t="s">
        <v>1037</v>
      </c>
      <c r="B336" s="57" t="s">
        <v>510</v>
      </c>
      <c r="C336" s="58" t="s">
        <v>74</v>
      </c>
      <c r="D336" s="58" t="s">
        <v>51</v>
      </c>
      <c r="E336" s="58">
        <v>1</v>
      </c>
      <c r="F336" s="60"/>
      <c r="G336" s="60">
        <f>F336*(1+(D2))</f>
        <v>0</v>
      </c>
      <c r="H336" s="61">
        <f t="shared" si="23"/>
        <v>0</v>
      </c>
      <c r="I336" s="60">
        <v>0</v>
      </c>
      <c r="J336" s="60">
        <f>I336*(1+(K2))</f>
        <v>0</v>
      </c>
      <c r="K336" s="61">
        <f t="shared" si="24"/>
        <v>0</v>
      </c>
    </row>
    <row r="337" spans="1:11">
      <c r="A337" s="56" t="s">
        <v>1038</v>
      </c>
      <c r="B337" s="57" t="s">
        <v>511</v>
      </c>
      <c r="C337" s="58" t="s">
        <v>47</v>
      </c>
      <c r="D337" s="59" t="s">
        <v>512</v>
      </c>
      <c r="E337" s="58">
        <v>270</v>
      </c>
      <c r="F337" s="60"/>
      <c r="G337" s="60">
        <f>F337*(1+(D2))</f>
        <v>0</v>
      </c>
      <c r="H337" s="61">
        <f t="shared" si="23"/>
        <v>0</v>
      </c>
      <c r="I337" s="60">
        <v>0</v>
      </c>
      <c r="J337" s="60">
        <f>I337*(1+(K2))</f>
        <v>0</v>
      </c>
      <c r="K337" s="61">
        <f t="shared" si="24"/>
        <v>0</v>
      </c>
    </row>
    <row r="338" spans="1:11">
      <c r="A338" s="56" t="s">
        <v>1039</v>
      </c>
      <c r="B338" s="57" t="s">
        <v>513</v>
      </c>
      <c r="C338" s="58" t="s">
        <v>41</v>
      </c>
      <c r="D338" s="59" t="s">
        <v>514</v>
      </c>
      <c r="E338" s="58">
        <v>20</v>
      </c>
      <c r="F338" s="60"/>
      <c r="G338" s="60">
        <f>F338*(1+(D2))</f>
        <v>0</v>
      </c>
      <c r="H338" s="61">
        <f t="shared" ref="H338:H368" si="25">G338*E338</f>
        <v>0</v>
      </c>
      <c r="I338" s="60">
        <v>0</v>
      </c>
      <c r="J338" s="60">
        <f>I338*(1+(K2))</f>
        <v>0</v>
      </c>
      <c r="K338" s="61">
        <f t="shared" si="24"/>
        <v>0</v>
      </c>
    </row>
    <row r="339" spans="1:11">
      <c r="A339" s="56" t="s">
        <v>1040</v>
      </c>
      <c r="B339" s="57" t="s">
        <v>515</v>
      </c>
      <c r="C339" s="58" t="s">
        <v>50</v>
      </c>
      <c r="D339" s="59" t="s">
        <v>516</v>
      </c>
      <c r="E339" s="58">
        <v>2</v>
      </c>
      <c r="F339" s="60"/>
      <c r="G339" s="60">
        <f>F339*(1+(D2))</f>
        <v>0</v>
      </c>
      <c r="H339" s="61">
        <f t="shared" si="25"/>
        <v>0</v>
      </c>
      <c r="I339" s="60">
        <v>0</v>
      </c>
      <c r="J339" s="60">
        <f>I339*(1+(K2))</f>
        <v>0</v>
      </c>
      <c r="K339" s="61">
        <f t="shared" si="24"/>
        <v>0</v>
      </c>
    </row>
    <row r="340" spans="1:11">
      <c r="A340" s="56" t="s">
        <v>1041</v>
      </c>
      <c r="B340" s="57" t="s">
        <v>517</v>
      </c>
      <c r="C340" s="58" t="s">
        <v>47</v>
      </c>
      <c r="D340" s="59" t="s">
        <v>518</v>
      </c>
      <c r="E340" s="58">
        <v>35</v>
      </c>
      <c r="F340" s="60"/>
      <c r="G340" s="60">
        <f>F340*(1+(D2))</f>
        <v>0</v>
      </c>
      <c r="H340" s="61">
        <f t="shared" si="25"/>
        <v>0</v>
      </c>
      <c r="I340" s="60">
        <v>0</v>
      </c>
      <c r="J340" s="60">
        <f>I340*(1+(K2))</f>
        <v>0</v>
      </c>
      <c r="K340" s="61">
        <f t="shared" si="24"/>
        <v>0</v>
      </c>
    </row>
    <row r="341" spans="1:11">
      <c r="A341" s="56" t="s">
        <v>1042</v>
      </c>
      <c r="B341" s="57" t="s">
        <v>519</v>
      </c>
      <c r="C341" s="58" t="s">
        <v>41</v>
      </c>
      <c r="D341" s="58" t="s">
        <v>51</v>
      </c>
      <c r="E341" s="58">
        <v>40</v>
      </c>
      <c r="F341" s="60"/>
      <c r="G341" s="60">
        <f>F341*(1+(D2))</f>
        <v>0</v>
      </c>
      <c r="H341" s="61">
        <f t="shared" si="25"/>
        <v>0</v>
      </c>
      <c r="I341" s="60">
        <v>0</v>
      </c>
      <c r="J341" s="60">
        <f>I341*(1+(K2))</f>
        <v>0</v>
      </c>
      <c r="K341" s="61">
        <f t="shared" si="24"/>
        <v>0</v>
      </c>
    </row>
    <row r="342" spans="1:11">
      <c r="A342" s="56" t="s">
        <v>1043</v>
      </c>
      <c r="B342" s="57" t="s">
        <v>520</v>
      </c>
      <c r="C342" s="58" t="s">
        <v>50</v>
      </c>
      <c r="D342" s="58" t="s">
        <v>51</v>
      </c>
      <c r="E342" s="58">
        <v>1</v>
      </c>
      <c r="F342" s="60"/>
      <c r="G342" s="60">
        <f>F342*(1+(D2))</f>
        <v>0</v>
      </c>
      <c r="H342" s="61">
        <f t="shared" si="25"/>
        <v>0</v>
      </c>
      <c r="I342" s="60">
        <v>0</v>
      </c>
      <c r="J342" s="60">
        <f>I342*(1+(K2))</f>
        <v>0</v>
      </c>
      <c r="K342" s="61">
        <f t="shared" si="24"/>
        <v>0</v>
      </c>
    </row>
    <row r="343" spans="1:11">
      <c r="A343" s="56" t="s">
        <v>1044</v>
      </c>
      <c r="B343" s="57" t="s">
        <v>521</v>
      </c>
      <c r="C343" s="58" t="s">
        <v>41</v>
      </c>
      <c r="D343" s="58" t="s">
        <v>51</v>
      </c>
      <c r="E343" s="58">
        <v>5</v>
      </c>
      <c r="F343" s="60"/>
      <c r="G343" s="60">
        <f>F343*(1+(D2))</f>
        <v>0</v>
      </c>
      <c r="H343" s="61">
        <f t="shared" si="25"/>
        <v>0</v>
      </c>
      <c r="I343" s="60">
        <v>0</v>
      </c>
      <c r="J343" s="60">
        <f>I343*(1+(K2))</f>
        <v>0</v>
      </c>
      <c r="K343" s="61">
        <f t="shared" si="24"/>
        <v>0</v>
      </c>
    </row>
    <row r="344" spans="1:11">
      <c r="A344" s="56" t="s">
        <v>1045</v>
      </c>
      <c r="B344" s="57" t="s">
        <v>522</v>
      </c>
      <c r="C344" s="58" t="s">
        <v>41</v>
      </c>
      <c r="D344" s="59" t="s">
        <v>523</v>
      </c>
      <c r="E344" s="58">
        <v>40</v>
      </c>
      <c r="F344" s="60"/>
      <c r="G344" s="60">
        <f>F344*(1+(D2))</f>
        <v>0</v>
      </c>
      <c r="H344" s="61">
        <f t="shared" si="25"/>
        <v>0</v>
      </c>
      <c r="I344" s="60">
        <v>0</v>
      </c>
      <c r="J344" s="60">
        <f>I344*(1+(K2))</f>
        <v>0</v>
      </c>
      <c r="K344" s="61">
        <f t="shared" si="24"/>
        <v>0</v>
      </c>
    </row>
    <row r="345" spans="1:11">
      <c r="A345" s="56" t="s">
        <v>1046</v>
      </c>
      <c r="B345" s="57" t="s">
        <v>524</v>
      </c>
      <c r="C345" s="58" t="s">
        <v>41</v>
      </c>
      <c r="D345" s="58" t="s">
        <v>51</v>
      </c>
      <c r="E345" s="58">
        <v>50</v>
      </c>
      <c r="F345" s="60"/>
      <c r="G345" s="60">
        <f>F345*(1+(D2))</f>
        <v>0</v>
      </c>
      <c r="H345" s="61">
        <f t="shared" si="25"/>
        <v>0</v>
      </c>
      <c r="I345" s="60">
        <v>0</v>
      </c>
      <c r="J345" s="60">
        <f>I345*(1+(K2))</f>
        <v>0</v>
      </c>
      <c r="K345" s="61">
        <f t="shared" si="24"/>
        <v>0</v>
      </c>
    </row>
    <row r="346" spans="1:11">
      <c r="A346" s="56" t="s">
        <v>1047</v>
      </c>
      <c r="B346" s="57" t="s">
        <v>525</v>
      </c>
      <c r="C346" s="58" t="s">
        <v>41</v>
      </c>
      <c r="D346" s="58" t="s">
        <v>51</v>
      </c>
      <c r="E346" s="58">
        <v>8</v>
      </c>
      <c r="F346" s="60"/>
      <c r="G346" s="60">
        <f>F346*(1+(D2))</f>
        <v>0</v>
      </c>
      <c r="H346" s="61">
        <f t="shared" si="25"/>
        <v>0</v>
      </c>
      <c r="I346" s="60">
        <v>0</v>
      </c>
      <c r="J346" s="60">
        <f>I346*(1+(K2))</f>
        <v>0</v>
      </c>
      <c r="K346" s="61">
        <f t="shared" si="24"/>
        <v>0</v>
      </c>
    </row>
    <row r="347" spans="1:11">
      <c r="A347" s="56" t="s">
        <v>1048</v>
      </c>
      <c r="B347" s="57" t="s">
        <v>526</v>
      </c>
      <c r="C347" s="58" t="s">
        <v>41</v>
      </c>
      <c r="D347" s="58" t="s">
        <v>51</v>
      </c>
      <c r="E347" s="58">
        <v>20</v>
      </c>
      <c r="F347" s="60"/>
      <c r="G347" s="60">
        <f>F347*(1+(D2))</f>
        <v>0</v>
      </c>
      <c r="H347" s="61">
        <f t="shared" si="25"/>
        <v>0</v>
      </c>
      <c r="I347" s="60">
        <v>0</v>
      </c>
      <c r="J347" s="60">
        <f>I347*(1+(K2))</f>
        <v>0</v>
      </c>
      <c r="K347" s="61">
        <f t="shared" si="24"/>
        <v>0</v>
      </c>
    </row>
    <row r="348" spans="1:11">
      <c r="A348" s="56" t="s">
        <v>1049</v>
      </c>
      <c r="B348" s="57" t="s">
        <v>527</v>
      </c>
      <c r="C348" s="58" t="s">
        <v>41</v>
      </c>
      <c r="D348" s="59" t="s">
        <v>528</v>
      </c>
      <c r="E348" s="58">
        <v>6</v>
      </c>
      <c r="F348" s="60"/>
      <c r="G348" s="60">
        <f>F348*(1+(D2))</f>
        <v>0</v>
      </c>
      <c r="H348" s="61">
        <f t="shared" si="25"/>
        <v>0</v>
      </c>
      <c r="I348" s="60">
        <v>0</v>
      </c>
      <c r="J348" s="60">
        <f>I348*(1+(K2))</f>
        <v>0</v>
      </c>
      <c r="K348" s="61">
        <f t="shared" si="24"/>
        <v>0</v>
      </c>
    </row>
    <row r="349" spans="1:11" ht="22.5">
      <c r="A349" s="56" t="s">
        <v>1050</v>
      </c>
      <c r="B349" s="57" t="s">
        <v>529</v>
      </c>
      <c r="C349" s="58" t="s">
        <v>41</v>
      </c>
      <c r="D349" s="58" t="s">
        <v>51</v>
      </c>
      <c r="E349" s="58">
        <v>200</v>
      </c>
      <c r="F349" s="60"/>
      <c r="G349" s="60">
        <f>F349*(1+(D2))</f>
        <v>0</v>
      </c>
      <c r="H349" s="61">
        <f t="shared" si="25"/>
        <v>0</v>
      </c>
      <c r="I349" s="60">
        <v>0</v>
      </c>
      <c r="J349" s="60">
        <f>I349*(1+(K2))</f>
        <v>0</v>
      </c>
      <c r="K349" s="61">
        <f t="shared" si="24"/>
        <v>0</v>
      </c>
    </row>
    <row r="350" spans="1:11">
      <c r="A350" s="56" t="s">
        <v>1051</v>
      </c>
      <c r="B350" s="57" t="s">
        <v>530</v>
      </c>
      <c r="C350" s="58" t="s">
        <v>41</v>
      </c>
      <c r="D350" s="58" t="s">
        <v>51</v>
      </c>
      <c r="E350" s="58">
        <v>45</v>
      </c>
      <c r="F350" s="60"/>
      <c r="G350" s="60">
        <f>F350*(1+(D2))</f>
        <v>0</v>
      </c>
      <c r="H350" s="61">
        <f t="shared" si="25"/>
        <v>0</v>
      </c>
      <c r="I350" s="60">
        <v>0</v>
      </c>
      <c r="J350" s="60">
        <f>I350*(1+(K2))</f>
        <v>0</v>
      </c>
      <c r="K350" s="61">
        <f t="shared" si="24"/>
        <v>0</v>
      </c>
    </row>
    <row r="351" spans="1:11">
      <c r="A351" s="56" t="s">
        <v>1052</v>
      </c>
      <c r="B351" s="57" t="s">
        <v>531</v>
      </c>
      <c r="C351" s="58" t="s">
        <v>41</v>
      </c>
      <c r="D351" s="59" t="s">
        <v>532</v>
      </c>
      <c r="E351" s="58">
        <v>120</v>
      </c>
      <c r="F351" s="60"/>
      <c r="G351" s="60">
        <f>F351*(1+(D2))</f>
        <v>0</v>
      </c>
      <c r="H351" s="61">
        <f t="shared" si="25"/>
        <v>0</v>
      </c>
      <c r="I351" s="60">
        <v>0</v>
      </c>
      <c r="J351" s="60">
        <f>I351*(1+(K2))</f>
        <v>0</v>
      </c>
      <c r="K351" s="61">
        <f t="shared" si="24"/>
        <v>0</v>
      </c>
    </row>
    <row r="352" spans="1:11">
      <c r="A352" s="56" t="s">
        <v>1053</v>
      </c>
      <c r="B352" s="57" t="s">
        <v>533</v>
      </c>
      <c r="C352" s="58" t="s">
        <v>41</v>
      </c>
      <c r="D352" s="59" t="s">
        <v>534</v>
      </c>
      <c r="E352" s="58">
        <v>6</v>
      </c>
      <c r="F352" s="60"/>
      <c r="G352" s="60">
        <f>F352*(1+(D2))</f>
        <v>0</v>
      </c>
      <c r="H352" s="61">
        <f t="shared" si="25"/>
        <v>0</v>
      </c>
      <c r="I352" s="60">
        <v>0</v>
      </c>
      <c r="J352" s="60">
        <f>I352*(1+(K2))</f>
        <v>0</v>
      </c>
      <c r="K352" s="61">
        <f t="shared" si="24"/>
        <v>0</v>
      </c>
    </row>
    <row r="353" spans="1:11">
      <c r="A353" s="56" t="s">
        <v>1054</v>
      </c>
      <c r="B353" s="57" t="s">
        <v>535</v>
      </c>
      <c r="C353" s="58" t="s">
        <v>41</v>
      </c>
      <c r="D353" s="58" t="s">
        <v>51</v>
      </c>
      <c r="E353" s="58">
        <v>8</v>
      </c>
      <c r="F353" s="60"/>
      <c r="G353" s="60">
        <f>F353*(1+(D2))</f>
        <v>0</v>
      </c>
      <c r="H353" s="61">
        <f t="shared" si="25"/>
        <v>0</v>
      </c>
      <c r="I353" s="60">
        <v>0</v>
      </c>
      <c r="J353" s="60">
        <f>I353*(1+(K2))</f>
        <v>0</v>
      </c>
      <c r="K353" s="61">
        <f t="shared" si="24"/>
        <v>0</v>
      </c>
    </row>
    <row r="354" spans="1:11">
      <c r="A354" s="56" t="s">
        <v>1055</v>
      </c>
      <c r="B354" s="57" t="s">
        <v>536</v>
      </c>
      <c r="C354" s="58" t="s">
        <v>41</v>
      </c>
      <c r="D354" s="58" t="s">
        <v>51</v>
      </c>
      <c r="E354" s="58">
        <v>1</v>
      </c>
      <c r="F354" s="60"/>
      <c r="G354" s="60">
        <f>F354*(1+(D2))</f>
        <v>0</v>
      </c>
      <c r="H354" s="61">
        <f t="shared" si="25"/>
        <v>0</v>
      </c>
      <c r="I354" s="60">
        <v>0</v>
      </c>
      <c r="J354" s="60">
        <f>I354*(1+(K2))</f>
        <v>0</v>
      </c>
      <c r="K354" s="61">
        <f t="shared" si="24"/>
        <v>0</v>
      </c>
    </row>
    <row r="355" spans="1:11">
      <c r="A355" s="56" t="s">
        <v>1056</v>
      </c>
      <c r="B355" s="57" t="s">
        <v>537</v>
      </c>
      <c r="C355" s="58" t="s">
        <v>41</v>
      </c>
      <c r="D355" s="58" t="s">
        <v>51</v>
      </c>
      <c r="E355" s="58">
        <v>1</v>
      </c>
      <c r="F355" s="60"/>
      <c r="G355" s="60">
        <f>F355*(1+(D2))</f>
        <v>0</v>
      </c>
      <c r="H355" s="61">
        <f t="shared" si="25"/>
        <v>0</v>
      </c>
      <c r="I355" s="60">
        <v>0</v>
      </c>
      <c r="J355" s="60">
        <f>I355*(1+(K2))</f>
        <v>0</v>
      </c>
      <c r="K355" s="61">
        <f t="shared" si="24"/>
        <v>0</v>
      </c>
    </row>
    <row r="356" spans="1:11">
      <c r="A356" s="56" t="s">
        <v>1057</v>
      </c>
      <c r="B356" s="57" t="s">
        <v>538</v>
      </c>
      <c r="C356" s="58" t="s">
        <v>41</v>
      </c>
      <c r="D356" s="59" t="s">
        <v>539</v>
      </c>
      <c r="E356" s="58">
        <v>40</v>
      </c>
      <c r="F356" s="60"/>
      <c r="G356" s="60">
        <f>F356*(1+(D2))</f>
        <v>0</v>
      </c>
      <c r="H356" s="61">
        <f t="shared" si="25"/>
        <v>0</v>
      </c>
      <c r="I356" s="60">
        <v>0</v>
      </c>
      <c r="J356" s="60">
        <f>I356*(1+(K2))</f>
        <v>0</v>
      </c>
      <c r="K356" s="61">
        <f t="shared" si="24"/>
        <v>0</v>
      </c>
    </row>
    <row r="357" spans="1:11">
      <c r="A357" s="56" t="s">
        <v>1058</v>
      </c>
      <c r="B357" s="57" t="s">
        <v>540</v>
      </c>
      <c r="C357" s="58" t="s">
        <v>113</v>
      </c>
      <c r="D357" s="59" t="s">
        <v>170</v>
      </c>
      <c r="E357" s="58">
        <v>400</v>
      </c>
      <c r="F357" s="60"/>
      <c r="G357" s="60">
        <f>F357*(1+(D2))</f>
        <v>0</v>
      </c>
      <c r="H357" s="61">
        <f t="shared" si="25"/>
        <v>0</v>
      </c>
      <c r="I357" s="60">
        <v>0</v>
      </c>
      <c r="J357" s="60">
        <f>I357*(1+(K2))</f>
        <v>0</v>
      </c>
      <c r="K357" s="61">
        <f t="shared" si="24"/>
        <v>0</v>
      </c>
    </row>
    <row r="358" spans="1:11">
      <c r="A358" s="56" t="s">
        <v>1059</v>
      </c>
      <c r="B358" s="57" t="s">
        <v>541</v>
      </c>
      <c r="C358" s="58" t="s">
        <v>41</v>
      </c>
      <c r="D358" s="59" t="s">
        <v>542</v>
      </c>
      <c r="E358" s="58">
        <v>20</v>
      </c>
      <c r="F358" s="60"/>
      <c r="G358" s="60">
        <f>F358*(1+(D2))</f>
        <v>0</v>
      </c>
      <c r="H358" s="61">
        <f t="shared" si="25"/>
        <v>0</v>
      </c>
      <c r="I358" s="60">
        <v>0</v>
      </c>
      <c r="J358" s="60">
        <f>I358*(1+(K2))</f>
        <v>0</v>
      </c>
      <c r="K358" s="61">
        <f t="shared" si="24"/>
        <v>0</v>
      </c>
    </row>
    <row r="359" spans="1:11" ht="22.5">
      <c r="A359" s="56" t="s">
        <v>1060</v>
      </c>
      <c r="B359" s="57" t="s">
        <v>543</v>
      </c>
      <c r="C359" s="58" t="s">
        <v>41</v>
      </c>
      <c r="D359" s="58" t="s">
        <v>51</v>
      </c>
      <c r="E359" s="58">
        <v>1</v>
      </c>
      <c r="F359" s="60"/>
      <c r="G359" s="60">
        <f>F359*(1+(D2))</f>
        <v>0</v>
      </c>
      <c r="H359" s="61">
        <f t="shared" si="25"/>
        <v>0</v>
      </c>
      <c r="I359" s="60">
        <v>0</v>
      </c>
      <c r="J359" s="60">
        <f>I359*(1+(K2))</f>
        <v>0</v>
      </c>
      <c r="K359" s="61">
        <f t="shared" si="24"/>
        <v>0</v>
      </c>
    </row>
    <row r="360" spans="1:11">
      <c r="A360" s="56" t="s">
        <v>1061</v>
      </c>
      <c r="B360" s="57" t="s">
        <v>544</v>
      </c>
      <c r="C360" s="58" t="s">
        <v>41</v>
      </c>
      <c r="D360" s="59" t="s">
        <v>545</v>
      </c>
      <c r="E360" s="58">
        <v>12</v>
      </c>
      <c r="F360" s="60"/>
      <c r="G360" s="60">
        <f>F360*(1+(D2))</f>
        <v>0</v>
      </c>
      <c r="H360" s="61">
        <f t="shared" si="25"/>
        <v>0</v>
      </c>
      <c r="I360" s="60">
        <v>0</v>
      </c>
      <c r="J360" s="60">
        <f>I360*(1+(K2))</f>
        <v>0</v>
      </c>
      <c r="K360" s="61">
        <f t="shared" si="24"/>
        <v>0</v>
      </c>
    </row>
    <row r="361" spans="1:11">
      <c r="A361" s="56" t="s">
        <v>1062</v>
      </c>
      <c r="B361" s="57" t="s">
        <v>546</v>
      </c>
      <c r="C361" s="58" t="s">
        <v>41</v>
      </c>
      <c r="D361" s="59" t="s">
        <v>547</v>
      </c>
      <c r="E361" s="58">
        <v>12</v>
      </c>
      <c r="F361" s="60"/>
      <c r="G361" s="60">
        <f>F361*(1+(D2))</f>
        <v>0</v>
      </c>
      <c r="H361" s="61">
        <f t="shared" si="25"/>
        <v>0</v>
      </c>
      <c r="I361" s="60">
        <v>0</v>
      </c>
      <c r="J361" s="60">
        <f>I361*(1+(K2))</f>
        <v>0</v>
      </c>
      <c r="K361" s="61">
        <f t="shared" si="24"/>
        <v>0</v>
      </c>
    </row>
    <row r="362" spans="1:11">
      <c r="A362" s="56" t="s">
        <v>1063</v>
      </c>
      <c r="B362" s="57" t="s">
        <v>548</v>
      </c>
      <c r="C362" s="58" t="s">
        <v>41</v>
      </c>
      <c r="D362" s="59" t="s">
        <v>549</v>
      </c>
      <c r="E362" s="58">
        <v>1</v>
      </c>
      <c r="F362" s="60"/>
      <c r="G362" s="60">
        <f>F362*(1+(D2))</f>
        <v>0</v>
      </c>
      <c r="H362" s="61">
        <f t="shared" si="25"/>
        <v>0</v>
      </c>
      <c r="I362" s="60">
        <v>0</v>
      </c>
      <c r="J362" s="60">
        <f>I362*(1+(K2))</f>
        <v>0</v>
      </c>
      <c r="K362" s="61">
        <f t="shared" si="24"/>
        <v>0</v>
      </c>
    </row>
    <row r="363" spans="1:11">
      <c r="A363" s="56" t="s">
        <v>1064</v>
      </c>
      <c r="B363" s="57" t="s">
        <v>550</v>
      </c>
      <c r="C363" s="58" t="s">
        <v>41</v>
      </c>
      <c r="D363" s="58" t="s">
        <v>51</v>
      </c>
      <c r="E363" s="58">
        <v>8</v>
      </c>
      <c r="F363" s="60"/>
      <c r="G363" s="60">
        <f>F363*(1+(D2))</f>
        <v>0</v>
      </c>
      <c r="H363" s="61">
        <f t="shared" si="25"/>
        <v>0</v>
      </c>
      <c r="I363" s="60">
        <v>0</v>
      </c>
      <c r="J363" s="60">
        <f>I363*(1+(K2))</f>
        <v>0</v>
      </c>
      <c r="K363" s="61">
        <f t="shared" si="24"/>
        <v>0</v>
      </c>
    </row>
    <row r="364" spans="1:11">
      <c r="A364" s="56" t="s">
        <v>1065</v>
      </c>
      <c r="B364" s="57" t="s">
        <v>551</v>
      </c>
      <c r="C364" s="58" t="s">
        <v>41</v>
      </c>
      <c r="D364" s="59" t="s">
        <v>552</v>
      </c>
      <c r="E364" s="58">
        <v>155</v>
      </c>
      <c r="F364" s="60"/>
      <c r="G364" s="60">
        <f>F364*(1+(D2))</f>
        <v>0</v>
      </c>
      <c r="H364" s="61">
        <f t="shared" si="25"/>
        <v>0</v>
      </c>
      <c r="I364" s="60">
        <v>0</v>
      </c>
      <c r="J364" s="60">
        <f>I364*(1+(K2))</f>
        <v>0</v>
      </c>
      <c r="K364" s="61">
        <f t="shared" si="24"/>
        <v>0</v>
      </c>
    </row>
    <row r="365" spans="1:11" ht="22.5">
      <c r="A365" s="56" t="s">
        <v>1066</v>
      </c>
      <c r="B365" s="57" t="s">
        <v>553</v>
      </c>
      <c r="C365" s="58" t="s">
        <v>41</v>
      </c>
      <c r="D365" s="59" t="s">
        <v>554</v>
      </c>
      <c r="E365" s="58">
        <v>60</v>
      </c>
      <c r="F365" s="60"/>
      <c r="G365" s="60">
        <f>F365*(1+(D2))</f>
        <v>0</v>
      </c>
      <c r="H365" s="61">
        <f t="shared" si="25"/>
        <v>0</v>
      </c>
      <c r="I365" s="60">
        <v>0</v>
      </c>
      <c r="J365" s="60">
        <f>I365*(1+(K2))</f>
        <v>0</v>
      </c>
      <c r="K365" s="61">
        <f t="shared" si="24"/>
        <v>0</v>
      </c>
    </row>
    <row r="366" spans="1:11">
      <c r="A366" s="56" t="s">
        <v>1067</v>
      </c>
      <c r="B366" s="57" t="s">
        <v>555</v>
      </c>
      <c r="C366" s="58" t="s">
        <v>41</v>
      </c>
      <c r="D366" s="58" t="s">
        <v>51</v>
      </c>
      <c r="E366" s="58">
        <v>40</v>
      </c>
      <c r="F366" s="60"/>
      <c r="G366" s="60">
        <f>F366*(1+(D2))</f>
        <v>0</v>
      </c>
      <c r="H366" s="61">
        <f t="shared" si="25"/>
        <v>0</v>
      </c>
      <c r="I366" s="60">
        <v>0</v>
      </c>
      <c r="J366" s="60">
        <f>I366*(1+(K2))</f>
        <v>0</v>
      </c>
      <c r="K366" s="61">
        <f t="shared" si="24"/>
        <v>0</v>
      </c>
    </row>
    <row r="367" spans="1:11">
      <c r="A367" s="56" t="s">
        <v>1068</v>
      </c>
      <c r="B367" s="57" t="s">
        <v>556</v>
      </c>
      <c r="C367" s="58" t="s">
        <v>41</v>
      </c>
      <c r="D367" s="59" t="s">
        <v>557</v>
      </c>
      <c r="E367" s="58">
        <v>20</v>
      </c>
      <c r="F367" s="60"/>
      <c r="G367" s="60">
        <f>F367*(1+(D2))</f>
        <v>0</v>
      </c>
      <c r="H367" s="61">
        <f t="shared" si="25"/>
        <v>0</v>
      </c>
      <c r="I367" s="60">
        <v>0</v>
      </c>
      <c r="J367" s="60">
        <f>I367*(1+(K2))</f>
        <v>0</v>
      </c>
      <c r="K367" s="61">
        <f t="shared" si="24"/>
        <v>0</v>
      </c>
    </row>
    <row r="368" spans="1:11">
      <c r="A368" s="56" t="s">
        <v>1069</v>
      </c>
      <c r="B368" s="57" t="s">
        <v>558</v>
      </c>
      <c r="C368" s="58" t="s">
        <v>71</v>
      </c>
      <c r="D368" s="59" t="s">
        <v>559</v>
      </c>
      <c r="E368" s="58">
        <v>2</v>
      </c>
      <c r="F368" s="60"/>
      <c r="G368" s="60">
        <f>F368*(1+(D2))</f>
        <v>0</v>
      </c>
      <c r="H368" s="61">
        <f t="shared" si="25"/>
        <v>0</v>
      </c>
      <c r="I368" s="60">
        <v>0</v>
      </c>
      <c r="J368" s="60">
        <f>I368*(1+(K2))</f>
        <v>0</v>
      </c>
      <c r="K368" s="61">
        <f t="shared" si="24"/>
        <v>0</v>
      </c>
    </row>
    <row r="369" spans="1:11">
      <c r="A369" s="56" t="s">
        <v>1070</v>
      </c>
      <c r="B369" s="57" t="s">
        <v>560</v>
      </c>
      <c r="C369" s="58" t="s">
        <v>41</v>
      </c>
      <c r="D369" s="59" t="s">
        <v>561</v>
      </c>
      <c r="E369" s="58">
        <v>22</v>
      </c>
      <c r="F369" s="60"/>
      <c r="G369" s="60">
        <f>F369*(1+(D2))</f>
        <v>0</v>
      </c>
      <c r="H369" s="61">
        <f t="shared" ref="H369:H400" si="26">G369*E369</f>
        <v>0</v>
      </c>
      <c r="I369" s="60">
        <v>0</v>
      </c>
      <c r="J369" s="60">
        <f>I369*(1+(K2))</f>
        <v>0</v>
      </c>
      <c r="K369" s="61">
        <f t="shared" si="24"/>
        <v>0</v>
      </c>
    </row>
    <row r="370" spans="1:11">
      <c r="A370" s="56" t="s">
        <v>1071</v>
      </c>
      <c r="B370" s="57" t="s">
        <v>562</v>
      </c>
      <c r="C370" s="58" t="s">
        <v>120</v>
      </c>
      <c r="D370" s="59" t="s">
        <v>563</v>
      </c>
      <c r="E370" s="58">
        <v>40</v>
      </c>
      <c r="F370" s="60"/>
      <c r="G370" s="60">
        <f>F370*(1+(D2))</f>
        <v>0</v>
      </c>
      <c r="H370" s="61">
        <f t="shared" si="26"/>
        <v>0</v>
      </c>
      <c r="I370" s="60">
        <v>0</v>
      </c>
      <c r="J370" s="60">
        <f>I370*(1+(K2))</f>
        <v>0</v>
      </c>
      <c r="K370" s="61">
        <f t="shared" si="24"/>
        <v>0</v>
      </c>
    </row>
    <row r="371" spans="1:11">
      <c r="A371" s="56" t="s">
        <v>1072</v>
      </c>
      <c r="B371" s="57" t="s">
        <v>564</v>
      </c>
      <c r="C371" s="58" t="s">
        <v>41</v>
      </c>
      <c r="D371" s="58" t="s">
        <v>51</v>
      </c>
      <c r="E371" s="58">
        <v>1</v>
      </c>
      <c r="F371" s="60"/>
      <c r="G371" s="60">
        <f>F371*(1+(D2))</f>
        <v>0</v>
      </c>
      <c r="H371" s="61">
        <f t="shared" si="26"/>
        <v>0</v>
      </c>
      <c r="I371" s="60">
        <v>0</v>
      </c>
      <c r="J371" s="60">
        <f>I371*(1+(K2))</f>
        <v>0</v>
      </c>
      <c r="K371" s="61">
        <f t="shared" si="24"/>
        <v>0</v>
      </c>
    </row>
    <row r="372" spans="1:11">
      <c r="A372" s="56" t="s">
        <v>1073</v>
      </c>
      <c r="B372" s="57" t="s">
        <v>565</v>
      </c>
      <c r="C372" s="58" t="s">
        <v>71</v>
      </c>
      <c r="D372" s="59" t="s">
        <v>566</v>
      </c>
      <c r="E372" s="58">
        <v>5</v>
      </c>
      <c r="F372" s="60"/>
      <c r="G372" s="60">
        <f>F372*(1+(D2))</f>
        <v>0</v>
      </c>
      <c r="H372" s="61">
        <f t="shared" si="26"/>
        <v>0</v>
      </c>
      <c r="I372" s="60">
        <v>0</v>
      </c>
      <c r="J372" s="60">
        <f>I372*(1+(K2))</f>
        <v>0</v>
      </c>
      <c r="K372" s="61">
        <f t="shared" si="24"/>
        <v>0</v>
      </c>
    </row>
    <row r="373" spans="1:11">
      <c r="A373" s="56" t="s">
        <v>1074</v>
      </c>
      <c r="B373" s="57" t="s">
        <v>567</v>
      </c>
      <c r="C373" s="58" t="s">
        <v>41</v>
      </c>
      <c r="D373" s="59" t="s">
        <v>568</v>
      </c>
      <c r="E373" s="58">
        <v>20</v>
      </c>
      <c r="F373" s="60"/>
      <c r="G373" s="60">
        <f>F373*(1+(D2))</f>
        <v>0</v>
      </c>
      <c r="H373" s="61">
        <f t="shared" si="26"/>
        <v>0</v>
      </c>
      <c r="I373" s="60">
        <v>0</v>
      </c>
      <c r="J373" s="60">
        <f>I373*(1+(K2))</f>
        <v>0</v>
      </c>
      <c r="K373" s="61">
        <f t="shared" si="24"/>
        <v>0</v>
      </c>
    </row>
    <row r="374" spans="1:11">
      <c r="A374" s="56" t="s">
        <v>1075</v>
      </c>
      <c r="B374" s="57" t="s">
        <v>569</v>
      </c>
      <c r="C374" s="58" t="s">
        <v>120</v>
      </c>
      <c r="D374" s="59" t="s">
        <v>570</v>
      </c>
      <c r="E374" s="58">
        <v>10</v>
      </c>
      <c r="F374" s="60"/>
      <c r="G374" s="60">
        <f>F374*(1+(D2))</f>
        <v>0</v>
      </c>
      <c r="H374" s="61">
        <f t="shared" si="26"/>
        <v>0</v>
      </c>
      <c r="I374" s="60">
        <v>0</v>
      </c>
      <c r="J374" s="60">
        <f>I374*(1+(K2))</f>
        <v>0</v>
      </c>
      <c r="K374" s="61">
        <f t="shared" si="24"/>
        <v>0</v>
      </c>
    </row>
    <row r="375" spans="1:11">
      <c r="A375" s="56" t="s">
        <v>1076</v>
      </c>
      <c r="B375" s="57" t="s">
        <v>571</v>
      </c>
      <c r="C375" s="58" t="s">
        <v>41</v>
      </c>
      <c r="D375" s="58" t="s">
        <v>51</v>
      </c>
      <c r="E375" s="58">
        <v>20</v>
      </c>
      <c r="F375" s="60"/>
      <c r="G375" s="60">
        <f>F375*(1+(D2))</f>
        <v>0</v>
      </c>
      <c r="H375" s="61">
        <f t="shared" si="26"/>
        <v>0</v>
      </c>
      <c r="I375" s="60">
        <v>0</v>
      </c>
      <c r="J375" s="60">
        <f>I375*(1+(K2))</f>
        <v>0</v>
      </c>
      <c r="K375" s="61">
        <f t="shared" si="24"/>
        <v>0</v>
      </c>
    </row>
    <row r="376" spans="1:11" ht="22.5">
      <c r="A376" s="56" t="s">
        <v>1077</v>
      </c>
      <c r="B376" s="57" t="s">
        <v>572</v>
      </c>
      <c r="C376" s="58" t="s">
        <v>41</v>
      </c>
      <c r="D376" s="58" t="s">
        <v>51</v>
      </c>
      <c r="E376" s="58">
        <v>2</v>
      </c>
      <c r="F376" s="60"/>
      <c r="G376" s="60">
        <f>F376*(1+(D2))</f>
        <v>0</v>
      </c>
      <c r="H376" s="61">
        <f t="shared" si="26"/>
        <v>0</v>
      </c>
      <c r="I376" s="60">
        <v>0</v>
      </c>
      <c r="J376" s="60">
        <f>I376*(1+(K2))</f>
        <v>0</v>
      </c>
      <c r="K376" s="61">
        <f t="shared" ref="K376:K405" si="27">J376*E376</f>
        <v>0</v>
      </c>
    </row>
    <row r="377" spans="1:11">
      <c r="A377" s="56" t="s">
        <v>1078</v>
      </c>
      <c r="B377" s="57" t="s">
        <v>573</v>
      </c>
      <c r="C377" s="58" t="s">
        <v>41</v>
      </c>
      <c r="D377" s="59" t="s">
        <v>574</v>
      </c>
      <c r="E377" s="58">
        <v>12</v>
      </c>
      <c r="F377" s="60"/>
      <c r="G377" s="60">
        <f>F377*(1+(D2))</f>
        <v>0</v>
      </c>
      <c r="H377" s="61">
        <f t="shared" si="26"/>
        <v>0</v>
      </c>
      <c r="I377" s="60">
        <v>0</v>
      </c>
      <c r="J377" s="60">
        <f>I377*(1+(K2))</f>
        <v>0</v>
      </c>
      <c r="K377" s="61">
        <f t="shared" si="27"/>
        <v>0</v>
      </c>
    </row>
    <row r="378" spans="1:11">
      <c r="A378" s="56" t="s">
        <v>1079</v>
      </c>
      <c r="B378" s="57" t="s">
        <v>575</v>
      </c>
      <c r="C378" s="58" t="s">
        <v>50</v>
      </c>
      <c r="D378" s="59" t="s">
        <v>576</v>
      </c>
      <c r="E378" s="58">
        <v>20</v>
      </c>
      <c r="F378" s="60"/>
      <c r="G378" s="60">
        <f>F378*(1+(D2))</f>
        <v>0</v>
      </c>
      <c r="H378" s="61">
        <f t="shared" si="26"/>
        <v>0</v>
      </c>
      <c r="I378" s="60">
        <v>0</v>
      </c>
      <c r="J378" s="60">
        <f>I378*(1+(K2))</f>
        <v>0</v>
      </c>
      <c r="K378" s="61">
        <f t="shared" si="27"/>
        <v>0</v>
      </c>
    </row>
    <row r="379" spans="1:11">
      <c r="A379" s="56" t="s">
        <v>1080</v>
      </c>
      <c r="B379" s="57" t="s">
        <v>494</v>
      </c>
      <c r="C379" s="58" t="s">
        <v>41</v>
      </c>
      <c r="D379" s="58" t="s">
        <v>51</v>
      </c>
      <c r="E379" s="58">
        <v>6</v>
      </c>
      <c r="F379" s="60"/>
      <c r="G379" s="60">
        <f>F379*(1+(D2))</f>
        <v>0</v>
      </c>
      <c r="H379" s="61">
        <f t="shared" si="26"/>
        <v>0</v>
      </c>
      <c r="I379" s="60">
        <v>0</v>
      </c>
      <c r="J379" s="60">
        <f>I379*(1+(K2))</f>
        <v>0</v>
      </c>
      <c r="K379" s="61">
        <f t="shared" si="27"/>
        <v>0</v>
      </c>
    </row>
    <row r="380" spans="1:11">
      <c r="A380" s="56" t="s">
        <v>1081</v>
      </c>
      <c r="B380" s="57" t="s">
        <v>577</v>
      </c>
      <c r="C380" s="58" t="s">
        <v>41</v>
      </c>
      <c r="D380" s="59" t="s">
        <v>578</v>
      </c>
      <c r="E380" s="58">
        <v>62</v>
      </c>
      <c r="F380" s="60"/>
      <c r="G380" s="60">
        <f>F380*(1+(D2))</f>
        <v>0</v>
      </c>
      <c r="H380" s="61">
        <f t="shared" si="26"/>
        <v>0</v>
      </c>
      <c r="I380" s="60">
        <v>0</v>
      </c>
      <c r="J380" s="60">
        <f>I380*(1+(K2))</f>
        <v>0</v>
      </c>
      <c r="K380" s="61">
        <f t="shared" si="27"/>
        <v>0</v>
      </c>
    </row>
    <row r="381" spans="1:11">
      <c r="A381" s="56" t="s">
        <v>1082</v>
      </c>
      <c r="B381" s="57" t="s">
        <v>579</v>
      </c>
      <c r="C381" s="58" t="s">
        <v>41</v>
      </c>
      <c r="D381" s="59" t="s">
        <v>580</v>
      </c>
      <c r="E381" s="58">
        <v>20</v>
      </c>
      <c r="F381" s="60"/>
      <c r="G381" s="60">
        <f>F381*(1+(D2))</f>
        <v>0</v>
      </c>
      <c r="H381" s="61">
        <f t="shared" si="26"/>
        <v>0</v>
      </c>
      <c r="I381" s="60">
        <v>0</v>
      </c>
      <c r="J381" s="60">
        <f>I381*(1+(K2))</f>
        <v>0</v>
      </c>
      <c r="K381" s="61">
        <f t="shared" si="27"/>
        <v>0</v>
      </c>
    </row>
    <row r="382" spans="1:11">
      <c r="A382" s="56" t="s">
        <v>1083</v>
      </c>
      <c r="B382" s="57" t="s">
        <v>581</v>
      </c>
      <c r="C382" s="58" t="s">
        <v>450</v>
      </c>
      <c r="D382" s="59" t="s">
        <v>582</v>
      </c>
      <c r="E382" s="58">
        <v>3</v>
      </c>
      <c r="F382" s="60"/>
      <c r="G382" s="60">
        <f>F382*(1+(D2))</f>
        <v>0</v>
      </c>
      <c r="H382" s="61">
        <f t="shared" si="26"/>
        <v>0</v>
      </c>
      <c r="I382" s="60">
        <v>0</v>
      </c>
      <c r="J382" s="60">
        <f>I382*(1+(K2))</f>
        <v>0</v>
      </c>
      <c r="K382" s="61">
        <f t="shared" si="27"/>
        <v>0</v>
      </c>
    </row>
    <row r="383" spans="1:11">
      <c r="A383" s="56" t="s">
        <v>1084</v>
      </c>
      <c r="B383" s="57" t="s">
        <v>583</v>
      </c>
      <c r="C383" s="58" t="s">
        <v>41</v>
      </c>
      <c r="D383" s="59" t="s">
        <v>584</v>
      </c>
      <c r="E383" s="58">
        <v>100</v>
      </c>
      <c r="F383" s="60"/>
      <c r="G383" s="60">
        <f>F383*(1+(D2))</f>
        <v>0</v>
      </c>
      <c r="H383" s="61">
        <f t="shared" si="26"/>
        <v>0</v>
      </c>
      <c r="I383" s="60">
        <v>0</v>
      </c>
      <c r="J383" s="60">
        <f>I383*(1+(K2))</f>
        <v>0</v>
      </c>
      <c r="K383" s="61">
        <f t="shared" si="27"/>
        <v>0</v>
      </c>
    </row>
    <row r="384" spans="1:11">
      <c r="A384" s="56" t="s">
        <v>1085</v>
      </c>
      <c r="B384" s="57" t="s">
        <v>585</v>
      </c>
      <c r="C384" s="58" t="s">
        <v>41</v>
      </c>
      <c r="D384" s="59" t="s">
        <v>586</v>
      </c>
      <c r="E384" s="58">
        <v>18</v>
      </c>
      <c r="F384" s="60"/>
      <c r="G384" s="60">
        <f>F384*(1+(D2))</f>
        <v>0</v>
      </c>
      <c r="H384" s="61">
        <f t="shared" si="26"/>
        <v>0</v>
      </c>
      <c r="I384" s="60">
        <v>0</v>
      </c>
      <c r="J384" s="60">
        <f>I384*(1+(K2))</f>
        <v>0</v>
      </c>
      <c r="K384" s="61">
        <f t="shared" si="27"/>
        <v>0</v>
      </c>
    </row>
    <row r="385" spans="1:11">
      <c r="A385" s="56" t="s">
        <v>1086</v>
      </c>
      <c r="B385" s="57" t="s">
        <v>587</v>
      </c>
      <c r="C385" s="58" t="s">
        <v>41</v>
      </c>
      <c r="D385" s="59" t="s">
        <v>588</v>
      </c>
      <c r="E385" s="58">
        <v>60</v>
      </c>
      <c r="F385" s="60"/>
      <c r="G385" s="60">
        <f>F385*(1+(D2))</f>
        <v>0</v>
      </c>
      <c r="H385" s="61">
        <f t="shared" si="26"/>
        <v>0</v>
      </c>
      <c r="I385" s="60">
        <v>0</v>
      </c>
      <c r="J385" s="60">
        <f>I385*(1+(K2))</f>
        <v>0</v>
      </c>
      <c r="K385" s="61">
        <f t="shared" si="27"/>
        <v>0</v>
      </c>
    </row>
    <row r="386" spans="1:11">
      <c r="A386" s="56" t="s">
        <v>1087</v>
      </c>
      <c r="B386" s="57" t="s">
        <v>589</v>
      </c>
      <c r="C386" s="58"/>
      <c r="D386" s="59" t="s">
        <v>590</v>
      </c>
      <c r="E386" s="58">
        <v>10</v>
      </c>
      <c r="F386" s="60"/>
      <c r="G386" s="60">
        <f>F386*(1+(D2))</f>
        <v>0</v>
      </c>
      <c r="H386" s="61">
        <f t="shared" si="26"/>
        <v>0</v>
      </c>
      <c r="I386" s="60">
        <v>0</v>
      </c>
      <c r="J386" s="60">
        <f>I386*(1+(K2))</f>
        <v>0</v>
      </c>
      <c r="K386" s="61">
        <f t="shared" si="27"/>
        <v>0</v>
      </c>
    </row>
    <row r="387" spans="1:11">
      <c r="A387" s="56" t="s">
        <v>1088</v>
      </c>
      <c r="B387" s="57" t="s">
        <v>591</v>
      </c>
      <c r="C387" s="58" t="s">
        <v>41</v>
      </c>
      <c r="D387" s="59" t="s">
        <v>592</v>
      </c>
      <c r="E387" s="58">
        <v>670</v>
      </c>
      <c r="F387" s="60"/>
      <c r="G387" s="60">
        <f>F387*(1+(D2))</f>
        <v>0</v>
      </c>
      <c r="H387" s="61">
        <f t="shared" si="26"/>
        <v>0</v>
      </c>
      <c r="I387" s="60">
        <v>0</v>
      </c>
      <c r="J387" s="60">
        <f>I387*(1+(K2))</f>
        <v>0</v>
      </c>
      <c r="K387" s="61">
        <f t="shared" si="27"/>
        <v>0</v>
      </c>
    </row>
    <row r="388" spans="1:11">
      <c r="A388" s="56" t="s">
        <v>1089</v>
      </c>
      <c r="B388" s="57" t="s">
        <v>593</v>
      </c>
      <c r="C388" s="58" t="s">
        <v>41</v>
      </c>
      <c r="D388" s="59" t="s">
        <v>594</v>
      </c>
      <c r="E388" s="58">
        <v>200</v>
      </c>
      <c r="F388" s="60"/>
      <c r="G388" s="60">
        <f>F388*(1+(D2))</f>
        <v>0</v>
      </c>
      <c r="H388" s="61">
        <f t="shared" si="26"/>
        <v>0</v>
      </c>
      <c r="I388" s="60">
        <v>0</v>
      </c>
      <c r="J388" s="60">
        <f>I388*(1+(K2))</f>
        <v>0</v>
      </c>
      <c r="K388" s="61">
        <f t="shared" si="27"/>
        <v>0</v>
      </c>
    </row>
    <row r="389" spans="1:11">
      <c r="A389" s="56" t="s">
        <v>1090</v>
      </c>
      <c r="B389" s="57" t="s">
        <v>595</v>
      </c>
      <c r="C389" s="58" t="s">
        <v>41</v>
      </c>
      <c r="D389" s="59" t="s">
        <v>596</v>
      </c>
      <c r="E389" s="58">
        <v>470</v>
      </c>
      <c r="F389" s="60"/>
      <c r="G389" s="60">
        <f>F389*(1+(D2))</f>
        <v>0</v>
      </c>
      <c r="H389" s="61">
        <f t="shared" si="26"/>
        <v>0</v>
      </c>
      <c r="I389" s="60">
        <v>0</v>
      </c>
      <c r="J389" s="60">
        <f>I389*(1+(K2))</f>
        <v>0</v>
      </c>
      <c r="K389" s="61">
        <f t="shared" si="27"/>
        <v>0</v>
      </c>
    </row>
    <row r="390" spans="1:11" ht="112.5">
      <c r="A390" s="161" t="s">
        <v>1091</v>
      </c>
      <c r="B390" s="57" t="s">
        <v>597</v>
      </c>
      <c r="C390" s="58" t="s">
        <v>41</v>
      </c>
      <c r="D390" s="59" t="s">
        <v>598</v>
      </c>
      <c r="E390" s="58">
        <v>380</v>
      </c>
      <c r="F390" s="60"/>
      <c r="G390" s="60">
        <f>F390*(1+(D2))</f>
        <v>0</v>
      </c>
      <c r="H390" s="61">
        <f t="shared" si="26"/>
        <v>0</v>
      </c>
      <c r="I390" s="60">
        <v>0</v>
      </c>
      <c r="J390" s="60">
        <f>I390*(1+(K2))</f>
        <v>0</v>
      </c>
      <c r="K390" s="61">
        <f t="shared" si="27"/>
        <v>0</v>
      </c>
    </row>
    <row r="391" spans="1:11">
      <c r="A391" s="56" t="s">
        <v>1092</v>
      </c>
      <c r="B391" s="57" t="s">
        <v>599</v>
      </c>
      <c r="C391" s="58" t="s">
        <v>450</v>
      </c>
      <c r="D391" s="59" t="s">
        <v>600</v>
      </c>
      <c r="E391" s="58">
        <v>2</v>
      </c>
      <c r="F391" s="60"/>
      <c r="G391" s="60">
        <f>F391*(1+(D2))</f>
        <v>0</v>
      </c>
      <c r="H391" s="61">
        <f t="shared" si="26"/>
        <v>0</v>
      </c>
      <c r="I391" s="60">
        <v>0</v>
      </c>
      <c r="J391" s="60">
        <f>I391*(1+(K2))</f>
        <v>0</v>
      </c>
      <c r="K391" s="61">
        <f t="shared" si="27"/>
        <v>0</v>
      </c>
    </row>
    <row r="392" spans="1:11">
      <c r="A392" s="56" t="s">
        <v>1093</v>
      </c>
      <c r="B392" s="57" t="s">
        <v>601</v>
      </c>
      <c r="C392" s="58" t="s">
        <v>50</v>
      </c>
      <c r="D392" s="59" t="s">
        <v>602</v>
      </c>
      <c r="E392" s="58">
        <v>30</v>
      </c>
      <c r="F392" s="60"/>
      <c r="G392" s="60">
        <f>F392*(1+(D2))</f>
        <v>0</v>
      </c>
      <c r="H392" s="61">
        <f t="shared" si="26"/>
        <v>0</v>
      </c>
      <c r="I392" s="60">
        <v>0</v>
      </c>
      <c r="J392" s="60">
        <f>I392*(1+(K2))</f>
        <v>0</v>
      </c>
      <c r="K392" s="61">
        <f t="shared" si="27"/>
        <v>0</v>
      </c>
    </row>
    <row r="393" spans="1:11">
      <c r="A393" s="56" t="s">
        <v>1094</v>
      </c>
      <c r="B393" s="57" t="s">
        <v>603</v>
      </c>
      <c r="C393" s="58" t="s">
        <v>74</v>
      </c>
      <c r="D393" s="58" t="s">
        <v>51</v>
      </c>
      <c r="E393" s="58">
        <v>1</v>
      </c>
      <c r="F393" s="60"/>
      <c r="G393" s="60">
        <f>F393*(1+(D2))</f>
        <v>0</v>
      </c>
      <c r="H393" s="61">
        <f t="shared" si="26"/>
        <v>0</v>
      </c>
      <c r="I393" s="60">
        <v>0</v>
      </c>
      <c r="J393" s="60">
        <f>I393*(1+(K2))</f>
        <v>0</v>
      </c>
      <c r="K393" s="61">
        <f t="shared" si="27"/>
        <v>0</v>
      </c>
    </row>
    <row r="394" spans="1:11">
      <c r="A394" s="56" t="s">
        <v>1095</v>
      </c>
      <c r="B394" s="57" t="s">
        <v>695</v>
      </c>
      <c r="C394" s="58" t="s">
        <v>41</v>
      </c>
      <c r="D394" s="59" t="s">
        <v>604</v>
      </c>
      <c r="E394" s="58">
        <v>20</v>
      </c>
      <c r="F394" s="60"/>
      <c r="G394" s="60">
        <f>F394*(1+(D2))</f>
        <v>0</v>
      </c>
      <c r="H394" s="61">
        <f t="shared" si="26"/>
        <v>0</v>
      </c>
      <c r="I394" s="60">
        <v>0</v>
      </c>
      <c r="J394" s="60">
        <f>I394*(1+(K2))</f>
        <v>0</v>
      </c>
      <c r="K394" s="61">
        <f t="shared" si="27"/>
        <v>0</v>
      </c>
    </row>
    <row r="395" spans="1:11">
      <c r="A395" s="56" t="s">
        <v>1096</v>
      </c>
      <c r="B395" s="57" t="s">
        <v>605</v>
      </c>
      <c r="C395" s="58" t="s">
        <v>41</v>
      </c>
      <c r="D395" s="59" t="s">
        <v>606</v>
      </c>
      <c r="E395" s="58">
        <v>200</v>
      </c>
      <c r="F395" s="60"/>
      <c r="G395" s="60">
        <f>F395*(1+(D2))</f>
        <v>0</v>
      </c>
      <c r="H395" s="61">
        <f t="shared" si="26"/>
        <v>0</v>
      </c>
      <c r="I395" s="60">
        <v>0</v>
      </c>
      <c r="J395" s="60">
        <f>I395*(1+(K2))</f>
        <v>0</v>
      </c>
      <c r="K395" s="61">
        <f t="shared" si="27"/>
        <v>0</v>
      </c>
    </row>
    <row r="396" spans="1:11">
      <c r="A396" s="56" t="s">
        <v>1097</v>
      </c>
      <c r="B396" s="57" t="s">
        <v>607</v>
      </c>
      <c r="C396" s="58" t="s">
        <v>41</v>
      </c>
      <c r="D396" s="59" t="s">
        <v>326</v>
      </c>
      <c r="E396" s="58">
        <v>100</v>
      </c>
      <c r="F396" s="60"/>
      <c r="G396" s="60">
        <f>F396*(1+(D2))</f>
        <v>0</v>
      </c>
      <c r="H396" s="61">
        <f t="shared" si="26"/>
        <v>0</v>
      </c>
      <c r="I396" s="60">
        <v>0</v>
      </c>
      <c r="J396" s="60">
        <f>I396*(1+(K2))</f>
        <v>0</v>
      </c>
      <c r="K396" s="61">
        <f t="shared" si="27"/>
        <v>0</v>
      </c>
    </row>
    <row r="397" spans="1:11">
      <c r="A397" s="56" t="s">
        <v>1098</v>
      </c>
      <c r="B397" s="57" t="s">
        <v>608</v>
      </c>
      <c r="C397" s="58" t="s">
        <v>41</v>
      </c>
      <c r="D397" s="58" t="s">
        <v>51</v>
      </c>
      <c r="E397" s="58">
        <v>3</v>
      </c>
      <c r="F397" s="60"/>
      <c r="G397" s="60">
        <f>F397*(1+(D2))</f>
        <v>0</v>
      </c>
      <c r="H397" s="61">
        <f t="shared" si="26"/>
        <v>0</v>
      </c>
      <c r="I397" s="60">
        <v>0</v>
      </c>
      <c r="J397" s="60">
        <f>I397*(1+(K2))</f>
        <v>0</v>
      </c>
      <c r="K397" s="61">
        <f t="shared" si="27"/>
        <v>0</v>
      </c>
    </row>
    <row r="398" spans="1:11">
      <c r="A398" s="56" t="s">
        <v>1099</v>
      </c>
      <c r="B398" s="57" t="s">
        <v>609</v>
      </c>
      <c r="C398" s="58" t="s">
        <v>41</v>
      </c>
      <c r="D398" s="58" t="s">
        <v>51</v>
      </c>
      <c r="E398" s="58">
        <v>2</v>
      </c>
      <c r="F398" s="60"/>
      <c r="G398" s="60">
        <f>F398*(1+(D2))</f>
        <v>0</v>
      </c>
      <c r="H398" s="61">
        <f t="shared" si="26"/>
        <v>0</v>
      </c>
      <c r="I398" s="60">
        <v>0</v>
      </c>
      <c r="J398" s="60">
        <f>I398*(1+(K2))</f>
        <v>0</v>
      </c>
      <c r="K398" s="61">
        <f t="shared" si="27"/>
        <v>0</v>
      </c>
    </row>
    <row r="399" spans="1:11">
      <c r="A399" s="56" t="s">
        <v>1100</v>
      </c>
      <c r="B399" s="57" t="s">
        <v>610</v>
      </c>
      <c r="C399" s="58" t="s">
        <v>41</v>
      </c>
      <c r="D399" s="58" t="s">
        <v>51</v>
      </c>
      <c r="E399" s="58">
        <v>11</v>
      </c>
      <c r="F399" s="60"/>
      <c r="G399" s="60">
        <f>F399*(1+(D2))</f>
        <v>0</v>
      </c>
      <c r="H399" s="61">
        <f t="shared" si="26"/>
        <v>0</v>
      </c>
      <c r="I399" s="60">
        <v>0</v>
      </c>
      <c r="J399" s="60">
        <f>I399*(1+(K2))</f>
        <v>0</v>
      </c>
      <c r="K399" s="61">
        <f t="shared" si="27"/>
        <v>0</v>
      </c>
    </row>
    <row r="400" spans="1:11">
      <c r="A400" s="56" t="s">
        <v>1101</v>
      </c>
      <c r="B400" s="57" t="s">
        <v>611</v>
      </c>
      <c r="C400" s="58" t="s">
        <v>41</v>
      </c>
      <c r="D400" s="59" t="s">
        <v>612</v>
      </c>
      <c r="E400" s="58">
        <v>12</v>
      </c>
      <c r="F400" s="60"/>
      <c r="G400" s="60">
        <f>F400*(1+(D2))</f>
        <v>0</v>
      </c>
      <c r="H400" s="61">
        <f t="shared" si="26"/>
        <v>0</v>
      </c>
      <c r="I400" s="60">
        <v>0</v>
      </c>
      <c r="J400" s="60">
        <f>I400*(1+(K2))</f>
        <v>0</v>
      </c>
      <c r="K400" s="61">
        <f t="shared" si="27"/>
        <v>0</v>
      </c>
    </row>
    <row r="401" spans="1:11">
      <c r="A401" s="56" t="s">
        <v>1102</v>
      </c>
      <c r="B401" s="57" t="s">
        <v>613</v>
      </c>
      <c r="C401" s="58" t="s">
        <v>41</v>
      </c>
      <c r="D401" s="59" t="s">
        <v>614</v>
      </c>
      <c r="E401" s="58">
        <v>1</v>
      </c>
      <c r="F401" s="60"/>
      <c r="G401" s="60">
        <f>F401*(1+(D2))</f>
        <v>0</v>
      </c>
      <c r="H401" s="61">
        <f t="shared" ref="H401:H405" si="28">G401*E401</f>
        <v>0</v>
      </c>
      <c r="I401" s="60">
        <v>0</v>
      </c>
      <c r="J401" s="60">
        <f>I401*(1+(K2))</f>
        <v>0</v>
      </c>
      <c r="K401" s="61">
        <f t="shared" si="27"/>
        <v>0</v>
      </c>
    </row>
    <row r="402" spans="1:11" ht="22.5">
      <c r="A402" s="56" t="s">
        <v>1103</v>
      </c>
      <c r="B402" s="57" t="s">
        <v>615</v>
      </c>
      <c r="C402" s="58" t="s">
        <v>41</v>
      </c>
      <c r="D402" s="58" t="s">
        <v>51</v>
      </c>
      <c r="E402" s="58">
        <v>4</v>
      </c>
      <c r="F402" s="60"/>
      <c r="G402" s="60">
        <f>F402*(1+(D2))</f>
        <v>0</v>
      </c>
      <c r="H402" s="61">
        <f t="shared" si="28"/>
        <v>0</v>
      </c>
      <c r="I402" s="60">
        <v>0</v>
      </c>
      <c r="J402" s="60">
        <f>I402*(1+(K2))</f>
        <v>0</v>
      </c>
      <c r="K402" s="61">
        <f t="shared" si="27"/>
        <v>0</v>
      </c>
    </row>
    <row r="403" spans="1:11">
      <c r="A403" s="56" t="s">
        <v>1104</v>
      </c>
      <c r="B403" s="57" t="s">
        <v>616</v>
      </c>
      <c r="C403" s="58" t="s">
        <v>41</v>
      </c>
      <c r="D403" s="59" t="s">
        <v>617</v>
      </c>
      <c r="E403" s="58">
        <v>30</v>
      </c>
      <c r="F403" s="60"/>
      <c r="G403" s="60">
        <f>F403*(1+(D2))</f>
        <v>0</v>
      </c>
      <c r="H403" s="61">
        <f t="shared" si="28"/>
        <v>0</v>
      </c>
      <c r="I403" s="60">
        <v>0</v>
      </c>
      <c r="J403" s="60">
        <f>I403*(1+(K2))</f>
        <v>0</v>
      </c>
      <c r="K403" s="61">
        <f t="shared" si="27"/>
        <v>0</v>
      </c>
    </row>
    <row r="404" spans="1:11">
      <c r="A404" s="56" t="s">
        <v>1105</v>
      </c>
      <c r="B404" s="57" t="s">
        <v>618</v>
      </c>
      <c r="C404" s="58" t="s">
        <v>71</v>
      </c>
      <c r="D404" s="58" t="s">
        <v>51</v>
      </c>
      <c r="E404" s="58">
        <v>1</v>
      </c>
      <c r="F404" s="60"/>
      <c r="G404" s="60">
        <f>F404*(1+(D2))</f>
        <v>0</v>
      </c>
      <c r="H404" s="61">
        <f t="shared" si="28"/>
        <v>0</v>
      </c>
      <c r="I404" s="60">
        <v>0</v>
      </c>
      <c r="J404" s="60">
        <f>I404*(1+(K2))</f>
        <v>0</v>
      </c>
      <c r="K404" s="61">
        <f t="shared" si="27"/>
        <v>0</v>
      </c>
    </row>
    <row r="405" spans="1:11">
      <c r="A405" s="56" t="s">
        <v>1106</v>
      </c>
      <c r="B405" s="57" t="s">
        <v>619</v>
      </c>
      <c r="C405" s="58" t="s">
        <v>41</v>
      </c>
      <c r="D405" s="59" t="s">
        <v>620</v>
      </c>
      <c r="E405" s="58">
        <v>6</v>
      </c>
      <c r="F405" s="60"/>
      <c r="G405" s="60">
        <f>F405*(1+(D2))</f>
        <v>0</v>
      </c>
      <c r="H405" s="61">
        <f t="shared" si="28"/>
        <v>0</v>
      </c>
      <c r="I405" s="60">
        <v>0</v>
      </c>
      <c r="J405" s="60">
        <f>I405*(1+(K2))</f>
        <v>0</v>
      </c>
      <c r="K405" s="61">
        <f t="shared" si="27"/>
        <v>0</v>
      </c>
    </row>
    <row r="406" spans="1:11">
      <c r="A406" s="11" t="s">
        <v>1107</v>
      </c>
      <c r="B406" s="12" t="s">
        <v>621</v>
      </c>
      <c r="C406" s="13"/>
      <c r="D406" s="775"/>
      <c r="E406" s="775"/>
      <c r="F406" s="775" t="s">
        <v>1233</v>
      </c>
      <c r="G406" s="775"/>
      <c r="H406" s="14">
        <f>SUM(H407:H451)</f>
        <v>0</v>
      </c>
      <c r="I406" s="775" t="s">
        <v>1234</v>
      </c>
      <c r="J406" s="775"/>
      <c r="K406" s="14">
        <f>SUM(K407:K451)</f>
        <v>0</v>
      </c>
    </row>
    <row r="407" spans="1:11">
      <c r="A407" s="67" t="s">
        <v>1108</v>
      </c>
      <c r="B407" s="57" t="s">
        <v>622</v>
      </c>
      <c r="C407" s="68" t="s">
        <v>41</v>
      </c>
      <c r="D407" s="58" t="s">
        <v>51</v>
      </c>
      <c r="E407" s="68">
        <v>2</v>
      </c>
      <c r="F407" s="60"/>
      <c r="G407" s="60">
        <f>F407*(1+(D2))</f>
        <v>0</v>
      </c>
      <c r="H407" s="61">
        <f t="shared" ref="H407:H451" si="29">G407*E407</f>
        <v>0</v>
      </c>
      <c r="I407" s="60">
        <v>0</v>
      </c>
      <c r="J407" s="60">
        <f>I407*(1+(K2))</f>
        <v>0</v>
      </c>
      <c r="K407" s="61">
        <f t="shared" ref="K407:K451" si="30">J407*E407</f>
        <v>0</v>
      </c>
    </row>
    <row r="408" spans="1:11">
      <c r="A408" s="67" t="s">
        <v>1109</v>
      </c>
      <c r="B408" s="57" t="s">
        <v>623</v>
      </c>
      <c r="C408" s="68" t="s">
        <v>41</v>
      </c>
      <c r="D408" s="58" t="s">
        <v>51</v>
      </c>
      <c r="E408" s="68">
        <v>2</v>
      </c>
      <c r="F408" s="60"/>
      <c r="G408" s="60">
        <f>F408*(1+(D2))</f>
        <v>0</v>
      </c>
      <c r="H408" s="61">
        <f t="shared" si="29"/>
        <v>0</v>
      </c>
      <c r="I408" s="60">
        <v>0</v>
      </c>
      <c r="J408" s="60">
        <f>I408*(1+(K2))</f>
        <v>0</v>
      </c>
      <c r="K408" s="61">
        <f t="shared" si="30"/>
        <v>0</v>
      </c>
    </row>
    <row r="409" spans="1:11">
      <c r="A409" s="67" t="s">
        <v>1110</v>
      </c>
      <c r="B409" s="57" t="s">
        <v>624</v>
      </c>
      <c r="C409" s="68" t="s">
        <v>41</v>
      </c>
      <c r="D409" s="58" t="s">
        <v>51</v>
      </c>
      <c r="E409" s="68">
        <v>1</v>
      </c>
      <c r="F409" s="60"/>
      <c r="G409" s="60">
        <f>F409*(1+(D2))</f>
        <v>0</v>
      </c>
      <c r="H409" s="61">
        <f t="shared" si="29"/>
        <v>0</v>
      </c>
      <c r="I409" s="60">
        <v>0</v>
      </c>
      <c r="J409" s="60">
        <f>I409*(1+(K2))</f>
        <v>0</v>
      </c>
      <c r="K409" s="61">
        <f t="shared" si="30"/>
        <v>0</v>
      </c>
    </row>
    <row r="410" spans="1:11">
      <c r="A410" s="67" t="s">
        <v>1111</v>
      </c>
      <c r="B410" s="57" t="s">
        <v>625</v>
      </c>
      <c r="C410" s="68" t="s">
        <v>41</v>
      </c>
      <c r="D410" s="58" t="s">
        <v>51</v>
      </c>
      <c r="E410" s="68">
        <v>4</v>
      </c>
      <c r="F410" s="60"/>
      <c r="G410" s="60">
        <f>F410*(1+(D2))</f>
        <v>0</v>
      </c>
      <c r="H410" s="61">
        <f t="shared" si="29"/>
        <v>0</v>
      </c>
      <c r="I410" s="60">
        <v>0</v>
      </c>
      <c r="J410" s="60">
        <f>I410*(1+(K2))</f>
        <v>0</v>
      </c>
      <c r="K410" s="61">
        <f t="shared" si="30"/>
        <v>0</v>
      </c>
    </row>
    <row r="411" spans="1:11">
      <c r="A411" s="67" t="s">
        <v>1112</v>
      </c>
      <c r="B411" s="57" t="s">
        <v>626</v>
      </c>
      <c r="C411" s="58" t="s">
        <v>627</v>
      </c>
      <c r="D411" s="58" t="s">
        <v>51</v>
      </c>
      <c r="E411" s="58">
        <v>20</v>
      </c>
      <c r="F411" s="60"/>
      <c r="G411" s="60">
        <f>F411*(1+(D2))</f>
        <v>0</v>
      </c>
      <c r="H411" s="61">
        <f t="shared" si="29"/>
        <v>0</v>
      </c>
      <c r="I411" s="60">
        <v>0</v>
      </c>
      <c r="J411" s="60">
        <f>I411*(1+(K2))</f>
        <v>0</v>
      </c>
      <c r="K411" s="61">
        <f t="shared" si="30"/>
        <v>0</v>
      </c>
    </row>
    <row r="412" spans="1:11">
      <c r="A412" s="67" t="s">
        <v>1113</v>
      </c>
      <c r="B412" s="57" t="s">
        <v>628</v>
      </c>
      <c r="C412" s="58" t="s">
        <v>41</v>
      </c>
      <c r="D412" s="58" t="s">
        <v>51</v>
      </c>
      <c r="E412" s="58">
        <v>8</v>
      </c>
      <c r="F412" s="60"/>
      <c r="G412" s="60">
        <f>F412*(1+(D2))</f>
        <v>0</v>
      </c>
      <c r="H412" s="61">
        <f t="shared" si="29"/>
        <v>0</v>
      </c>
      <c r="I412" s="60">
        <v>0</v>
      </c>
      <c r="J412" s="60">
        <f>I412*(1+(K2))</f>
        <v>0</v>
      </c>
      <c r="K412" s="61">
        <f t="shared" si="30"/>
        <v>0</v>
      </c>
    </row>
    <row r="413" spans="1:11" ht="22.5">
      <c r="A413" s="67" t="s">
        <v>1114</v>
      </c>
      <c r="B413" s="57" t="s">
        <v>629</v>
      </c>
      <c r="C413" s="58" t="s">
        <v>352</v>
      </c>
      <c r="D413" s="58" t="s">
        <v>51</v>
      </c>
      <c r="E413" s="58">
        <v>2</v>
      </c>
      <c r="F413" s="60"/>
      <c r="G413" s="60">
        <f>F413*(1+(D2))</f>
        <v>0</v>
      </c>
      <c r="H413" s="61">
        <f t="shared" si="29"/>
        <v>0</v>
      </c>
      <c r="I413" s="60">
        <v>0</v>
      </c>
      <c r="J413" s="60">
        <f>I413*(1+(K2))</f>
        <v>0</v>
      </c>
      <c r="K413" s="61">
        <f t="shared" si="30"/>
        <v>0</v>
      </c>
    </row>
    <row r="414" spans="1:11" ht="22.5">
      <c r="A414" s="67" t="s">
        <v>1115</v>
      </c>
      <c r="B414" s="57" t="s">
        <v>630</v>
      </c>
      <c r="C414" s="58" t="s">
        <v>352</v>
      </c>
      <c r="D414" s="58" t="s">
        <v>51</v>
      </c>
      <c r="E414" s="58">
        <v>3</v>
      </c>
      <c r="F414" s="60"/>
      <c r="G414" s="60">
        <f>F414*(1+(D2))</f>
        <v>0</v>
      </c>
      <c r="H414" s="61">
        <f t="shared" si="29"/>
        <v>0</v>
      </c>
      <c r="I414" s="60">
        <v>0</v>
      </c>
      <c r="J414" s="60">
        <f>I414*(1+(K2))</f>
        <v>0</v>
      </c>
      <c r="K414" s="61">
        <f t="shared" si="30"/>
        <v>0</v>
      </c>
    </row>
    <row r="415" spans="1:11">
      <c r="A415" s="67" t="s">
        <v>1116</v>
      </c>
      <c r="B415" s="57" t="s">
        <v>631</v>
      </c>
      <c r="C415" s="58" t="s">
        <v>41</v>
      </c>
      <c r="D415" s="58" t="s">
        <v>51</v>
      </c>
      <c r="E415" s="58">
        <v>2</v>
      </c>
      <c r="F415" s="60"/>
      <c r="G415" s="60">
        <f>F415*(1+(D2))</f>
        <v>0</v>
      </c>
      <c r="H415" s="61">
        <f t="shared" si="29"/>
        <v>0</v>
      </c>
      <c r="I415" s="60">
        <v>0</v>
      </c>
      <c r="J415" s="60">
        <f>I415*(1+(K2))</f>
        <v>0</v>
      </c>
      <c r="K415" s="61">
        <f t="shared" si="30"/>
        <v>0</v>
      </c>
    </row>
    <row r="416" spans="1:11">
      <c r="A416" s="67" t="s">
        <v>1117</v>
      </c>
      <c r="B416" s="57" t="s">
        <v>632</v>
      </c>
      <c r="C416" s="58" t="s">
        <v>41</v>
      </c>
      <c r="D416" s="58" t="s">
        <v>51</v>
      </c>
      <c r="E416" s="58">
        <v>1</v>
      </c>
      <c r="F416" s="60"/>
      <c r="G416" s="60">
        <f>F416*(1+(D2))</f>
        <v>0</v>
      </c>
      <c r="H416" s="61">
        <f t="shared" si="29"/>
        <v>0</v>
      </c>
      <c r="I416" s="60">
        <v>0</v>
      </c>
      <c r="J416" s="60">
        <f>I416*(1+(K2))</f>
        <v>0</v>
      </c>
      <c r="K416" s="61">
        <f t="shared" si="30"/>
        <v>0</v>
      </c>
    </row>
    <row r="417" spans="1:11">
      <c r="A417" s="67" t="s">
        <v>1118</v>
      </c>
      <c r="B417" s="57" t="s">
        <v>633</v>
      </c>
      <c r="C417" s="58" t="s">
        <v>41</v>
      </c>
      <c r="D417" s="58" t="s">
        <v>51</v>
      </c>
      <c r="E417" s="58">
        <v>2</v>
      </c>
      <c r="F417" s="60"/>
      <c r="G417" s="60">
        <f>F417*(1+(D2))</f>
        <v>0</v>
      </c>
      <c r="H417" s="61">
        <f t="shared" si="29"/>
        <v>0</v>
      </c>
      <c r="I417" s="60">
        <v>0</v>
      </c>
      <c r="J417" s="60">
        <f>I417*(1+(K2))</f>
        <v>0</v>
      </c>
      <c r="K417" s="61">
        <f t="shared" si="30"/>
        <v>0</v>
      </c>
    </row>
    <row r="418" spans="1:11">
      <c r="A418" s="67" t="s">
        <v>1119</v>
      </c>
      <c r="B418" s="57" t="s">
        <v>634</v>
      </c>
      <c r="C418" s="58" t="s">
        <v>627</v>
      </c>
      <c r="D418" s="58" t="s">
        <v>51</v>
      </c>
      <c r="E418" s="58">
        <v>20</v>
      </c>
      <c r="F418" s="60"/>
      <c r="G418" s="60">
        <f>F418*(1+(D2))</f>
        <v>0</v>
      </c>
      <c r="H418" s="61">
        <f t="shared" si="29"/>
        <v>0</v>
      </c>
      <c r="I418" s="60">
        <v>0</v>
      </c>
      <c r="J418" s="60">
        <f>I418*(1+(K2))</f>
        <v>0</v>
      </c>
      <c r="K418" s="61">
        <f t="shared" si="30"/>
        <v>0</v>
      </c>
    </row>
    <row r="419" spans="1:11">
      <c r="A419" s="67" t="s">
        <v>1120</v>
      </c>
      <c r="B419" s="57" t="s">
        <v>635</v>
      </c>
      <c r="C419" s="58" t="s">
        <v>41</v>
      </c>
      <c r="D419" s="58" t="s">
        <v>51</v>
      </c>
      <c r="E419" s="58">
        <v>1</v>
      </c>
      <c r="F419" s="60"/>
      <c r="G419" s="60">
        <f>F419*(1+(D2))</f>
        <v>0</v>
      </c>
      <c r="H419" s="61">
        <f t="shared" si="29"/>
        <v>0</v>
      </c>
      <c r="I419" s="60">
        <v>0</v>
      </c>
      <c r="J419" s="60">
        <f>I419*(1+(K2))</f>
        <v>0</v>
      </c>
      <c r="K419" s="61">
        <f t="shared" si="30"/>
        <v>0</v>
      </c>
    </row>
    <row r="420" spans="1:11">
      <c r="A420" s="67" t="s">
        <v>1121</v>
      </c>
      <c r="B420" s="57" t="s">
        <v>636</v>
      </c>
      <c r="C420" s="58" t="s">
        <v>41</v>
      </c>
      <c r="D420" s="58" t="s">
        <v>51</v>
      </c>
      <c r="E420" s="58">
        <v>1</v>
      </c>
      <c r="F420" s="60"/>
      <c r="G420" s="60">
        <f>F420*(1+(D2))</f>
        <v>0</v>
      </c>
      <c r="H420" s="61">
        <f t="shared" si="29"/>
        <v>0</v>
      </c>
      <c r="I420" s="60">
        <v>0</v>
      </c>
      <c r="J420" s="60">
        <f>I420*(1+(K2))</f>
        <v>0</v>
      </c>
      <c r="K420" s="61">
        <f t="shared" si="30"/>
        <v>0</v>
      </c>
    </row>
    <row r="421" spans="1:11">
      <c r="A421" s="67" t="s">
        <v>1122</v>
      </c>
      <c r="B421" s="57" t="s">
        <v>637</v>
      </c>
      <c r="C421" s="58" t="s">
        <v>638</v>
      </c>
      <c r="D421" s="58" t="s">
        <v>51</v>
      </c>
      <c r="E421" s="58">
        <v>1</v>
      </c>
      <c r="F421" s="60"/>
      <c r="G421" s="60">
        <f>F421*(1+(D2))</f>
        <v>0</v>
      </c>
      <c r="H421" s="61">
        <f t="shared" si="29"/>
        <v>0</v>
      </c>
      <c r="I421" s="60">
        <v>0</v>
      </c>
      <c r="J421" s="60">
        <f>I421*(1+(K2))</f>
        <v>0</v>
      </c>
      <c r="K421" s="61">
        <f t="shared" si="30"/>
        <v>0</v>
      </c>
    </row>
    <row r="422" spans="1:11">
      <c r="A422" s="67" t="s">
        <v>1123</v>
      </c>
      <c r="B422" s="57" t="s">
        <v>639</v>
      </c>
      <c r="C422" s="58" t="s">
        <v>41</v>
      </c>
      <c r="D422" s="58" t="s">
        <v>51</v>
      </c>
      <c r="E422" s="58">
        <v>1</v>
      </c>
      <c r="F422" s="60"/>
      <c r="G422" s="60">
        <f>F422*(1+(D2))</f>
        <v>0</v>
      </c>
      <c r="H422" s="61">
        <f t="shared" si="29"/>
        <v>0</v>
      </c>
      <c r="I422" s="60">
        <v>0</v>
      </c>
      <c r="J422" s="60">
        <f>I422*(1+(K2))</f>
        <v>0</v>
      </c>
      <c r="K422" s="61">
        <f t="shared" si="30"/>
        <v>0</v>
      </c>
    </row>
    <row r="423" spans="1:11">
      <c r="A423" s="67" t="s">
        <v>1124</v>
      </c>
      <c r="B423" s="57" t="s">
        <v>640</v>
      </c>
      <c r="C423" s="58" t="s">
        <v>41</v>
      </c>
      <c r="D423" s="58" t="s">
        <v>51</v>
      </c>
      <c r="E423" s="58">
        <v>4</v>
      </c>
      <c r="F423" s="60"/>
      <c r="G423" s="60">
        <f>F423*(1+(D2))</f>
        <v>0</v>
      </c>
      <c r="H423" s="61">
        <f t="shared" si="29"/>
        <v>0</v>
      </c>
      <c r="I423" s="60">
        <v>0</v>
      </c>
      <c r="J423" s="60">
        <f>I423*(1+(K2))</f>
        <v>0</v>
      </c>
      <c r="K423" s="61">
        <f t="shared" si="30"/>
        <v>0</v>
      </c>
    </row>
    <row r="424" spans="1:11">
      <c r="A424" s="67" t="s">
        <v>1125</v>
      </c>
      <c r="B424" s="57" t="s">
        <v>1199</v>
      </c>
      <c r="C424" s="58" t="s">
        <v>41</v>
      </c>
      <c r="D424" s="58" t="s">
        <v>51</v>
      </c>
      <c r="E424" s="58">
        <v>3</v>
      </c>
      <c r="F424" s="60"/>
      <c r="G424" s="60">
        <f>F424*(1+(D2))</f>
        <v>0</v>
      </c>
      <c r="H424" s="61">
        <f t="shared" si="29"/>
        <v>0</v>
      </c>
      <c r="I424" s="60">
        <v>0</v>
      </c>
      <c r="J424" s="60">
        <f>I424*(1+(K2))</f>
        <v>0</v>
      </c>
      <c r="K424" s="61">
        <f t="shared" si="30"/>
        <v>0</v>
      </c>
    </row>
    <row r="425" spans="1:11">
      <c r="A425" s="67" t="s">
        <v>1126</v>
      </c>
      <c r="B425" s="57" t="s">
        <v>641</v>
      </c>
      <c r="C425" s="58" t="s">
        <v>41</v>
      </c>
      <c r="D425" s="58" t="s">
        <v>51</v>
      </c>
      <c r="E425" s="58">
        <v>1</v>
      </c>
      <c r="F425" s="60"/>
      <c r="G425" s="60">
        <f>F425*(1+(D2))</f>
        <v>0</v>
      </c>
      <c r="H425" s="61">
        <f t="shared" si="29"/>
        <v>0</v>
      </c>
      <c r="I425" s="60">
        <v>0</v>
      </c>
      <c r="J425" s="60">
        <f>I425*(1+(K2))</f>
        <v>0</v>
      </c>
      <c r="K425" s="61">
        <f t="shared" si="30"/>
        <v>0</v>
      </c>
    </row>
    <row r="426" spans="1:11">
      <c r="A426" s="67" t="s">
        <v>1127</v>
      </c>
      <c r="B426" s="57" t="s">
        <v>642</v>
      </c>
      <c r="C426" s="58" t="s">
        <v>41</v>
      </c>
      <c r="D426" s="58" t="s">
        <v>51</v>
      </c>
      <c r="E426" s="58">
        <v>1</v>
      </c>
      <c r="F426" s="60"/>
      <c r="G426" s="60">
        <f>F426*(1+(D2))</f>
        <v>0</v>
      </c>
      <c r="H426" s="61">
        <f t="shared" si="29"/>
        <v>0</v>
      </c>
      <c r="I426" s="60">
        <v>0</v>
      </c>
      <c r="J426" s="60">
        <f>I426*(1+(K2))</f>
        <v>0</v>
      </c>
      <c r="K426" s="61">
        <f t="shared" si="30"/>
        <v>0</v>
      </c>
    </row>
    <row r="427" spans="1:11">
      <c r="A427" s="67" t="s">
        <v>1128</v>
      </c>
      <c r="B427" s="57" t="s">
        <v>643</v>
      </c>
      <c r="C427" s="58" t="s">
        <v>41</v>
      </c>
      <c r="D427" s="58" t="s">
        <v>51</v>
      </c>
      <c r="E427" s="58">
        <v>20</v>
      </c>
      <c r="F427" s="60"/>
      <c r="G427" s="60">
        <f>F427*(1+(D2))</f>
        <v>0</v>
      </c>
      <c r="H427" s="61">
        <f t="shared" si="29"/>
        <v>0</v>
      </c>
      <c r="I427" s="60">
        <v>0</v>
      </c>
      <c r="J427" s="60">
        <f>I427*(1+(K2))</f>
        <v>0</v>
      </c>
      <c r="K427" s="61">
        <f t="shared" si="30"/>
        <v>0</v>
      </c>
    </row>
    <row r="428" spans="1:11">
      <c r="A428" s="67" t="s">
        <v>1129</v>
      </c>
      <c r="B428" s="57" t="s">
        <v>644</v>
      </c>
      <c r="C428" s="58" t="s">
        <v>41</v>
      </c>
      <c r="D428" s="58" t="s">
        <v>51</v>
      </c>
      <c r="E428" s="58">
        <v>1</v>
      </c>
      <c r="F428" s="60"/>
      <c r="G428" s="60">
        <f>F428*(1+(D2))</f>
        <v>0</v>
      </c>
      <c r="H428" s="61">
        <f t="shared" si="29"/>
        <v>0</v>
      </c>
      <c r="I428" s="60">
        <v>0</v>
      </c>
      <c r="J428" s="60">
        <f>I428*(1+(K2))</f>
        <v>0</v>
      </c>
      <c r="K428" s="61">
        <f t="shared" si="30"/>
        <v>0</v>
      </c>
    </row>
    <row r="429" spans="1:11">
      <c r="A429" s="67" t="s">
        <v>1130</v>
      </c>
      <c r="B429" s="57" t="s">
        <v>645</v>
      </c>
      <c r="C429" s="58" t="s">
        <v>41</v>
      </c>
      <c r="D429" s="58" t="s">
        <v>51</v>
      </c>
      <c r="E429" s="58">
        <v>20</v>
      </c>
      <c r="F429" s="60"/>
      <c r="G429" s="60">
        <f>F429*(1+(D2))</f>
        <v>0</v>
      </c>
      <c r="H429" s="61">
        <f t="shared" si="29"/>
        <v>0</v>
      </c>
      <c r="I429" s="60">
        <v>0</v>
      </c>
      <c r="J429" s="60">
        <f>I429*(1+(K2))</f>
        <v>0</v>
      </c>
      <c r="K429" s="61">
        <f t="shared" si="30"/>
        <v>0</v>
      </c>
    </row>
    <row r="430" spans="1:11">
      <c r="A430" s="67" t="s">
        <v>1131</v>
      </c>
      <c r="B430" s="57" t="s">
        <v>646</v>
      </c>
      <c r="C430" s="58" t="s">
        <v>41</v>
      </c>
      <c r="D430" s="59" t="s">
        <v>647</v>
      </c>
      <c r="E430" s="58">
        <v>1</v>
      </c>
      <c r="F430" s="60"/>
      <c r="G430" s="60">
        <f>F430*(1+(D2))</f>
        <v>0</v>
      </c>
      <c r="H430" s="61">
        <f t="shared" si="29"/>
        <v>0</v>
      </c>
      <c r="I430" s="60">
        <v>0</v>
      </c>
      <c r="J430" s="60">
        <f>I430*(1+(K2))</f>
        <v>0</v>
      </c>
      <c r="K430" s="61">
        <f t="shared" si="30"/>
        <v>0</v>
      </c>
    </row>
    <row r="431" spans="1:11">
      <c r="A431" s="67" t="s">
        <v>1132</v>
      </c>
      <c r="B431" s="57" t="s">
        <v>648</v>
      </c>
      <c r="C431" s="58" t="s">
        <v>50</v>
      </c>
      <c r="D431" s="58" t="s">
        <v>51</v>
      </c>
      <c r="E431" s="58">
        <v>10</v>
      </c>
      <c r="F431" s="60"/>
      <c r="G431" s="60">
        <f>F431*(1+(D2))</f>
        <v>0</v>
      </c>
      <c r="H431" s="61">
        <f t="shared" si="29"/>
        <v>0</v>
      </c>
      <c r="I431" s="60">
        <v>0</v>
      </c>
      <c r="J431" s="60">
        <f>I431*(1+(K2))</f>
        <v>0</v>
      </c>
      <c r="K431" s="61">
        <f t="shared" si="30"/>
        <v>0</v>
      </c>
    </row>
    <row r="432" spans="1:11">
      <c r="A432" s="67" t="s">
        <v>1133</v>
      </c>
      <c r="B432" s="57" t="s">
        <v>649</v>
      </c>
      <c r="C432" s="58" t="s">
        <v>41</v>
      </c>
      <c r="D432" s="59" t="s">
        <v>650</v>
      </c>
      <c r="E432" s="58">
        <v>2</v>
      </c>
      <c r="F432" s="60"/>
      <c r="G432" s="60">
        <f>F432*(1+(D2))</f>
        <v>0</v>
      </c>
      <c r="H432" s="61">
        <f t="shared" si="29"/>
        <v>0</v>
      </c>
      <c r="I432" s="60">
        <v>0</v>
      </c>
      <c r="J432" s="60">
        <f>I432*(1+(K2))</f>
        <v>0</v>
      </c>
      <c r="K432" s="61">
        <f t="shared" si="30"/>
        <v>0</v>
      </c>
    </row>
    <row r="433" spans="1:11">
      <c r="A433" s="67" t="s">
        <v>1134</v>
      </c>
      <c r="B433" s="57" t="s">
        <v>651</v>
      </c>
      <c r="C433" s="58" t="s">
        <v>50</v>
      </c>
      <c r="D433" s="58" t="s">
        <v>51</v>
      </c>
      <c r="E433" s="58">
        <v>2</v>
      </c>
      <c r="F433" s="60"/>
      <c r="G433" s="60">
        <f>F433*(1+(D2))</f>
        <v>0</v>
      </c>
      <c r="H433" s="61">
        <f t="shared" si="29"/>
        <v>0</v>
      </c>
      <c r="I433" s="60">
        <v>0</v>
      </c>
      <c r="J433" s="60">
        <f>I433*(1+(K2))</f>
        <v>0</v>
      </c>
      <c r="K433" s="61">
        <f t="shared" si="30"/>
        <v>0</v>
      </c>
    </row>
    <row r="434" spans="1:11">
      <c r="A434" s="67" t="s">
        <v>1135</v>
      </c>
      <c r="B434" s="57" t="s">
        <v>652</v>
      </c>
      <c r="C434" s="58" t="s">
        <v>227</v>
      </c>
      <c r="D434" s="58" t="s">
        <v>51</v>
      </c>
      <c r="E434" s="58">
        <v>135</v>
      </c>
      <c r="F434" s="60"/>
      <c r="G434" s="60">
        <f>F434*(1+(D2))</f>
        <v>0</v>
      </c>
      <c r="H434" s="61">
        <f t="shared" si="29"/>
        <v>0</v>
      </c>
      <c r="I434" s="60">
        <v>0</v>
      </c>
      <c r="J434" s="60">
        <f>I434*(1+(K2))</f>
        <v>0</v>
      </c>
      <c r="K434" s="61">
        <f t="shared" si="30"/>
        <v>0</v>
      </c>
    </row>
    <row r="435" spans="1:11">
      <c r="A435" s="67" t="s">
        <v>1136</v>
      </c>
      <c r="B435" s="57" t="s">
        <v>653</v>
      </c>
      <c r="C435" s="58" t="s">
        <v>50</v>
      </c>
      <c r="D435" s="58" t="s">
        <v>51</v>
      </c>
      <c r="E435" s="58">
        <v>3</v>
      </c>
      <c r="F435" s="60"/>
      <c r="G435" s="60">
        <f>F435*(1+(D2))</f>
        <v>0</v>
      </c>
      <c r="H435" s="61">
        <f t="shared" si="29"/>
        <v>0</v>
      </c>
      <c r="I435" s="60">
        <v>0</v>
      </c>
      <c r="J435" s="60">
        <f>I435*(1+(K2))</f>
        <v>0</v>
      </c>
      <c r="K435" s="61">
        <f t="shared" si="30"/>
        <v>0</v>
      </c>
    </row>
    <row r="436" spans="1:11">
      <c r="A436" s="67" t="s">
        <v>1137</v>
      </c>
      <c r="B436" s="57" t="s">
        <v>654</v>
      </c>
      <c r="C436" s="58" t="s">
        <v>41</v>
      </c>
      <c r="D436" s="58" t="s">
        <v>51</v>
      </c>
      <c r="E436" s="58">
        <v>1</v>
      </c>
      <c r="F436" s="60"/>
      <c r="G436" s="60">
        <f>F436*(1+(D2))</f>
        <v>0</v>
      </c>
      <c r="H436" s="61">
        <f t="shared" si="29"/>
        <v>0</v>
      </c>
      <c r="I436" s="60">
        <v>0</v>
      </c>
      <c r="J436" s="60">
        <f>I436*(1+(K2))</f>
        <v>0</v>
      </c>
      <c r="K436" s="61">
        <f t="shared" si="30"/>
        <v>0</v>
      </c>
    </row>
    <row r="437" spans="1:11">
      <c r="A437" s="67" t="s">
        <v>1138</v>
      </c>
      <c r="B437" s="57" t="s">
        <v>655</v>
      </c>
      <c r="C437" s="58" t="s">
        <v>41</v>
      </c>
      <c r="D437" s="59" t="s">
        <v>656</v>
      </c>
      <c r="E437" s="58">
        <v>100</v>
      </c>
      <c r="F437" s="60"/>
      <c r="G437" s="60">
        <f>F437*(1+(D2))</f>
        <v>0</v>
      </c>
      <c r="H437" s="61">
        <f t="shared" si="29"/>
        <v>0</v>
      </c>
      <c r="I437" s="60">
        <v>0</v>
      </c>
      <c r="J437" s="60">
        <f>I437*(1+(K2))</f>
        <v>0</v>
      </c>
      <c r="K437" s="61">
        <f t="shared" si="30"/>
        <v>0</v>
      </c>
    </row>
    <row r="438" spans="1:11" ht="22.5">
      <c r="A438" s="67" t="s">
        <v>1139</v>
      </c>
      <c r="B438" s="57" t="s">
        <v>657</v>
      </c>
      <c r="C438" s="58" t="s">
        <v>41</v>
      </c>
      <c r="D438" s="58" t="s">
        <v>51</v>
      </c>
      <c r="E438" s="58">
        <v>1</v>
      </c>
      <c r="F438" s="60"/>
      <c r="G438" s="60">
        <f>F438*(1+(D2))</f>
        <v>0</v>
      </c>
      <c r="H438" s="61">
        <f t="shared" si="29"/>
        <v>0</v>
      </c>
      <c r="I438" s="60">
        <v>0</v>
      </c>
      <c r="J438" s="60">
        <f>I438*(1+(K2))</f>
        <v>0</v>
      </c>
      <c r="K438" s="61">
        <f t="shared" si="30"/>
        <v>0</v>
      </c>
    </row>
    <row r="439" spans="1:11">
      <c r="A439" s="67" t="s">
        <v>1140</v>
      </c>
      <c r="B439" s="57" t="s">
        <v>658</v>
      </c>
      <c r="C439" s="58" t="s">
        <v>627</v>
      </c>
      <c r="D439" s="58" t="s">
        <v>51</v>
      </c>
      <c r="E439" s="58">
        <v>40</v>
      </c>
      <c r="F439" s="60"/>
      <c r="G439" s="60">
        <f>F439*(1+(D2))</f>
        <v>0</v>
      </c>
      <c r="H439" s="61">
        <f t="shared" si="29"/>
        <v>0</v>
      </c>
      <c r="I439" s="60">
        <v>0</v>
      </c>
      <c r="J439" s="60">
        <f>I439*(1+(K2))</f>
        <v>0</v>
      </c>
      <c r="K439" s="61">
        <f t="shared" si="30"/>
        <v>0</v>
      </c>
    </row>
    <row r="440" spans="1:11">
      <c r="A440" s="67" t="s">
        <v>1141</v>
      </c>
      <c r="B440" s="57" t="s">
        <v>659</v>
      </c>
      <c r="C440" s="58" t="s">
        <v>41</v>
      </c>
      <c r="D440" s="58" t="s">
        <v>51</v>
      </c>
      <c r="E440" s="58">
        <v>1</v>
      </c>
      <c r="F440" s="60"/>
      <c r="G440" s="60">
        <f>F440*(1+(D2))</f>
        <v>0</v>
      </c>
      <c r="H440" s="61">
        <f t="shared" si="29"/>
        <v>0</v>
      </c>
      <c r="I440" s="60">
        <v>0</v>
      </c>
      <c r="J440" s="60">
        <f>I440*(1+(K2))</f>
        <v>0</v>
      </c>
      <c r="K440" s="61">
        <f t="shared" si="30"/>
        <v>0</v>
      </c>
    </row>
    <row r="441" spans="1:11">
      <c r="A441" s="67" t="s">
        <v>1142</v>
      </c>
      <c r="B441" s="57" t="s">
        <v>660</v>
      </c>
      <c r="C441" s="58" t="s">
        <v>41</v>
      </c>
      <c r="D441" s="58" t="s">
        <v>51</v>
      </c>
      <c r="E441" s="58">
        <v>100</v>
      </c>
      <c r="F441" s="60"/>
      <c r="G441" s="60">
        <f>F441*(1+(D2))</f>
        <v>0</v>
      </c>
      <c r="H441" s="61">
        <f t="shared" si="29"/>
        <v>0</v>
      </c>
      <c r="I441" s="60">
        <v>0</v>
      </c>
      <c r="J441" s="60">
        <f>I441*(1+(K2))</f>
        <v>0</v>
      </c>
      <c r="K441" s="61">
        <f t="shared" si="30"/>
        <v>0</v>
      </c>
    </row>
    <row r="442" spans="1:11">
      <c r="A442" s="67" t="s">
        <v>1143</v>
      </c>
      <c r="B442" s="57" t="s">
        <v>661</v>
      </c>
      <c r="C442" s="58" t="s">
        <v>41</v>
      </c>
      <c r="D442" s="58" t="s">
        <v>51</v>
      </c>
      <c r="E442" s="58">
        <v>50</v>
      </c>
      <c r="F442" s="60"/>
      <c r="G442" s="60">
        <f>F442*(1+(D2))</f>
        <v>0</v>
      </c>
      <c r="H442" s="61">
        <f t="shared" si="29"/>
        <v>0</v>
      </c>
      <c r="I442" s="60">
        <v>0</v>
      </c>
      <c r="J442" s="60">
        <f>I442*(1+(K2))</f>
        <v>0</v>
      </c>
      <c r="K442" s="61">
        <f t="shared" si="30"/>
        <v>0</v>
      </c>
    </row>
    <row r="443" spans="1:11">
      <c r="A443" s="67" t="s">
        <v>1144</v>
      </c>
      <c r="B443" s="57" t="s">
        <v>662</v>
      </c>
      <c r="C443" s="58" t="s">
        <v>41</v>
      </c>
      <c r="D443" s="58" t="s">
        <v>51</v>
      </c>
      <c r="E443" s="58">
        <v>10</v>
      </c>
      <c r="F443" s="60"/>
      <c r="G443" s="60">
        <f>F443*(1+(D2))</f>
        <v>0</v>
      </c>
      <c r="H443" s="61">
        <f t="shared" si="29"/>
        <v>0</v>
      </c>
      <c r="I443" s="60">
        <v>0</v>
      </c>
      <c r="J443" s="60">
        <f>I443*(1+(K2))</f>
        <v>0</v>
      </c>
      <c r="K443" s="61">
        <f t="shared" si="30"/>
        <v>0</v>
      </c>
    </row>
    <row r="444" spans="1:11">
      <c r="A444" s="67" t="s">
        <v>1145</v>
      </c>
      <c r="B444" s="57" t="s">
        <v>663</v>
      </c>
      <c r="C444" s="58" t="s">
        <v>41</v>
      </c>
      <c r="D444" s="59" t="s">
        <v>664</v>
      </c>
      <c r="E444" s="58">
        <v>100</v>
      </c>
      <c r="F444" s="60"/>
      <c r="G444" s="60">
        <f>F444*(1+(D2))</f>
        <v>0</v>
      </c>
      <c r="H444" s="61">
        <f t="shared" si="29"/>
        <v>0</v>
      </c>
      <c r="I444" s="60">
        <v>0</v>
      </c>
      <c r="J444" s="60">
        <f>I444*(1+(K2))</f>
        <v>0</v>
      </c>
      <c r="K444" s="61">
        <f t="shared" si="30"/>
        <v>0</v>
      </c>
    </row>
    <row r="445" spans="1:11">
      <c r="A445" s="67" t="s">
        <v>1146</v>
      </c>
      <c r="B445" s="57" t="s">
        <v>665</v>
      </c>
      <c r="C445" s="58" t="s">
        <v>666</v>
      </c>
      <c r="D445" s="58" t="s">
        <v>51</v>
      </c>
      <c r="E445" s="58">
        <v>1</v>
      </c>
      <c r="F445" s="60"/>
      <c r="G445" s="60">
        <f>F445*(1+(D2))</f>
        <v>0</v>
      </c>
      <c r="H445" s="61">
        <f t="shared" si="29"/>
        <v>0</v>
      </c>
      <c r="I445" s="60">
        <v>0</v>
      </c>
      <c r="J445" s="60">
        <f>I445*(1+(K2))</f>
        <v>0</v>
      </c>
      <c r="K445" s="61">
        <f t="shared" si="30"/>
        <v>0</v>
      </c>
    </row>
    <row r="446" spans="1:11">
      <c r="A446" s="67" t="s">
        <v>1147</v>
      </c>
      <c r="B446" s="57" t="s">
        <v>667</v>
      </c>
      <c r="C446" s="58" t="s">
        <v>666</v>
      </c>
      <c r="D446" s="58" t="s">
        <v>51</v>
      </c>
      <c r="E446" s="58">
        <v>0.5</v>
      </c>
      <c r="F446" s="60"/>
      <c r="G446" s="60">
        <f>F446*(1+(D2))</f>
        <v>0</v>
      </c>
      <c r="H446" s="61">
        <f t="shared" si="29"/>
        <v>0</v>
      </c>
      <c r="I446" s="60">
        <v>0</v>
      </c>
      <c r="J446" s="60">
        <f>I446*(1+(K2))</f>
        <v>0</v>
      </c>
      <c r="K446" s="61">
        <f t="shared" si="30"/>
        <v>0</v>
      </c>
    </row>
    <row r="447" spans="1:11">
      <c r="A447" s="67" t="s">
        <v>1148</v>
      </c>
      <c r="B447" s="57" t="s">
        <v>668</v>
      </c>
      <c r="C447" s="58" t="s">
        <v>41</v>
      </c>
      <c r="D447" s="59" t="s">
        <v>669</v>
      </c>
      <c r="E447" s="58">
        <v>100</v>
      </c>
      <c r="F447" s="60"/>
      <c r="G447" s="60">
        <f>F447*(1+(D2))</f>
        <v>0</v>
      </c>
      <c r="H447" s="61">
        <f t="shared" si="29"/>
        <v>0</v>
      </c>
      <c r="I447" s="60">
        <v>0</v>
      </c>
      <c r="J447" s="60">
        <f>I447*(1+(K2))</f>
        <v>0</v>
      </c>
      <c r="K447" s="61">
        <f t="shared" si="30"/>
        <v>0</v>
      </c>
    </row>
    <row r="448" spans="1:11">
      <c r="A448" s="67" t="s">
        <v>1149</v>
      </c>
      <c r="B448" s="57" t="s">
        <v>670</v>
      </c>
      <c r="C448" s="58" t="s">
        <v>666</v>
      </c>
      <c r="D448" s="58" t="s">
        <v>51</v>
      </c>
      <c r="E448" s="58">
        <v>50</v>
      </c>
      <c r="F448" s="60"/>
      <c r="G448" s="60">
        <f>F448*(1+(D2))</f>
        <v>0</v>
      </c>
      <c r="H448" s="61">
        <f t="shared" si="29"/>
        <v>0</v>
      </c>
      <c r="I448" s="60">
        <v>0</v>
      </c>
      <c r="J448" s="60">
        <f>I448*(1+(K2))</f>
        <v>0</v>
      </c>
      <c r="K448" s="61">
        <f t="shared" si="30"/>
        <v>0</v>
      </c>
    </row>
    <row r="449" spans="1:11" ht="22.5">
      <c r="A449" s="67" t="s">
        <v>1150</v>
      </c>
      <c r="B449" s="57" t="s">
        <v>671</v>
      </c>
      <c r="C449" s="58" t="s">
        <v>74</v>
      </c>
      <c r="D449" s="58" t="s">
        <v>51</v>
      </c>
      <c r="E449" s="58">
        <v>2</v>
      </c>
      <c r="F449" s="60"/>
      <c r="G449" s="60">
        <f>F449*(1+(D2))</f>
        <v>0</v>
      </c>
      <c r="H449" s="61">
        <f t="shared" si="29"/>
        <v>0</v>
      </c>
      <c r="I449" s="60">
        <v>0</v>
      </c>
      <c r="J449" s="60">
        <f>I449*(1+(K2))</f>
        <v>0</v>
      </c>
      <c r="K449" s="61">
        <f t="shared" si="30"/>
        <v>0</v>
      </c>
    </row>
    <row r="450" spans="1:11">
      <c r="A450" s="67" t="s">
        <v>1151</v>
      </c>
      <c r="B450" s="57" t="s">
        <v>672</v>
      </c>
      <c r="C450" s="58" t="s">
        <v>41</v>
      </c>
      <c r="D450" s="58" t="s">
        <v>51</v>
      </c>
      <c r="E450" s="58">
        <v>50</v>
      </c>
      <c r="F450" s="60"/>
      <c r="G450" s="60">
        <f>F450*(1+(D2))</f>
        <v>0</v>
      </c>
      <c r="H450" s="61">
        <f t="shared" si="29"/>
        <v>0</v>
      </c>
      <c r="I450" s="60">
        <v>0</v>
      </c>
      <c r="J450" s="60">
        <f>I450*(1+(K2))</f>
        <v>0</v>
      </c>
      <c r="K450" s="61">
        <f t="shared" si="30"/>
        <v>0</v>
      </c>
    </row>
    <row r="451" spans="1:11">
      <c r="A451" s="67" t="s">
        <v>1152</v>
      </c>
      <c r="B451" s="57" t="s">
        <v>673</v>
      </c>
      <c r="C451" s="58" t="s">
        <v>74</v>
      </c>
      <c r="D451" s="58" t="s">
        <v>51</v>
      </c>
      <c r="E451" s="58">
        <v>2</v>
      </c>
      <c r="F451" s="60"/>
      <c r="G451" s="60">
        <f>F451*(1+(D2))</f>
        <v>0</v>
      </c>
      <c r="H451" s="61">
        <f t="shared" si="29"/>
        <v>0</v>
      </c>
      <c r="I451" s="60">
        <v>0</v>
      </c>
      <c r="J451" s="60">
        <f>I451*(1+(K2))</f>
        <v>0</v>
      </c>
      <c r="K451" s="61">
        <f t="shared" si="30"/>
        <v>0</v>
      </c>
    </row>
    <row r="452" spans="1:11">
      <c r="A452" s="11" t="s">
        <v>1153</v>
      </c>
      <c r="B452" s="12" t="s">
        <v>674</v>
      </c>
      <c r="C452" s="13"/>
      <c r="D452" s="775"/>
      <c r="E452" s="775"/>
      <c r="F452" s="775" t="s">
        <v>1235</v>
      </c>
      <c r="G452" s="775"/>
      <c r="H452" s="14">
        <f>SUM(H453:H462)</f>
        <v>0</v>
      </c>
      <c r="I452" s="775" t="s">
        <v>1236</v>
      </c>
      <c r="J452" s="775"/>
      <c r="K452" s="14">
        <f>SUM(K453:K462)</f>
        <v>0</v>
      </c>
    </row>
    <row r="453" spans="1:11">
      <c r="A453" s="56" t="s">
        <v>1154</v>
      </c>
      <c r="B453" s="57" t="s">
        <v>675</v>
      </c>
      <c r="C453" s="58" t="s">
        <v>41</v>
      </c>
      <c r="D453" s="58" t="s">
        <v>51</v>
      </c>
      <c r="E453" s="58">
        <v>100</v>
      </c>
      <c r="F453" s="60"/>
      <c r="G453" s="60">
        <f>F453*(1+(D2))</f>
        <v>0</v>
      </c>
      <c r="H453" s="61">
        <f t="shared" ref="H453:H462" si="31">G453*E453</f>
        <v>0</v>
      </c>
      <c r="I453" s="60">
        <v>0</v>
      </c>
      <c r="J453" s="60">
        <f>I453*(1+(K2))</f>
        <v>0</v>
      </c>
      <c r="K453" s="61">
        <f t="shared" ref="K453:K462" si="32">J453*E453</f>
        <v>0</v>
      </c>
    </row>
    <row r="454" spans="1:11">
      <c r="A454" s="56" t="s">
        <v>1155</v>
      </c>
      <c r="B454" s="57" t="s">
        <v>676</v>
      </c>
      <c r="C454" s="58" t="s">
        <v>41</v>
      </c>
      <c r="D454" s="59" t="s">
        <v>677</v>
      </c>
      <c r="E454" s="58">
        <v>10</v>
      </c>
      <c r="F454" s="60"/>
      <c r="G454" s="60">
        <f>F454*(1+(D2))</f>
        <v>0</v>
      </c>
      <c r="H454" s="61">
        <f t="shared" si="31"/>
        <v>0</v>
      </c>
      <c r="I454" s="60">
        <v>0</v>
      </c>
      <c r="J454" s="60">
        <f>I454*(1+(K2))</f>
        <v>0</v>
      </c>
      <c r="K454" s="61">
        <f t="shared" si="32"/>
        <v>0</v>
      </c>
    </row>
    <row r="455" spans="1:11">
      <c r="A455" s="56" t="s">
        <v>1156</v>
      </c>
      <c r="B455" s="57" t="s">
        <v>678</v>
      </c>
      <c r="C455" s="58" t="s">
        <v>41</v>
      </c>
      <c r="D455" s="58" t="s">
        <v>51</v>
      </c>
      <c r="E455" s="58">
        <v>10</v>
      </c>
      <c r="F455" s="60"/>
      <c r="G455" s="60">
        <f>F455*(1+(D2))</f>
        <v>0</v>
      </c>
      <c r="H455" s="61">
        <f t="shared" si="31"/>
        <v>0</v>
      </c>
      <c r="I455" s="60">
        <v>0</v>
      </c>
      <c r="J455" s="60">
        <f>I455*(1+(K2))</f>
        <v>0</v>
      </c>
      <c r="K455" s="61">
        <f t="shared" si="32"/>
        <v>0</v>
      </c>
    </row>
    <row r="456" spans="1:11">
      <c r="A456" s="56" t="s">
        <v>1157</v>
      </c>
      <c r="B456" s="57" t="s">
        <v>679</v>
      </c>
      <c r="C456" s="58" t="s">
        <v>41</v>
      </c>
      <c r="D456" s="59" t="s">
        <v>680</v>
      </c>
      <c r="E456" s="58">
        <v>720</v>
      </c>
      <c r="F456" s="60"/>
      <c r="G456" s="60">
        <f>F456*(1+(D2))</f>
        <v>0</v>
      </c>
      <c r="H456" s="61">
        <f t="shared" si="31"/>
        <v>0</v>
      </c>
      <c r="I456" s="60">
        <v>0</v>
      </c>
      <c r="J456" s="60">
        <f>I456*(1+(K2))</f>
        <v>0</v>
      </c>
      <c r="K456" s="61">
        <f t="shared" si="32"/>
        <v>0</v>
      </c>
    </row>
    <row r="457" spans="1:11">
      <c r="A457" s="56" t="s">
        <v>1158</v>
      </c>
      <c r="B457" s="57" t="s">
        <v>681</v>
      </c>
      <c r="C457" s="58" t="s">
        <v>682</v>
      </c>
      <c r="D457" s="59" t="s">
        <v>683</v>
      </c>
      <c r="E457" s="58">
        <v>2000</v>
      </c>
      <c r="F457" s="60"/>
      <c r="G457" s="60">
        <f>F457*(1+(D2))</f>
        <v>0</v>
      </c>
      <c r="H457" s="61">
        <f t="shared" si="31"/>
        <v>0</v>
      </c>
      <c r="I457" s="60">
        <v>0</v>
      </c>
      <c r="J457" s="60">
        <f>I457*(1+(K2))</f>
        <v>0</v>
      </c>
      <c r="K457" s="61">
        <f t="shared" si="32"/>
        <v>0</v>
      </c>
    </row>
    <row r="458" spans="1:11">
      <c r="A458" s="56" t="s">
        <v>1159</v>
      </c>
      <c r="B458" s="57" t="s">
        <v>684</v>
      </c>
      <c r="C458" s="58" t="s">
        <v>41</v>
      </c>
      <c r="D458" s="58" t="s">
        <v>51</v>
      </c>
      <c r="E458" s="58">
        <v>50</v>
      </c>
      <c r="F458" s="60"/>
      <c r="G458" s="60">
        <f>F458*(1+(D2))</f>
        <v>0</v>
      </c>
      <c r="H458" s="61">
        <f t="shared" si="31"/>
        <v>0</v>
      </c>
      <c r="I458" s="60">
        <v>0</v>
      </c>
      <c r="J458" s="60">
        <f>I458*(1+(K2))</f>
        <v>0</v>
      </c>
      <c r="K458" s="61">
        <f t="shared" si="32"/>
        <v>0</v>
      </c>
    </row>
    <row r="459" spans="1:11">
      <c r="A459" s="56" t="s">
        <v>1160</v>
      </c>
      <c r="B459" s="57" t="s">
        <v>685</v>
      </c>
      <c r="C459" s="58" t="s">
        <v>47</v>
      </c>
      <c r="D459" s="58" t="s">
        <v>51</v>
      </c>
      <c r="E459" s="58">
        <v>100</v>
      </c>
      <c r="F459" s="60"/>
      <c r="G459" s="60">
        <f>F459*(1+(D2))</f>
        <v>0</v>
      </c>
      <c r="H459" s="61">
        <f t="shared" si="31"/>
        <v>0</v>
      </c>
      <c r="I459" s="60">
        <v>0</v>
      </c>
      <c r="J459" s="60">
        <f>I459*(1+(K2))</f>
        <v>0</v>
      </c>
      <c r="K459" s="61">
        <f t="shared" si="32"/>
        <v>0</v>
      </c>
    </row>
    <row r="460" spans="1:11">
      <c r="A460" s="56" t="s">
        <v>1161</v>
      </c>
      <c r="B460" s="57" t="s">
        <v>686</v>
      </c>
      <c r="C460" s="58" t="s">
        <v>41</v>
      </c>
      <c r="D460" s="59" t="s">
        <v>687</v>
      </c>
      <c r="E460" s="58">
        <v>300</v>
      </c>
      <c r="F460" s="60"/>
      <c r="G460" s="60">
        <f>F460*(1+(D2))</f>
        <v>0</v>
      </c>
      <c r="H460" s="61">
        <f t="shared" si="31"/>
        <v>0</v>
      </c>
      <c r="I460" s="60">
        <v>0</v>
      </c>
      <c r="J460" s="60">
        <f>I460*(1+(K2))</f>
        <v>0</v>
      </c>
      <c r="K460" s="61">
        <f t="shared" si="32"/>
        <v>0</v>
      </c>
    </row>
    <row r="461" spans="1:11">
      <c r="A461" s="56" t="s">
        <v>1162</v>
      </c>
      <c r="B461" s="57" t="s">
        <v>688</v>
      </c>
      <c r="C461" s="58" t="s">
        <v>74</v>
      </c>
      <c r="D461" s="59" t="s">
        <v>689</v>
      </c>
      <c r="E461" s="58">
        <v>120</v>
      </c>
      <c r="F461" s="60"/>
      <c r="G461" s="60">
        <f>F461*(1+(D2))</f>
        <v>0</v>
      </c>
      <c r="H461" s="61">
        <f t="shared" si="31"/>
        <v>0</v>
      </c>
      <c r="I461" s="60">
        <v>0</v>
      </c>
      <c r="J461" s="60">
        <f>I461*(1+(K2))</f>
        <v>0</v>
      </c>
      <c r="K461" s="61">
        <f t="shared" si="32"/>
        <v>0</v>
      </c>
    </row>
    <row r="462" spans="1:11" ht="22.5">
      <c r="A462" s="56" t="s">
        <v>1163</v>
      </c>
      <c r="B462" s="57" t="s">
        <v>690</v>
      </c>
      <c r="C462" s="58" t="s">
        <v>41</v>
      </c>
      <c r="D462" s="59" t="s">
        <v>691</v>
      </c>
      <c r="E462" s="58">
        <v>60</v>
      </c>
      <c r="F462" s="60"/>
      <c r="G462" s="60">
        <f>F462*(1+(D2))</f>
        <v>0</v>
      </c>
      <c r="H462" s="61">
        <f t="shared" si="31"/>
        <v>0</v>
      </c>
      <c r="I462" s="60">
        <v>0</v>
      </c>
      <c r="J462" s="60">
        <f>I462*(1+(K2))</f>
        <v>0</v>
      </c>
      <c r="K462" s="61">
        <f t="shared" si="32"/>
        <v>0</v>
      </c>
    </row>
    <row r="463" spans="1:11" ht="16.5" thickBot="1">
      <c r="A463" s="74"/>
      <c r="B463" s="75"/>
      <c r="C463" s="75"/>
      <c r="D463" s="75"/>
      <c r="E463" s="75"/>
      <c r="F463" s="782" t="s">
        <v>692</v>
      </c>
      <c r="G463" s="783"/>
      <c r="H463" s="78">
        <f>SUM(H7:H462)/2</f>
        <v>0</v>
      </c>
      <c r="I463" s="782" t="s">
        <v>692</v>
      </c>
      <c r="J463" s="783"/>
      <c r="K463" s="78">
        <f>SUM(K7:K462)/2</f>
        <v>0</v>
      </c>
    </row>
  </sheetData>
  <mergeCells count="49">
    <mergeCell ref="A2:B2"/>
    <mergeCell ref="F79:G79"/>
    <mergeCell ref="F88:G88"/>
    <mergeCell ref="H4:H5"/>
    <mergeCell ref="D79:E79"/>
    <mergeCell ref="D88:E88"/>
    <mergeCell ref="E3:E5"/>
    <mergeCell ref="F3:H3"/>
    <mergeCell ref="C3:C6"/>
    <mergeCell ref="A3:A6"/>
    <mergeCell ref="B3:B6"/>
    <mergeCell ref="F4:G4"/>
    <mergeCell ref="F406:G406"/>
    <mergeCell ref="F452:G452"/>
    <mergeCell ref="D3:D6"/>
    <mergeCell ref="F158:G158"/>
    <mergeCell ref="F183:G183"/>
    <mergeCell ref="F243:G243"/>
    <mergeCell ref="F311:G311"/>
    <mergeCell ref="D158:E158"/>
    <mergeCell ref="D183:E183"/>
    <mergeCell ref="D243:E243"/>
    <mergeCell ref="F122:G122"/>
    <mergeCell ref="F155:G155"/>
    <mergeCell ref="D122:E122"/>
    <mergeCell ref="D155:E155"/>
    <mergeCell ref="F91:G91"/>
    <mergeCell ref="D91:E91"/>
    <mergeCell ref="I158:J158"/>
    <mergeCell ref="I183:J183"/>
    <mergeCell ref="I243:J243"/>
    <mergeCell ref="I311:J311"/>
    <mergeCell ref="I406:J406"/>
    <mergeCell ref="I452:J452"/>
    <mergeCell ref="A1:K1"/>
    <mergeCell ref="H2:I2"/>
    <mergeCell ref="F463:G463"/>
    <mergeCell ref="I463:J463"/>
    <mergeCell ref="D311:E311"/>
    <mergeCell ref="D406:E406"/>
    <mergeCell ref="D452:E452"/>
    <mergeCell ref="I3:K3"/>
    <mergeCell ref="I4:J4"/>
    <mergeCell ref="K4:K5"/>
    <mergeCell ref="I79:J79"/>
    <mergeCell ref="I88:J88"/>
    <mergeCell ref="I91:J91"/>
    <mergeCell ref="I122:J122"/>
    <mergeCell ref="I155:J155"/>
  </mergeCells>
  <phoneticPr fontId="7" type="noConversion"/>
  <pageMargins left="0.511811024" right="0.511811024" top="0.78740157499999996" bottom="0.78740157499999996" header="0.31496062000000002" footer="0.3149606200000000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E0747-5410-4A56-AAC9-886B3A611749}">
  <sheetPr>
    <tabColor rgb="FF7030A0"/>
    <pageSetUpPr fitToPage="1"/>
  </sheetPr>
  <dimension ref="A1:J47"/>
  <sheetViews>
    <sheetView zoomScale="86" zoomScaleNormal="86" workbookViewId="0">
      <selection activeCell="D41" sqref="D41:H46"/>
    </sheetView>
  </sheetViews>
  <sheetFormatPr defaultRowHeight="15"/>
  <cols>
    <col min="1" max="1" width="47.140625" customWidth="1"/>
    <col min="2" max="2" width="16.5703125" customWidth="1"/>
    <col min="3" max="8" width="20.140625" customWidth="1"/>
    <col min="9" max="9" width="16.140625" customWidth="1"/>
    <col min="10" max="10" width="19.140625" customWidth="1"/>
    <col min="257" max="257" width="47.140625" customWidth="1"/>
    <col min="258" max="258" width="16.5703125" customWidth="1"/>
    <col min="259" max="264" width="20.140625" customWidth="1"/>
    <col min="265" max="265" width="16.140625" customWidth="1"/>
    <col min="266" max="266" width="19.140625" customWidth="1"/>
    <col min="513" max="513" width="47.140625" customWidth="1"/>
    <col min="514" max="514" width="16.5703125" customWidth="1"/>
    <col min="515" max="520" width="20.140625" customWidth="1"/>
    <col min="521" max="521" width="16.140625" customWidth="1"/>
    <col min="522" max="522" width="19.140625" customWidth="1"/>
    <col min="769" max="769" width="47.140625" customWidth="1"/>
    <col min="770" max="770" width="16.5703125" customWidth="1"/>
    <col min="771" max="776" width="20.140625" customWidth="1"/>
    <col min="777" max="777" width="16.140625" customWidth="1"/>
    <col min="778" max="778" width="19.140625" customWidth="1"/>
    <col min="1025" max="1025" width="47.140625" customWidth="1"/>
    <col min="1026" max="1026" width="16.5703125" customWidth="1"/>
    <col min="1027" max="1032" width="20.140625" customWidth="1"/>
    <col min="1033" max="1033" width="16.140625" customWidth="1"/>
    <col min="1034" max="1034" width="19.140625" customWidth="1"/>
    <col min="1281" max="1281" width="47.140625" customWidth="1"/>
    <col min="1282" max="1282" width="16.5703125" customWidth="1"/>
    <col min="1283" max="1288" width="20.140625" customWidth="1"/>
    <col min="1289" max="1289" width="16.140625" customWidth="1"/>
    <col min="1290" max="1290" width="19.140625" customWidth="1"/>
    <col min="1537" max="1537" width="47.140625" customWidth="1"/>
    <col min="1538" max="1538" width="16.5703125" customWidth="1"/>
    <col min="1539" max="1544" width="20.140625" customWidth="1"/>
    <col min="1545" max="1545" width="16.140625" customWidth="1"/>
    <col min="1546" max="1546" width="19.140625" customWidth="1"/>
    <col min="1793" max="1793" width="47.140625" customWidth="1"/>
    <col min="1794" max="1794" width="16.5703125" customWidth="1"/>
    <col min="1795" max="1800" width="20.140625" customWidth="1"/>
    <col min="1801" max="1801" width="16.140625" customWidth="1"/>
    <col min="1802" max="1802" width="19.140625" customWidth="1"/>
    <col min="2049" max="2049" width="47.140625" customWidth="1"/>
    <col min="2050" max="2050" width="16.5703125" customWidth="1"/>
    <col min="2051" max="2056" width="20.140625" customWidth="1"/>
    <col min="2057" max="2057" width="16.140625" customWidth="1"/>
    <col min="2058" max="2058" width="19.140625" customWidth="1"/>
    <col min="2305" max="2305" width="47.140625" customWidth="1"/>
    <col min="2306" max="2306" width="16.5703125" customWidth="1"/>
    <col min="2307" max="2312" width="20.140625" customWidth="1"/>
    <col min="2313" max="2313" width="16.140625" customWidth="1"/>
    <col min="2314" max="2314" width="19.140625" customWidth="1"/>
    <col min="2561" max="2561" width="47.140625" customWidth="1"/>
    <col min="2562" max="2562" width="16.5703125" customWidth="1"/>
    <col min="2563" max="2568" width="20.140625" customWidth="1"/>
    <col min="2569" max="2569" width="16.140625" customWidth="1"/>
    <col min="2570" max="2570" width="19.140625" customWidth="1"/>
    <col min="2817" max="2817" width="47.140625" customWidth="1"/>
    <col min="2818" max="2818" width="16.5703125" customWidth="1"/>
    <col min="2819" max="2824" width="20.140625" customWidth="1"/>
    <col min="2825" max="2825" width="16.140625" customWidth="1"/>
    <col min="2826" max="2826" width="19.140625" customWidth="1"/>
    <col min="3073" max="3073" width="47.140625" customWidth="1"/>
    <col min="3074" max="3074" width="16.5703125" customWidth="1"/>
    <col min="3075" max="3080" width="20.140625" customWidth="1"/>
    <col min="3081" max="3081" width="16.140625" customWidth="1"/>
    <col min="3082" max="3082" width="19.140625" customWidth="1"/>
    <col min="3329" max="3329" width="47.140625" customWidth="1"/>
    <col min="3330" max="3330" width="16.5703125" customWidth="1"/>
    <col min="3331" max="3336" width="20.140625" customWidth="1"/>
    <col min="3337" max="3337" width="16.140625" customWidth="1"/>
    <col min="3338" max="3338" width="19.140625" customWidth="1"/>
    <col min="3585" max="3585" width="47.140625" customWidth="1"/>
    <col min="3586" max="3586" width="16.5703125" customWidth="1"/>
    <col min="3587" max="3592" width="20.140625" customWidth="1"/>
    <col min="3593" max="3593" width="16.140625" customWidth="1"/>
    <col min="3594" max="3594" width="19.140625" customWidth="1"/>
    <col min="3841" max="3841" width="47.140625" customWidth="1"/>
    <col min="3842" max="3842" width="16.5703125" customWidth="1"/>
    <col min="3843" max="3848" width="20.140625" customWidth="1"/>
    <col min="3849" max="3849" width="16.140625" customWidth="1"/>
    <col min="3850" max="3850" width="19.140625" customWidth="1"/>
    <col min="4097" max="4097" width="47.140625" customWidth="1"/>
    <col min="4098" max="4098" width="16.5703125" customWidth="1"/>
    <col min="4099" max="4104" width="20.140625" customWidth="1"/>
    <col min="4105" max="4105" width="16.140625" customWidth="1"/>
    <col min="4106" max="4106" width="19.140625" customWidth="1"/>
    <col min="4353" max="4353" width="47.140625" customWidth="1"/>
    <col min="4354" max="4354" width="16.5703125" customWidth="1"/>
    <col min="4355" max="4360" width="20.140625" customWidth="1"/>
    <col min="4361" max="4361" width="16.140625" customWidth="1"/>
    <col min="4362" max="4362" width="19.140625" customWidth="1"/>
    <col min="4609" max="4609" width="47.140625" customWidth="1"/>
    <col min="4610" max="4610" width="16.5703125" customWidth="1"/>
    <col min="4611" max="4616" width="20.140625" customWidth="1"/>
    <col min="4617" max="4617" width="16.140625" customWidth="1"/>
    <col min="4618" max="4618" width="19.140625" customWidth="1"/>
    <col min="4865" max="4865" width="47.140625" customWidth="1"/>
    <col min="4866" max="4866" width="16.5703125" customWidth="1"/>
    <col min="4867" max="4872" width="20.140625" customWidth="1"/>
    <col min="4873" max="4873" width="16.140625" customWidth="1"/>
    <col min="4874" max="4874" width="19.140625" customWidth="1"/>
    <col min="5121" max="5121" width="47.140625" customWidth="1"/>
    <col min="5122" max="5122" width="16.5703125" customWidth="1"/>
    <col min="5123" max="5128" width="20.140625" customWidth="1"/>
    <col min="5129" max="5129" width="16.140625" customWidth="1"/>
    <col min="5130" max="5130" width="19.140625" customWidth="1"/>
    <col min="5377" max="5377" width="47.140625" customWidth="1"/>
    <col min="5378" max="5378" width="16.5703125" customWidth="1"/>
    <col min="5379" max="5384" width="20.140625" customWidth="1"/>
    <col min="5385" max="5385" width="16.140625" customWidth="1"/>
    <col min="5386" max="5386" width="19.140625" customWidth="1"/>
    <col min="5633" max="5633" width="47.140625" customWidth="1"/>
    <col min="5634" max="5634" width="16.5703125" customWidth="1"/>
    <col min="5635" max="5640" width="20.140625" customWidth="1"/>
    <col min="5641" max="5641" width="16.140625" customWidth="1"/>
    <col min="5642" max="5642" width="19.140625" customWidth="1"/>
    <col min="5889" max="5889" width="47.140625" customWidth="1"/>
    <col min="5890" max="5890" width="16.5703125" customWidth="1"/>
    <col min="5891" max="5896" width="20.140625" customWidth="1"/>
    <col min="5897" max="5897" width="16.140625" customWidth="1"/>
    <col min="5898" max="5898" width="19.140625" customWidth="1"/>
    <col min="6145" max="6145" width="47.140625" customWidth="1"/>
    <col min="6146" max="6146" width="16.5703125" customWidth="1"/>
    <col min="6147" max="6152" width="20.140625" customWidth="1"/>
    <col min="6153" max="6153" width="16.140625" customWidth="1"/>
    <col min="6154" max="6154" width="19.140625" customWidth="1"/>
    <col min="6401" max="6401" width="47.140625" customWidth="1"/>
    <col min="6402" max="6402" width="16.5703125" customWidth="1"/>
    <col min="6403" max="6408" width="20.140625" customWidth="1"/>
    <col min="6409" max="6409" width="16.140625" customWidth="1"/>
    <col min="6410" max="6410" width="19.140625" customWidth="1"/>
    <col min="6657" max="6657" width="47.140625" customWidth="1"/>
    <col min="6658" max="6658" width="16.5703125" customWidth="1"/>
    <col min="6659" max="6664" width="20.140625" customWidth="1"/>
    <col min="6665" max="6665" width="16.140625" customWidth="1"/>
    <col min="6666" max="6666" width="19.140625" customWidth="1"/>
    <col min="6913" max="6913" width="47.140625" customWidth="1"/>
    <col min="6914" max="6914" width="16.5703125" customWidth="1"/>
    <col min="6915" max="6920" width="20.140625" customWidth="1"/>
    <col min="6921" max="6921" width="16.140625" customWidth="1"/>
    <col min="6922" max="6922" width="19.140625" customWidth="1"/>
    <col min="7169" max="7169" width="47.140625" customWidth="1"/>
    <col min="7170" max="7170" width="16.5703125" customWidth="1"/>
    <col min="7171" max="7176" width="20.140625" customWidth="1"/>
    <col min="7177" max="7177" width="16.140625" customWidth="1"/>
    <col min="7178" max="7178" width="19.140625" customWidth="1"/>
    <col min="7425" max="7425" width="47.140625" customWidth="1"/>
    <col min="7426" max="7426" width="16.5703125" customWidth="1"/>
    <col min="7427" max="7432" width="20.140625" customWidth="1"/>
    <col min="7433" max="7433" width="16.140625" customWidth="1"/>
    <col min="7434" max="7434" width="19.140625" customWidth="1"/>
    <col min="7681" max="7681" width="47.140625" customWidth="1"/>
    <col min="7682" max="7682" width="16.5703125" customWidth="1"/>
    <col min="7683" max="7688" width="20.140625" customWidth="1"/>
    <col min="7689" max="7689" width="16.140625" customWidth="1"/>
    <col min="7690" max="7690" width="19.140625" customWidth="1"/>
    <col min="7937" max="7937" width="47.140625" customWidth="1"/>
    <col min="7938" max="7938" width="16.5703125" customWidth="1"/>
    <col min="7939" max="7944" width="20.140625" customWidth="1"/>
    <col min="7945" max="7945" width="16.140625" customWidth="1"/>
    <col min="7946" max="7946" width="19.140625" customWidth="1"/>
    <col min="8193" max="8193" width="47.140625" customWidth="1"/>
    <col min="8194" max="8194" width="16.5703125" customWidth="1"/>
    <col min="8195" max="8200" width="20.140625" customWidth="1"/>
    <col min="8201" max="8201" width="16.140625" customWidth="1"/>
    <col min="8202" max="8202" width="19.140625" customWidth="1"/>
    <col min="8449" max="8449" width="47.140625" customWidth="1"/>
    <col min="8450" max="8450" width="16.5703125" customWidth="1"/>
    <col min="8451" max="8456" width="20.140625" customWidth="1"/>
    <col min="8457" max="8457" width="16.140625" customWidth="1"/>
    <col min="8458" max="8458" width="19.140625" customWidth="1"/>
    <col min="8705" max="8705" width="47.140625" customWidth="1"/>
    <col min="8706" max="8706" width="16.5703125" customWidth="1"/>
    <col min="8707" max="8712" width="20.140625" customWidth="1"/>
    <col min="8713" max="8713" width="16.140625" customWidth="1"/>
    <col min="8714" max="8714" width="19.140625" customWidth="1"/>
    <col min="8961" max="8961" width="47.140625" customWidth="1"/>
    <col min="8962" max="8962" width="16.5703125" customWidth="1"/>
    <col min="8963" max="8968" width="20.140625" customWidth="1"/>
    <col min="8969" max="8969" width="16.140625" customWidth="1"/>
    <col min="8970" max="8970" width="19.140625" customWidth="1"/>
    <col min="9217" max="9217" width="47.140625" customWidth="1"/>
    <col min="9218" max="9218" width="16.5703125" customWidth="1"/>
    <col min="9219" max="9224" width="20.140625" customWidth="1"/>
    <col min="9225" max="9225" width="16.140625" customWidth="1"/>
    <col min="9226" max="9226" width="19.140625" customWidth="1"/>
    <col min="9473" max="9473" width="47.140625" customWidth="1"/>
    <col min="9474" max="9474" width="16.5703125" customWidth="1"/>
    <col min="9475" max="9480" width="20.140625" customWidth="1"/>
    <col min="9481" max="9481" width="16.140625" customWidth="1"/>
    <col min="9482" max="9482" width="19.140625" customWidth="1"/>
    <col min="9729" max="9729" width="47.140625" customWidth="1"/>
    <col min="9730" max="9730" width="16.5703125" customWidth="1"/>
    <col min="9731" max="9736" width="20.140625" customWidth="1"/>
    <col min="9737" max="9737" width="16.140625" customWidth="1"/>
    <col min="9738" max="9738" width="19.140625" customWidth="1"/>
    <col min="9985" max="9985" width="47.140625" customWidth="1"/>
    <col min="9986" max="9986" width="16.5703125" customWidth="1"/>
    <col min="9987" max="9992" width="20.140625" customWidth="1"/>
    <col min="9993" max="9993" width="16.140625" customWidth="1"/>
    <col min="9994" max="9994" width="19.140625" customWidth="1"/>
    <col min="10241" max="10241" width="47.140625" customWidth="1"/>
    <col min="10242" max="10242" width="16.5703125" customWidth="1"/>
    <col min="10243" max="10248" width="20.140625" customWidth="1"/>
    <col min="10249" max="10249" width="16.140625" customWidth="1"/>
    <col min="10250" max="10250" width="19.140625" customWidth="1"/>
    <col min="10497" max="10497" width="47.140625" customWidth="1"/>
    <col min="10498" max="10498" width="16.5703125" customWidth="1"/>
    <col min="10499" max="10504" width="20.140625" customWidth="1"/>
    <col min="10505" max="10505" width="16.140625" customWidth="1"/>
    <col min="10506" max="10506" width="19.140625" customWidth="1"/>
    <col min="10753" max="10753" width="47.140625" customWidth="1"/>
    <col min="10754" max="10754" width="16.5703125" customWidth="1"/>
    <col min="10755" max="10760" width="20.140625" customWidth="1"/>
    <col min="10761" max="10761" width="16.140625" customWidth="1"/>
    <col min="10762" max="10762" width="19.140625" customWidth="1"/>
    <col min="11009" max="11009" width="47.140625" customWidth="1"/>
    <col min="11010" max="11010" width="16.5703125" customWidth="1"/>
    <col min="11011" max="11016" width="20.140625" customWidth="1"/>
    <col min="11017" max="11017" width="16.140625" customWidth="1"/>
    <col min="11018" max="11018" width="19.140625" customWidth="1"/>
    <col min="11265" max="11265" width="47.140625" customWidth="1"/>
    <col min="11266" max="11266" width="16.5703125" customWidth="1"/>
    <col min="11267" max="11272" width="20.140625" customWidth="1"/>
    <col min="11273" max="11273" width="16.140625" customWidth="1"/>
    <col min="11274" max="11274" width="19.140625" customWidth="1"/>
    <col min="11521" max="11521" width="47.140625" customWidth="1"/>
    <col min="11522" max="11522" width="16.5703125" customWidth="1"/>
    <col min="11523" max="11528" width="20.140625" customWidth="1"/>
    <col min="11529" max="11529" width="16.140625" customWidth="1"/>
    <col min="11530" max="11530" width="19.140625" customWidth="1"/>
    <col min="11777" max="11777" width="47.140625" customWidth="1"/>
    <col min="11778" max="11778" width="16.5703125" customWidth="1"/>
    <col min="11779" max="11784" width="20.140625" customWidth="1"/>
    <col min="11785" max="11785" width="16.140625" customWidth="1"/>
    <col min="11786" max="11786" width="19.140625" customWidth="1"/>
    <col min="12033" max="12033" width="47.140625" customWidth="1"/>
    <col min="12034" max="12034" width="16.5703125" customWidth="1"/>
    <col min="12035" max="12040" width="20.140625" customWidth="1"/>
    <col min="12041" max="12041" width="16.140625" customWidth="1"/>
    <col min="12042" max="12042" width="19.140625" customWidth="1"/>
    <col min="12289" max="12289" width="47.140625" customWidth="1"/>
    <col min="12290" max="12290" width="16.5703125" customWidth="1"/>
    <col min="12291" max="12296" width="20.140625" customWidth="1"/>
    <col min="12297" max="12297" width="16.140625" customWidth="1"/>
    <col min="12298" max="12298" width="19.140625" customWidth="1"/>
    <col min="12545" max="12545" width="47.140625" customWidth="1"/>
    <col min="12546" max="12546" width="16.5703125" customWidth="1"/>
    <col min="12547" max="12552" width="20.140625" customWidth="1"/>
    <col min="12553" max="12553" width="16.140625" customWidth="1"/>
    <col min="12554" max="12554" width="19.140625" customWidth="1"/>
    <col min="12801" max="12801" width="47.140625" customWidth="1"/>
    <col min="12802" max="12802" width="16.5703125" customWidth="1"/>
    <col min="12803" max="12808" width="20.140625" customWidth="1"/>
    <col min="12809" max="12809" width="16.140625" customWidth="1"/>
    <col min="12810" max="12810" width="19.140625" customWidth="1"/>
    <col min="13057" max="13057" width="47.140625" customWidth="1"/>
    <col min="13058" max="13058" width="16.5703125" customWidth="1"/>
    <col min="13059" max="13064" width="20.140625" customWidth="1"/>
    <col min="13065" max="13065" width="16.140625" customWidth="1"/>
    <col min="13066" max="13066" width="19.140625" customWidth="1"/>
    <col min="13313" max="13313" width="47.140625" customWidth="1"/>
    <col min="13314" max="13314" width="16.5703125" customWidth="1"/>
    <col min="13315" max="13320" width="20.140625" customWidth="1"/>
    <col min="13321" max="13321" width="16.140625" customWidth="1"/>
    <col min="13322" max="13322" width="19.140625" customWidth="1"/>
    <col min="13569" max="13569" width="47.140625" customWidth="1"/>
    <col min="13570" max="13570" width="16.5703125" customWidth="1"/>
    <col min="13571" max="13576" width="20.140625" customWidth="1"/>
    <col min="13577" max="13577" width="16.140625" customWidth="1"/>
    <col min="13578" max="13578" width="19.140625" customWidth="1"/>
    <col min="13825" max="13825" width="47.140625" customWidth="1"/>
    <col min="13826" max="13826" width="16.5703125" customWidth="1"/>
    <col min="13827" max="13832" width="20.140625" customWidth="1"/>
    <col min="13833" max="13833" width="16.140625" customWidth="1"/>
    <col min="13834" max="13834" width="19.140625" customWidth="1"/>
    <col min="14081" max="14081" width="47.140625" customWidth="1"/>
    <col min="14082" max="14082" width="16.5703125" customWidth="1"/>
    <col min="14083" max="14088" width="20.140625" customWidth="1"/>
    <col min="14089" max="14089" width="16.140625" customWidth="1"/>
    <col min="14090" max="14090" width="19.140625" customWidth="1"/>
    <col min="14337" max="14337" width="47.140625" customWidth="1"/>
    <col min="14338" max="14338" width="16.5703125" customWidth="1"/>
    <col min="14339" max="14344" width="20.140625" customWidth="1"/>
    <col min="14345" max="14345" width="16.140625" customWidth="1"/>
    <col min="14346" max="14346" width="19.140625" customWidth="1"/>
    <col min="14593" max="14593" width="47.140625" customWidth="1"/>
    <col min="14594" max="14594" width="16.5703125" customWidth="1"/>
    <col min="14595" max="14600" width="20.140625" customWidth="1"/>
    <col min="14601" max="14601" width="16.140625" customWidth="1"/>
    <col min="14602" max="14602" width="19.140625" customWidth="1"/>
    <col min="14849" max="14849" width="47.140625" customWidth="1"/>
    <col min="14850" max="14850" width="16.5703125" customWidth="1"/>
    <col min="14851" max="14856" width="20.140625" customWidth="1"/>
    <col min="14857" max="14857" width="16.140625" customWidth="1"/>
    <col min="14858" max="14858" width="19.140625" customWidth="1"/>
    <col min="15105" max="15105" width="47.140625" customWidth="1"/>
    <col min="15106" max="15106" width="16.5703125" customWidth="1"/>
    <col min="15107" max="15112" width="20.140625" customWidth="1"/>
    <col min="15113" max="15113" width="16.140625" customWidth="1"/>
    <col min="15114" max="15114" width="19.140625" customWidth="1"/>
    <col min="15361" max="15361" width="47.140625" customWidth="1"/>
    <col min="15362" max="15362" width="16.5703125" customWidth="1"/>
    <col min="15363" max="15368" width="20.140625" customWidth="1"/>
    <col min="15369" max="15369" width="16.140625" customWidth="1"/>
    <col min="15370" max="15370" width="19.140625" customWidth="1"/>
    <col min="15617" max="15617" width="47.140625" customWidth="1"/>
    <col min="15618" max="15618" width="16.5703125" customWidth="1"/>
    <col min="15619" max="15624" width="20.140625" customWidth="1"/>
    <col min="15625" max="15625" width="16.140625" customWidth="1"/>
    <col min="15626" max="15626" width="19.140625" customWidth="1"/>
    <col min="15873" max="15873" width="47.140625" customWidth="1"/>
    <col min="15874" max="15874" width="16.5703125" customWidth="1"/>
    <col min="15875" max="15880" width="20.140625" customWidth="1"/>
    <col min="15881" max="15881" width="16.140625" customWidth="1"/>
    <col min="15882" max="15882" width="19.140625" customWidth="1"/>
    <col min="16129" max="16129" width="47.140625" customWidth="1"/>
    <col min="16130" max="16130" width="16.5703125" customWidth="1"/>
    <col min="16131" max="16136" width="20.140625" customWidth="1"/>
    <col min="16137" max="16137" width="16.140625" customWidth="1"/>
    <col min="16138" max="16138" width="19.140625" customWidth="1"/>
  </cols>
  <sheetData>
    <row r="1" spans="1:10" ht="24">
      <c r="A1" s="1379" t="s">
        <v>2001</v>
      </c>
      <c r="B1" s="1380"/>
      <c r="C1" s="1380"/>
      <c r="D1" s="1380"/>
      <c r="E1" s="1380"/>
      <c r="F1" s="1380"/>
      <c r="G1" s="1380"/>
      <c r="H1" s="1380"/>
      <c r="I1" s="1380"/>
      <c r="J1" s="1381"/>
    </row>
    <row r="2" spans="1:10" ht="25.5">
      <c r="A2" s="1382" t="s">
        <v>2002</v>
      </c>
      <c r="B2" s="1383"/>
      <c r="C2" s="1383"/>
      <c r="D2" s="1383"/>
      <c r="E2" s="1383"/>
      <c r="F2" s="1383"/>
      <c r="G2" s="1383"/>
      <c r="H2" s="1383"/>
      <c r="I2" s="1383"/>
      <c r="J2" s="1384"/>
    </row>
    <row r="3" spans="1:10" ht="78.75">
      <c r="A3" s="483" t="s">
        <v>2003</v>
      </c>
      <c r="B3" s="484" t="s">
        <v>2004</v>
      </c>
      <c r="C3" s="484" t="s">
        <v>2005</v>
      </c>
      <c r="D3" s="484" t="s">
        <v>2006</v>
      </c>
      <c r="E3" s="484" t="s">
        <v>2007</v>
      </c>
      <c r="F3" s="484" t="s">
        <v>2007</v>
      </c>
      <c r="G3" s="484" t="s">
        <v>2007</v>
      </c>
      <c r="H3" s="484" t="s">
        <v>2008</v>
      </c>
      <c r="I3" s="484" t="s">
        <v>2009</v>
      </c>
      <c r="J3" s="485" t="s">
        <v>2010</v>
      </c>
    </row>
    <row r="4" spans="1:10" ht="56.25">
      <c r="A4" s="486" t="s">
        <v>1778</v>
      </c>
      <c r="B4" s="487">
        <v>2</v>
      </c>
      <c r="C4" s="487">
        <v>4</v>
      </c>
      <c r="D4" s="488"/>
      <c r="E4" s="488"/>
      <c r="F4" s="488"/>
      <c r="G4" s="488"/>
      <c r="H4" s="488"/>
      <c r="I4" s="489">
        <f>C4*H4</f>
        <v>0</v>
      </c>
      <c r="J4" s="490">
        <f t="shared" ref="J4:J10" si="0">I4/12</f>
        <v>0</v>
      </c>
    </row>
    <row r="5" spans="1:10" ht="75">
      <c r="A5" s="486" t="s">
        <v>1779</v>
      </c>
      <c r="B5" s="487">
        <v>2</v>
      </c>
      <c r="C5" s="487">
        <v>4</v>
      </c>
      <c r="D5" s="488"/>
      <c r="E5" s="488"/>
      <c r="F5" s="488"/>
      <c r="G5" s="488"/>
      <c r="H5" s="488"/>
      <c r="I5" s="489">
        <f t="shared" ref="I5:I10" si="1">C5*H5</f>
        <v>0</v>
      </c>
      <c r="J5" s="490">
        <f t="shared" si="0"/>
        <v>0</v>
      </c>
    </row>
    <row r="6" spans="1:10" ht="56.25">
      <c r="A6" s="486" t="s">
        <v>2011</v>
      </c>
      <c r="B6" s="487">
        <v>1</v>
      </c>
      <c r="C6" s="487">
        <v>1</v>
      </c>
      <c r="D6" s="488"/>
      <c r="E6" s="488"/>
      <c r="F6" s="488"/>
      <c r="G6" s="488"/>
      <c r="H6" s="488"/>
      <c r="I6" s="489">
        <f t="shared" si="1"/>
        <v>0</v>
      </c>
      <c r="J6" s="490">
        <f t="shared" si="0"/>
        <v>0</v>
      </c>
    </row>
    <row r="7" spans="1:10" ht="37.5">
      <c r="A7" s="486" t="s">
        <v>2012</v>
      </c>
      <c r="B7" s="487">
        <v>2</v>
      </c>
      <c r="C7" s="487">
        <v>4</v>
      </c>
      <c r="D7" s="488"/>
      <c r="E7" s="488"/>
      <c r="F7" s="488"/>
      <c r="G7" s="488"/>
      <c r="H7" s="488"/>
      <c r="I7" s="489">
        <f t="shared" si="1"/>
        <v>0</v>
      </c>
      <c r="J7" s="490">
        <f t="shared" si="0"/>
        <v>0</v>
      </c>
    </row>
    <row r="8" spans="1:10" ht="37.5">
      <c r="A8" s="486" t="s">
        <v>2013</v>
      </c>
      <c r="B8" s="487">
        <v>1</v>
      </c>
      <c r="C8" s="487">
        <v>1</v>
      </c>
      <c r="D8" s="488"/>
      <c r="E8" s="488"/>
      <c r="F8" s="488"/>
      <c r="G8" s="488"/>
      <c r="H8" s="488"/>
      <c r="I8" s="489">
        <f t="shared" si="1"/>
        <v>0</v>
      </c>
      <c r="J8" s="490">
        <f>I8/12</f>
        <v>0</v>
      </c>
    </row>
    <row r="9" spans="1:10" ht="37.5">
      <c r="A9" s="486" t="s">
        <v>2014</v>
      </c>
      <c r="B9" s="487">
        <v>2</v>
      </c>
      <c r="C9" s="487">
        <v>4</v>
      </c>
      <c r="D9" s="488"/>
      <c r="E9" s="488"/>
      <c r="F9" s="488"/>
      <c r="G9" s="488"/>
      <c r="H9" s="488"/>
      <c r="I9" s="489">
        <f t="shared" si="1"/>
        <v>0</v>
      </c>
      <c r="J9" s="490">
        <f>I9/12</f>
        <v>0</v>
      </c>
    </row>
    <row r="10" spans="1:10" ht="37.5">
      <c r="A10" s="486" t="s">
        <v>2015</v>
      </c>
      <c r="B10" s="487">
        <v>1</v>
      </c>
      <c r="C10" s="487">
        <v>1</v>
      </c>
      <c r="D10" s="488"/>
      <c r="E10" s="488"/>
      <c r="F10" s="488"/>
      <c r="G10" s="488"/>
      <c r="H10" s="488"/>
      <c r="I10" s="489">
        <f t="shared" si="1"/>
        <v>0</v>
      </c>
      <c r="J10" s="490">
        <f t="shared" si="0"/>
        <v>0</v>
      </c>
    </row>
    <row r="11" spans="1:10" ht="18.75">
      <c r="A11" s="1385" t="s">
        <v>2016</v>
      </c>
      <c r="B11" s="1386"/>
      <c r="C11" s="1386"/>
      <c r="D11" s="491"/>
      <c r="E11" s="491"/>
      <c r="F11" s="491"/>
      <c r="G11" s="491"/>
      <c r="H11" s="491"/>
      <c r="I11" s="492">
        <f>SUM(I4:I10)</f>
        <v>0</v>
      </c>
      <c r="J11" s="493">
        <f>SUM(J4:J10)</f>
        <v>0</v>
      </c>
    </row>
    <row r="12" spans="1:10">
      <c r="A12" s="1378"/>
      <c r="B12" s="1378"/>
      <c r="C12" s="1378"/>
      <c r="D12" s="1378"/>
      <c r="E12" s="1378"/>
      <c r="F12" s="1378"/>
      <c r="G12" s="1378"/>
      <c r="H12" s="1378"/>
      <c r="I12" s="1378"/>
      <c r="J12" s="1378"/>
    </row>
    <row r="13" spans="1:10" ht="15.75" thickBot="1"/>
    <row r="14" spans="1:10" ht="24">
      <c r="A14" s="1379" t="s">
        <v>2017</v>
      </c>
      <c r="B14" s="1380"/>
      <c r="C14" s="1380"/>
      <c r="D14" s="1380"/>
      <c r="E14" s="1380"/>
      <c r="F14" s="1380"/>
      <c r="G14" s="1380"/>
      <c r="H14" s="1380"/>
      <c r="I14" s="1380"/>
      <c r="J14" s="1381"/>
    </row>
    <row r="15" spans="1:10" ht="22.5">
      <c r="A15" s="1373" t="s">
        <v>1940</v>
      </c>
      <c r="B15" s="1374"/>
      <c r="C15" s="1374"/>
      <c r="D15" s="1374"/>
      <c r="E15" s="1374"/>
      <c r="F15" s="1374"/>
      <c r="G15" s="1374"/>
      <c r="H15" s="1374"/>
      <c r="I15" s="1374"/>
      <c r="J15" s="1375"/>
    </row>
    <row r="16" spans="1:10" ht="78.75">
      <c r="A16" s="483" t="s">
        <v>2003</v>
      </c>
      <c r="B16" s="484" t="s">
        <v>2004</v>
      </c>
      <c r="C16" s="484" t="s">
        <v>2005</v>
      </c>
      <c r="D16" s="484" t="s">
        <v>2006</v>
      </c>
      <c r="E16" s="484" t="s">
        <v>2007</v>
      </c>
      <c r="F16" s="484" t="s">
        <v>2007</v>
      </c>
      <c r="G16" s="484" t="s">
        <v>2007</v>
      </c>
      <c r="H16" s="484" t="s">
        <v>2008</v>
      </c>
      <c r="I16" s="484" t="s">
        <v>2018</v>
      </c>
      <c r="J16" s="485" t="s">
        <v>2019</v>
      </c>
    </row>
    <row r="17" spans="1:10" ht="37.5">
      <c r="A17" s="494" t="s">
        <v>2020</v>
      </c>
      <c r="B17" s="487">
        <v>2</v>
      </c>
      <c r="C17" s="487">
        <f>B17*2</f>
        <v>4</v>
      </c>
      <c r="D17" s="488"/>
      <c r="E17" s="488"/>
      <c r="F17" s="488"/>
      <c r="G17" s="488"/>
      <c r="H17" s="488"/>
      <c r="I17" s="489"/>
      <c r="J17" s="490">
        <f t="shared" ref="J17:J24" si="2">I17/12</f>
        <v>0</v>
      </c>
    </row>
    <row r="18" spans="1:10" ht="18.75">
      <c r="A18" s="494" t="s">
        <v>2021</v>
      </c>
      <c r="B18" s="487">
        <v>2</v>
      </c>
      <c r="C18" s="487">
        <v>4</v>
      </c>
      <c r="D18" s="488"/>
      <c r="E18" s="488"/>
      <c r="F18" s="488"/>
      <c r="G18" s="488"/>
      <c r="H18" s="488"/>
      <c r="I18" s="489"/>
      <c r="J18" s="490">
        <f t="shared" si="2"/>
        <v>0</v>
      </c>
    </row>
    <row r="19" spans="1:10" ht="37.5">
      <c r="A19" s="494" t="s">
        <v>2022</v>
      </c>
      <c r="B19" s="487">
        <v>2</v>
      </c>
      <c r="C19" s="487">
        <v>4</v>
      </c>
      <c r="D19" s="488"/>
      <c r="E19" s="488"/>
      <c r="F19" s="488"/>
      <c r="G19" s="488"/>
      <c r="H19" s="488"/>
      <c r="I19" s="489"/>
      <c r="J19" s="490">
        <f t="shared" si="2"/>
        <v>0</v>
      </c>
    </row>
    <row r="20" spans="1:10" ht="37.5">
      <c r="A20" s="494" t="s">
        <v>2023</v>
      </c>
      <c r="B20" s="487">
        <v>1</v>
      </c>
      <c r="C20" s="487">
        <v>1</v>
      </c>
      <c r="D20" s="488"/>
      <c r="E20" s="488"/>
      <c r="F20" s="488"/>
      <c r="G20" s="488"/>
      <c r="H20" s="488"/>
      <c r="I20" s="489"/>
      <c r="J20" s="490">
        <f t="shared" si="2"/>
        <v>0</v>
      </c>
    </row>
    <row r="21" spans="1:10" ht="37.5">
      <c r="A21" s="494" t="s">
        <v>2024</v>
      </c>
      <c r="B21" s="487">
        <v>1</v>
      </c>
      <c r="C21" s="487">
        <v>1</v>
      </c>
      <c r="D21" s="488"/>
      <c r="E21" s="488"/>
      <c r="F21" s="488"/>
      <c r="G21" s="488"/>
      <c r="H21" s="488"/>
      <c r="I21" s="489"/>
      <c r="J21" s="490">
        <f t="shared" si="2"/>
        <v>0</v>
      </c>
    </row>
    <row r="22" spans="1:10" ht="18.75">
      <c r="A22" s="494" t="s">
        <v>2025</v>
      </c>
      <c r="B22" s="487">
        <v>2</v>
      </c>
      <c r="C22" s="487">
        <v>4</v>
      </c>
      <c r="D22" s="488"/>
      <c r="E22" s="488"/>
      <c r="F22" s="488"/>
      <c r="G22" s="488"/>
      <c r="H22" s="488"/>
      <c r="I22" s="489"/>
      <c r="J22" s="490">
        <f t="shared" si="2"/>
        <v>0</v>
      </c>
    </row>
    <row r="23" spans="1:10" ht="37.5">
      <c r="A23" s="486" t="s">
        <v>2015</v>
      </c>
      <c r="B23" s="487">
        <v>1</v>
      </c>
      <c r="C23" s="487">
        <v>1</v>
      </c>
      <c r="D23" s="488"/>
      <c r="E23" s="488"/>
      <c r="F23" s="488"/>
      <c r="G23" s="488"/>
      <c r="H23" s="488"/>
      <c r="I23" s="489"/>
      <c r="J23" s="490">
        <f t="shared" si="2"/>
        <v>0</v>
      </c>
    </row>
    <row r="24" spans="1:10" ht="18.75">
      <c r="A24" s="1376" t="s">
        <v>2026</v>
      </c>
      <c r="B24" s="1377"/>
      <c r="C24" s="1377"/>
      <c r="D24" s="495"/>
      <c r="E24" s="495"/>
      <c r="F24" s="495"/>
      <c r="G24" s="495"/>
      <c r="H24" s="495"/>
      <c r="I24" s="496">
        <f>SUM(I17:I23)</f>
        <v>0</v>
      </c>
      <c r="J24" s="497">
        <f t="shared" si="2"/>
        <v>0</v>
      </c>
    </row>
    <row r="25" spans="1:10">
      <c r="A25" s="1378"/>
      <c r="B25" s="1378"/>
      <c r="C25" s="1378"/>
      <c r="D25" s="1378"/>
      <c r="E25" s="1378"/>
      <c r="F25" s="1378"/>
      <c r="G25" s="1378"/>
      <c r="H25" s="1378"/>
      <c r="I25" s="1378"/>
      <c r="J25" s="1378"/>
    </row>
    <row r="26" spans="1:10" ht="15.75" thickBot="1"/>
    <row r="27" spans="1:10" ht="24">
      <c r="A27" s="1379" t="s">
        <v>2027</v>
      </c>
      <c r="B27" s="1380"/>
      <c r="C27" s="1380"/>
      <c r="D27" s="1380"/>
      <c r="E27" s="1380"/>
      <c r="F27" s="1380"/>
      <c r="G27" s="1380"/>
      <c r="H27" s="1380"/>
      <c r="I27" s="1380"/>
      <c r="J27" s="1381"/>
    </row>
    <row r="28" spans="1:10" ht="22.5">
      <c r="A28" s="1373" t="s">
        <v>2028</v>
      </c>
      <c r="B28" s="1374"/>
      <c r="C28" s="1374"/>
      <c r="D28" s="1374"/>
      <c r="E28" s="1374"/>
      <c r="F28" s="1374"/>
      <c r="G28" s="1374"/>
      <c r="H28" s="1374"/>
      <c r="I28" s="1374"/>
      <c r="J28" s="1375"/>
    </row>
    <row r="29" spans="1:10" ht="78.75">
      <c r="A29" s="483" t="s">
        <v>2003</v>
      </c>
      <c r="B29" s="484" t="s">
        <v>2004</v>
      </c>
      <c r="C29" s="484" t="s">
        <v>2005</v>
      </c>
      <c r="D29" s="484" t="s">
        <v>2006</v>
      </c>
      <c r="E29" s="484" t="s">
        <v>2007</v>
      </c>
      <c r="F29" s="484" t="s">
        <v>2007</v>
      </c>
      <c r="G29" s="484" t="s">
        <v>2007</v>
      </c>
      <c r="H29" s="484" t="s">
        <v>2008</v>
      </c>
      <c r="I29" s="484" t="s">
        <v>2009</v>
      </c>
      <c r="J29" s="485" t="s">
        <v>2029</v>
      </c>
    </row>
    <row r="30" spans="1:10" ht="18.75">
      <c r="A30" s="494" t="s">
        <v>2030</v>
      </c>
      <c r="B30" s="487">
        <v>2</v>
      </c>
      <c r="C30" s="487">
        <f>B30*2</f>
        <v>4</v>
      </c>
      <c r="D30" s="488"/>
      <c r="E30" s="488"/>
      <c r="F30" s="488"/>
      <c r="G30" s="488"/>
      <c r="H30" s="488"/>
      <c r="I30" s="489">
        <f t="shared" ref="I30:I35" si="3">C30*H30</f>
        <v>0</v>
      </c>
      <c r="J30" s="490">
        <v>23.22</v>
      </c>
    </row>
    <row r="31" spans="1:10" ht="18.75">
      <c r="A31" s="494" t="s">
        <v>2031</v>
      </c>
      <c r="B31" s="487">
        <v>2</v>
      </c>
      <c r="C31" s="487">
        <v>4</v>
      </c>
      <c r="D31" s="488"/>
      <c r="E31" s="488"/>
      <c r="F31" s="488"/>
      <c r="G31" s="488"/>
      <c r="H31" s="488"/>
      <c r="I31" s="489">
        <f t="shared" si="3"/>
        <v>0</v>
      </c>
      <c r="J31" s="490">
        <v>15.57</v>
      </c>
    </row>
    <row r="32" spans="1:10" ht="18.75">
      <c r="A32" s="494" t="s">
        <v>2032</v>
      </c>
      <c r="B32" s="487">
        <v>1</v>
      </c>
      <c r="C32" s="487">
        <v>1</v>
      </c>
      <c r="D32" s="488"/>
      <c r="E32" s="488"/>
      <c r="F32" s="488"/>
      <c r="G32" s="488"/>
      <c r="H32" s="488"/>
      <c r="I32" s="489">
        <f t="shared" si="3"/>
        <v>0</v>
      </c>
      <c r="J32" s="490">
        <v>5.37</v>
      </c>
    </row>
    <row r="33" spans="1:10" ht="18.75">
      <c r="A33" s="494" t="s">
        <v>2025</v>
      </c>
      <c r="B33" s="487">
        <v>2</v>
      </c>
      <c r="C33" s="487">
        <v>4</v>
      </c>
      <c r="D33" s="488"/>
      <c r="E33" s="488"/>
      <c r="F33" s="488"/>
      <c r="G33" s="488"/>
      <c r="H33" s="488"/>
      <c r="I33" s="489">
        <f t="shared" si="3"/>
        <v>0</v>
      </c>
      <c r="J33" s="490">
        <v>5.03</v>
      </c>
    </row>
    <row r="34" spans="1:10" ht="18.75">
      <c r="A34" s="494" t="s">
        <v>2033</v>
      </c>
      <c r="B34" s="487">
        <v>2</v>
      </c>
      <c r="C34" s="487">
        <v>1</v>
      </c>
      <c r="D34" s="488"/>
      <c r="E34" s="488"/>
      <c r="F34" s="488"/>
      <c r="G34" s="488"/>
      <c r="H34" s="488"/>
      <c r="I34" s="489">
        <f t="shared" si="3"/>
        <v>0</v>
      </c>
      <c r="J34" s="490">
        <v>1.38</v>
      </c>
    </row>
    <row r="35" spans="1:10" ht="37.5">
      <c r="A35" s="486" t="s">
        <v>2015</v>
      </c>
      <c r="B35" s="487">
        <v>1</v>
      </c>
      <c r="C35" s="487">
        <v>1</v>
      </c>
      <c r="D35" s="488"/>
      <c r="E35" s="488"/>
      <c r="F35" s="488"/>
      <c r="G35" s="488"/>
      <c r="H35" s="488"/>
      <c r="I35" s="489">
        <f t="shared" si="3"/>
        <v>0</v>
      </c>
      <c r="J35" s="490">
        <v>0.36</v>
      </c>
    </row>
    <row r="36" spans="1:10" ht="18.75">
      <c r="A36" s="1376" t="s">
        <v>2034</v>
      </c>
      <c r="B36" s="1377"/>
      <c r="C36" s="1377"/>
      <c r="D36" s="495"/>
      <c r="E36" s="495"/>
      <c r="F36" s="495"/>
      <c r="G36" s="495"/>
      <c r="H36" s="495"/>
      <c r="I36" s="496">
        <f>SUM(I30:I35)</f>
        <v>0</v>
      </c>
      <c r="J36" s="497">
        <f>SUM(J30:J35)</f>
        <v>50.93</v>
      </c>
    </row>
    <row r="37" spans="1:10" ht="15.75" thickBot="1"/>
    <row r="38" spans="1:10" ht="24">
      <c r="A38" s="1379" t="s">
        <v>2035</v>
      </c>
      <c r="B38" s="1380"/>
      <c r="C38" s="1380"/>
      <c r="D38" s="1380"/>
      <c r="E38" s="1380"/>
      <c r="F38" s="1380"/>
      <c r="G38" s="1380"/>
      <c r="H38" s="1380"/>
      <c r="I38" s="1380"/>
      <c r="J38" s="1381"/>
    </row>
    <row r="39" spans="1:10" ht="22.5">
      <c r="A39" s="1373" t="s">
        <v>2036</v>
      </c>
      <c r="B39" s="1374"/>
      <c r="C39" s="1374"/>
      <c r="D39" s="1374"/>
      <c r="E39" s="1374"/>
      <c r="F39" s="1374"/>
      <c r="G39" s="1374"/>
      <c r="H39" s="1374"/>
      <c r="I39" s="1374"/>
      <c r="J39" s="1375"/>
    </row>
    <row r="40" spans="1:10" ht="78.75">
      <c r="A40" s="483" t="s">
        <v>2003</v>
      </c>
      <c r="B40" s="484" t="s">
        <v>2004</v>
      </c>
      <c r="C40" s="484" t="s">
        <v>2005</v>
      </c>
      <c r="D40" s="484" t="s">
        <v>2006</v>
      </c>
      <c r="E40" s="484" t="s">
        <v>2007</v>
      </c>
      <c r="F40" s="484" t="s">
        <v>2007</v>
      </c>
      <c r="G40" s="484" t="s">
        <v>2007</v>
      </c>
      <c r="H40" s="484" t="s">
        <v>2008</v>
      </c>
      <c r="I40" s="484" t="s">
        <v>2037</v>
      </c>
      <c r="J40" s="485" t="s">
        <v>2038</v>
      </c>
    </row>
    <row r="41" spans="1:10" ht="75">
      <c r="A41" s="494" t="s">
        <v>2039</v>
      </c>
      <c r="B41" s="487">
        <v>1</v>
      </c>
      <c r="C41" s="487">
        <v>1</v>
      </c>
      <c r="D41" s="488"/>
      <c r="E41" s="488"/>
      <c r="F41" s="488"/>
      <c r="G41" s="488"/>
      <c r="H41" s="488"/>
      <c r="I41" s="489">
        <f t="shared" ref="I41:I46" si="4">C41*H41</f>
        <v>0</v>
      </c>
      <c r="J41" s="490">
        <f t="shared" ref="J41:J47" si="5">I41/12</f>
        <v>0</v>
      </c>
    </row>
    <row r="42" spans="1:10" ht="56.25">
      <c r="A42" s="494" t="s">
        <v>2040</v>
      </c>
      <c r="B42" s="487">
        <v>2</v>
      </c>
      <c r="C42" s="487">
        <v>4</v>
      </c>
      <c r="D42" s="488"/>
      <c r="E42" s="488"/>
      <c r="F42" s="488"/>
      <c r="G42" s="488"/>
      <c r="H42" s="488"/>
      <c r="I42" s="489">
        <f t="shared" si="4"/>
        <v>0</v>
      </c>
      <c r="J42" s="490">
        <f t="shared" si="5"/>
        <v>0</v>
      </c>
    </row>
    <row r="43" spans="1:10" ht="37.5">
      <c r="A43" s="494" t="s">
        <v>2041</v>
      </c>
      <c r="B43" s="487">
        <v>1</v>
      </c>
      <c r="C43" s="487">
        <v>1</v>
      </c>
      <c r="D43" s="488"/>
      <c r="E43" s="488"/>
      <c r="F43" s="488"/>
      <c r="G43" s="488"/>
      <c r="H43" s="488"/>
      <c r="I43" s="489">
        <f t="shared" si="4"/>
        <v>0</v>
      </c>
      <c r="J43" s="490">
        <f t="shared" si="5"/>
        <v>0</v>
      </c>
    </row>
    <row r="44" spans="1:10" ht="93.75">
      <c r="A44" s="494" t="s">
        <v>2042</v>
      </c>
      <c r="B44" s="487">
        <v>1</v>
      </c>
      <c r="C44" s="487">
        <v>1</v>
      </c>
      <c r="D44" s="488"/>
      <c r="E44" s="488"/>
      <c r="F44" s="488"/>
      <c r="G44" s="488"/>
      <c r="H44" s="488"/>
      <c r="I44" s="489">
        <f t="shared" si="4"/>
        <v>0</v>
      </c>
      <c r="J44" s="490">
        <f t="shared" si="5"/>
        <v>0</v>
      </c>
    </row>
    <row r="45" spans="1:10" ht="56.25">
      <c r="A45" s="494" t="s">
        <v>2043</v>
      </c>
      <c r="B45" s="487">
        <v>2</v>
      </c>
      <c r="C45" s="487">
        <v>4</v>
      </c>
      <c r="D45" s="488"/>
      <c r="E45" s="488"/>
      <c r="F45" s="488"/>
      <c r="G45" s="488"/>
      <c r="H45" s="488"/>
      <c r="I45" s="489">
        <f t="shared" si="4"/>
        <v>0</v>
      </c>
      <c r="J45" s="490">
        <f t="shared" si="5"/>
        <v>0</v>
      </c>
    </row>
    <row r="46" spans="1:10" ht="37.5">
      <c r="A46" s="486" t="s">
        <v>2015</v>
      </c>
      <c r="B46" s="487">
        <v>1</v>
      </c>
      <c r="C46" s="487">
        <v>1</v>
      </c>
      <c r="D46" s="488"/>
      <c r="E46" s="488"/>
      <c r="F46" s="488"/>
      <c r="G46" s="488"/>
      <c r="H46" s="488"/>
      <c r="I46" s="489">
        <f t="shared" si="4"/>
        <v>0</v>
      </c>
      <c r="J46" s="490">
        <f t="shared" si="5"/>
        <v>0</v>
      </c>
    </row>
    <row r="47" spans="1:10" ht="18.75">
      <c r="A47" s="1376" t="s">
        <v>2044</v>
      </c>
      <c r="B47" s="1377"/>
      <c r="C47" s="1377"/>
      <c r="D47" s="495"/>
      <c r="E47" s="495"/>
      <c r="F47" s="495"/>
      <c r="G47" s="495"/>
      <c r="H47" s="495"/>
      <c r="I47" s="496">
        <f>SUM(I41:I46)</f>
        <v>0</v>
      </c>
      <c r="J47" s="497">
        <f t="shared" si="5"/>
        <v>0</v>
      </c>
    </row>
  </sheetData>
  <mergeCells count="14">
    <mergeCell ref="A15:J15"/>
    <mergeCell ref="A1:J1"/>
    <mergeCell ref="A2:J2"/>
    <mergeCell ref="A11:C11"/>
    <mergeCell ref="A12:J12"/>
    <mergeCell ref="A14:J14"/>
    <mergeCell ref="A39:J39"/>
    <mergeCell ref="A47:C47"/>
    <mergeCell ref="A24:C24"/>
    <mergeCell ref="A25:J25"/>
    <mergeCell ref="A27:J27"/>
    <mergeCell ref="A28:J28"/>
    <mergeCell ref="A36:C36"/>
    <mergeCell ref="A38:J38"/>
  </mergeCells>
  <conditionalFormatting sqref="A4:H10 A17:C22 A41:C45">
    <cfRule type="expression" dxfId="16" priority="14" stopIfTrue="1">
      <formula>#REF!=TRUE</formula>
    </cfRule>
  </conditionalFormatting>
  <conditionalFormatting sqref="A23:H23">
    <cfRule type="expression" dxfId="15" priority="6" stopIfTrue="1">
      <formula>#REF!=TRUE</formula>
    </cfRule>
  </conditionalFormatting>
  <conditionalFormatting sqref="A30:H35">
    <cfRule type="expression" dxfId="14" priority="2" stopIfTrue="1">
      <formula>#REF!=TRUE</formula>
    </cfRule>
  </conditionalFormatting>
  <conditionalFormatting sqref="A46:H46">
    <cfRule type="expression" dxfId="13" priority="1" stopIfTrue="1">
      <formula>#REF!=TRUE</formula>
    </cfRule>
  </conditionalFormatting>
  <conditionalFormatting sqref="D17:H22">
    <cfRule type="expression" dxfId="12" priority="11" stopIfTrue="1">
      <formula>#REF!=TRUE</formula>
    </cfRule>
  </conditionalFormatting>
  <conditionalFormatting sqref="D41:H45">
    <cfRule type="expression" dxfId="11" priority="3" stopIfTrue="1">
      <formula>#REF!=TRUE</formula>
    </cfRule>
  </conditionalFormatting>
  <pageMargins left="0.511811024" right="0.511811024" top="0.78740157499999996" bottom="0.78740157499999996" header="0.31496062000000002" footer="0.31496062000000002"/>
  <pageSetup paperSize="9" scale="41" fitToHeight="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F00C-2400-4020-80B2-55C2E7CCBD8D}">
  <sheetPr>
    <tabColor rgb="FF7030A0"/>
    <pageSetUpPr fitToPage="1"/>
  </sheetPr>
  <dimension ref="A1:K48"/>
  <sheetViews>
    <sheetView zoomScale="80" zoomScaleNormal="80" workbookViewId="0">
      <selection activeCell="H2" sqref="H2:H27"/>
    </sheetView>
  </sheetViews>
  <sheetFormatPr defaultRowHeight="15"/>
  <cols>
    <col min="1" max="1" width="5.7109375" style="502" customWidth="1"/>
    <col min="2" max="2" width="66.7109375" style="518" customWidth="1"/>
    <col min="3" max="3" width="16" style="502" customWidth="1"/>
    <col min="4" max="4" width="13.140625" style="519" customWidth="1"/>
    <col min="5" max="5" width="15.7109375" style="502" customWidth="1"/>
    <col min="6" max="6" width="18.7109375" style="502" bestFit="1" customWidth="1"/>
    <col min="7" max="7" width="16.85546875" style="502" customWidth="1"/>
    <col min="8" max="8" width="20.5703125" style="502" customWidth="1"/>
    <col min="9" max="9" width="20" style="502" bestFit="1" customWidth="1"/>
    <col min="10" max="10" width="22.42578125" style="502" customWidth="1"/>
    <col min="11" max="11" width="12.140625" style="502" bestFit="1" customWidth="1"/>
    <col min="12" max="12" width="9.140625" style="502"/>
    <col min="13" max="13" width="19.5703125" style="502" customWidth="1"/>
    <col min="14" max="256" width="9.140625" style="502"/>
    <col min="257" max="257" width="5.7109375" style="502" customWidth="1"/>
    <col min="258" max="258" width="66.7109375" style="502" customWidth="1"/>
    <col min="259" max="259" width="16" style="502" customWidth="1"/>
    <col min="260" max="260" width="13.140625" style="502" customWidth="1"/>
    <col min="261" max="261" width="15.7109375" style="502" customWidth="1"/>
    <col min="262" max="262" width="18.7109375" style="502" bestFit="1" customWidth="1"/>
    <col min="263" max="263" width="16.85546875" style="502" customWidth="1"/>
    <col min="264" max="264" width="20.5703125" style="502" customWidth="1"/>
    <col min="265" max="265" width="20" style="502" bestFit="1" customWidth="1"/>
    <col min="266" max="266" width="22.42578125" style="502" customWidth="1"/>
    <col min="267" max="267" width="12.140625" style="502" bestFit="1" customWidth="1"/>
    <col min="268" max="268" width="9.140625" style="502"/>
    <col min="269" max="269" width="19.5703125" style="502" customWidth="1"/>
    <col min="270" max="512" width="9.140625" style="502"/>
    <col min="513" max="513" width="5.7109375" style="502" customWidth="1"/>
    <col min="514" max="514" width="66.7109375" style="502" customWidth="1"/>
    <col min="515" max="515" width="16" style="502" customWidth="1"/>
    <col min="516" max="516" width="13.140625" style="502" customWidth="1"/>
    <col min="517" max="517" width="15.7109375" style="502" customWidth="1"/>
    <col min="518" max="518" width="18.7109375" style="502" bestFit="1" customWidth="1"/>
    <col min="519" max="519" width="16.85546875" style="502" customWidth="1"/>
    <col min="520" max="520" width="20.5703125" style="502" customWidth="1"/>
    <col min="521" max="521" width="20" style="502" bestFit="1" customWidth="1"/>
    <col min="522" max="522" width="22.42578125" style="502" customWidth="1"/>
    <col min="523" max="523" width="12.140625" style="502" bestFit="1" customWidth="1"/>
    <col min="524" max="524" width="9.140625" style="502"/>
    <col min="525" max="525" width="19.5703125" style="502" customWidth="1"/>
    <col min="526" max="768" width="9.140625" style="502"/>
    <col min="769" max="769" width="5.7109375" style="502" customWidth="1"/>
    <col min="770" max="770" width="66.7109375" style="502" customWidth="1"/>
    <col min="771" max="771" width="16" style="502" customWidth="1"/>
    <col min="772" max="772" width="13.140625" style="502" customWidth="1"/>
    <col min="773" max="773" width="15.7109375" style="502" customWidth="1"/>
    <col min="774" max="774" width="18.7109375" style="502" bestFit="1" customWidth="1"/>
    <col min="775" max="775" width="16.85546875" style="502" customWidth="1"/>
    <col min="776" max="776" width="20.5703125" style="502" customWidth="1"/>
    <col min="777" max="777" width="20" style="502" bestFit="1" customWidth="1"/>
    <col min="778" max="778" width="22.42578125" style="502" customWidth="1"/>
    <col min="779" max="779" width="12.140625" style="502" bestFit="1" customWidth="1"/>
    <col min="780" max="780" width="9.140625" style="502"/>
    <col min="781" max="781" width="19.5703125" style="502" customWidth="1"/>
    <col min="782" max="1024" width="9.140625" style="502"/>
    <col min="1025" max="1025" width="5.7109375" style="502" customWidth="1"/>
    <col min="1026" max="1026" width="66.7109375" style="502" customWidth="1"/>
    <col min="1027" max="1027" width="16" style="502" customWidth="1"/>
    <col min="1028" max="1028" width="13.140625" style="502" customWidth="1"/>
    <col min="1029" max="1029" width="15.7109375" style="502" customWidth="1"/>
    <col min="1030" max="1030" width="18.7109375" style="502" bestFit="1" customWidth="1"/>
    <col min="1031" max="1031" width="16.85546875" style="502" customWidth="1"/>
    <col min="1032" max="1032" width="20.5703125" style="502" customWidth="1"/>
    <col min="1033" max="1033" width="20" style="502" bestFit="1" customWidth="1"/>
    <col min="1034" max="1034" width="22.42578125" style="502" customWidth="1"/>
    <col min="1035" max="1035" width="12.140625" style="502" bestFit="1" customWidth="1"/>
    <col min="1036" max="1036" width="9.140625" style="502"/>
    <col min="1037" max="1037" width="19.5703125" style="502" customWidth="1"/>
    <col min="1038" max="1280" width="9.140625" style="502"/>
    <col min="1281" max="1281" width="5.7109375" style="502" customWidth="1"/>
    <col min="1282" max="1282" width="66.7109375" style="502" customWidth="1"/>
    <col min="1283" max="1283" width="16" style="502" customWidth="1"/>
    <col min="1284" max="1284" width="13.140625" style="502" customWidth="1"/>
    <col min="1285" max="1285" width="15.7109375" style="502" customWidth="1"/>
    <col min="1286" max="1286" width="18.7109375" style="502" bestFit="1" customWidth="1"/>
    <col min="1287" max="1287" width="16.85546875" style="502" customWidth="1"/>
    <col min="1288" max="1288" width="20.5703125" style="502" customWidth="1"/>
    <col min="1289" max="1289" width="20" style="502" bestFit="1" customWidth="1"/>
    <col min="1290" max="1290" width="22.42578125" style="502" customWidth="1"/>
    <col min="1291" max="1291" width="12.140625" style="502" bestFit="1" customWidth="1"/>
    <col min="1292" max="1292" width="9.140625" style="502"/>
    <col min="1293" max="1293" width="19.5703125" style="502" customWidth="1"/>
    <col min="1294" max="1536" width="9.140625" style="502"/>
    <col min="1537" max="1537" width="5.7109375" style="502" customWidth="1"/>
    <col min="1538" max="1538" width="66.7109375" style="502" customWidth="1"/>
    <col min="1539" max="1539" width="16" style="502" customWidth="1"/>
    <col min="1540" max="1540" width="13.140625" style="502" customWidth="1"/>
    <col min="1541" max="1541" width="15.7109375" style="502" customWidth="1"/>
    <col min="1542" max="1542" width="18.7109375" style="502" bestFit="1" customWidth="1"/>
    <col min="1543" max="1543" width="16.85546875" style="502" customWidth="1"/>
    <col min="1544" max="1544" width="20.5703125" style="502" customWidth="1"/>
    <col min="1545" max="1545" width="20" style="502" bestFit="1" customWidth="1"/>
    <col min="1546" max="1546" width="22.42578125" style="502" customWidth="1"/>
    <col min="1547" max="1547" width="12.140625" style="502" bestFit="1" customWidth="1"/>
    <col min="1548" max="1548" width="9.140625" style="502"/>
    <col min="1549" max="1549" width="19.5703125" style="502" customWidth="1"/>
    <col min="1550" max="1792" width="9.140625" style="502"/>
    <col min="1793" max="1793" width="5.7109375" style="502" customWidth="1"/>
    <col min="1794" max="1794" width="66.7109375" style="502" customWidth="1"/>
    <col min="1795" max="1795" width="16" style="502" customWidth="1"/>
    <col min="1796" max="1796" width="13.140625" style="502" customWidth="1"/>
    <col min="1797" max="1797" width="15.7109375" style="502" customWidth="1"/>
    <col min="1798" max="1798" width="18.7109375" style="502" bestFit="1" customWidth="1"/>
    <col min="1799" max="1799" width="16.85546875" style="502" customWidth="1"/>
    <col min="1800" max="1800" width="20.5703125" style="502" customWidth="1"/>
    <col min="1801" max="1801" width="20" style="502" bestFit="1" customWidth="1"/>
    <col min="1802" max="1802" width="22.42578125" style="502" customWidth="1"/>
    <col min="1803" max="1803" width="12.140625" style="502" bestFit="1" customWidth="1"/>
    <col min="1804" max="1804" width="9.140625" style="502"/>
    <col min="1805" max="1805" width="19.5703125" style="502" customWidth="1"/>
    <col min="1806" max="2048" width="9.140625" style="502"/>
    <col min="2049" max="2049" width="5.7109375" style="502" customWidth="1"/>
    <col min="2050" max="2050" width="66.7109375" style="502" customWidth="1"/>
    <col min="2051" max="2051" width="16" style="502" customWidth="1"/>
    <col min="2052" max="2052" width="13.140625" style="502" customWidth="1"/>
    <col min="2053" max="2053" width="15.7109375" style="502" customWidth="1"/>
    <col min="2054" max="2054" width="18.7109375" style="502" bestFit="1" customWidth="1"/>
    <col min="2055" max="2055" width="16.85546875" style="502" customWidth="1"/>
    <col min="2056" max="2056" width="20.5703125" style="502" customWidth="1"/>
    <col min="2057" max="2057" width="20" style="502" bestFit="1" customWidth="1"/>
    <col min="2058" max="2058" width="22.42578125" style="502" customWidth="1"/>
    <col min="2059" max="2059" width="12.140625" style="502" bestFit="1" customWidth="1"/>
    <col min="2060" max="2060" width="9.140625" style="502"/>
    <col min="2061" max="2061" width="19.5703125" style="502" customWidth="1"/>
    <col min="2062" max="2304" width="9.140625" style="502"/>
    <col min="2305" max="2305" width="5.7109375" style="502" customWidth="1"/>
    <col min="2306" max="2306" width="66.7109375" style="502" customWidth="1"/>
    <col min="2307" max="2307" width="16" style="502" customWidth="1"/>
    <col min="2308" max="2308" width="13.140625" style="502" customWidth="1"/>
    <col min="2309" max="2309" width="15.7109375" style="502" customWidth="1"/>
    <col min="2310" max="2310" width="18.7109375" style="502" bestFit="1" customWidth="1"/>
    <col min="2311" max="2311" width="16.85546875" style="502" customWidth="1"/>
    <col min="2312" max="2312" width="20.5703125" style="502" customWidth="1"/>
    <col min="2313" max="2313" width="20" style="502" bestFit="1" customWidth="1"/>
    <col min="2314" max="2314" width="22.42578125" style="502" customWidth="1"/>
    <col min="2315" max="2315" width="12.140625" style="502" bestFit="1" customWidth="1"/>
    <col min="2316" max="2316" width="9.140625" style="502"/>
    <col min="2317" max="2317" width="19.5703125" style="502" customWidth="1"/>
    <col min="2318" max="2560" width="9.140625" style="502"/>
    <col min="2561" max="2561" width="5.7109375" style="502" customWidth="1"/>
    <col min="2562" max="2562" width="66.7109375" style="502" customWidth="1"/>
    <col min="2563" max="2563" width="16" style="502" customWidth="1"/>
    <col min="2564" max="2564" width="13.140625" style="502" customWidth="1"/>
    <col min="2565" max="2565" width="15.7109375" style="502" customWidth="1"/>
    <col min="2566" max="2566" width="18.7109375" style="502" bestFit="1" customWidth="1"/>
    <col min="2567" max="2567" width="16.85546875" style="502" customWidth="1"/>
    <col min="2568" max="2568" width="20.5703125" style="502" customWidth="1"/>
    <col min="2569" max="2569" width="20" style="502" bestFit="1" customWidth="1"/>
    <col min="2570" max="2570" width="22.42578125" style="502" customWidth="1"/>
    <col min="2571" max="2571" width="12.140625" style="502" bestFit="1" customWidth="1"/>
    <col min="2572" max="2572" width="9.140625" style="502"/>
    <col min="2573" max="2573" width="19.5703125" style="502" customWidth="1"/>
    <col min="2574" max="2816" width="9.140625" style="502"/>
    <col min="2817" max="2817" width="5.7109375" style="502" customWidth="1"/>
    <col min="2818" max="2818" width="66.7109375" style="502" customWidth="1"/>
    <col min="2819" max="2819" width="16" style="502" customWidth="1"/>
    <col min="2820" max="2820" width="13.140625" style="502" customWidth="1"/>
    <col min="2821" max="2821" width="15.7109375" style="502" customWidth="1"/>
    <col min="2822" max="2822" width="18.7109375" style="502" bestFit="1" customWidth="1"/>
    <col min="2823" max="2823" width="16.85546875" style="502" customWidth="1"/>
    <col min="2824" max="2824" width="20.5703125" style="502" customWidth="1"/>
    <col min="2825" max="2825" width="20" style="502" bestFit="1" customWidth="1"/>
    <col min="2826" max="2826" width="22.42578125" style="502" customWidth="1"/>
    <col min="2827" max="2827" width="12.140625" style="502" bestFit="1" customWidth="1"/>
    <col min="2828" max="2828" width="9.140625" style="502"/>
    <col min="2829" max="2829" width="19.5703125" style="502" customWidth="1"/>
    <col min="2830" max="3072" width="9.140625" style="502"/>
    <col min="3073" max="3073" width="5.7109375" style="502" customWidth="1"/>
    <col min="3074" max="3074" width="66.7109375" style="502" customWidth="1"/>
    <col min="3075" max="3075" width="16" style="502" customWidth="1"/>
    <col min="3076" max="3076" width="13.140625" style="502" customWidth="1"/>
    <col min="3077" max="3077" width="15.7109375" style="502" customWidth="1"/>
    <col min="3078" max="3078" width="18.7109375" style="502" bestFit="1" customWidth="1"/>
    <col min="3079" max="3079" width="16.85546875" style="502" customWidth="1"/>
    <col min="3080" max="3080" width="20.5703125" style="502" customWidth="1"/>
    <col min="3081" max="3081" width="20" style="502" bestFit="1" customWidth="1"/>
    <col min="3082" max="3082" width="22.42578125" style="502" customWidth="1"/>
    <col min="3083" max="3083" width="12.140625" style="502" bestFit="1" customWidth="1"/>
    <col min="3084" max="3084" width="9.140625" style="502"/>
    <col min="3085" max="3085" width="19.5703125" style="502" customWidth="1"/>
    <col min="3086" max="3328" width="9.140625" style="502"/>
    <col min="3329" max="3329" width="5.7109375" style="502" customWidth="1"/>
    <col min="3330" max="3330" width="66.7109375" style="502" customWidth="1"/>
    <col min="3331" max="3331" width="16" style="502" customWidth="1"/>
    <col min="3332" max="3332" width="13.140625" style="502" customWidth="1"/>
    <col min="3333" max="3333" width="15.7109375" style="502" customWidth="1"/>
    <col min="3334" max="3334" width="18.7109375" style="502" bestFit="1" customWidth="1"/>
    <col min="3335" max="3335" width="16.85546875" style="502" customWidth="1"/>
    <col min="3336" max="3336" width="20.5703125" style="502" customWidth="1"/>
    <col min="3337" max="3337" width="20" style="502" bestFit="1" customWidth="1"/>
    <col min="3338" max="3338" width="22.42578125" style="502" customWidth="1"/>
    <col min="3339" max="3339" width="12.140625" style="502" bestFit="1" customWidth="1"/>
    <col min="3340" max="3340" width="9.140625" style="502"/>
    <col min="3341" max="3341" width="19.5703125" style="502" customWidth="1"/>
    <col min="3342" max="3584" width="9.140625" style="502"/>
    <col min="3585" max="3585" width="5.7109375" style="502" customWidth="1"/>
    <col min="3586" max="3586" width="66.7109375" style="502" customWidth="1"/>
    <col min="3587" max="3587" width="16" style="502" customWidth="1"/>
    <col min="3588" max="3588" width="13.140625" style="502" customWidth="1"/>
    <col min="3589" max="3589" width="15.7109375" style="502" customWidth="1"/>
    <col min="3590" max="3590" width="18.7109375" style="502" bestFit="1" customWidth="1"/>
    <col min="3591" max="3591" width="16.85546875" style="502" customWidth="1"/>
    <col min="3592" max="3592" width="20.5703125" style="502" customWidth="1"/>
    <col min="3593" max="3593" width="20" style="502" bestFit="1" customWidth="1"/>
    <col min="3594" max="3594" width="22.42578125" style="502" customWidth="1"/>
    <col min="3595" max="3595" width="12.140625" style="502" bestFit="1" customWidth="1"/>
    <col min="3596" max="3596" width="9.140625" style="502"/>
    <col min="3597" max="3597" width="19.5703125" style="502" customWidth="1"/>
    <col min="3598" max="3840" width="9.140625" style="502"/>
    <col min="3841" max="3841" width="5.7109375" style="502" customWidth="1"/>
    <col min="3842" max="3842" width="66.7109375" style="502" customWidth="1"/>
    <col min="3843" max="3843" width="16" style="502" customWidth="1"/>
    <col min="3844" max="3844" width="13.140625" style="502" customWidth="1"/>
    <col min="3845" max="3845" width="15.7109375" style="502" customWidth="1"/>
    <col min="3846" max="3846" width="18.7109375" style="502" bestFit="1" customWidth="1"/>
    <col min="3847" max="3847" width="16.85546875" style="502" customWidth="1"/>
    <col min="3848" max="3848" width="20.5703125" style="502" customWidth="1"/>
    <col min="3849" max="3849" width="20" style="502" bestFit="1" customWidth="1"/>
    <col min="3850" max="3850" width="22.42578125" style="502" customWidth="1"/>
    <col min="3851" max="3851" width="12.140625" style="502" bestFit="1" customWidth="1"/>
    <col min="3852" max="3852" width="9.140625" style="502"/>
    <col min="3853" max="3853" width="19.5703125" style="502" customWidth="1"/>
    <col min="3854" max="4096" width="9.140625" style="502"/>
    <col min="4097" max="4097" width="5.7109375" style="502" customWidth="1"/>
    <col min="4098" max="4098" width="66.7109375" style="502" customWidth="1"/>
    <col min="4099" max="4099" width="16" style="502" customWidth="1"/>
    <col min="4100" max="4100" width="13.140625" style="502" customWidth="1"/>
    <col min="4101" max="4101" width="15.7109375" style="502" customWidth="1"/>
    <col min="4102" max="4102" width="18.7109375" style="502" bestFit="1" customWidth="1"/>
    <col min="4103" max="4103" width="16.85546875" style="502" customWidth="1"/>
    <col min="4104" max="4104" width="20.5703125" style="502" customWidth="1"/>
    <col min="4105" max="4105" width="20" style="502" bestFit="1" customWidth="1"/>
    <col min="4106" max="4106" width="22.42578125" style="502" customWidth="1"/>
    <col min="4107" max="4107" width="12.140625" style="502" bestFit="1" customWidth="1"/>
    <col min="4108" max="4108" width="9.140625" style="502"/>
    <col min="4109" max="4109" width="19.5703125" style="502" customWidth="1"/>
    <col min="4110" max="4352" width="9.140625" style="502"/>
    <col min="4353" max="4353" width="5.7109375" style="502" customWidth="1"/>
    <col min="4354" max="4354" width="66.7109375" style="502" customWidth="1"/>
    <col min="4355" max="4355" width="16" style="502" customWidth="1"/>
    <col min="4356" max="4356" width="13.140625" style="502" customWidth="1"/>
    <col min="4357" max="4357" width="15.7109375" style="502" customWidth="1"/>
    <col min="4358" max="4358" width="18.7109375" style="502" bestFit="1" customWidth="1"/>
    <col min="4359" max="4359" width="16.85546875" style="502" customWidth="1"/>
    <col min="4360" max="4360" width="20.5703125" style="502" customWidth="1"/>
    <col min="4361" max="4361" width="20" style="502" bestFit="1" customWidth="1"/>
    <col min="4362" max="4362" width="22.42578125" style="502" customWidth="1"/>
    <col min="4363" max="4363" width="12.140625" style="502" bestFit="1" customWidth="1"/>
    <col min="4364" max="4364" width="9.140625" style="502"/>
    <col min="4365" max="4365" width="19.5703125" style="502" customWidth="1"/>
    <col min="4366" max="4608" width="9.140625" style="502"/>
    <col min="4609" max="4609" width="5.7109375" style="502" customWidth="1"/>
    <col min="4610" max="4610" width="66.7109375" style="502" customWidth="1"/>
    <col min="4611" max="4611" width="16" style="502" customWidth="1"/>
    <col min="4612" max="4612" width="13.140625" style="502" customWidth="1"/>
    <col min="4613" max="4613" width="15.7109375" style="502" customWidth="1"/>
    <col min="4614" max="4614" width="18.7109375" style="502" bestFit="1" customWidth="1"/>
    <col min="4615" max="4615" width="16.85546875" style="502" customWidth="1"/>
    <col min="4616" max="4616" width="20.5703125" style="502" customWidth="1"/>
    <col min="4617" max="4617" width="20" style="502" bestFit="1" customWidth="1"/>
    <col min="4618" max="4618" width="22.42578125" style="502" customWidth="1"/>
    <col min="4619" max="4619" width="12.140625" style="502" bestFit="1" customWidth="1"/>
    <col min="4620" max="4620" width="9.140625" style="502"/>
    <col min="4621" max="4621" width="19.5703125" style="502" customWidth="1"/>
    <col min="4622" max="4864" width="9.140625" style="502"/>
    <col min="4865" max="4865" width="5.7109375" style="502" customWidth="1"/>
    <col min="4866" max="4866" width="66.7109375" style="502" customWidth="1"/>
    <col min="4867" max="4867" width="16" style="502" customWidth="1"/>
    <col min="4868" max="4868" width="13.140625" style="502" customWidth="1"/>
    <col min="4869" max="4869" width="15.7109375" style="502" customWidth="1"/>
    <col min="4870" max="4870" width="18.7109375" style="502" bestFit="1" customWidth="1"/>
    <col min="4871" max="4871" width="16.85546875" style="502" customWidth="1"/>
    <col min="4872" max="4872" width="20.5703125" style="502" customWidth="1"/>
    <col min="4873" max="4873" width="20" style="502" bestFit="1" customWidth="1"/>
    <col min="4874" max="4874" width="22.42578125" style="502" customWidth="1"/>
    <col min="4875" max="4875" width="12.140625" style="502" bestFit="1" customWidth="1"/>
    <col min="4876" max="4876" width="9.140625" style="502"/>
    <col min="4877" max="4877" width="19.5703125" style="502" customWidth="1"/>
    <col min="4878" max="5120" width="9.140625" style="502"/>
    <col min="5121" max="5121" width="5.7109375" style="502" customWidth="1"/>
    <col min="5122" max="5122" width="66.7109375" style="502" customWidth="1"/>
    <col min="5123" max="5123" width="16" style="502" customWidth="1"/>
    <col min="5124" max="5124" width="13.140625" style="502" customWidth="1"/>
    <col min="5125" max="5125" width="15.7109375" style="502" customWidth="1"/>
    <col min="5126" max="5126" width="18.7109375" style="502" bestFit="1" customWidth="1"/>
    <col min="5127" max="5127" width="16.85546875" style="502" customWidth="1"/>
    <col min="5128" max="5128" width="20.5703125" style="502" customWidth="1"/>
    <col min="5129" max="5129" width="20" style="502" bestFit="1" customWidth="1"/>
    <col min="5130" max="5130" width="22.42578125" style="502" customWidth="1"/>
    <col min="5131" max="5131" width="12.140625" style="502" bestFit="1" customWidth="1"/>
    <col min="5132" max="5132" width="9.140625" style="502"/>
    <col min="5133" max="5133" width="19.5703125" style="502" customWidth="1"/>
    <col min="5134" max="5376" width="9.140625" style="502"/>
    <col min="5377" max="5377" width="5.7109375" style="502" customWidth="1"/>
    <col min="5378" max="5378" width="66.7109375" style="502" customWidth="1"/>
    <col min="5379" max="5379" width="16" style="502" customWidth="1"/>
    <col min="5380" max="5380" width="13.140625" style="502" customWidth="1"/>
    <col min="5381" max="5381" width="15.7109375" style="502" customWidth="1"/>
    <col min="5382" max="5382" width="18.7109375" style="502" bestFit="1" customWidth="1"/>
    <col min="5383" max="5383" width="16.85546875" style="502" customWidth="1"/>
    <col min="5384" max="5384" width="20.5703125" style="502" customWidth="1"/>
    <col min="5385" max="5385" width="20" style="502" bestFit="1" customWidth="1"/>
    <col min="5386" max="5386" width="22.42578125" style="502" customWidth="1"/>
    <col min="5387" max="5387" width="12.140625" style="502" bestFit="1" customWidth="1"/>
    <col min="5388" max="5388" width="9.140625" style="502"/>
    <col min="5389" max="5389" width="19.5703125" style="502" customWidth="1"/>
    <col min="5390" max="5632" width="9.140625" style="502"/>
    <col min="5633" max="5633" width="5.7109375" style="502" customWidth="1"/>
    <col min="5634" max="5634" width="66.7109375" style="502" customWidth="1"/>
    <col min="5635" max="5635" width="16" style="502" customWidth="1"/>
    <col min="5636" max="5636" width="13.140625" style="502" customWidth="1"/>
    <col min="5637" max="5637" width="15.7109375" style="502" customWidth="1"/>
    <col min="5638" max="5638" width="18.7109375" style="502" bestFit="1" customWidth="1"/>
    <col min="5639" max="5639" width="16.85546875" style="502" customWidth="1"/>
    <col min="5640" max="5640" width="20.5703125" style="502" customWidth="1"/>
    <col min="5641" max="5641" width="20" style="502" bestFit="1" customWidth="1"/>
    <col min="5642" max="5642" width="22.42578125" style="502" customWidth="1"/>
    <col min="5643" max="5643" width="12.140625" style="502" bestFit="1" customWidth="1"/>
    <col min="5644" max="5644" width="9.140625" style="502"/>
    <col min="5645" max="5645" width="19.5703125" style="502" customWidth="1"/>
    <col min="5646" max="5888" width="9.140625" style="502"/>
    <col min="5889" max="5889" width="5.7109375" style="502" customWidth="1"/>
    <col min="5890" max="5890" width="66.7109375" style="502" customWidth="1"/>
    <col min="5891" max="5891" width="16" style="502" customWidth="1"/>
    <col min="5892" max="5892" width="13.140625" style="502" customWidth="1"/>
    <col min="5893" max="5893" width="15.7109375" style="502" customWidth="1"/>
    <col min="5894" max="5894" width="18.7109375" style="502" bestFit="1" customWidth="1"/>
    <col min="5895" max="5895" width="16.85546875" style="502" customWidth="1"/>
    <col min="5896" max="5896" width="20.5703125" style="502" customWidth="1"/>
    <col min="5897" max="5897" width="20" style="502" bestFit="1" customWidth="1"/>
    <col min="5898" max="5898" width="22.42578125" style="502" customWidth="1"/>
    <col min="5899" max="5899" width="12.140625" style="502" bestFit="1" customWidth="1"/>
    <col min="5900" max="5900" width="9.140625" style="502"/>
    <col min="5901" max="5901" width="19.5703125" style="502" customWidth="1"/>
    <col min="5902" max="6144" width="9.140625" style="502"/>
    <col min="6145" max="6145" width="5.7109375" style="502" customWidth="1"/>
    <col min="6146" max="6146" width="66.7109375" style="502" customWidth="1"/>
    <col min="6147" max="6147" width="16" style="502" customWidth="1"/>
    <col min="6148" max="6148" width="13.140625" style="502" customWidth="1"/>
    <col min="6149" max="6149" width="15.7109375" style="502" customWidth="1"/>
    <col min="6150" max="6150" width="18.7109375" style="502" bestFit="1" customWidth="1"/>
    <col min="6151" max="6151" width="16.85546875" style="502" customWidth="1"/>
    <col min="6152" max="6152" width="20.5703125" style="502" customWidth="1"/>
    <col min="6153" max="6153" width="20" style="502" bestFit="1" customWidth="1"/>
    <col min="6154" max="6154" width="22.42578125" style="502" customWidth="1"/>
    <col min="6155" max="6155" width="12.140625" style="502" bestFit="1" customWidth="1"/>
    <col min="6156" max="6156" width="9.140625" style="502"/>
    <col min="6157" max="6157" width="19.5703125" style="502" customWidth="1"/>
    <col min="6158" max="6400" width="9.140625" style="502"/>
    <col min="6401" max="6401" width="5.7109375" style="502" customWidth="1"/>
    <col min="6402" max="6402" width="66.7109375" style="502" customWidth="1"/>
    <col min="6403" max="6403" width="16" style="502" customWidth="1"/>
    <col min="6404" max="6404" width="13.140625" style="502" customWidth="1"/>
    <col min="6405" max="6405" width="15.7109375" style="502" customWidth="1"/>
    <col min="6406" max="6406" width="18.7109375" style="502" bestFit="1" customWidth="1"/>
    <col min="6407" max="6407" width="16.85546875" style="502" customWidth="1"/>
    <col min="6408" max="6408" width="20.5703125" style="502" customWidth="1"/>
    <col min="6409" max="6409" width="20" style="502" bestFit="1" customWidth="1"/>
    <col min="6410" max="6410" width="22.42578125" style="502" customWidth="1"/>
    <col min="6411" max="6411" width="12.140625" style="502" bestFit="1" customWidth="1"/>
    <col min="6412" max="6412" width="9.140625" style="502"/>
    <col min="6413" max="6413" width="19.5703125" style="502" customWidth="1"/>
    <col min="6414" max="6656" width="9.140625" style="502"/>
    <col min="6657" max="6657" width="5.7109375" style="502" customWidth="1"/>
    <col min="6658" max="6658" width="66.7109375" style="502" customWidth="1"/>
    <col min="6659" max="6659" width="16" style="502" customWidth="1"/>
    <col min="6660" max="6660" width="13.140625" style="502" customWidth="1"/>
    <col min="6661" max="6661" width="15.7109375" style="502" customWidth="1"/>
    <col min="6662" max="6662" width="18.7109375" style="502" bestFit="1" customWidth="1"/>
    <col min="6663" max="6663" width="16.85546875" style="502" customWidth="1"/>
    <col min="6664" max="6664" width="20.5703125" style="502" customWidth="1"/>
    <col min="6665" max="6665" width="20" style="502" bestFit="1" customWidth="1"/>
    <col min="6666" max="6666" width="22.42578125" style="502" customWidth="1"/>
    <col min="6667" max="6667" width="12.140625" style="502" bestFit="1" customWidth="1"/>
    <col min="6668" max="6668" width="9.140625" style="502"/>
    <col min="6669" max="6669" width="19.5703125" style="502" customWidth="1"/>
    <col min="6670" max="6912" width="9.140625" style="502"/>
    <col min="6913" max="6913" width="5.7109375" style="502" customWidth="1"/>
    <col min="6914" max="6914" width="66.7109375" style="502" customWidth="1"/>
    <col min="6915" max="6915" width="16" style="502" customWidth="1"/>
    <col min="6916" max="6916" width="13.140625" style="502" customWidth="1"/>
    <col min="6917" max="6917" width="15.7109375" style="502" customWidth="1"/>
    <col min="6918" max="6918" width="18.7109375" style="502" bestFit="1" customWidth="1"/>
    <col min="6919" max="6919" width="16.85546875" style="502" customWidth="1"/>
    <col min="6920" max="6920" width="20.5703125" style="502" customWidth="1"/>
    <col min="6921" max="6921" width="20" style="502" bestFit="1" customWidth="1"/>
    <col min="6922" max="6922" width="22.42578125" style="502" customWidth="1"/>
    <col min="6923" max="6923" width="12.140625" style="502" bestFit="1" customWidth="1"/>
    <col min="6924" max="6924" width="9.140625" style="502"/>
    <col min="6925" max="6925" width="19.5703125" style="502" customWidth="1"/>
    <col min="6926" max="7168" width="9.140625" style="502"/>
    <col min="7169" max="7169" width="5.7109375" style="502" customWidth="1"/>
    <col min="7170" max="7170" width="66.7109375" style="502" customWidth="1"/>
    <col min="7171" max="7171" width="16" style="502" customWidth="1"/>
    <col min="7172" max="7172" width="13.140625" style="502" customWidth="1"/>
    <col min="7173" max="7173" width="15.7109375" style="502" customWidth="1"/>
    <col min="7174" max="7174" width="18.7109375" style="502" bestFit="1" customWidth="1"/>
    <col min="7175" max="7175" width="16.85546875" style="502" customWidth="1"/>
    <col min="7176" max="7176" width="20.5703125" style="502" customWidth="1"/>
    <col min="7177" max="7177" width="20" style="502" bestFit="1" customWidth="1"/>
    <col min="7178" max="7178" width="22.42578125" style="502" customWidth="1"/>
    <col min="7179" max="7179" width="12.140625" style="502" bestFit="1" customWidth="1"/>
    <col min="7180" max="7180" width="9.140625" style="502"/>
    <col min="7181" max="7181" width="19.5703125" style="502" customWidth="1"/>
    <col min="7182" max="7424" width="9.140625" style="502"/>
    <col min="7425" max="7425" width="5.7109375" style="502" customWidth="1"/>
    <col min="7426" max="7426" width="66.7109375" style="502" customWidth="1"/>
    <col min="7427" max="7427" width="16" style="502" customWidth="1"/>
    <col min="7428" max="7428" width="13.140625" style="502" customWidth="1"/>
    <col min="7429" max="7429" width="15.7109375" style="502" customWidth="1"/>
    <col min="7430" max="7430" width="18.7109375" style="502" bestFit="1" customWidth="1"/>
    <col min="7431" max="7431" width="16.85546875" style="502" customWidth="1"/>
    <col min="7432" max="7432" width="20.5703125" style="502" customWidth="1"/>
    <col min="7433" max="7433" width="20" style="502" bestFit="1" customWidth="1"/>
    <col min="7434" max="7434" width="22.42578125" style="502" customWidth="1"/>
    <col min="7435" max="7435" width="12.140625" style="502" bestFit="1" customWidth="1"/>
    <col min="7436" max="7436" width="9.140625" style="502"/>
    <col min="7437" max="7437" width="19.5703125" style="502" customWidth="1"/>
    <col min="7438" max="7680" width="9.140625" style="502"/>
    <col min="7681" max="7681" width="5.7109375" style="502" customWidth="1"/>
    <col min="7682" max="7682" width="66.7109375" style="502" customWidth="1"/>
    <col min="7683" max="7683" width="16" style="502" customWidth="1"/>
    <col min="7684" max="7684" width="13.140625" style="502" customWidth="1"/>
    <col min="7685" max="7685" width="15.7109375" style="502" customWidth="1"/>
    <col min="7686" max="7686" width="18.7109375" style="502" bestFit="1" customWidth="1"/>
    <col min="7687" max="7687" width="16.85546875" style="502" customWidth="1"/>
    <col min="7688" max="7688" width="20.5703125" style="502" customWidth="1"/>
    <col min="7689" max="7689" width="20" style="502" bestFit="1" customWidth="1"/>
    <col min="7690" max="7690" width="22.42578125" style="502" customWidth="1"/>
    <col min="7691" max="7691" width="12.140625" style="502" bestFit="1" customWidth="1"/>
    <col min="7692" max="7692" width="9.140625" style="502"/>
    <col min="7693" max="7693" width="19.5703125" style="502" customWidth="1"/>
    <col min="7694" max="7936" width="9.140625" style="502"/>
    <col min="7937" max="7937" width="5.7109375" style="502" customWidth="1"/>
    <col min="7938" max="7938" width="66.7109375" style="502" customWidth="1"/>
    <col min="7939" max="7939" width="16" style="502" customWidth="1"/>
    <col min="7940" max="7940" width="13.140625" style="502" customWidth="1"/>
    <col min="7941" max="7941" width="15.7109375" style="502" customWidth="1"/>
    <col min="7942" max="7942" width="18.7109375" style="502" bestFit="1" customWidth="1"/>
    <col min="7943" max="7943" width="16.85546875" style="502" customWidth="1"/>
    <col min="7944" max="7944" width="20.5703125" style="502" customWidth="1"/>
    <col min="7945" max="7945" width="20" style="502" bestFit="1" customWidth="1"/>
    <col min="7946" max="7946" width="22.42578125" style="502" customWidth="1"/>
    <col min="7947" max="7947" width="12.140625" style="502" bestFit="1" customWidth="1"/>
    <col min="7948" max="7948" width="9.140625" style="502"/>
    <col min="7949" max="7949" width="19.5703125" style="502" customWidth="1"/>
    <col min="7950" max="8192" width="9.140625" style="502"/>
    <col min="8193" max="8193" width="5.7109375" style="502" customWidth="1"/>
    <col min="8194" max="8194" width="66.7109375" style="502" customWidth="1"/>
    <col min="8195" max="8195" width="16" style="502" customWidth="1"/>
    <col min="8196" max="8196" width="13.140625" style="502" customWidth="1"/>
    <col min="8197" max="8197" width="15.7109375" style="502" customWidth="1"/>
    <col min="8198" max="8198" width="18.7109375" style="502" bestFit="1" customWidth="1"/>
    <col min="8199" max="8199" width="16.85546875" style="502" customWidth="1"/>
    <col min="8200" max="8200" width="20.5703125" style="502" customWidth="1"/>
    <col min="8201" max="8201" width="20" style="502" bestFit="1" customWidth="1"/>
    <col min="8202" max="8202" width="22.42578125" style="502" customWidth="1"/>
    <col min="8203" max="8203" width="12.140625" style="502" bestFit="1" customWidth="1"/>
    <col min="8204" max="8204" width="9.140625" style="502"/>
    <col min="8205" max="8205" width="19.5703125" style="502" customWidth="1"/>
    <col min="8206" max="8448" width="9.140625" style="502"/>
    <col min="8449" max="8449" width="5.7109375" style="502" customWidth="1"/>
    <col min="8450" max="8450" width="66.7109375" style="502" customWidth="1"/>
    <col min="8451" max="8451" width="16" style="502" customWidth="1"/>
    <col min="8452" max="8452" width="13.140625" style="502" customWidth="1"/>
    <col min="8453" max="8453" width="15.7109375" style="502" customWidth="1"/>
    <col min="8454" max="8454" width="18.7109375" style="502" bestFit="1" customWidth="1"/>
    <col min="8455" max="8455" width="16.85546875" style="502" customWidth="1"/>
    <col min="8456" max="8456" width="20.5703125" style="502" customWidth="1"/>
    <col min="8457" max="8457" width="20" style="502" bestFit="1" customWidth="1"/>
    <col min="8458" max="8458" width="22.42578125" style="502" customWidth="1"/>
    <col min="8459" max="8459" width="12.140625" style="502" bestFit="1" customWidth="1"/>
    <col min="8460" max="8460" width="9.140625" style="502"/>
    <col min="8461" max="8461" width="19.5703125" style="502" customWidth="1"/>
    <col min="8462" max="8704" width="9.140625" style="502"/>
    <col min="8705" max="8705" width="5.7109375" style="502" customWidth="1"/>
    <col min="8706" max="8706" width="66.7109375" style="502" customWidth="1"/>
    <col min="8707" max="8707" width="16" style="502" customWidth="1"/>
    <col min="8708" max="8708" width="13.140625" style="502" customWidth="1"/>
    <col min="8709" max="8709" width="15.7109375" style="502" customWidth="1"/>
    <col min="8710" max="8710" width="18.7109375" style="502" bestFit="1" customWidth="1"/>
    <col min="8711" max="8711" width="16.85546875" style="502" customWidth="1"/>
    <col min="8712" max="8712" width="20.5703125" style="502" customWidth="1"/>
    <col min="8713" max="8713" width="20" style="502" bestFit="1" customWidth="1"/>
    <col min="8714" max="8714" width="22.42578125" style="502" customWidth="1"/>
    <col min="8715" max="8715" width="12.140625" style="502" bestFit="1" customWidth="1"/>
    <col min="8716" max="8716" width="9.140625" style="502"/>
    <col min="8717" max="8717" width="19.5703125" style="502" customWidth="1"/>
    <col min="8718" max="8960" width="9.140625" style="502"/>
    <col min="8961" max="8961" width="5.7109375" style="502" customWidth="1"/>
    <col min="8962" max="8962" width="66.7109375" style="502" customWidth="1"/>
    <col min="8963" max="8963" width="16" style="502" customWidth="1"/>
    <col min="8964" max="8964" width="13.140625" style="502" customWidth="1"/>
    <col min="8965" max="8965" width="15.7109375" style="502" customWidth="1"/>
    <col min="8966" max="8966" width="18.7109375" style="502" bestFit="1" customWidth="1"/>
    <col min="8967" max="8967" width="16.85546875" style="502" customWidth="1"/>
    <col min="8968" max="8968" width="20.5703125" style="502" customWidth="1"/>
    <col min="8969" max="8969" width="20" style="502" bestFit="1" customWidth="1"/>
    <col min="8970" max="8970" width="22.42578125" style="502" customWidth="1"/>
    <col min="8971" max="8971" width="12.140625" style="502" bestFit="1" customWidth="1"/>
    <col min="8972" max="8972" width="9.140625" style="502"/>
    <col min="8973" max="8973" width="19.5703125" style="502" customWidth="1"/>
    <col min="8974" max="9216" width="9.140625" style="502"/>
    <col min="9217" max="9217" width="5.7109375" style="502" customWidth="1"/>
    <col min="9218" max="9218" width="66.7109375" style="502" customWidth="1"/>
    <col min="9219" max="9219" width="16" style="502" customWidth="1"/>
    <col min="9220" max="9220" width="13.140625" style="502" customWidth="1"/>
    <col min="9221" max="9221" width="15.7109375" style="502" customWidth="1"/>
    <col min="9222" max="9222" width="18.7109375" style="502" bestFit="1" customWidth="1"/>
    <col min="9223" max="9223" width="16.85546875" style="502" customWidth="1"/>
    <col min="9224" max="9224" width="20.5703125" style="502" customWidth="1"/>
    <col min="9225" max="9225" width="20" style="502" bestFit="1" customWidth="1"/>
    <col min="9226" max="9226" width="22.42578125" style="502" customWidth="1"/>
    <col min="9227" max="9227" width="12.140625" style="502" bestFit="1" customWidth="1"/>
    <col min="9228" max="9228" width="9.140625" style="502"/>
    <col min="9229" max="9229" width="19.5703125" style="502" customWidth="1"/>
    <col min="9230" max="9472" width="9.140625" style="502"/>
    <col min="9473" max="9473" width="5.7109375" style="502" customWidth="1"/>
    <col min="9474" max="9474" width="66.7109375" style="502" customWidth="1"/>
    <col min="9475" max="9475" width="16" style="502" customWidth="1"/>
    <col min="9476" max="9476" width="13.140625" style="502" customWidth="1"/>
    <col min="9477" max="9477" width="15.7109375" style="502" customWidth="1"/>
    <col min="9478" max="9478" width="18.7109375" style="502" bestFit="1" customWidth="1"/>
    <col min="9479" max="9479" width="16.85546875" style="502" customWidth="1"/>
    <col min="9480" max="9480" width="20.5703125" style="502" customWidth="1"/>
    <col min="9481" max="9481" width="20" style="502" bestFit="1" customWidth="1"/>
    <col min="9482" max="9482" width="22.42578125" style="502" customWidth="1"/>
    <col min="9483" max="9483" width="12.140625" style="502" bestFit="1" customWidth="1"/>
    <col min="9484" max="9484" width="9.140625" style="502"/>
    <col min="9485" max="9485" width="19.5703125" style="502" customWidth="1"/>
    <col min="9486" max="9728" width="9.140625" style="502"/>
    <col min="9729" max="9729" width="5.7109375" style="502" customWidth="1"/>
    <col min="9730" max="9730" width="66.7109375" style="502" customWidth="1"/>
    <col min="9731" max="9731" width="16" style="502" customWidth="1"/>
    <col min="9732" max="9732" width="13.140625" style="502" customWidth="1"/>
    <col min="9733" max="9733" width="15.7109375" style="502" customWidth="1"/>
    <col min="9734" max="9734" width="18.7109375" style="502" bestFit="1" customWidth="1"/>
    <col min="9735" max="9735" width="16.85546875" style="502" customWidth="1"/>
    <col min="9736" max="9736" width="20.5703125" style="502" customWidth="1"/>
    <col min="9737" max="9737" width="20" style="502" bestFit="1" customWidth="1"/>
    <col min="9738" max="9738" width="22.42578125" style="502" customWidth="1"/>
    <col min="9739" max="9739" width="12.140625" style="502" bestFit="1" customWidth="1"/>
    <col min="9740" max="9740" width="9.140625" style="502"/>
    <col min="9741" max="9741" width="19.5703125" style="502" customWidth="1"/>
    <col min="9742" max="9984" width="9.140625" style="502"/>
    <col min="9985" max="9985" width="5.7109375" style="502" customWidth="1"/>
    <col min="9986" max="9986" width="66.7109375" style="502" customWidth="1"/>
    <col min="9987" max="9987" width="16" style="502" customWidth="1"/>
    <col min="9988" max="9988" width="13.140625" style="502" customWidth="1"/>
    <col min="9989" max="9989" width="15.7109375" style="502" customWidth="1"/>
    <col min="9990" max="9990" width="18.7109375" style="502" bestFit="1" customWidth="1"/>
    <col min="9991" max="9991" width="16.85546875" style="502" customWidth="1"/>
    <col min="9992" max="9992" width="20.5703125" style="502" customWidth="1"/>
    <col min="9993" max="9993" width="20" style="502" bestFit="1" customWidth="1"/>
    <col min="9994" max="9994" width="22.42578125" style="502" customWidth="1"/>
    <col min="9995" max="9995" width="12.140625" style="502" bestFit="1" customWidth="1"/>
    <col min="9996" max="9996" width="9.140625" style="502"/>
    <col min="9997" max="9997" width="19.5703125" style="502" customWidth="1"/>
    <col min="9998" max="10240" width="9.140625" style="502"/>
    <col min="10241" max="10241" width="5.7109375" style="502" customWidth="1"/>
    <col min="10242" max="10242" width="66.7109375" style="502" customWidth="1"/>
    <col min="10243" max="10243" width="16" style="502" customWidth="1"/>
    <col min="10244" max="10244" width="13.140625" style="502" customWidth="1"/>
    <col min="10245" max="10245" width="15.7109375" style="502" customWidth="1"/>
    <col min="10246" max="10246" width="18.7109375" style="502" bestFit="1" customWidth="1"/>
    <col min="10247" max="10247" width="16.85546875" style="502" customWidth="1"/>
    <col min="10248" max="10248" width="20.5703125" style="502" customWidth="1"/>
    <col min="10249" max="10249" width="20" style="502" bestFit="1" customWidth="1"/>
    <col min="10250" max="10250" width="22.42578125" style="502" customWidth="1"/>
    <col min="10251" max="10251" width="12.140625" style="502" bestFit="1" customWidth="1"/>
    <col min="10252" max="10252" width="9.140625" style="502"/>
    <col min="10253" max="10253" width="19.5703125" style="502" customWidth="1"/>
    <col min="10254" max="10496" width="9.140625" style="502"/>
    <col min="10497" max="10497" width="5.7109375" style="502" customWidth="1"/>
    <col min="10498" max="10498" width="66.7109375" style="502" customWidth="1"/>
    <col min="10499" max="10499" width="16" style="502" customWidth="1"/>
    <col min="10500" max="10500" width="13.140625" style="502" customWidth="1"/>
    <col min="10501" max="10501" width="15.7109375" style="502" customWidth="1"/>
    <col min="10502" max="10502" width="18.7109375" style="502" bestFit="1" customWidth="1"/>
    <col min="10503" max="10503" width="16.85546875" style="502" customWidth="1"/>
    <col min="10504" max="10504" width="20.5703125" style="502" customWidth="1"/>
    <col min="10505" max="10505" width="20" style="502" bestFit="1" customWidth="1"/>
    <col min="10506" max="10506" width="22.42578125" style="502" customWidth="1"/>
    <col min="10507" max="10507" width="12.140625" style="502" bestFit="1" customWidth="1"/>
    <col min="10508" max="10508" width="9.140625" style="502"/>
    <col min="10509" max="10509" width="19.5703125" style="502" customWidth="1"/>
    <col min="10510" max="10752" width="9.140625" style="502"/>
    <col min="10753" max="10753" width="5.7109375" style="502" customWidth="1"/>
    <col min="10754" max="10754" width="66.7109375" style="502" customWidth="1"/>
    <col min="10755" max="10755" width="16" style="502" customWidth="1"/>
    <col min="10756" max="10756" width="13.140625" style="502" customWidth="1"/>
    <col min="10757" max="10757" width="15.7109375" style="502" customWidth="1"/>
    <col min="10758" max="10758" width="18.7109375" style="502" bestFit="1" customWidth="1"/>
    <col min="10759" max="10759" width="16.85546875" style="502" customWidth="1"/>
    <col min="10760" max="10760" width="20.5703125" style="502" customWidth="1"/>
    <col min="10761" max="10761" width="20" style="502" bestFit="1" customWidth="1"/>
    <col min="10762" max="10762" width="22.42578125" style="502" customWidth="1"/>
    <col min="10763" max="10763" width="12.140625" style="502" bestFit="1" customWidth="1"/>
    <col min="10764" max="10764" width="9.140625" style="502"/>
    <col min="10765" max="10765" width="19.5703125" style="502" customWidth="1"/>
    <col min="10766" max="11008" width="9.140625" style="502"/>
    <col min="11009" max="11009" width="5.7109375" style="502" customWidth="1"/>
    <col min="11010" max="11010" width="66.7109375" style="502" customWidth="1"/>
    <col min="11011" max="11011" width="16" style="502" customWidth="1"/>
    <col min="11012" max="11012" width="13.140625" style="502" customWidth="1"/>
    <col min="11013" max="11013" width="15.7109375" style="502" customWidth="1"/>
    <col min="11014" max="11014" width="18.7109375" style="502" bestFit="1" customWidth="1"/>
    <col min="11015" max="11015" width="16.85546875" style="502" customWidth="1"/>
    <col min="11016" max="11016" width="20.5703125" style="502" customWidth="1"/>
    <col min="11017" max="11017" width="20" style="502" bestFit="1" customWidth="1"/>
    <col min="11018" max="11018" width="22.42578125" style="502" customWidth="1"/>
    <col min="11019" max="11019" width="12.140625" style="502" bestFit="1" customWidth="1"/>
    <col min="11020" max="11020" width="9.140625" style="502"/>
    <col min="11021" max="11021" width="19.5703125" style="502" customWidth="1"/>
    <col min="11022" max="11264" width="9.140625" style="502"/>
    <col min="11265" max="11265" width="5.7109375" style="502" customWidth="1"/>
    <col min="11266" max="11266" width="66.7109375" style="502" customWidth="1"/>
    <col min="11267" max="11267" width="16" style="502" customWidth="1"/>
    <col min="11268" max="11268" width="13.140625" style="502" customWidth="1"/>
    <col min="11269" max="11269" width="15.7109375" style="502" customWidth="1"/>
    <col min="11270" max="11270" width="18.7109375" style="502" bestFit="1" customWidth="1"/>
    <col min="11271" max="11271" width="16.85546875" style="502" customWidth="1"/>
    <col min="11272" max="11272" width="20.5703125" style="502" customWidth="1"/>
    <col min="11273" max="11273" width="20" style="502" bestFit="1" customWidth="1"/>
    <col min="11274" max="11274" width="22.42578125" style="502" customWidth="1"/>
    <col min="11275" max="11275" width="12.140625" style="502" bestFit="1" customWidth="1"/>
    <col min="11276" max="11276" width="9.140625" style="502"/>
    <col min="11277" max="11277" width="19.5703125" style="502" customWidth="1"/>
    <col min="11278" max="11520" width="9.140625" style="502"/>
    <col min="11521" max="11521" width="5.7109375" style="502" customWidth="1"/>
    <col min="11522" max="11522" width="66.7109375" style="502" customWidth="1"/>
    <col min="11523" max="11523" width="16" style="502" customWidth="1"/>
    <col min="11524" max="11524" width="13.140625" style="502" customWidth="1"/>
    <col min="11525" max="11525" width="15.7109375" style="502" customWidth="1"/>
    <col min="11526" max="11526" width="18.7109375" style="502" bestFit="1" customWidth="1"/>
    <col min="11527" max="11527" width="16.85546875" style="502" customWidth="1"/>
    <col min="11528" max="11528" width="20.5703125" style="502" customWidth="1"/>
    <col min="11529" max="11529" width="20" style="502" bestFit="1" customWidth="1"/>
    <col min="11530" max="11530" width="22.42578125" style="502" customWidth="1"/>
    <col min="11531" max="11531" width="12.140625" style="502" bestFit="1" customWidth="1"/>
    <col min="11532" max="11532" width="9.140625" style="502"/>
    <col min="11533" max="11533" width="19.5703125" style="502" customWidth="1"/>
    <col min="11534" max="11776" width="9.140625" style="502"/>
    <col min="11777" max="11777" width="5.7109375" style="502" customWidth="1"/>
    <col min="11778" max="11778" width="66.7109375" style="502" customWidth="1"/>
    <col min="11779" max="11779" width="16" style="502" customWidth="1"/>
    <col min="11780" max="11780" width="13.140625" style="502" customWidth="1"/>
    <col min="11781" max="11781" width="15.7109375" style="502" customWidth="1"/>
    <col min="11782" max="11782" width="18.7109375" style="502" bestFit="1" customWidth="1"/>
    <col min="11783" max="11783" width="16.85546875" style="502" customWidth="1"/>
    <col min="11784" max="11784" width="20.5703125" style="502" customWidth="1"/>
    <col min="11785" max="11785" width="20" style="502" bestFit="1" customWidth="1"/>
    <col min="11786" max="11786" width="22.42578125" style="502" customWidth="1"/>
    <col min="11787" max="11787" width="12.140625" style="502" bestFit="1" customWidth="1"/>
    <col min="11788" max="11788" width="9.140625" style="502"/>
    <col min="11789" max="11789" width="19.5703125" style="502" customWidth="1"/>
    <col min="11790" max="12032" width="9.140625" style="502"/>
    <col min="12033" max="12033" width="5.7109375" style="502" customWidth="1"/>
    <col min="12034" max="12034" width="66.7109375" style="502" customWidth="1"/>
    <col min="12035" max="12035" width="16" style="502" customWidth="1"/>
    <col min="12036" max="12036" width="13.140625" style="502" customWidth="1"/>
    <col min="12037" max="12037" width="15.7109375" style="502" customWidth="1"/>
    <col min="12038" max="12038" width="18.7109375" style="502" bestFit="1" customWidth="1"/>
    <col min="12039" max="12039" width="16.85546875" style="502" customWidth="1"/>
    <col min="12040" max="12040" width="20.5703125" style="502" customWidth="1"/>
    <col min="12041" max="12041" width="20" style="502" bestFit="1" customWidth="1"/>
    <col min="12042" max="12042" width="22.42578125" style="502" customWidth="1"/>
    <col min="12043" max="12043" width="12.140625" style="502" bestFit="1" customWidth="1"/>
    <col min="12044" max="12044" width="9.140625" style="502"/>
    <col min="12045" max="12045" width="19.5703125" style="502" customWidth="1"/>
    <col min="12046" max="12288" width="9.140625" style="502"/>
    <col min="12289" max="12289" width="5.7109375" style="502" customWidth="1"/>
    <col min="12290" max="12290" width="66.7109375" style="502" customWidth="1"/>
    <col min="12291" max="12291" width="16" style="502" customWidth="1"/>
    <col min="12292" max="12292" width="13.140625" style="502" customWidth="1"/>
    <col min="12293" max="12293" width="15.7109375" style="502" customWidth="1"/>
    <col min="12294" max="12294" width="18.7109375" style="502" bestFit="1" customWidth="1"/>
    <col min="12295" max="12295" width="16.85546875" style="502" customWidth="1"/>
    <col min="12296" max="12296" width="20.5703125" style="502" customWidth="1"/>
    <col min="12297" max="12297" width="20" style="502" bestFit="1" customWidth="1"/>
    <col min="12298" max="12298" width="22.42578125" style="502" customWidth="1"/>
    <col min="12299" max="12299" width="12.140625" style="502" bestFit="1" customWidth="1"/>
    <col min="12300" max="12300" width="9.140625" style="502"/>
    <col min="12301" max="12301" width="19.5703125" style="502" customWidth="1"/>
    <col min="12302" max="12544" width="9.140625" style="502"/>
    <col min="12545" max="12545" width="5.7109375" style="502" customWidth="1"/>
    <col min="12546" max="12546" width="66.7109375" style="502" customWidth="1"/>
    <col min="12547" max="12547" width="16" style="502" customWidth="1"/>
    <col min="12548" max="12548" width="13.140625" style="502" customWidth="1"/>
    <col min="12549" max="12549" width="15.7109375" style="502" customWidth="1"/>
    <col min="12550" max="12550" width="18.7109375" style="502" bestFit="1" customWidth="1"/>
    <col min="12551" max="12551" width="16.85546875" style="502" customWidth="1"/>
    <col min="12552" max="12552" width="20.5703125" style="502" customWidth="1"/>
    <col min="12553" max="12553" width="20" style="502" bestFit="1" customWidth="1"/>
    <col min="12554" max="12554" width="22.42578125" style="502" customWidth="1"/>
    <col min="12555" max="12555" width="12.140625" style="502" bestFit="1" customWidth="1"/>
    <col min="12556" max="12556" width="9.140625" style="502"/>
    <col min="12557" max="12557" width="19.5703125" style="502" customWidth="1"/>
    <col min="12558" max="12800" width="9.140625" style="502"/>
    <col min="12801" max="12801" width="5.7109375" style="502" customWidth="1"/>
    <col min="12802" max="12802" width="66.7109375" style="502" customWidth="1"/>
    <col min="12803" max="12803" width="16" style="502" customWidth="1"/>
    <col min="12804" max="12804" width="13.140625" style="502" customWidth="1"/>
    <col min="12805" max="12805" width="15.7109375" style="502" customWidth="1"/>
    <col min="12806" max="12806" width="18.7109375" style="502" bestFit="1" customWidth="1"/>
    <col min="12807" max="12807" width="16.85546875" style="502" customWidth="1"/>
    <col min="12808" max="12808" width="20.5703125" style="502" customWidth="1"/>
    <col min="12809" max="12809" width="20" style="502" bestFit="1" customWidth="1"/>
    <col min="12810" max="12810" width="22.42578125" style="502" customWidth="1"/>
    <col min="12811" max="12811" width="12.140625" style="502" bestFit="1" customWidth="1"/>
    <col min="12812" max="12812" width="9.140625" style="502"/>
    <col min="12813" max="12813" width="19.5703125" style="502" customWidth="1"/>
    <col min="12814" max="13056" width="9.140625" style="502"/>
    <col min="13057" max="13057" width="5.7109375" style="502" customWidth="1"/>
    <col min="13058" max="13058" width="66.7109375" style="502" customWidth="1"/>
    <col min="13059" max="13059" width="16" style="502" customWidth="1"/>
    <col min="13060" max="13060" width="13.140625" style="502" customWidth="1"/>
    <col min="13061" max="13061" width="15.7109375" style="502" customWidth="1"/>
    <col min="13062" max="13062" width="18.7109375" style="502" bestFit="1" customWidth="1"/>
    <col min="13063" max="13063" width="16.85546875" style="502" customWidth="1"/>
    <col min="13064" max="13064" width="20.5703125" style="502" customWidth="1"/>
    <col min="13065" max="13065" width="20" style="502" bestFit="1" customWidth="1"/>
    <col min="13066" max="13066" width="22.42578125" style="502" customWidth="1"/>
    <col min="13067" max="13067" width="12.140625" style="502" bestFit="1" customWidth="1"/>
    <col min="13068" max="13068" width="9.140625" style="502"/>
    <col min="13069" max="13069" width="19.5703125" style="502" customWidth="1"/>
    <col min="13070" max="13312" width="9.140625" style="502"/>
    <col min="13313" max="13313" width="5.7109375" style="502" customWidth="1"/>
    <col min="13314" max="13314" width="66.7109375" style="502" customWidth="1"/>
    <col min="13315" max="13315" width="16" style="502" customWidth="1"/>
    <col min="13316" max="13316" width="13.140625" style="502" customWidth="1"/>
    <col min="13317" max="13317" width="15.7109375" style="502" customWidth="1"/>
    <col min="13318" max="13318" width="18.7109375" style="502" bestFit="1" customWidth="1"/>
    <col min="13319" max="13319" width="16.85546875" style="502" customWidth="1"/>
    <col min="13320" max="13320" width="20.5703125" style="502" customWidth="1"/>
    <col min="13321" max="13321" width="20" style="502" bestFit="1" customWidth="1"/>
    <col min="13322" max="13322" width="22.42578125" style="502" customWidth="1"/>
    <col min="13323" max="13323" width="12.140625" style="502" bestFit="1" customWidth="1"/>
    <col min="13324" max="13324" width="9.140625" style="502"/>
    <col min="13325" max="13325" width="19.5703125" style="502" customWidth="1"/>
    <col min="13326" max="13568" width="9.140625" style="502"/>
    <col min="13569" max="13569" width="5.7109375" style="502" customWidth="1"/>
    <col min="13570" max="13570" width="66.7109375" style="502" customWidth="1"/>
    <col min="13571" max="13571" width="16" style="502" customWidth="1"/>
    <col min="13572" max="13572" width="13.140625" style="502" customWidth="1"/>
    <col min="13573" max="13573" width="15.7109375" style="502" customWidth="1"/>
    <col min="13574" max="13574" width="18.7109375" style="502" bestFit="1" customWidth="1"/>
    <col min="13575" max="13575" width="16.85546875" style="502" customWidth="1"/>
    <col min="13576" max="13576" width="20.5703125" style="502" customWidth="1"/>
    <col min="13577" max="13577" width="20" style="502" bestFit="1" customWidth="1"/>
    <col min="13578" max="13578" width="22.42578125" style="502" customWidth="1"/>
    <col min="13579" max="13579" width="12.140625" style="502" bestFit="1" customWidth="1"/>
    <col min="13580" max="13580" width="9.140625" style="502"/>
    <col min="13581" max="13581" width="19.5703125" style="502" customWidth="1"/>
    <col min="13582" max="13824" width="9.140625" style="502"/>
    <col min="13825" max="13825" width="5.7109375" style="502" customWidth="1"/>
    <col min="13826" max="13826" width="66.7109375" style="502" customWidth="1"/>
    <col min="13827" max="13827" width="16" style="502" customWidth="1"/>
    <col min="13828" max="13828" width="13.140625" style="502" customWidth="1"/>
    <col min="13829" max="13829" width="15.7109375" style="502" customWidth="1"/>
    <col min="13830" max="13830" width="18.7109375" style="502" bestFit="1" customWidth="1"/>
    <col min="13831" max="13831" width="16.85546875" style="502" customWidth="1"/>
    <col min="13832" max="13832" width="20.5703125" style="502" customWidth="1"/>
    <col min="13833" max="13833" width="20" style="502" bestFit="1" customWidth="1"/>
    <col min="13834" max="13834" width="22.42578125" style="502" customWidth="1"/>
    <col min="13835" max="13835" width="12.140625" style="502" bestFit="1" customWidth="1"/>
    <col min="13836" max="13836" width="9.140625" style="502"/>
    <col min="13837" max="13837" width="19.5703125" style="502" customWidth="1"/>
    <col min="13838" max="14080" width="9.140625" style="502"/>
    <col min="14081" max="14081" width="5.7109375" style="502" customWidth="1"/>
    <col min="14082" max="14082" width="66.7109375" style="502" customWidth="1"/>
    <col min="14083" max="14083" width="16" style="502" customWidth="1"/>
    <col min="14084" max="14084" width="13.140625" style="502" customWidth="1"/>
    <col min="14085" max="14085" width="15.7109375" style="502" customWidth="1"/>
    <col min="14086" max="14086" width="18.7109375" style="502" bestFit="1" customWidth="1"/>
    <col min="14087" max="14087" width="16.85546875" style="502" customWidth="1"/>
    <col min="14088" max="14088" width="20.5703125" style="502" customWidth="1"/>
    <col min="14089" max="14089" width="20" style="502" bestFit="1" customWidth="1"/>
    <col min="14090" max="14090" width="22.42578125" style="502" customWidth="1"/>
    <col min="14091" max="14091" width="12.140625" style="502" bestFit="1" customWidth="1"/>
    <col min="14092" max="14092" width="9.140625" style="502"/>
    <col min="14093" max="14093" width="19.5703125" style="502" customWidth="1"/>
    <col min="14094" max="14336" width="9.140625" style="502"/>
    <col min="14337" max="14337" width="5.7109375" style="502" customWidth="1"/>
    <col min="14338" max="14338" width="66.7109375" style="502" customWidth="1"/>
    <col min="14339" max="14339" width="16" style="502" customWidth="1"/>
    <col min="14340" max="14340" width="13.140625" style="502" customWidth="1"/>
    <col min="14341" max="14341" width="15.7109375" style="502" customWidth="1"/>
    <col min="14342" max="14342" width="18.7109375" style="502" bestFit="1" customWidth="1"/>
    <col min="14343" max="14343" width="16.85546875" style="502" customWidth="1"/>
    <col min="14344" max="14344" width="20.5703125" style="502" customWidth="1"/>
    <col min="14345" max="14345" width="20" style="502" bestFit="1" customWidth="1"/>
    <col min="14346" max="14346" width="22.42578125" style="502" customWidth="1"/>
    <col min="14347" max="14347" width="12.140625" style="502" bestFit="1" customWidth="1"/>
    <col min="14348" max="14348" width="9.140625" style="502"/>
    <col min="14349" max="14349" width="19.5703125" style="502" customWidth="1"/>
    <col min="14350" max="14592" width="9.140625" style="502"/>
    <col min="14593" max="14593" width="5.7109375" style="502" customWidth="1"/>
    <col min="14594" max="14594" width="66.7109375" style="502" customWidth="1"/>
    <col min="14595" max="14595" width="16" style="502" customWidth="1"/>
    <col min="14596" max="14596" width="13.140625" style="502" customWidth="1"/>
    <col min="14597" max="14597" width="15.7109375" style="502" customWidth="1"/>
    <col min="14598" max="14598" width="18.7109375" style="502" bestFit="1" customWidth="1"/>
    <col min="14599" max="14599" width="16.85546875" style="502" customWidth="1"/>
    <col min="14600" max="14600" width="20.5703125" style="502" customWidth="1"/>
    <col min="14601" max="14601" width="20" style="502" bestFit="1" customWidth="1"/>
    <col min="14602" max="14602" width="22.42578125" style="502" customWidth="1"/>
    <col min="14603" max="14603" width="12.140625" style="502" bestFit="1" customWidth="1"/>
    <col min="14604" max="14604" width="9.140625" style="502"/>
    <col min="14605" max="14605" width="19.5703125" style="502" customWidth="1"/>
    <col min="14606" max="14848" width="9.140625" style="502"/>
    <col min="14849" max="14849" width="5.7109375" style="502" customWidth="1"/>
    <col min="14850" max="14850" width="66.7109375" style="502" customWidth="1"/>
    <col min="14851" max="14851" width="16" style="502" customWidth="1"/>
    <col min="14852" max="14852" width="13.140625" style="502" customWidth="1"/>
    <col min="14853" max="14853" width="15.7109375" style="502" customWidth="1"/>
    <col min="14854" max="14854" width="18.7109375" style="502" bestFit="1" customWidth="1"/>
    <col min="14855" max="14855" width="16.85546875" style="502" customWidth="1"/>
    <col min="14856" max="14856" width="20.5703125" style="502" customWidth="1"/>
    <col min="14857" max="14857" width="20" style="502" bestFit="1" customWidth="1"/>
    <col min="14858" max="14858" width="22.42578125" style="502" customWidth="1"/>
    <col min="14859" max="14859" width="12.140625" style="502" bestFit="1" customWidth="1"/>
    <col min="14860" max="14860" width="9.140625" style="502"/>
    <col min="14861" max="14861" width="19.5703125" style="502" customWidth="1"/>
    <col min="14862" max="15104" width="9.140625" style="502"/>
    <col min="15105" max="15105" width="5.7109375" style="502" customWidth="1"/>
    <col min="15106" max="15106" width="66.7109375" style="502" customWidth="1"/>
    <col min="15107" max="15107" width="16" style="502" customWidth="1"/>
    <col min="15108" max="15108" width="13.140625" style="502" customWidth="1"/>
    <col min="15109" max="15109" width="15.7109375" style="502" customWidth="1"/>
    <col min="15110" max="15110" width="18.7109375" style="502" bestFit="1" customWidth="1"/>
    <col min="15111" max="15111" width="16.85546875" style="502" customWidth="1"/>
    <col min="15112" max="15112" width="20.5703125" style="502" customWidth="1"/>
    <col min="15113" max="15113" width="20" style="502" bestFit="1" customWidth="1"/>
    <col min="15114" max="15114" width="22.42578125" style="502" customWidth="1"/>
    <col min="15115" max="15115" width="12.140625" style="502" bestFit="1" customWidth="1"/>
    <col min="15116" max="15116" width="9.140625" style="502"/>
    <col min="15117" max="15117" width="19.5703125" style="502" customWidth="1"/>
    <col min="15118" max="15360" width="9.140625" style="502"/>
    <col min="15361" max="15361" width="5.7109375" style="502" customWidth="1"/>
    <col min="15362" max="15362" width="66.7109375" style="502" customWidth="1"/>
    <col min="15363" max="15363" width="16" style="502" customWidth="1"/>
    <col min="15364" max="15364" width="13.140625" style="502" customWidth="1"/>
    <col min="15365" max="15365" width="15.7109375" style="502" customWidth="1"/>
    <col min="15366" max="15366" width="18.7109375" style="502" bestFit="1" customWidth="1"/>
    <col min="15367" max="15367" width="16.85546875" style="502" customWidth="1"/>
    <col min="15368" max="15368" width="20.5703125" style="502" customWidth="1"/>
    <col min="15369" max="15369" width="20" style="502" bestFit="1" customWidth="1"/>
    <col min="15370" max="15370" width="22.42578125" style="502" customWidth="1"/>
    <col min="15371" max="15371" width="12.140625" style="502" bestFit="1" customWidth="1"/>
    <col min="15372" max="15372" width="9.140625" style="502"/>
    <col min="15373" max="15373" width="19.5703125" style="502" customWidth="1"/>
    <col min="15374" max="15616" width="9.140625" style="502"/>
    <col min="15617" max="15617" width="5.7109375" style="502" customWidth="1"/>
    <col min="15618" max="15618" width="66.7109375" style="502" customWidth="1"/>
    <col min="15619" max="15619" width="16" style="502" customWidth="1"/>
    <col min="15620" max="15620" width="13.140625" style="502" customWidth="1"/>
    <col min="15621" max="15621" width="15.7109375" style="502" customWidth="1"/>
    <col min="15622" max="15622" width="18.7109375" style="502" bestFit="1" customWidth="1"/>
    <col min="15623" max="15623" width="16.85546875" style="502" customWidth="1"/>
    <col min="15624" max="15624" width="20.5703125" style="502" customWidth="1"/>
    <col min="15625" max="15625" width="20" style="502" bestFit="1" customWidth="1"/>
    <col min="15626" max="15626" width="22.42578125" style="502" customWidth="1"/>
    <col min="15627" max="15627" width="12.140625" style="502" bestFit="1" customWidth="1"/>
    <col min="15628" max="15628" width="9.140625" style="502"/>
    <col min="15629" max="15629" width="19.5703125" style="502" customWidth="1"/>
    <col min="15630" max="15872" width="9.140625" style="502"/>
    <col min="15873" max="15873" width="5.7109375" style="502" customWidth="1"/>
    <col min="15874" max="15874" width="66.7109375" style="502" customWidth="1"/>
    <col min="15875" max="15875" width="16" style="502" customWidth="1"/>
    <col min="15876" max="15876" width="13.140625" style="502" customWidth="1"/>
    <col min="15877" max="15877" width="15.7109375" style="502" customWidth="1"/>
    <col min="15878" max="15878" width="18.7109375" style="502" bestFit="1" customWidth="1"/>
    <col min="15879" max="15879" width="16.85546875" style="502" customWidth="1"/>
    <col min="15880" max="15880" width="20.5703125" style="502" customWidth="1"/>
    <col min="15881" max="15881" width="20" style="502" bestFit="1" customWidth="1"/>
    <col min="15882" max="15882" width="22.42578125" style="502" customWidth="1"/>
    <col min="15883" max="15883" width="12.140625" style="502" bestFit="1" customWidth="1"/>
    <col min="15884" max="15884" width="9.140625" style="502"/>
    <col min="15885" max="15885" width="19.5703125" style="502" customWidth="1"/>
    <col min="15886" max="16128" width="9.140625" style="502"/>
    <col min="16129" max="16129" width="5.7109375" style="502" customWidth="1"/>
    <col min="16130" max="16130" width="66.7109375" style="502" customWidth="1"/>
    <col min="16131" max="16131" width="16" style="502" customWidth="1"/>
    <col min="16132" max="16132" width="13.140625" style="502" customWidth="1"/>
    <col min="16133" max="16133" width="15.7109375" style="502" customWidth="1"/>
    <col min="16134" max="16134" width="18.7109375" style="502" bestFit="1" customWidth="1"/>
    <col min="16135" max="16135" width="16.85546875" style="502" customWidth="1"/>
    <col min="16136" max="16136" width="20.5703125" style="502" customWidth="1"/>
    <col min="16137" max="16137" width="20" style="502" bestFit="1" customWidth="1"/>
    <col min="16138" max="16138" width="22.42578125" style="502" customWidth="1"/>
    <col min="16139" max="16139" width="12.140625" style="502" bestFit="1" customWidth="1"/>
    <col min="16140" max="16140" width="9.140625" style="502"/>
    <col min="16141" max="16141" width="19.5703125" style="502" customWidth="1"/>
    <col min="16142" max="16384" width="9.140625" style="502"/>
  </cols>
  <sheetData>
    <row r="1" spans="1:11" ht="47.25">
      <c r="A1" s="498" t="s">
        <v>2045</v>
      </c>
      <c r="B1" s="499" t="s">
        <v>2046</v>
      </c>
      <c r="C1" s="499" t="s">
        <v>2047</v>
      </c>
      <c r="D1" s="500" t="s">
        <v>2048</v>
      </c>
      <c r="E1" s="499" t="s">
        <v>2049</v>
      </c>
      <c r="F1" s="499" t="s">
        <v>2050</v>
      </c>
      <c r="G1" s="501" t="s">
        <v>2051</v>
      </c>
      <c r="H1" s="501" t="s">
        <v>2052</v>
      </c>
      <c r="I1" s="501" t="s">
        <v>2053</v>
      </c>
      <c r="J1" s="501" t="s">
        <v>2054</v>
      </c>
    </row>
    <row r="2" spans="1:11" ht="71.25" customHeight="1">
      <c r="A2" s="503">
        <v>1</v>
      </c>
      <c r="B2" s="504" t="s">
        <v>2055</v>
      </c>
      <c r="C2" s="505" t="s">
        <v>2056</v>
      </c>
      <c r="D2" s="506">
        <v>75</v>
      </c>
      <c r="E2" s="507">
        <f t="shared" ref="E2:E8" si="0">D2*12</f>
        <v>900</v>
      </c>
      <c r="F2" s="508"/>
      <c r="G2" s="509"/>
      <c r="H2" s="509"/>
      <c r="I2" s="509">
        <f>H2*D2</f>
        <v>0</v>
      </c>
      <c r="J2" s="509">
        <f>E2*H2</f>
        <v>0</v>
      </c>
      <c r="K2" s="510"/>
    </row>
    <row r="3" spans="1:11" ht="42" customHeight="1">
      <c r="A3" s="511">
        <v>2</v>
      </c>
      <c r="B3" s="512" t="s">
        <v>2057</v>
      </c>
      <c r="C3" s="513" t="s">
        <v>1715</v>
      </c>
      <c r="D3" s="514">
        <v>13</v>
      </c>
      <c r="E3" s="515">
        <f t="shared" si="0"/>
        <v>156</v>
      </c>
      <c r="F3" s="516"/>
      <c r="G3" s="509"/>
      <c r="H3" s="509"/>
      <c r="I3" s="509">
        <f t="shared" ref="I3:I27" si="1">H3*D3</f>
        <v>0</v>
      </c>
      <c r="J3" s="509">
        <f t="shared" ref="J3:J27" si="2">E3*H3</f>
        <v>0</v>
      </c>
    </row>
    <row r="4" spans="1:11" ht="134.25" customHeight="1">
      <c r="A4" s="503">
        <v>3</v>
      </c>
      <c r="B4" s="504" t="s">
        <v>2058</v>
      </c>
      <c r="C4" s="505" t="s">
        <v>2059</v>
      </c>
      <c r="D4" s="506">
        <v>416</v>
      </c>
      <c r="E4" s="507">
        <f t="shared" si="0"/>
        <v>4992</v>
      </c>
      <c r="F4" s="508"/>
      <c r="G4" s="509"/>
      <c r="H4" s="509"/>
      <c r="I4" s="509">
        <f t="shared" si="1"/>
        <v>0</v>
      </c>
      <c r="J4" s="509">
        <f t="shared" si="2"/>
        <v>0</v>
      </c>
    </row>
    <row r="5" spans="1:11" ht="39" customHeight="1">
      <c r="A5" s="511">
        <v>4</v>
      </c>
      <c r="B5" s="512" t="s">
        <v>2060</v>
      </c>
      <c r="C5" s="513" t="s">
        <v>2059</v>
      </c>
      <c r="D5" s="514">
        <f>300/12</f>
        <v>25</v>
      </c>
      <c r="E5" s="515">
        <f t="shared" si="0"/>
        <v>300</v>
      </c>
      <c r="F5" s="516"/>
      <c r="G5" s="509"/>
      <c r="H5" s="509"/>
      <c r="I5" s="509">
        <f t="shared" si="1"/>
        <v>0</v>
      </c>
      <c r="J5" s="509">
        <f t="shared" si="2"/>
        <v>0</v>
      </c>
    </row>
    <row r="6" spans="1:11" ht="59.25" customHeight="1">
      <c r="A6" s="503">
        <v>5</v>
      </c>
      <c r="B6" s="504" t="s">
        <v>2061</v>
      </c>
      <c r="C6" s="505" t="s">
        <v>2062</v>
      </c>
      <c r="D6" s="506">
        <f>6000/12</f>
        <v>500</v>
      </c>
      <c r="E6" s="507">
        <f t="shared" si="0"/>
        <v>6000</v>
      </c>
      <c r="F6" s="508"/>
      <c r="G6" s="509"/>
      <c r="H6" s="509"/>
      <c r="I6" s="509">
        <f t="shared" si="1"/>
        <v>0</v>
      </c>
      <c r="J6" s="509">
        <f t="shared" si="2"/>
        <v>0</v>
      </c>
    </row>
    <row r="7" spans="1:11" ht="36.75" customHeight="1">
      <c r="A7" s="517">
        <v>6</v>
      </c>
      <c r="B7" s="512" t="s">
        <v>2063</v>
      </c>
      <c r="C7" s="513" t="s">
        <v>2062</v>
      </c>
      <c r="D7" s="514">
        <f>36/12</f>
        <v>3</v>
      </c>
      <c r="E7" s="515">
        <f t="shared" si="0"/>
        <v>36</v>
      </c>
      <c r="F7" s="516"/>
      <c r="G7" s="509"/>
      <c r="H7" s="509"/>
      <c r="I7" s="509">
        <f t="shared" si="1"/>
        <v>0</v>
      </c>
      <c r="J7" s="509">
        <f t="shared" si="2"/>
        <v>0</v>
      </c>
    </row>
    <row r="8" spans="1:11" ht="30" customHeight="1">
      <c r="A8" s="503">
        <v>7</v>
      </c>
      <c r="B8" s="504" t="s">
        <v>2064</v>
      </c>
      <c r="C8" s="505" t="s">
        <v>1715</v>
      </c>
      <c r="D8" s="506">
        <v>2</v>
      </c>
      <c r="E8" s="507">
        <f t="shared" si="0"/>
        <v>24</v>
      </c>
      <c r="F8" s="508"/>
      <c r="G8" s="509"/>
      <c r="H8" s="509"/>
      <c r="I8" s="509">
        <f t="shared" si="1"/>
        <v>0</v>
      </c>
      <c r="J8" s="509">
        <f t="shared" si="2"/>
        <v>0</v>
      </c>
    </row>
    <row r="9" spans="1:11" ht="27" customHeight="1">
      <c r="A9" s="517">
        <v>8</v>
      </c>
      <c r="B9" s="512" t="s">
        <v>2065</v>
      </c>
      <c r="C9" s="513" t="s">
        <v>1715</v>
      </c>
      <c r="D9" s="514">
        <f>300/12</f>
        <v>25</v>
      </c>
      <c r="E9" s="513">
        <v>300</v>
      </c>
      <c r="F9" s="516"/>
      <c r="G9" s="509"/>
      <c r="H9" s="509"/>
      <c r="I9" s="509">
        <f t="shared" si="1"/>
        <v>0</v>
      </c>
      <c r="J9" s="509">
        <f t="shared" si="2"/>
        <v>0</v>
      </c>
    </row>
    <row r="10" spans="1:11" ht="33.75" customHeight="1">
      <c r="A10" s="503">
        <v>9</v>
      </c>
      <c r="B10" s="504" t="s">
        <v>2066</v>
      </c>
      <c r="C10" s="505" t="s">
        <v>1715</v>
      </c>
      <c r="D10" s="506">
        <v>1</v>
      </c>
      <c r="E10" s="507">
        <f>D10*12</f>
        <v>12</v>
      </c>
      <c r="F10" s="508"/>
      <c r="G10" s="509"/>
      <c r="H10" s="509"/>
      <c r="I10" s="509">
        <f t="shared" si="1"/>
        <v>0</v>
      </c>
      <c r="J10" s="509">
        <f t="shared" si="2"/>
        <v>0</v>
      </c>
    </row>
    <row r="11" spans="1:11" ht="45.75" customHeight="1">
      <c r="A11" s="517">
        <v>10</v>
      </c>
      <c r="B11" s="512" t="s">
        <v>2067</v>
      </c>
      <c r="C11" s="513" t="s">
        <v>1715</v>
      </c>
      <c r="D11" s="514">
        <v>1</v>
      </c>
      <c r="E11" s="513">
        <v>12</v>
      </c>
      <c r="F11" s="516"/>
      <c r="G11" s="509"/>
      <c r="H11" s="509"/>
      <c r="I11" s="509">
        <f t="shared" si="1"/>
        <v>0</v>
      </c>
      <c r="J11" s="509">
        <f t="shared" si="2"/>
        <v>0</v>
      </c>
    </row>
    <row r="12" spans="1:11" ht="42.75" customHeight="1">
      <c r="A12" s="503">
        <v>11</v>
      </c>
      <c r="B12" s="504" t="s">
        <v>2068</v>
      </c>
      <c r="C12" s="505" t="s">
        <v>1715</v>
      </c>
      <c r="D12" s="506">
        <v>17</v>
      </c>
      <c r="E12" s="507">
        <f>D12*12</f>
        <v>204</v>
      </c>
      <c r="F12" s="508"/>
      <c r="G12" s="509"/>
      <c r="H12" s="509"/>
      <c r="I12" s="509">
        <f t="shared" si="1"/>
        <v>0</v>
      </c>
      <c r="J12" s="509">
        <f t="shared" si="2"/>
        <v>0</v>
      </c>
    </row>
    <row r="13" spans="1:11" ht="32.25" customHeight="1">
      <c r="A13" s="517">
        <v>12</v>
      </c>
      <c r="B13" s="512" t="s">
        <v>2069</v>
      </c>
      <c r="C13" s="513" t="s">
        <v>1715</v>
      </c>
      <c r="D13" s="514">
        <v>2</v>
      </c>
      <c r="E13" s="515">
        <f>D14*12</f>
        <v>24</v>
      </c>
      <c r="F13" s="516"/>
      <c r="G13" s="509"/>
      <c r="H13" s="509"/>
      <c r="I13" s="509">
        <f t="shared" si="1"/>
        <v>0</v>
      </c>
      <c r="J13" s="509">
        <f t="shared" si="2"/>
        <v>0</v>
      </c>
    </row>
    <row r="14" spans="1:11" ht="24.75" customHeight="1">
      <c r="A14" s="503">
        <v>13</v>
      </c>
      <c r="B14" s="504" t="s">
        <v>2070</v>
      </c>
      <c r="C14" s="505" t="s">
        <v>1715</v>
      </c>
      <c r="D14" s="506">
        <v>2</v>
      </c>
      <c r="E14" s="507">
        <f t="shared" ref="E14:E27" si="3">D14*12</f>
        <v>24</v>
      </c>
      <c r="F14" s="508"/>
      <c r="G14" s="509"/>
      <c r="H14" s="509"/>
      <c r="I14" s="509">
        <f t="shared" si="1"/>
        <v>0</v>
      </c>
      <c r="J14" s="509">
        <f t="shared" si="2"/>
        <v>0</v>
      </c>
    </row>
    <row r="15" spans="1:11" ht="66.75" customHeight="1">
      <c r="A15" s="517">
        <v>14</v>
      </c>
      <c r="B15" s="512" t="s">
        <v>2071</v>
      </c>
      <c r="C15" s="513" t="s">
        <v>1715</v>
      </c>
      <c r="D15" s="514">
        <v>459</v>
      </c>
      <c r="E15" s="515">
        <f t="shared" si="3"/>
        <v>5508</v>
      </c>
      <c r="F15" s="516"/>
      <c r="G15" s="509"/>
      <c r="H15" s="509"/>
      <c r="I15" s="509">
        <f t="shared" si="1"/>
        <v>0</v>
      </c>
      <c r="J15" s="509">
        <f t="shared" si="2"/>
        <v>0</v>
      </c>
    </row>
    <row r="16" spans="1:11" ht="72" customHeight="1">
      <c r="A16" s="503">
        <v>15</v>
      </c>
      <c r="B16" s="504" t="s">
        <v>2072</v>
      </c>
      <c r="C16" s="505" t="s">
        <v>2073</v>
      </c>
      <c r="D16" s="506">
        <v>92</v>
      </c>
      <c r="E16" s="507">
        <f t="shared" si="3"/>
        <v>1104</v>
      </c>
      <c r="F16" s="508"/>
      <c r="G16" s="509"/>
      <c r="H16" s="509"/>
      <c r="I16" s="509">
        <f t="shared" si="1"/>
        <v>0</v>
      </c>
      <c r="J16" s="509">
        <f t="shared" si="2"/>
        <v>0</v>
      </c>
    </row>
    <row r="17" spans="1:11" ht="68.25" customHeight="1">
      <c r="A17" s="517">
        <v>16</v>
      </c>
      <c r="B17" s="512" t="s">
        <v>2074</v>
      </c>
      <c r="C17" s="513" t="s">
        <v>1715</v>
      </c>
      <c r="D17" s="514">
        <v>104</v>
      </c>
      <c r="E17" s="515">
        <f t="shared" si="3"/>
        <v>1248</v>
      </c>
      <c r="F17" s="516"/>
      <c r="G17" s="509"/>
      <c r="H17" s="509"/>
      <c r="I17" s="509">
        <f t="shared" si="1"/>
        <v>0</v>
      </c>
      <c r="J17" s="509">
        <f t="shared" si="2"/>
        <v>0</v>
      </c>
    </row>
    <row r="18" spans="1:11" ht="28.5" customHeight="1">
      <c r="A18" s="503">
        <v>17</v>
      </c>
      <c r="B18" s="504" t="s">
        <v>2075</v>
      </c>
      <c r="C18" s="505" t="s">
        <v>1715</v>
      </c>
      <c r="D18" s="506">
        <v>16</v>
      </c>
      <c r="E18" s="507">
        <f t="shared" si="3"/>
        <v>192</v>
      </c>
      <c r="F18" s="508"/>
      <c r="G18" s="509"/>
      <c r="H18" s="509"/>
      <c r="I18" s="509">
        <f t="shared" si="1"/>
        <v>0</v>
      </c>
      <c r="J18" s="509">
        <f t="shared" si="2"/>
        <v>0</v>
      </c>
    </row>
    <row r="19" spans="1:11" ht="15" customHeight="1">
      <c r="A19" s="517">
        <v>18</v>
      </c>
      <c r="B19" s="512" t="s">
        <v>2076</v>
      </c>
      <c r="C19" s="513" t="s">
        <v>1715</v>
      </c>
      <c r="D19" s="514">
        <v>8</v>
      </c>
      <c r="E19" s="515">
        <f t="shared" si="3"/>
        <v>96</v>
      </c>
      <c r="F19" s="516"/>
      <c r="G19" s="509"/>
      <c r="H19" s="509"/>
      <c r="I19" s="509">
        <f t="shared" si="1"/>
        <v>0</v>
      </c>
      <c r="J19" s="509">
        <f t="shared" si="2"/>
        <v>0</v>
      </c>
    </row>
    <row r="20" spans="1:11" ht="65.25" customHeight="1">
      <c r="A20" s="503">
        <v>19</v>
      </c>
      <c r="B20" s="504" t="s">
        <v>2077</v>
      </c>
      <c r="C20" s="505" t="s">
        <v>1715</v>
      </c>
      <c r="D20" s="506">
        <v>7</v>
      </c>
      <c r="E20" s="507">
        <f t="shared" si="3"/>
        <v>84</v>
      </c>
      <c r="F20" s="508"/>
      <c r="G20" s="509"/>
      <c r="H20" s="509"/>
      <c r="I20" s="509">
        <f t="shared" si="1"/>
        <v>0</v>
      </c>
      <c r="J20" s="509">
        <f t="shared" si="2"/>
        <v>0</v>
      </c>
    </row>
    <row r="21" spans="1:11" ht="15.75" customHeight="1">
      <c r="A21" s="517">
        <v>20</v>
      </c>
      <c r="B21" s="512" t="s">
        <v>2078</v>
      </c>
      <c r="C21" s="513" t="s">
        <v>1715</v>
      </c>
      <c r="D21" s="514">
        <v>7</v>
      </c>
      <c r="E21" s="515">
        <f t="shared" si="3"/>
        <v>84</v>
      </c>
      <c r="F21" s="516"/>
      <c r="G21" s="509"/>
      <c r="H21" s="509"/>
      <c r="I21" s="509">
        <f t="shared" si="1"/>
        <v>0</v>
      </c>
      <c r="J21" s="509">
        <f t="shared" si="2"/>
        <v>0</v>
      </c>
    </row>
    <row r="22" spans="1:11" ht="24" customHeight="1">
      <c r="A22" s="503">
        <v>21</v>
      </c>
      <c r="B22" s="504" t="s">
        <v>2079</v>
      </c>
      <c r="C22" s="505" t="s">
        <v>1715</v>
      </c>
      <c r="D22" s="506">
        <v>6</v>
      </c>
      <c r="E22" s="507">
        <f t="shared" si="3"/>
        <v>72</v>
      </c>
      <c r="F22" s="508"/>
      <c r="G22" s="509"/>
      <c r="H22" s="509"/>
      <c r="I22" s="509">
        <f t="shared" si="1"/>
        <v>0</v>
      </c>
      <c r="J22" s="509">
        <f t="shared" si="2"/>
        <v>0</v>
      </c>
    </row>
    <row r="23" spans="1:11" ht="20.25" customHeight="1">
      <c r="A23" s="517">
        <v>22</v>
      </c>
      <c r="B23" s="512" t="s">
        <v>2080</v>
      </c>
      <c r="C23" s="513" t="s">
        <v>1715</v>
      </c>
      <c r="D23" s="514">
        <v>2</v>
      </c>
      <c r="E23" s="515">
        <f t="shared" si="3"/>
        <v>24</v>
      </c>
      <c r="F23" s="516"/>
      <c r="G23" s="509"/>
      <c r="H23" s="509"/>
      <c r="I23" s="509">
        <f t="shared" si="1"/>
        <v>0</v>
      </c>
      <c r="J23" s="509">
        <f t="shared" si="2"/>
        <v>0</v>
      </c>
      <c r="K23" s="510"/>
    </row>
    <row r="24" spans="1:11" ht="18.75" customHeight="1">
      <c r="A24" s="503">
        <v>23</v>
      </c>
      <c r="B24" s="504" t="s">
        <v>2081</v>
      </c>
      <c r="C24" s="505" t="s">
        <v>1715</v>
      </c>
      <c r="D24" s="506">
        <f>300/12</f>
        <v>25</v>
      </c>
      <c r="E24" s="507">
        <f t="shared" si="3"/>
        <v>300</v>
      </c>
      <c r="F24" s="508"/>
      <c r="G24" s="509"/>
      <c r="H24" s="509"/>
      <c r="I24" s="509">
        <f t="shared" si="1"/>
        <v>0</v>
      </c>
      <c r="J24" s="509">
        <f t="shared" si="2"/>
        <v>0</v>
      </c>
    </row>
    <row r="25" spans="1:11" ht="34.5" customHeight="1">
      <c r="A25" s="517">
        <v>24</v>
      </c>
      <c r="B25" s="512" t="s">
        <v>2082</v>
      </c>
      <c r="C25" s="513" t="s">
        <v>1715</v>
      </c>
      <c r="D25" s="514">
        <f>600/12</f>
        <v>50</v>
      </c>
      <c r="E25" s="515">
        <f t="shared" si="3"/>
        <v>600</v>
      </c>
      <c r="F25" s="516"/>
      <c r="G25" s="509"/>
      <c r="H25" s="509"/>
      <c r="I25" s="509">
        <f t="shared" si="1"/>
        <v>0</v>
      </c>
      <c r="J25" s="509">
        <f t="shared" si="2"/>
        <v>0</v>
      </c>
    </row>
    <row r="26" spans="1:11" ht="32.25" customHeight="1">
      <c r="A26" s="503">
        <v>25</v>
      </c>
      <c r="B26" s="504" t="s">
        <v>2083</v>
      </c>
      <c r="C26" s="505" t="s">
        <v>1715</v>
      </c>
      <c r="D26" s="506">
        <v>42</v>
      </c>
      <c r="E26" s="507">
        <f t="shared" si="3"/>
        <v>504</v>
      </c>
      <c r="F26" s="508"/>
      <c r="G26" s="509"/>
      <c r="H26" s="509"/>
      <c r="I26" s="509">
        <f t="shared" si="1"/>
        <v>0</v>
      </c>
      <c r="J26" s="509">
        <f t="shared" si="2"/>
        <v>0</v>
      </c>
    </row>
    <row r="27" spans="1:11" ht="15" customHeight="1">
      <c r="A27" s="517">
        <v>26</v>
      </c>
      <c r="B27" s="512" t="s">
        <v>2084</v>
      </c>
      <c r="C27" s="513" t="s">
        <v>1715</v>
      </c>
      <c r="D27" s="514">
        <v>7</v>
      </c>
      <c r="E27" s="515">
        <f t="shared" si="3"/>
        <v>84</v>
      </c>
      <c r="F27" s="516"/>
      <c r="G27" s="509"/>
      <c r="H27" s="509"/>
      <c r="I27" s="509">
        <f t="shared" si="1"/>
        <v>0</v>
      </c>
      <c r="J27" s="509">
        <f t="shared" si="2"/>
        <v>0</v>
      </c>
    </row>
    <row r="28" spans="1:11" ht="15.75" thickBot="1">
      <c r="E28" s="520"/>
      <c r="I28" s="521">
        <f>SUM(I2:I27)</f>
        <v>0</v>
      </c>
      <c r="J28" s="521">
        <f>SUM(J2:J27)</f>
        <v>0</v>
      </c>
    </row>
    <row r="29" spans="1:11" s="335" customFormat="1" ht="31.5" customHeight="1" thickBot="1">
      <c r="A29" s="522" t="s">
        <v>2085</v>
      </c>
      <c r="B29" s="523"/>
      <c r="C29" s="523"/>
      <c r="D29" s="523"/>
      <c r="E29" s="523"/>
      <c r="F29" s="523"/>
      <c r="G29" s="523"/>
      <c r="H29" s="524"/>
      <c r="I29" s="524"/>
      <c r="J29" s="402"/>
    </row>
    <row r="30" spans="1:11" s="335" customFormat="1" ht="18">
      <c r="A30" s="406" t="s">
        <v>1897</v>
      </c>
      <c r="B30" s="525" t="s">
        <v>1646</v>
      </c>
      <c r="C30" s="526"/>
      <c r="D30" s="526"/>
      <c r="E30" s="527"/>
      <c r="F30" s="525" t="s">
        <v>1588</v>
      </c>
      <c r="G30" s="526"/>
      <c r="H30" s="528"/>
      <c r="I30" s="528"/>
      <c r="J30" s="402"/>
    </row>
    <row r="31" spans="1:11" s="335" customFormat="1" ht="18" customHeight="1">
      <c r="A31" s="382" t="s">
        <v>1554</v>
      </c>
      <c r="B31" s="529" t="s">
        <v>1898</v>
      </c>
      <c r="C31" s="530"/>
      <c r="D31" s="530"/>
      <c r="E31" s="531"/>
      <c r="F31" s="532">
        <v>5.0000000000000001E-3</v>
      </c>
      <c r="G31" s="533"/>
      <c r="H31" s="534"/>
      <c r="I31" s="534"/>
      <c r="J31" s="402"/>
    </row>
    <row r="32" spans="1:11" s="335" customFormat="1" ht="18">
      <c r="A32" s="382" t="s">
        <v>1556</v>
      </c>
      <c r="B32" s="529" t="s">
        <v>1899</v>
      </c>
      <c r="C32" s="530"/>
      <c r="D32" s="530"/>
      <c r="E32" s="531"/>
      <c r="F32" s="532">
        <v>5.0000000000000001E-3</v>
      </c>
      <c r="G32" s="533"/>
      <c r="H32" s="534"/>
      <c r="I32" s="534"/>
      <c r="J32" s="402"/>
    </row>
    <row r="33" spans="1:10" s="335" customFormat="1" ht="18">
      <c r="A33" s="382" t="s">
        <v>1559</v>
      </c>
      <c r="B33" s="535" t="s">
        <v>1649</v>
      </c>
      <c r="C33" s="536"/>
      <c r="D33" s="536"/>
      <c r="E33" s="537"/>
      <c r="F33" s="538">
        <f>SUM(F34:G36)</f>
        <v>3.6499999999999998E-2</v>
      </c>
      <c r="G33" s="539"/>
      <c r="H33" s="540"/>
      <c r="I33" s="540"/>
      <c r="J33" s="402"/>
    </row>
    <row r="34" spans="1:10" s="335" customFormat="1" ht="18">
      <c r="A34" s="339"/>
      <c r="B34" s="409" t="s">
        <v>1900</v>
      </c>
      <c r="C34" s="541" t="s">
        <v>1901</v>
      </c>
      <c r="D34" s="542"/>
      <c r="E34" s="543"/>
      <c r="F34" s="532">
        <v>6.4999999999999997E-3</v>
      </c>
      <c r="G34" s="533"/>
      <c r="H34" s="544"/>
      <c r="I34" s="544"/>
      <c r="J34" s="402"/>
    </row>
    <row r="35" spans="1:10" s="335" customFormat="1" ht="16.5" customHeight="1">
      <c r="A35" s="339"/>
      <c r="B35" s="409" t="s">
        <v>1902</v>
      </c>
      <c r="C35" s="545" t="s">
        <v>1903</v>
      </c>
      <c r="D35" s="530"/>
      <c r="E35" s="531"/>
      <c r="F35" s="532">
        <v>0.03</v>
      </c>
      <c r="G35" s="533"/>
      <c r="H35" s="544"/>
      <c r="I35" s="544"/>
      <c r="J35" s="402"/>
    </row>
    <row r="36" spans="1:10" s="335" customFormat="1" ht="16.5" customHeight="1">
      <c r="A36" s="339"/>
      <c r="B36" s="409" t="s">
        <v>1904</v>
      </c>
      <c r="C36" s="545" t="s">
        <v>2086</v>
      </c>
      <c r="D36" s="530"/>
      <c r="E36" s="531"/>
      <c r="F36" s="546"/>
      <c r="G36" s="547"/>
      <c r="H36" s="544"/>
      <c r="I36" s="544"/>
      <c r="J36" s="402"/>
    </row>
    <row r="37" spans="1:10" s="335" customFormat="1" ht="19.5" customHeight="1">
      <c r="A37" s="410"/>
      <c r="B37" s="409" t="s">
        <v>1906</v>
      </c>
      <c r="C37" s="541" t="s">
        <v>1907</v>
      </c>
      <c r="D37" s="542"/>
      <c r="E37" s="543"/>
      <c r="F37" s="548"/>
      <c r="G37" s="549"/>
      <c r="H37" s="402"/>
      <c r="I37" s="402"/>
      <c r="J37" s="402"/>
    </row>
    <row r="38" spans="1:10" s="335" customFormat="1" ht="20.25">
      <c r="A38" s="550" t="s">
        <v>1908</v>
      </c>
      <c r="B38" s="551"/>
      <c r="C38" s="551"/>
      <c r="D38" s="551"/>
      <c r="E38" s="552"/>
      <c r="F38" s="553">
        <f>F31+F32+F33</f>
        <v>4.65E-2</v>
      </c>
      <c r="G38" s="554"/>
      <c r="H38" s="555"/>
      <c r="I38" s="555"/>
      <c r="J38" s="402"/>
    </row>
    <row r="39" spans="1:10" s="335" customFormat="1" ht="19.5" customHeight="1" thickBot="1">
      <c r="A39" s="423"/>
      <c r="J39" s="402"/>
    </row>
    <row r="40" spans="1:10" s="335" customFormat="1" ht="23.25">
      <c r="A40" s="423"/>
      <c r="B40" s="556" t="s">
        <v>1240</v>
      </c>
      <c r="C40" s="557" t="s">
        <v>1926</v>
      </c>
      <c r="D40" s="558"/>
      <c r="E40" s="559">
        <f>(1+F31)*(1+F32)/(1-F33)-1</f>
        <v>4.8287493513232693E-2</v>
      </c>
      <c r="F40" s="560"/>
      <c r="G40" s="561"/>
      <c r="I40" s="562"/>
      <c r="J40" s="402"/>
    </row>
    <row r="41" spans="1:10" s="335" customFormat="1" ht="17.25" customHeight="1" thickBot="1">
      <c r="A41" s="423"/>
      <c r="B41" s="563"/>
      <c r="C41" s="425" t="s">
        <v>1957</v>
      </c>
      <c r="D41" s="426"/>
      <c r="G41" s="564"/>
      <c r="I41" s="565"/>
      <c r="J41" s="402"/>
    </row>
    <row r="42" spans="1:10" s="335" customFormat="1" ht="7.5" customHeight="1">
      <c r="A42" s="423"/>
      <c r="J42" s="402"/>
    </row>
    <row r="43" spans="1:10" s="335" customFormat="1" ht="20.25">
      <c r="A43" s="423"/>
      <c r="B43" s="381" t="s">
        <v>1928</v>
      </c>
      <c r="C43" s="381"/>
      <c r="D43" s="381"/>
      <c r="E43" s="381"/>
      <c r="F43" s="427" t="s">
        <v>1556</v>
      </c>
      <c r="G43" s="566" t="s">
        <v>1929</v>
      </c>
      <c r="H43" s="428"/>
      <c r="J43" s="402"/>
    </row>
    <row r="44" spans="1:10" s="335" customFormat="1" ht="20.25">
      <c r="A44" s="423"/>
      <c r="B44" s="381" t="s">
        <v>1930</v>
      </c>
      <c r="C44" s="381"/>
      <c r="D44" s="381"/>
      <c r="E44" s="381"/>
      <c r="F44" s="427" t="s">
        <v>1562</v>
      </c>
      <c r="G44" s="566" t="s">
        <v>1931</v>
      </c>
      <c r="H44" s="428"/>
      <c r="J44" s="402"/>
    </row>
    <row r="45" spans="1:10" s="335" customFormat="1" ht="20.25">
      <c r="A45" s="423"/>
      <c r="B45" s="381" t="s">
        <v>1932</v>
      </c>
      <c r="C45" s="381"/>
      <c r="D45" s="381"/>
      <c r="E45" s="381"/>
      <c r="F45" s="427" t="s">
        <v>1540</v>
      </c>
      <c r="G45" s="566" t="s">
        <v>1933</v>
      </c>
      <c r="H45" s="428"/>
      <c r="J45" s="402"/>
    </row>
    <row r="46" spans="1:10" s="335" customFormat="1" ht="14.25">
      <c r="A46" s="423"/>
      <c r="B46" s="429"/>
      <c r="C46" s="429"/>
      <c r="D46" s="429"/>
      <c r="E46" s="429"/>
      <c r="J46" s="402"/>
    </row>
    <row r="47" spans="1:10" ht="19.5" customHeight="1">
      <c r="A47" s="567" t="s">
        <v>2087</v>
      </c>
      <c r="B47" s="1387" t="s">
        <v>1909</v>
      </c>
      <c r="C47" s="1387"/>
      <c r="D47" s="1387"/>
      <c r="E47" s="1387"/>
      <c r="F47" s="1387"/>
      <c r="G47" s="1387"/>
    </row>
    <row r="48" spans="1:10">
      <c r="A48" s="567"/>
      <c r="B48" s="568" t="s">
        <v>2088</v>
      </c>
      <c r="C48" s="567"/>
      <c r="D48" s="569"/>
      <c r="E48" s="567"/>
      <c r="F48" s="567"/>
      <c r="G48" s="567"/>
    </row>
  </sheetData>
  <mergeCells count="1">
    <mergeCell ref="B47:G47"/>
  </mergeCells>
  <printOptions horizontalCentered="1"/>
  <pageMargins left="0.11811023622047245" right="0.11811023622047245" top="0.19685039370078741" bottom="0.19685039370078741" header="0.31496062992125984" footer="0.31496062992125984"/>
  <pageSetup paperSize="9" scale="47" fitToHeight="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0A650-0D6E-46C3-B0D4-47427A71EBDA}">
  <sheetPr>
    <tabColor rgb="FF92D050"/>
  </sheetPr>
  <dimension ref="B3:G11"/>
  <sheetViews>
    <sheetView workbookViewId="0">
      <selection activeCell="F8" sqref="F8"/>
    </sheetView>
  </sheetViews>
  <sheetFormatPr defaultRowHeight="15"/>
  <cols>
    <col min="3" max="3" width="25.42578125" customWidth="1"/>
    <col min="4" max="4" width="22.28515625" customWidth="1"/>
    <col min="5" max="5" width="19" customWidth="1"/>
    <col min="6" max="6" width="17.85546875" customWidth="1"/>
    <col min="7" max="7" width="23.140625" customWidth="1"/>
    <col min="259" max="259" width="25.42578125" customWidth="1"/>
    <col min="260" max="260" width="22.28515625" customWidth="1"/>
    <col min="261" max="261" width="19" customWidth="1"/>
    <col min="262" max="262" width="17.85546875" customWidth="1"/>
    <col min="263" max="263" width="23.140625" customWidth="1"/>
    <col min="515" max="515" width="25.42578125" customWidth="1"/>
    <col min="516" max="516" width="22.28515625" customWidth="1"/>
    <col min="517" max="517" width="19" customWidth="1"/>
    <col min="518" max="518" width="17.85546875" customWidth="1"/>
    <col min="519" max="519" width="23.140625" customWidth="1"/>
    <col min="771" max="771" width="25.42578125" customWidth="1"/>
    <col min="772" max="772" width="22.28515625" customWidth="1"/>
    <col min="773" max="773" width="19" customWidth="1"/>
    <col min="774" max="774" width="17.85546875" customWidth="1"/>
    <col min="775" max="775" width="23.140625" customWidth="1"/>
    <col min="1027" max="1027" width="25.42578125" customWidth="1"/>
    <col min="1028" max="1028" width="22.28515625" customWidth="1"/>
    <col min="1029" max="1029" width="19" customWidth="1"/>
    <col min="1030" max="1030" width="17.85546875" customWidth="1"/>
    <col min="1031" max="1031" width="23.140625" customWidth="1"/>
    <col min="1283" max="1283" width="25.42578125" customWidth="1"/>
    <col min="1284" max="1284" width="22.28515625" customWidth="1"/>
    <col min="1285" max="1285" width="19" customWidth="1"/>
    <col min="1286" max="1286" width="17.85546875" customWidth="1"/>
    <col min="1287" max="1287" width="23.140625" customWidth="1"/>
    <col min="1539" max="1539" width="25.42578125" customWidth="1"/>
    <col min="1540" max="1540" width="22.28515625" customWidth="1"/>
    <col min="1541" max="1541" width="19" customWidth="1"/>
    <col min="1542" max="1542" width="17.85546875" customWidth="1"/>
    <col min="1543" max="1543" width="23.140625" customWidth="1"/>
    <col min="1795" max="1795" width="25.42578125" customWidth="1"/>
    <col min="1796" max="1796" width="22.28515625" customWidth="1"/>
    <col min="1797" max="1797" width="19" customWidth="1"/>
    <col min="1798" max="1798" width="17.85546875" customWidth="1"/>
    <col min="1799" max="1799" width="23.140625" customWidth="1"/>
    <col min="2051" max="2051" width="25.42578125" customWidth="1"/>
    <col min="2052" max="2052" width="22.28515625" customWidth="1"/>
    <col min="2053" max="2053" width="19" customWidth="1"/>
    <col min="2054" max="2054" width="17.85546875" customWidth="1"/>
    <col min="2055" max="2055" width="23.140625" customWidth="1"/>
    <col min="2307" max="2307" width="25.42578125" customWidth="1"/>
    <col min="2308" max="2308" width="22.28515625" customWidth="1"/>
    <col min="2309" max="2309" width="19" customWidth="1"/>
    <col min="2310" max="2310" width="17.85546875" customWidth="1"/>
    <col min="2311" max="2311" width="23.140625" customWidth="1"/>
    <col min="2563" max="2563" width="25.42578125" customWidth="1"/>
    <col min="2564" max="2564" width="22.28515625" customWidth="1"/>
    <col min="2565" max="2565" width="19" customWidth="1"/>
    <col min="2566" max="2566" width="17.85546875" customWidth="1"/>
    <col min="2567" max="2567" width="23.140625" customWidth="1"/>
    <col min="2819" max="2819" width="25.42578125" customWidth="1"/>
    <col min="2820" max="2820" width="22.28515625" customWidth="1"/>
    <col min="2821" max="2821" width="19" customWidth="1"/>
    <col min="2822" max="2822" width="17.85546875" customWidth="1"/>
    <col min="2823" max="2823" width="23.140625" customWidth="1"/>
    <col min="3075" max="3075" width="25.42578125" customWidth="1"/>
    <col min="3076" max="3076" width="22.28515625" customWidth="1"/>
    <col min="3077" max="3077" width="19" customWidth="1"/>
    <col min="3078" max="3078" width="17.85546875" customWidth="1"/>
    <col min="3079" max="3079" width="23.140625" customWidth="1"/>
    <col min="3331" max="3331" width="25.42578125" customWidth="1"/>
    <col min="3332" max="3332" width="22.28515625" customWidth="1"/>
    <col min="3333" max="3333" width="19" customWidth="1"/>
    <col min="3334" max="3334" width="17.85546875" customWidth="1"/>
    <col min="3335" max="3335" width="23.140625" customWidth="1"/>
    <col min="3587" max="3587" width="25.42578125" customWidth="1"/>
    <col min="3588" max="3588" width="22.28515625" customWidth="1"/>
    <col min="3589" max="3589" width="19" customWidth="1"/>
    <col min="3590" max="3590" width="17.85546875" customWidth="1"/>
    <col min="3591" max="3591" width="23.140625" customWidth="1"/>
    <col min="3843" max="3843" width="25.42578125" customWidth="1"/>
    <col min="3844" max="3844" width="22.28515625" customWidth="1"/>
    <col min="3845" max="3845" width="19" customWidth="1"/>
    <col min="3846" max="3846" width="17.85546875" customWidth="1"/>
    <col min="3847" max="3847" width="23.140625" customWidth="1"/>
    <col min="4099" max="4099" width="25.42578125" customWidth="1"/>
    <col min="4100" max="4100" width="22.28515625" customWidth="1"/>
    <col min="4101" max="4101" width="19" customWidth="1"/>
    <col min="4102" max="4102" width="17.85546875" customWidth="1"/>
    <col min="4103" max="4103" width="23.140625" customWidth="1"/>
    <col min="4355" max="4355" width="25.42578125" customWidth="1"/>
    <col min="4356" max="4356" width="22.28515625" customWidth="1"/>
    <col min="4357" max="4357" width="19" customWidth="1"/>
    <col min="4358" max="4358" width="17.85546875" customWidth="1"/>
    <col min="4359" max="4359" width="23.140625" customWidth="1"/>
    <col min="4611" max="4611" width="25.42578125" customWidth="1"/>
    <col min="4612" max="4612" width="22.28515625" customWidth="1"/>
    <col min="4613" max="4613" width="19" customWidth="1"/>
    <col min="4614" max="4614" width="17.85546875" customWidth="1"/>
    <col min="4615" max="4615" width="23.140625" customWidth="1"/>
    <col min="4867" max="4867" width="25.42578125" customWidth="1"/>
    <col min="4868" max="4868" width="22.28515625" customWidth="1"/>
    <col min="4869" max="4869" width="19" customWidth="1"/>
    <col min="4870" max="4870" width="17.85546875" customWidth="1"/>
    <col min="4871" max="4871" width="23.140625" customWidth="1"/>
    <col min="5123" max="5123" width="25.42578125" customWidth="1"/>
    <col min="5124" max="5124" width="22.28515625" customWidth="1"/>
    <col min="5125" max="5125" width="19" customWidth="1"/>
    <col min="5126" max="5126" width="17.85546875" customWidth="1"/>
    <col min="5127" max="5127" width="23.140625" customWidth="1"/>
    <col min="5379" max="5379" width="25.42578125" customWidth="1"/>
    <col min="5380" max="5380" width="22.28515625" customWidth="1"/>
    <col min="5381" max="5381" width="19" customWidth="1"/>
    <col min="5382" max="5382" width="17.85546875" customWidth="1"/>
    <col min="5383" max="5383" width="23.140625" customWidth="1"/>
    <col min="5635" max="5635" width="25.42578125" customWidth="1"/>
    <col min="5636" max="5636" width="22.28515625" customWidth="1"/>
    <col min="5637" max="5637" width="19" customWidth="1"/>
    <col min="5638" max="5638" width="17.85546875" customWidth="1"/>
    <col min="5639" max="5639" width="23.140625" customWidth="1"/>
    <col min="5891" max="5891" width="25.42578125" customWidth="1"/>
    <col min="5892" max="5892" width="22.28515625" customWidth="1"/>
    <col min="5893" max="5893" width="19" customWidth="1"/>
    <col min="5894" max="5894" width="17.85546875" customWidth="1"/>
    <col min="5895" max="5895" width="23.140625" customWidth="1"/>
    <col min="6147" max="6147" width="25.42578125" customWidth="1"/>
    <col min="6148" max="6148" width="22.28515625" customWidth="1"/>
    <col min="6149" max="6149" width="19" customWidth="1"/>
    <col min="6150" max="6150" width="17.85546875" customWidth="1"/>
    <col min="6151" max="6151" width="23.140625" customWidth="1"/>
    <col min="6403" max="6403" width="25.42578125" customWidth="1"/>
    <col min="6404" max="6404" width="22.28515625" customWidth="1"/>
    <col min="6405" max="6405" width="19" customWidth="1"/>
    <col min="6406" max="6406" width="17.85546875" customWidth="1"/>
    <col min="6407" max="6407" width="23.140625" customWidth="1"/>
    <col min="6659" max="6659" width="25.42578125" customWidth="1"/>
    <col min="6660" max="6660" width="22.28515625" customWidth="1"/>
    <col min="6661" max="6661" width="19" customWidth="1"/>
    <col min="6662" max="6662" width="17.85546875" customWidth="1"/>
    <col min="6663" max="6663" width="23.140625" customWidth="1"/>
    <col min="6915" max="6915" width="25.42578125" customWidth="1"/>
    <col min="6916" max="6916" width="22.28515625" customWidth="1"/>
    <col min="6917" max="6917" width="19" customWidth="1"/>
    <col min="6918" max="6918" width="17.85546875" customWidth="1"/>
    <col min="6919" max="6919" width="23.140625" customWidth="1"/>
    <col min="7171" max="7171" width="25.42578125" customWidth="1"/>
    <col min="7172" max="7172" width="22.28515625" customWidth="1"/>
    <col min="7173" max="7173" width="19" customWidth="1"/>
    <col min="7174" max="7174" width="17.85546875" customWidth="1"/>
    <col min="7175" max="7175" width="23.140625" customWidth="1"/>
    <col min="7427" max="7427" width="25.42578125" customWidth="1"/>
    <col min="7428" max="7428" width="22.28515625" customWidth="1"/>
    <col min="7429" max="7429" width="19" customWidth="1"/>
    <col min="7430" max="7430" width="17.85546875" customWidth="1"/>
    <col min="7431" max="7431" width="23.140625" customWidth="1"/>
    <col min="7683" max="7683" width="25.42578125" customWidth="1"/>
    <col min="7684" max="7684" width="22.28515625" customWidth="1"/>
    <col min="7685" max="7685" width="19" customWidth="1"/>
    <col min="7686" max="7686" width="17.85546875" customWidth="1"/>
    <col min="7687" max="7687" width="23.140625" customWidth="1"/>
    <col min="7939" max="7939" width="25.42578125" customWidth="1"/>
    <col min="7940" max="7940" width="22.28515625" customWidth="1"/>
    <col min="7941" max="7941" width="19" customWidth="1"/>
    <col min="7942" max="7942" width="17.85546875" customWidth="1"/>
    <col min="7943" max="7943" width="23.140625" customWidth="1"/>
    <col min="8195" max="8195" width="25.42578125" customWidth="1"/>
    <col min="8196" max="8196" width="22.28515625" customWidth="1"/>
    <col min="8197" max="8197" width="19" customWidth="1"/>
    <col min="8198" max="8198" width="17.85546875" customWidth="1"/>
    <col min="8199" max="8199" width="23.140625" customWidth="1"/>
    <col min="8451" max="8451" width="25.42578125" customWidth="1"/>
    <col min="8452" max="8452" width="22.28515625" customWidth="1"/>
    <col min="8453" max="8453" width="19" customWidth="1"/>
    <col min="8454" max="8454" width="17.85546875" customWidth="1"/>
    <col min="8455" max="8455" width="23.140625" customWidth="1"/>
    <col min="8707" max="8707" width="25.42578125" customWidth="1"/>
    <col min="8708" max="8708" width="22.28515625" customWidth="1"/>
    <col min="8709" max="8709" width="19" customWidth="1"/>
    <col min="8710" max="8710" width="17.85546875" customWidth="1"/>
    <col min="8711" max="8711" width="23.140625" customWidth="1"/>
    <col min="8963" max="8963" width="25.42578125" customWidth="1"/>
    <col min="8964" max="8964" width="22.28515625" customWidth="1"/>
    <col min="8965" max="8965" width="19" customWidth="1"/>
    <col min="8966" max="8966" width="17.85546875" customWidth="1"/>
    <col min="8967" max="8967" width="23.140625" customWidth="1"/>
    <col min="9219" max="9219" width="25.42578125" customWidth="1"/>
    <col min="9220" max="9220" width="22.28515625" customWidth="1"/>
    <col min="9221" max="9221" width="19" customWidth="1"/>
    <col min="9222" max="9222" width="17.85546875" customWidth="1"/>
    <col min="9223" max="9223" width="23.140625" customWidth="1"/>
    <col min="9475" max="9475" width="25.42578125" customWidth="1"/>
    <col min="9476" max="9476" width="22.28515625" customWidth="1"/>
    <col min="9477" max="9477" width="19" customWidth="1"/>
    <col min="9478" max="9478" width="17.85546875" customWidth="1"/>
    <col min="9479" max="9479" width="23.140625" customWidth="1"/>
    <col min="9731" max="9731" width="25.42578125" customWidth="1"/>
    <col min="9732" max="9732" width="22.28515625" customWidth="1"/>
    <col min="9733" max="9733" width="19" customWidth="1"/>
    <col min="9734" max="9734" width="17.85546875" customWidth="1"/>
    <col min="9735" max="9735" width="23.140625" customWidth="1"/>
    <col min="9987" max="9987" width="25.42578125" customWidth="1"/>
    <col min="9988" max="9988" width="22.28515625" customWidth="1"/>
    <col min="9989" max="9989" width="19" customWidth="1"/>
    <col min="9990" max="9990" width="17.85546875" customWidth="1"/>
    <col min="9991" max="9991" width="23.140625" customWidth="1"/>
    <col min="10243" max="10243" width="25.42578125" customWidth="1"/>
    <col min="10244" max="10244" width="22.28515625" customWidth="1"/>
    <col min="10245" max="10245" width="19" customWidth="1"/>
    <col min="10246" max="10246" width="17.85546875" customWidth="1"/>
    <col min="10247" max="10247" width="23.140625" customWidth="1"/>
    <col min="10499" max="10499" width="25.42578125" customWidth="1"/>
    <col min="10500" max="10500" width="22.28515625" customWidth="1"/>
    <col min="10501" max="10501" width="19" customWidth="1"/>
    <col min="10502" max="10502" width="17.85546875" customWidth="1"/>
    <col min="10503" max="10503" width="23.140625" customWidth="1"/>
    <col min="10755" max="10755" width="25.42578125" customWidth="1"/>
    <col min="10756" max="10756" width="22.28515625" customWidth="1"/>
    <col min="10757" max="10757" width="19" customWidth="1"/>
    <col min="10758" max="10758" width="17.85546875" customWidth="1"/>
    <col min="10759" max="10759" width="23.140625" customWidth="1"/>
    <col min="11011" max="11011" width="25.42578125" customWidth="1"/>
    <col min="11012" max="11012" width="22.28515625" customWidth="1"/>
    <col min="11013" max="11013" width="19" customWidth="1"/>
    <col min="11014" max="11014" width="17.85546875" customWidth="1"/>
    <col min="11015" max="11015" width="23.140625" customWidth="1"/>
    <col min="11267" max="11267" width="25.42578125" customWidth="1"/>
    <col min="11268" max="11268" width="22.28515625" customWidth="1"/>
    <col min="11269" max="11269" width="19" customWidth="1"/>
    <col min="11270" max="11270" width="17.85546875" customWidth="1"/>
    <col min="11271" max="11271" width="23.140625" customWidth="1"/>
    <col min="11523" max="11523" width="25.42578125" customWidth="1"/>
    <col min="11524" max="11524" width="22.28515625" customWidth="1"/>
    <col min="11525" max="11525" width="19" customWidth="1"/>
    <col min="11526" max="11526" width="17.85546875" customWidth="1"/>
    <col min="11527" max="11527" width="23.140625" customWidth="1"/>
    <col min="11779" max="11779" width="25.42578125" customWidth="1"/>
    <col min="11780" max="11780" width="22.28515625" customWidth="1"/>
    <col min="11781" max="11781" width="19" customWidth="1"/>
    <col min="11782" max="11782" width="17.85546875" customWidth="1"/>
    <col min="11783" max="11783" width="23.140625" customWidth="1"/>
    <col min="12035" max="12035" width="25.42578125" customWidth="1"/>
    <col min="12036" max="12036" width="22.28515625" customWidth="1"/>
    <col min="12037" max="12037" width="19" customWidth="1"/>
    <col min="12038" max="12038" width="17.85546875" customWidth="1"/>
    <col min="12039" max="12039" width="23.140625" customWidth="1"/>
    <col min="12291" max="12291" width="25.42578125" customWidth="1"/>
    <col min="12292" max="12292" width="22.28515625" customWidth="1"/>
    <col min="12293" max="12293" width="19" customWidth="1"/>
    <col min="12294" max="12294" width="17.85546875" customWidth="1"/>
    <col min="12295" max="12295" width="23.140625" customWidth="1"/>
    <col min="12547" max="12547" width="25.42578125" customWidth="1"/>
    <col min="12548" max="12548" width="22.28515625" customWidth="1"/>
    <col min="12549" max="12549" width="19" customWidth="1"/>
    <col min="12550" max="12550" width="17.85546875" customWidth="1"/>
    <col min="12551" max="12551" width="23.140625" customWidth="1"/>
    <col min="12803" max="12803" width="25.42578125" customWidth="1"/>
    <col min="12804" max="12804" width="22.28515625" customWidth="1"/>
    <col min="12805" max="12805" width="19" customWidth="1"/>
    <col min="12806" max="12806" width="17.85546875" customWidth="1"/>
    <col min="12807" max="12807" width="23.140625" customWidth="1"/>
    <col min="13059" max="13059" width="25.42578125" customWidth="1"/>
    <col min="13060" max="13060" width="22.28515625" customWidth="1"/>
    <col min="13061" max="13061" width="19" customWidth="1"/>
    <col min="13062" max="13062" width="17.85546875" customWidth="1"/>
    <col min="13063" max="13063" width="23.140625" customWidth="1"/>
    <col min="13315" max="13315" width="25.42578125" customWidth="1"/>
    <col min="13316" max="13316" width="22.28515625" customWidth="1"/>
    <col min="13317" max="13317" width="19" customWidth="1"/>
    <col min="13318" max="13318" width="17.85546875" customWidth="1"/>
    <col min="13319" max="13319" width="23.140625" customWidth="1"/>
    <col min="13571" max="13571" width="25.42578125" customWidth="1"/>
    <col min="13572" max="13572" width="22.28515625" customWidth="1"/>
    <col min="13573" max="13573" width="19" customWidth="1"/>
    <col min="13574" max="13574" width="17.85546875" customWidth="1"/>
    <col min="13575" max="13575" width="23.140625" customWidth="1"/>
    <col min="13827" max="13827" width="25.42578125" customWidth="1"/>
    <col min="13828" max="13828" width="22.28515625" customWidth="1"/>
    <col min="13829" max="13829" width="19" customWidth="1"/>
    <col min="13830" max="13830" width="17.85546875" customWidth="1"/>
    <col min="13831" max="13831" width="23.140625" customWidth="1"/>
    <col min="14083" max="14083" width="25.42578125" customWidth="1"/>
    <col min="14084" max="14084" width="22.28515625" customWidth="1"/>
    <col min="14085" max="14085" width="19" customWidth="1"/>
    <col min="14086" max="14086" width="17.85546875" customWidth="1"/>
    <col min="14087" max="14087" width="23.140625" customWidth="1"/>
    <col min="14339" max="14339" width="25.42578125" customWidth="1"/>
    <col min="14340" max="14340" width="22.28515625" customWidth="1"/>
    <col min="14341" max="14341" width="19" customWidth="1"/>
    <col min="14342" max="14342" width="17.85546875" customWidth="1"/>
    <col min="14343" max="14343" width="23.140625" customWidth="1"/>
    <col min="14595" max="14595" width="25.42578125" customWidth="1"/>
    <col min="14596" max="14596" width="22.28515625" customWidth="1"/>
    <col min="14597" max="14597" width="19" customWidth="1"/>
    <col min="14598" max="14598" width="17.85546875" customWidth="1"/>
    <col min="14599" max="14599" width="23.140625" customWidth="1"/>
    <col min="14851" max="14851" width="25.42578125" customWidth="1"/>
    <col min="14852" max="14852" width="22.28515625" customWidth="1"/>
    <col min="14853" max="14853" width="19" customWidth="1"/>
    <col min="14854" max="14854" width="17.85546875" customWidth="1"/>
    <col min="14855" max="14855" width="23.140625" customWidth="1"/>
    <col min="15107" max="15107" width="25.42578125" customWidth="1"/>
    <col min="15108" max="15108" width="22.28515625" customWidth="1"/>
    <col min="15109" max="15109" width="19" customWidth="1"/>
    <col min="15110" max="15110" width="17.85546875" customWidth="1"/>
    <col min="15111" max="15111" width="23.140625" customWidth="1"/>
    <col min="15363" max="15363" width="25.42578125" customWidth="1"/>
    <col min="15364" max="15364" width="22.28515625" customWidth="1"/>
    <col min="15365" max="15365" width="19" customWidth="1"/>
    <col min="15366" max="15366" width="17.85546875" customWidth="1"/>
    <col min="15367" max="15367" width="23.140625" customWidth="1"/>
    <col min="15619" max="15619" width="25.42578125" customWidth="1"/>
    <col min="15620" max="15620" width="22.28515625" customWidth="1"/>
    <col min="15621" max="15621" width="19" customWidth="1"/>
    <col min="15622" max="15622" width="17.85546875" customWidth="1"/>
    <col min="15623" max="15623" width="23.140625" customWidth="1"/>
    <col min="15875" max="15875" width="25.42578125" customWidth="1"/>
    <col min="15876" max="15876" width="22.28515625" customWidth="1"/>
    <col min="15877" max="15877" width="19" customWidth="1"/>
    <col min="15878" max="15878" width="17.85546875" customWidth="1"/>
    <col min="15879" max="15879" width="23.140625" customWidth="1"/>
    <col min="16131" max="16131" width="25.42578125" customWidth="1"/>
    <col min="16132" max="16132" width="22.28515625" customWidth="1"/>
    <col min="16133" max="16133" width="19" customWidth="1"/>
    <col min="16134" max="16134" width="17.85546875" customWidth="1"/>
    <col min="16135" max="16135" width="23.140625" customWidth="1"/>
  </cols>
  <sheetData>
    <row r="3" spans="2:7">
      <c r="B3" s="1001" t="s">
        <v>1934</v>
      </c>
      <c r="C3" s="1001"/>
      <c r="D3" s="1001"/>
      <c r="E3" s="1001"/>
      <c r="F3" s="1001"/>
      <c r="G3" s="1001"/>
    </row>
    <row r="4" spans="2:7">
      <c r="B4" s="1001"/>
      <c r="C4" s="1001"/>
      <c r="D4" s="1001"/>
      <c r="E4" s="1001"/>
      <c r="F4" s="1001"/>
      <c r="G4" s="1001"/>
    </row>
    <row r="5" spans="2:7" ht="63.75">
      <c r="B5" s="1005" t="s">
        <v>1935</v>
      </c>
      <c r="C5" s="1005"/>
      <c r="D5" s="430" t="s">
        <v>1936</v>
      </c>
      <c r="E5" s="430" t="s">
        <v>1937</v>
      </c>
      <c r="F5" s="430" t="s">
        <v>1938</v>
      </c>
      <c r="G5" s="430" t="s">
        <v>1939</v>
      </c>
    </row>
    <row r="6" spans="2:7" ht="41.25" customHeight="1">
      <c r="B6" s="1004" t="s">
        <v>2090</v>
      </c>
      <c r="C6" s="1004"/>
      <c r="D6" s="431">
        <f>'SERVENTE 44 HORAS SEMANAIS'!I142</f>
        <v>0</v>
      </c>
      <c r="E6" s="432">
        <v>23</v>
      </c>
      <c r="F6" s="433">
        <f>D6*E6</f>
        <v>0</v>
      </c>
      <c r="G6" s="431">
        <f>F6*12</f>
        <v>0</v>
      </c>
    </row>
    <row r="7" spans="2:7" ht="41.25" customHeight="1">
      <c r="B7" s="1004" t="s">
        <v>2091</v>
      </c>
      <c r="C7" s="1004"/>
      <c r="D7" s="431">
        <f>JAUZEIRO!I142</f>
        <v>0</v>
      </c>
      <c r="E7" s="432">
        <v>1</v>
      </c>
      <c r="F7" s="433">
        <f>D7*E7</f>
        <v>0</v>
      </c>
      <c r="G7" s="431">
        <f>F7*12</f>
        <v>0</v>
      </c>
    </row>
    <row r="8" spans="2:7" ht="41.25" customHeight="1">
      <c r="B8" s="1004" t="s">
        <v>2092</v>
      </c>
      <c r="C8" s="1004"/>
      <c r="D8" s="431">
        <f>'ENCARREGADO '!I147</f>
        <v>0</v>
      </c>
      <c r="E8" s="432">
        <v>1</v>
      </c>
      <c r="F8" s="433"/>
      <c r="G8" s="431">
        <f>F8*12</f>
        <v>0</v>
      </c>
    </row>
    <row r="9" spans="2:7" ht="41.25" customHeight="1">
      <c r="B9" s="999" t="s">
        <v>2093</v>
      </c>
      <c r="C9" s="999"/>
      <c r="D9" s="999"/>
      <c r="E9" s="1000">
        <f>(SUM(G6:G8))/12</f>
        <v>0</v>
      </c>
      <c r="F9" s="1000"/>
      <c r="G9" s="999"/>
    </row>
    <row r="10" spans="2:7" ht="41.25" customHeight="1">
      <c r="B10" s="999" t="s">
        <v>2094</v>
      </c>
      <c r="C10" s="999"/>
      <c r="D10" s="999"/>
      <c r="E10" s="1000">
        <f>'EQUIP_limp '!H12*24+Uniforme_limp!F9*24+Uniforme_limp!F21+'MATERIAL '!H54</f>
        <v>0</v>
      </c>
      <c r="F10" s="1000"/>
      <c r="G10" s="999"/>
    </row>
    <row r="11" spans="2:7" ht="41.25" customHeight="1">
      <c r="B11" s="1001" t="s">
        <v>2095</v>
      </c>
      <c r="C11" s="1001"/>
      <c r="D11" s="1001"/>
      <c r="E11" s="1001"/>
      <c r="F11" s="1388">
        <f>E9+E10</f>
        <v>0</v>
      </c>
      <c r="G11" s="1389"/>
    </row>
  </sheetData>
  <mergeCells count="11">
    <mergeCell ref="B10:D10"/>
    <mergeCell ref="E10:G10"/>
    <mergeCell ref="B11:E11"/>
    <mergeCell ref="F11:G11"/>
    <mergeCell ref="B3:G4"/>
    <mergeCell ref="B5:C5"/>
    <mergeCell ref="B6:C6"/>
    <mergeCell ref="B7:C7"/>
    <mergeCell ref="B8:C8"/>
    <mergeCell ref="B9:D9"/>
    <mergeCell ref="E9:G9"/>
  </mergeCells>
  <pageMargins left="0.511811024" right="0.511811024" top="0.78740157499999996" bottom="0.78740157499999996" header="0.31496062000000002" footer="0.3149606200000000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C6DA4-E89D-4E76-8457-F05A59CA483B}">
  <sheetPr>
    <tabColor rgb="FF92D050"/>
  </sheetPr>
  <dimension ref="A1:AS148"/>
  <sheetViews>
    <sheetView view="pageBreakPreview" zoomScale="115" zoomScaleNormal="70" zoomScaleSheetLayoutView="115" workbookViewId="0">
      <selection activeCell="I144" sqref="I144"/>
    </sheetView>
  </sheetViews>
  <sheetFormatPr defaultRowHeight="15"/>
  <cols>
    <col min="4" max="4" width="28.140625" customWidth="1"/>
    <col min="5" max="5" width="42.28515625" customWidth="1"/>
    <col min="6" max="6" width="28.42578125" customWidth="1"/>
    <col min="7" max="7" width="17" customWidth="1"/>
    <col min="8" max="8" width="14.140625" customWidth="1"/>
    <col min="9" max="9" width="48.85546875" customWidth="1"/>
    <col min="10" max="10" width="13.42578125" customWidth="1"/>
    <col min="11" max="11" width="15" bestFit="1" customWidth="1"/>
    <col min="260" max="260" width="28.140625" customWidth="1"/>
    <col min="261" max="261" width="42.28515625" customWidth="1"/>
    <col min="262" max="262" width="28.42578125" customWidth="1"/>
    <col min="263" max="263" width="17" customWidth="1"/>
    <col min="264" max="264" width="14.140625" customWidth="1"/>
    <col min="265" max="265" width="48.85546875" customWidth="1"/>
    <col min="266" max="266" width="13.42578125" customWidth="1"/>
    <col min="267" max="267" width="15" bestFit="1" customWidth="1"/>
    <col min="516" max="516" width="28.140625" customWidth="1"/>
    <col min="517" max="517" width="42.28515625" customWidth="1"/>
    <col min="518" max="518" width="28.42578125" customWidth="1"/>
    <col min="519" max="519" width="17" customWidth="1"/>
    <col min="520" max="520" width="14.140625" customWidth="1"/>
    <col min="521" max="521" width="48.85546875" customWidth="1"/>
    <col min="522" max="522" width="13.42578125" customWidth="1"/>
    <col min="523" max="523" width="15" bestFit="1" customWidth="1"/>
    <col min="772" max="772" width="28.140625" customWidth="1"/>
    <col min="773" max="773" width="42.28515625" customWidth="1"/>
    <col min="774" max="774" width="28.42578125" customWidth="1"/>
    <col min="775" max="775" width="17" customWidth="1"/>
    <col min="776" max="776" width="14.140625" customWidth="1"/>
    <col min="777" max="777" width="48.85546875" customWidth="1"/>
    <col min="778" max="778" width="13.42578125" customWidth="1"/>
    <col min="779" max="779" width="15" bestFit="1" customWidth="1"/>
    <col min="1028" max="1028" width="28.140625" customWidth="1"/>
    <col min="1029" max="1029" width="42.28515625" customWidth="1"/>
    <col min="1030" max="1030" width="28.42578125" customWidth="1"/>
    <col min="1031" max="1031" width="17" customWidth="1"/>
    <col min="1032" max="1032" width="14.140625" customWidth="1"/>
    <col min="1033" max="1033" width="48.85546875" customWidth="1"/>
    <col min="1034" max="1034" width="13.42578125" customWidth="1"/>
    <col min="1035" max="1035" width="15" bestFit="1" customWidth="1"/>
    <col min="1284" max="1284" width="28.140625" customWidth="1"/>
    <col min="1285" max="1285" width="42.28515625" customWidth="1"/>
    <col min="1286" max="1286" width="28.42578125" customWidth="1"/>
    <col min="1287" max="1287" width="17" customWidth="1"/>
    <col min="1288" max="1288" width="14.140625" customWidth="1"/>
    <col min="1289" max="1289" width="48.85546875" customWidth="1"/>
    <col min="1290" max="1290" width="13.42578125" customWidth="1"/>
    <col min="1291" max="1291" width="15" bestFit="1" customWidth="1"/>
    <col min="1540" max="1540" width="28.140625" customWidth="1"/>
    <col min="1541" max="1541" width="42.28515625" customWidth="1"/>
    <col min="1542" max="1542" width="28.42578125" customWidth="1"/>
    <col min="1543" max="1543" width="17" customWidth="1"/>
    <col min="1544" max="1544" width="14.140625" customWidth="1"/>
    <col min="1545" max="1545" width="48.85546875" customWidth="1"/>
    <col min="1546" max="1546" width="13.42578125" customWidth="1"/>
    <col min="1547" max="1547" width="15" bestFit="1" customWidth="1"/>
    <col min="1796" max="1796" width="28.140625" customWidth="1"/>
    <col min="1797" max="1797" width="42.28515625" customWidth="1"/>
    <col min="1798" max="1798" width="28.42578125" customWidth="1"/>
    <col min="1799" max="1799" width="17" customWidth="1"/>
    <col min="1800" max="1800" width="14.140625" customWidth="1"/>
    <col min="1801" max="1801" width="48.85546875" customWidth="1"/>
    <col min="1802" max="1802" width="13.42578125" customWidth="1"/>
    <col min="1803" max="1803" width="15" bestFit="1" customWidth="1"/>
    <col min="2052" max="2052" width="28.140625" customWidth="1"/>
    <col min="2053" max="2053" width="42.28515625" customWidth="1"/>
    <col min="2054" max="2054" width="28.42578125" customWidth="1"/>
    <col min="2055" max="2055" width="17" customWidth="1"/>
    <col min="2056" max="2056" width="14.140625" customWidth="1"/>
    <col min="2057" max="2057" width="48.85546875" customWidth="1"/>
    <col min="2058" max="2058" width="13.42578125" customWidth="1"/>
    <col min="2059" max="2059" width="15" bestFit="1" customWidth="1"/>
    <col min="2308" max="2308" width="28.140625" customWidth="1"/>
    <col min="2309" max="2309" width="42.28515625" customWidth="1"/>
    <col min="2310" max="2310" width="28.42578125" customWidth="1"/>
    <col min="2311" max="2311" width="17" customWidth="1"/>
    <col min="2312" max="2312" width="14.140625" customWidth="1"/>
    <col min="2313" max="2313" width="48.85546875" customWidth="1"/>
    <col min="2314" max="2314" width="13.42578125" customWidth="1"/>
    <col min="2315" max="2315" width="15" bestFit="1" customWidth="1"/>
    <col min="2564" max="2564" width="28.140625" customWidth="1"/>
    <col min="2565" max="2565" width="42.28515625" customWidth="1"/>
    <col min="2566" max="2566" width="28.42578125" customWidth="1"/>
    <col min="2567" max="2567" width="17" customWidth="1"/>
    <col min="2568" max="2568" width="14.140625" customWidth="1"/>
    <col min="2569" max="2569" width="48.85546875" customWidth="1"/>
    <col min="2570" max="2570" width="13.42578125" customWidth="1"/>
    <col min="2571" max="2571" width="15" bestFit="1" customWidth="1"/>
    <col min="2820" max="2820" width="28.140625" customWidth="1"/>
    <col min="2821" max="2821" width="42.28515625" customWidth="1"/>
    <col min="2822" max="2822" width="28.42578125" customWidth="1"/>
    <col min="2823" max="2823" width="17" customWidth="1"/>
    <col min="2824" max="2824" width="14.140625" customWidth="1"/>
    <col min="2825" max="2825" width="48.85546875" customWidth="1"/>
    <col min="2826" max="2826" width="13.42578125" customWidth="1"/>
    <col min="2827" max="2827" width="15" bestFit="1" customWidth="1"/>
    <col min="3076" max="3076" width="28.140625" customWidth="1"/>
    <col min="3077" max="3077" width="42.28515625" customWidth="1"/>
    <col min="3078" max="3078" width="28.42578125" customWidth="1"/>
    <col min="3079" max="3079" width="17" customWidth="1"/>
    <col min="3080" max="3080" width="14.140625" customWidth="1"/>
    <col min="3081" max="3081" width="48.85546875" customWidth="1"/>
    <col min="3082" max="3082" width="13.42578125" customWidth="1"/>
    <col min="3083" max="3083" width="15" bestFit="1" customWidth="1"/>
    <col min="3332" max="3332" width="28.140625" customWidth="1"/>
    <col min="3333" max="3333" width="42.28515625" customWidth="1"/>
    <col min="3334" max="3334" width="28.42578125" customWidth="1"/>
    <col min="3335" max="3335" width="17" customWidth="1"/>
    <col min="3336" max="3336" width="14.140625" customWidth="1"/>
    <col min="3337" max="3337" width="48.85546875" customWidth="1"/>
    <col min="3338" max="3338" width="13.42578125" customWidth="1"/>
    <col min="3339" max="3339" width="15" bestFit="1" customWidth="1"/>
    <col min="3588" max="3588" width="28.140625" customWidth="1"/>
    <col min="3589" max="3589" width="42.28515625" customWidth="1"/>
    <col min="3590" max="3590" width="28.42578125" customWidth="1"/>
    <col min="3591" max="3591" width="17" customWidth="1"/>
    <col min="3592" max="3592" width="14.140625" customWidth="1"/>
    <col min="3593" max="3593" width="48.85546875" customWidth="1"/>
    <col min="3594" max="3594" width="13.42578125" customWidth="1"/>
    <col min="3595" max="3595" width="15" bestFit="1" customWidth="1"/>
    <col min="3844" max="3844" width="28.140625" customWidth="1"/>
    <col min="3845" max="3845" width="42.28515625" customWidth="1"/>
    <col min="3846" max="3846" width="28.42578125" customWidth="1"/>
    <col min="3847" max="3847" width="17" customWidth="1"/>
    <col min="3848" max="3848" width="14.140625" customWidth="1"/>
    <col min="3849" max="3849" width="48.85546875" customWidth="1"/>
    <col min="3850" max="3850" width="13.42578125" customWidth="1"/>
    <col min="3851" max="3851" width="15" bestFit="1" customWidth="1"/>
    <col min="4100" max="4100" width="28.140625" customWidth="1"/>
    <col min="4101" max="4101" width="42.28515625" customWidth="1"/>
    <col min="4102" max="4102" width="28.42578125" customWidth="1"/>
    <col min="4103" max="4103" width="17" customWidth="1"/>
    <col min="4104" max="4104" width="14.140625" customWidth="1"/>
    <col min="4105" max="4105" width="48.85546875" customWidth="1"/>
    <col min="4106" max="4106" width="13.42578125" customWidth="1"/>
    <col min="4107" max="4107" width="15" bestFit="1" customWidth="1"/>
    <col min="4356" max="4356" width="28.140625" customWidth="1"/>
    <col min="4357" max="4357" width="42.28515625" customWidth="1"/>
    <col min="4358" max="4358" width="28.42578125" customWidth="1"/>
    <col min="4359" max="4359" width="17" customWidth="1"/>
    <col min="4360" max="4360" width="14.140625" customWidth="1"/>
    <col min="4361" max="4361" width="48.85546875" customWidth="1"/>
    <col min="4362" max="4362" width="13.42578125" customWidth="1"/>
    <col min="4363" max="4363" width="15" bestFit="1" customWidth="1"/>
    <col min="4612" max="4612" width="28.140625" customWidth="1"/>
    <col min="4613" max="4613" width="42.28515625" customWidth="1"/>
    <col min="4614" max="4614" width="28.42578125" customWidth="1"/>
    <col min="4615" max="4615" width="17" customWidth="1"/>
    <col min="4616" max="4616" width="14.140625" customWidth="1"/>
    <col min="4617" max="4617" width="48.85546875" customWidth="1"/>
    <col min="4618" max="4618" width="13.42578125" customWidth="1"/>
    <col min="4619" max="4619" width="15" bestFit="1" customWidth="1"/>
    <col min="4868" max="4868" width="28.140625" customWidth="1"/>
    <col min="4869" max="4869" width="42.28515625" customWidth="1"/>
    <col min="4870" max="4870" width="28.42578125" customWidth="1"/>
    <col min="4871" max="4871" width="17" customWidth="1"/>
    <col min="4872" max="4872" width="14.140625" customWidth="1"/>
    <col min="4873" max="4873" width="48.85546875" customWidth="1"/>
    <col min="4874" max="4874" width="13.42578125" customWidth="1"/>
    <col min="4875" max="4875" width="15" bestFit="1" customWidth="1"/>
    <col min="5124" max="5124" width="28.140625" customWidth="1"/>
    <col min="5125" max="5125" width="42.28515625" customWidth="1"/>
    <col min="5126" max="5126" width="28.42578125" customWidth="1"/>
    <col min="5127" max="5127" width="17" customWidth="1"/>
    <col min="5128" max="5128" width="14.140625" customWidth="1"/>
    <col min="5129" max="5129" width="48.85546875" customWidth="1"/>
    <col min="5130" max="5130" width="13.42578125" customWidth="1"/>
    <col min="5131" max="5131" width="15" bestFit="1" customWidth="1"/>
    <col min="5380" max="5380" width="28.140625" customWidth="1"/>
    <col min="5381" max="5381" width="42.28515625" customWidth="1"/>
    <col min="5382" max="5382" width="28.42578125" customWidth="1"/>
    <col min="5383" max="5383" width="17" customWidth="1"/>
    <col min="5384" max="5384" width="14.140625" customWidth="1"/>
    <col min="5385" max="5385" width="48.85546875" customWidth="1"/>
    <col min="5386" max="5386" width="13.42578125" customWidth="1"/>
    <col min="5387" max="5387" width="15" bestFit="1" customWidth="1"/>
    <col min="5636" max="5636" width="28.140625" customWidth="1"/>
    <col min="5637" max="5637" width="42.28515625" customWidth="1"/>
    <col min="5638" max="5638" width="28.42578125" customWidth="1"/>
    <col min="5639" max="5639" width="17" customWidth="1"/>
    <col min="5640" max="5640" width="14.140625" customWidth="1"/>
    <col min="5641" max="5641" width="48.85546875" customWidth="1"/>
    <col min="5642" max="5642" width="13.42578125" customWidth="1"/>
    <col min="5643" max="5643" width="15" bestFit="1" customWidth="1"/>
    <col min="5892" max="5892" width="28.140625" customWidth="1"/>
    <col min="5893" max="5893" width="42.28515625" customWidth="1"/>
    <col min="5894" max="5894" width="28.42578125" customWidth="1"/>
    <col min="5895" max="5895" width="17" customWidth="1"/>
    <col min="5896" max="5896" width="14.140625" customWidth="1"/>
    <col min="5897" max="5897" width="48.85546875" customWidth="1"/>
    <col min="5898" max="5898" width="13.42578125" customWidth="1"/>
    <col min="5899" max="5899" width="15" bestFit="1" customWidth="1"/>
    <col min="6148" max="6148" width="28.140625" customWidth="1"/>
    <col min="6149" max="6149" width="42.28515625" customWidth="1"/>
    <col min="6150" max="6150" width="28.42578125" customWidth="1"/>
    <col min="6151" max="6151" width="17" customWidth="1"/>
    <col min="6152" max="6152" width="14.140625" customWidth="1"/>
    <col min="6153" max="6153" width="48.85546875" customWidth="1"/>
    <col min="6154" max="6154" width="13.42578125" customWidth="1"/>
    <col min="6155" max="6155" width="15" bestFit="1" customWidth="1"/>
    <col min="6404" max="6404" width="28.140625" customWidth="1"/>
    <col min="6405" max="6405" width="42.28515625" customWidth="1"/>
    <col min="6406" max="6406" width="28.42578125" customWidth="1"/>
    <col min="6407" max="6407" width="17" customWidth="1"/>
    <col min="6408" max="6408" width="14.140625" customWidth="1"/>
    <col min="6409" max="6409" width="48.85546875" customWidth="1"/>
    <col min="6410" max="6410" width="13.42578125" customWidth="1"/>
    <col min="6411" max="6411" width="15" bestFit="1" customWidth="1"/>
    <col min="6660" max="6660" width="28.140625" customWidth="1"/>
    <col min="6661" max="6661" width="42.28515625" customWidth="1"/>
    <col min="6662" max="6662" width="28.42578125" customWidth="1"/>
    <col min="6663" max="6663" width="17" customWidth="1"/>
    <col min="6664" max="6664" width="14.140625" customWidth="1"/>
    <col min="6665" max="6665" width="48.85546875" customWidth="1"/>
    <col min="6666" max="6666" width="13.42578125" customWidth="1"/>
    <col min="6667" max="6667" width="15" bestFit="1" customWidth="1"/>
    <col min="6916" max="6916" width="28.140625" customWidth="1"/>
    <col min="6917" max="6917" width="42.28515625" customWidth="1"/>
    <col min="6918" max="6918" width="28.42578125" customWidth="1"/>
    <col min="6919" max="6919" width="17" customWidth="1"/>
    <col min="6920" max="6920" width="14.140625" customWidth="1"/>
    <col min="6921" max="6921" width="48.85546875" customWidth="1"/>
    <col min="6922" max="6922" width="13.42578125" customWidth="1"/>
    <col min="6923" max="6923" width="15" bestFit="1" customWidth="1"/>
    <col min="7172" max="7172" width="28.140625" customWidth="1"/>
    <col min="7173" max="7173" width="42.28515625" customWidth="1"/>
    <col min="7174" max="7174" width="28.42578125" customWidth="1"/>
    <col min="7175" max="7175" width="17" customWidth="1"/>
    <col min="7176" max="7176" width="14.140625" customWidth="1"/>
    <col min="7177" max="7177" width="48.85546875" customWidth="1"/>
    <col min="7178" max="7178" width="13.42578125" customWidth="1"/>
    <col min="7179" max="7179" width="15" bestFit="1" customWidth="1"/>
    <col min="7428" max="7428" width="28.140625" customWidth="1"/>
    <col min="7429" max="7429" width="42.28515625" customWidth="1"/>
    <col min="7430" max="7430" width="28.42578125" customWidth="1"/>
    <col min="7431" max="7431" width="17" customWidth="1"/>
    <col min="7432" max="7432" width="14.140625" customWidth="1"/>
    <col min="7433" max="7433" width="48.85546875" customWidth="1"/>
    <col min="7434" max="7434" width="13.42578125" customWidth="1"/>
    <col min="7435" max="7435" width="15" bestFit="1" customWidth="1"/>
    <col min="7684" max="7684" width="28.140625" customWidth="1"/>
    <col min="7685" max="7685" width="42.28515625" customWidth="1"/>
    <col min="7686" max="7686" width="28.42578125" customWidth="1"/>
    <col min="7687" max="7687" width="17" customWidth="1"/>
    <col min="7688" max="7688" width="14.140625" customWidth="1"/>
    <col min="7689" max="7689" width="48.85546875" customWidth="1"/>
    <col min="7690" max="7690" width="13.42578125" customWidth="1"/>
    <col min="7691" max="7691" width="15" bestFit="1" customWidth="1"/>
    <col min="7940" max="7940" width="28.140625" customWidth="1"/>
    <col min="7941" max="7941" width="42.28515625" customWidth="1"/>
    <col min="7942" max="7942" width="28.42578125" customWidth="1"/>
    <col min="7943" max="7943" width="17" customWidth="1"/>
    <col min="7944" max="7944" width="14.140625" customWidth="1"/>
    <col min="7945" max="7945" width="48.85546875" customWidth="1"/>
    <col min="7946" max="7946" width="13.42578125" customWidth="1"/>
    <col min="7947" max="7947" width="15" bestFit="1" customWidth="1"/>
    <col min="8196" max="8196" width="28.140625" customWidth="1"/>
    <col min="8197" max="8197" width="42.28515625" customWidth="1"/>
    <col min="8198" max="8198" width="28.42578125" customWidth="1"/>
    <col min="8199" max="8199" width="17" customWidth="1"/>
    <col min="8200" max="8200" width="14.140625" customWidth="1"/>
    <col min="8201" max="8201" width="48.85546875" customWidth="1"/>
    <col min="8202" max="8202" width="13.42578125" customWidth="1"/>
    <col min="8203" max="8203" width="15" bestFit="1" customWidth="1"/>
    <col min="8452" max="8452" width="28.140625" customWidth="1"/>
    <col min="8453" max="8453" width="42.28515625" customWidth="1"/>
    <col min="8454" max="8454" width="28.42578125" customWidth="1"/>
    <col min="8455" max="8455" width="17" customWidth="1"/>
    <col min="8456" max="8456" width="14.140625" customWidth="1"/>
    <col min="8457" max="8457" width="48.85546875" customWidth="1"/>
    <col min="8458" max="8458" width="13.42578125" customWidth="1"/>
    <col min="8459" max="8459" width="15" bestFit="1" customWidth="1"/>
    <col min="8708" max="8708" width="28.140625" customWidth="1"/>
    <col min="8709" max="8709" width="42.28515625" customWidth="1"/>
    <col min="8710" max="8710" width="28.42578125" customWidth="1"/>
    <col min="8711" max="8711" width="17" customWidth="1"/>
    <col min="8712" max="8712" width="14.140625" customWidth="1"/>
    <col min="8713" max="8713" width="48.85546875" customWidth="1"/>
    <col min="8714" max="8714" width="13.42578125" customWidth="1"/>
    <col min="8715" max="8715" width="15" bestFit="1" customWidth="1"/>
    <col min="8964" max="8964" width="28.140625" customWidth="1"/>
    <col min="8965" max="8965" width="42.28515625" customWidth="1"/>
    <col min="8966" max="8966" width="28.42578125" customWidth="1"/>
    <col min="8967" max="8967" width="17" customWidth="1"/>
    <col min="8968" max="8968" width="14.140625" customWidth="1"/>
    <col min="8969" max="8969" width="48.85546875" customWidth="1"/>
    <col min="8970" max="8970" width="13.42578125" customWidth="1"/>
    <col min="8971" max="8971" width="15" bestFit="1" customWidth="1"/>
    <col min="9220" max="9220" width="28.140625" customWidth="1"/>
    <col min="9221" max="9221" width="42.28515625" customWidth="1"/>
    <col min="9222" max="9222" width="28.42578125" customWidth="1"/>
    <col min="9223" max="9223" width="17" customWidth="1"/>
    <col min="9224" max="9224" width="14.140625" customWidth="1"/>
    <col min="9225" max="9225" width="48.85546875" customWidth="1"/>
    <col min="9226" max="9226" width="13.42578125" customWidth="1"/>
    <col min="9227" max="9227" width="15" bestFit="1" customWidth="1"/>
    <col min="9476" max="9476" width="28.140625" customWidth="1"/>
    <col min="9477" max="9477" width="42.28515625" customWidth="1"/>
    <col min="9478" max="9478" width="28.42578125" customWidth="1"/>
    <col min="9479" max="9479" width="17" customWidth="1"/>
    <col min="9480" max="9480" width="14.140625" customWidth="1"/>
    <col min="9481" max="9481" width="48.85546875" customWidth="1"/>
    <col min="9482" max="9482" width="13.42578125" customWidth="1"/>
    <col min="9483" max="9483" width="15" bestFit="1" customWidth="1"/>
    <col min="9732" max="9732" width="28.140625" customWidth="1"/>
    <col min="9733" max="9733" width="42.28515625" customWidth="1"/>
    <col min="9734" max="9734" width="28.42578125" customWidth="1"/>
    <col min="9735" max="9735" width="17" customWidth="1"/>
    <col min="9736" max="9736" width="14.140625" customWidth="1"/>
    <col min="9737" max="9737" width="48.85546875" customWidth="1"/>
    <col min="9738" max="9738" width="13.42578125" customWidth="1"/>
    <col min="9739" max="9739" width="15" bestFit="1" customWidth="1"/>
    <col min="9988" max="9988" width="28.140625" customWidth="1"/>
    <col min="9989" max="9989" width="42.28515625" customWidth="1"/>
    <col min="9990" max="9990" width="28.42578125" customWidth="1"/>
    <col min="9991" max="9991" width="17" customWidth="1"/>
    <col min="9992" max="9992" width="14.140625" customWidth="1"/>
    <col min="9993" max="9993" width="48.85546875" customWidth="1"/>
    <col min="9994" max="9994" width="13.42578125" customWidth="1"/>
    <col min="9995" max="9995" width="15" bestFit="1" customWidth="1"/>
    <col min="10244" max="10244" width="28.140625" customWidth="1"/>
    <col min="10245" max="10245" width="42.28515625" customWidth="1"/>
    <col min="10246" max="10246" width="28.42578125" customWidth="1"/>
    <col min="10247" max="10247" width="17" customWidth="1"/>
    <col min="10248" max="10248" width="14.140625" customWidth="1"/>
    <col min="10249" max="10249" width="48.85546875" customWidth="1"/>
    <col min="10250" max="10250" width="13.42578125" customWidth="1"/>
    <col min="10251" max="10251" width="15" bestFit="1" customWidth="1"/>
    <col min="10500" max="10500" width="28.140625" customWidth="1"/>
    <col min="10501" max="10501" width="42.28515625" customWidth="1"/>
    <col min="10502" max="10502" width="28.42578125" customWidth="1"/>
    <col min="10503" max="10503" width="17" customWidth="1"/>
    <col min="10504" max="10504" width="14.140625" customWidth="1"/>
    <col min="10505" max="10505" width="48.85546875" customWidth="1"/>
    <col min="10506" max="10506" width="13.42578125" customWidth="1"/>
    <col min="10507" max="10507" width="15" bestFit="1" customWidth="1"/>
    <col min="10756" max="10756" width="28.140625" customWidth="1"/>
    <col min="10757" max="10757" width="42.28515625" customWidth="1"/>
    <col min="10758" max="10758" width="28.42578125" customWidth="1"/>
    <col min="10759" max="10759" width="17" customWidth="1"/>
    <col min="10760" max="10760" width="14.140625" customWidth="1"/>
    <col min="10761" max="10761" width="48.85546875" customWidth="1"/>
    <col min="10762" max="10762" width="13.42578125" customWidth="1"/>
    <col min="10763" max="10763" width="15" bestFit="1" customWidth="1"/>
    <col min="11012" max="11012" width="28.140625" customWidth="1"/>
    <col min="11013" max="11013" width="42.28515625" customWidth="1"/>
    <col min="11014" max="11014" width="28.42578125" customWidth="1"/>
    <col min="11015" max="11015" width="17" customWidth="1"/>
    <col min="11016" max="11016" width="14.140625" customWidth="1"/>
    <col min="11017" max="11017" width="48.85546875" customWidth="1"/>
    <col min="11018" max="11018" width="13.42578125" customWidth="1"/>
    <col min="11019" max="11019" width="15" bestFit="1" customWidth="1"/>
    <col min="11268" max="11268" width="28.140625" customWidth="1"/>
    <col min="11269" max="11269" width="42.28515625" customWidth="1"/>
    <col min="11270" max="11270" width="28.42578125" customWidth="1"/>
    <col min="11271" max="11271" width="17" customWidth="1"/>
    <col min="11272" max="11272" width="14.140625" customWidth="1"/>
    <col min="11273" max="11273" width="48.85546875" customWidth="1"/>
    <col min="11274" max="11274" width="13.42578125" customWidth="1"/>
    <col min="11275" max="11275" width="15" bestFit="1" customWidth="1"/>
    <col min="11524" max="11524" width="28.140625" customWidth="1"/>
    <col min="11525" max="11525" width="42.28515625" customWidth="1"/>
    <col min="11526" max="11526" width="28.42578125" customWidth="1"/>
    <col min="11527" max="11527" width="17" customWidth="1"/>
    <col min="11528" max="11528" width="14.140625" customWidth="1"/>
    <col min="11529" max="11529" width="48.85546875" customWidth="1"/>
    <col min="11530" max="11530" width="13.42578125" customWidth="1"/>
    <col min="11531" max="11531" width="15" bestFit="1" customWidth="1"/>
    <col min="11780" max="11780" width="28.140625" customWidth="1"/>
    <col min="11781" max="11781" width="42.28515625" customWidth="1"/>
    <col min="11782" max="11782" width="28.42578125" customWidth="1"/>
    <col min="11783" max="11783" width="17" customWidth="1"/>
    <col min="11784" max="11784" width="14.140625" customWidth="1"/>
    <col min="11785" max="11785" width="48.85546875" customWidth="1"/>
    <col min="11786" max="11786" width="13.42578125" customWidth="1"/>
    <col min="11787" max="11787" width="15" bestFit="1" customWidth="1"/>
    <col min="12036" max="12036" width="28.140625" customWidth="1"/>
    <col min="12037" max="12037" width="42.28515625" customWidth="1"/>
    <col min="12038" max="12038" width="28.42578125" customWidth="1"/>
    <col min="12039" max="12039" width="17" customWidth="1"/>
    <col min="12040" max="12040" width="14.140625" customWidth="1"/>
    <col min="12041" max="12041" width="48.85546875" customWidth="1"/>
    <col min="12042" max="12042" width="13.42578125" customWidth="1"/>
    <col min="12043" max="12043" width="15" bestFit="1" customWidth="1"/>
    <col min="12292" max="12292" width="28.140625" customWidth="1"/>
    <col min="12293" max="12293" width="42.28515625" customWidth="1"/>
    <col min="12294" max="12294" width="28.42578125" customWidth="1"/>
    <col min="12295" max="12295" width="17" customWidth="1"/>
    <col min="12296" max="12296" width="14.140625" customWidth="1"/>
    <col min="12297" max="12297" width="48.85546875" customWidth="1"/>
    <col min="12298" max="12298" width="13.42578125" customWidth="1"/>
    <col min="12299" max="12299" width="15" bestFit="1" customWidth="1"/>
    <col min="12548" max="12548" width="28.140625" customWidth="1"/>
    <col min="12549" max="12549" width="42.28515625" customWidth="1"/>
    <col min="12550" max="12550" width="28.42578125" customWidth="1"/>
    <col min="12551" max="12551" width="17" customWidth="1"/>
    <col min="12552" max="12552" width="14.140625" customWidth="1"/>
    <col min="12553" max="12553" width="48.85546875" customWidth="1"/>
    <col min="12554" max="12554" width="13.42578125" customWidth="1"/>
    <col min="12555" max="12555" width="15" bestFit="1" customWidth="1"/>
    <col min="12804" max="12804" width="28.140625" customWidth="1"/>
    <col min="12805" max="12805" width="42.28515625" customWidth="1"/>
    <col min="12806" max="12806" width="28.42578125" customWidth="1"/>
    <col min="12807" max="12807" width="17" customWidth="1"/>
    <col min="12808" max="12808" width="14.140625" customWidth="1"/>
    <col min="12809" max="12809" width="48.85546875" customWidth="1"/>
    <col min="12810" max="12810" width="13.42578125" customWidth="1"/>
    <col min="12811" max="12811" width="15" bestFit="1" customWidth="1"/>
    <col min="13060" max="13060" width="28.140625" customWidth="1"/>
    <col min="13061" max="13061" width="42.28515625" customWidth="1"/>
    <col min="13062" max="13062" width="28.42578125" customWidth="1"/>
    <col min="13063" max="13063" width="17" customWidth="1"/>
    <col min="13064" max="13064" width="14.140625" customWidth="1"/>
    <col min="13065" max="13065" width="48.85546875" customWidth="1"/>
    <col min="13066" max="13066" width="13.42578125" customWidth="1"/>
    <col min="13067" max="13067" width="15" bestFit="1" customWidth="1"/>
    <col min="13316" max="13316" width="28.140625" customWidth="1"/>
    <col min="13317" max="13317" width="42.28515625" customWidth="1"/>
    <col min="13318" max="13318" width="28.42578125" customWidth="1"/>
    <col min="13319" max="13319" width="17" customWidth="1"/>
    <col min="13320" max="13320" width="14.140625" customWidth="1"/>
    <col min="13321" max="13321" width="48.85546875" customWidth="1"/>
    <col min="13322" max="13322" width="13.42578125" customWidth="1"/>
    <col min="13323" max="13323" width="15" bestFit="1" customWidth="1"/>
    <col min="13572" max="13572" width="28.140625" customWidth="1"/>
    <col min="13573" max="13573" width="42.28515625" customWidth="1"/>
    <col min="13574" max="13574" width="28.42578125" customWidth="1"/>
    <col min="13575" max="13575" width="17" customWidth="1"/>
    <col min="13576" max="13576" width="14.140625" customWidth="1"/>
    <col min="13577" max="13577" width="48.85546875" customWidth="1"/>
    <col min="13578" max="13578" width="13.42578125" customWidth="1"/>
    <col min="13579" max="13579" width="15" bestFit="1" customWidth="1"/>
    <col min="13828" max="13828" width="28.140625" customWidth="1"/>
    <col min="13829" max="13829" width="42.28515625" customWidth="1"/>
    <col min="13830" max="13830" width="28.42578125" customWidth="1"/>
    <col min="13831" max="13831" width="17" customWidth="1"/>
    <col min="13832" max="13832" width="14.140625" customWidth="1"/>
    <col min="13833" max="13833" width="48.85546875" customWidth="1"/>
    <col min="13834" max="13834" width="13.42578125" customWidth="1"/>
    <col min="13835" max="13835" width="15" bestFit="1" customWidth="1"/>
    <col min="14084" max="14084" width="28.140625" customWidth="1"/>
    <col min="14085" max="14085" width="42.28515625" customWidth="1"/>
    <col min="14086" max="14086" width="28.42578125" customWidth="1"/>
    <col min="14087" max="14087" width="17" customWidth="1"/>
    <col min="14088" max="14088" width="14.140625" customWidth="1"/>
    <col min="14089" max="14089" width="48.85546875" customWidth="1"/>
    <col min="14090" max="14090" width="13.42578125" customWidth="1"/>
    <col min="14091" max="14091" width="15" bestFit="1" customWidth="1"/>
    <col min="14340" max="14340" width="28.140625" customWidth="1"/>
    <col min="14341" max="14341" width="42.28515625" customWidth="1"/>
    <col min="14342" max="14342" width="28.42578125" customWidth="1"/>
    <col min="14343" max="14343" width="17" customWidth="1"/>
    <col min="14344" max="14344" width="14.140625" customWidth="1"/>
    <col min="14345" max="14345" width="48.85546875" customWidth="1"/>
    <col min="14346" max="14346" width="13.42578125" customWidth="1"/>
    <col min="14347" max="14347" width="15" bestFit="1" customWidth="1"/>
    <col min="14596" max="14596" width="28.140625" customWidth="1"/>
    <col min="14597" max="14597" width="42.28515625" customWidth="1"/>
    <col min="14598" max="14598" width="28.42578125" customWidth="1"/>
    <col min="14599" max="14599" width="17" customWidth="1"/>
    <col min="14600" max="14600" width="14.140625" customWidth="1"/>
    <col min="14601" max="14601" width="48.85546875" customWidth="1"/>
    <col min="14602" max="14602" width="13.42578125" customWidth="1"/>
    <col min="14603" max="14603" width="15" bestFit="1" customWidth="1"/>
    <col min="14852" max="14852" width="28.140625" customWidth="1"/>
    <col min="14853" max="14853" width="42.28515625" customWidth="1"/>
    <col min="14854" max="14854" width="28.42578125" customWidth="1"/>
    <col min="14855" max="14855" width="17" customWidth="1"/>
    <col min="14856" max="14856" width="14.140625" customWidth="1"/>
    <col min="14857" max="14857" width="48.85546875" customWidth="1"/>
    <col min="14858" max="14858" width="13.42578125" customWidth="1"/>
    <col min="14859" max="14859" width="15" bestFit="1" customWidth="1"/>
    <col min="15108" max="15108" width="28.140625" customWidth="1"/>
    <col min="15109" max="15109" width="42.28515625" customWidth="1"/>
    <col min="15110" max="15110" width="28.42578125" customWidth="1"/>
    <col min="15111" max="15111" width="17" customWidth="1"/>
    <col min="15112" max="15112" width="14.140625" customWidth="1"/>
    <col min="15113" max="15113" width="48.85546875" customWidth="1"/>
    <col min="15114" max="15114" width="13.42578125" customWidth="1"/>
    <col min="15115" max="15115" width="15" bestFit="1" customWidth="1"/>
    <col min="15364" max="15364" width="28.140625" customWidth="1"/>
    <col min="15365" max="15365" width="42.28515625" customWidth="1"/>
    <col min="15366" max="15366" width="28.42578125" customWidth="1"/>
    <col min="15367" max="15367" width="17" customWidth="1"/>
    <col min="15368" max="15368" width="14.140625" customWidth="1"/>
    <col min="15369" max="15369" width="48.85546875" customWidth="1"/>
    <col min="15370" max="15370" width="13.42578125" customWidth="1"/>
    <col min="15371" max="15371" width="15" bestFit="1" customWidth="1"/>
    <col min="15620" max="15620" width="28.140625" customWidth="1"/>
    <col min="15621" max="15621" width="42.28515625" customWidth="1"/>
    <col min="15622" max="15622" width="28.42578125" customWidth="1"/>
    <col min="15623" max="15623" width="17" customWidth="1"/>
    <col min="15624" max="15624" width="14.140625" customWidth="1"/>
    <col min="15625" max="15625" width="48.85546875" customWidth="1"/>
    <col min="15626" max="15626" width="13.42578125" customWidth="1"/>
    <col min="15627" max="15627" width="15" bestFit="1" customWidth="1"/>
    <col min="15876" max="15876" width="28.140625" customWidth="1"/>
    <col min="15877" max="15877" width="42.28515625" customWidth="1"/>
    <col min="15878" max="15878" width="28.42578125" customWidth="1"/>
    <col min="15879" max="15879" width="17" customWidth="1"/>
    <col min="15880" max="15880" width="14.140625" customWidth="1"/>
    <col min="15881" max="15881" width="48.85546875" customWidth="1"/>
    <col min="15882" max="15882" width="13.42578125" customWidth="1"/>
    <col min="15883" max="15883" width="15" bestFit="1" customWidth="1"/>
    <col min="16132" max="16132" width="28.140625" customWidth="1"/>
    <col min="16133" max="16133" width="42.28515625" customWidth="1"/>
    <col min="16134" max="16134" width="28.42578125" customWidth="1"/>
    <col min="16135" max="16135" width="17" customWidth="1"/>
    <col min="16136" max="16136" width="14.140625" customWidth="1"/>
    <col min="16137" max="16137" width="48.85546875" customWidth="1"/>
    <col min="16138" max="16138" width="13.42578125" customWidth="1"/>
    <col min="16139" max="16139" width="15" bestFit="1" customWidth="1"/>
  </cols>
  <sheetData>
    <row r="1" spans="1:9" s="335" customFormat="1" ht="42.75" customHeight="1" thickBot="1">
      <c r="A1" s="1347" t="s">
        <v>1550</v>
      </c>
      <c r="B1" s="1348"/>
      <c r="C1" s="1348"/>
      <c r="D1" s="1348"/>
      <c r="E1" s="1348"/>
      <c r="F1" s="1348"/>
      <c r="G1" s="1348"/>
      <c r="H1" s="1348"/>
      <c r="I1" s="1349"/>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2096</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2097</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22</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1534</v>
      </c>
      <c r="B14" s="1322"/>
      <c r="C14" s="1323"/>
      <c r="D14" s="1324" t="s">
        <v>1819</v>
      </c>
      <c r="E14" s="1322"/>
      <c r="F14" s="1323"/>
      <c r="G14" s="1325" t="s">
        <v>1820</v>
      </c>
      <c r="H14" s="1326"/>
      <c r="I14" s="1327"/>
    </row>
    <row r="15" spans="1:9" s="335" customFormat="1" ht="30" customHeight="1">
      <c r="A15" s="1301" t="s">
        <v>1806</v>
      </c>
      <c r="B15" s="1302"/>
      <c r="C15" s="1303"/>
      <c r="D15" s="1304" t="s">
        <v>2098</v>
      </c>
      <c r="E15" s="1302"/>
      <c r="F15" s="1303"/>
      <c r="G15" s="1304">
        <v>1</v>
      </c>
      <c r="H15" s="1302"/>
      <c r="I15" s="1305"/>
    </row>
    <row r="16" spans="1:9" s="335" customFormat="1" ht="8.25" customHeight="1">
      <c r="A16" s="1044"/>
      <c r="B16" s="1045"/>
      <c r="C16" s="1045"/>
      <c r="D16" s="1045"/>
      <c r="E16" s="1045"/>
      <c r="F16" s="1045"/>
      <c r="G16" s="1045"/>
      <c r="H16" s="1045"/>
      <c r="I16" s="1046"/>
    </row>
    <row r="17" spans="1:9" s="335" customFormat="1" ht="26.25" customHeight="1">
      <c r="A17" s="1290" t="s">
        <v>1823</v>
      </c>
      <c r="B17" s="1291"/>
      <c r="C17" s="1291"/>
      <c r="D17" s="1291"/>
      <c r="E17" s="1291"/>
      <c r="F17" s="1291"/>
      <c r="G17" s="1292"/>
      <c r="H17" s="1292"/>
      <c r="I17" s="1293"/>
    </row>
    <row r="18" spans="1:9" s="335" customFormat="1" ht="32.25" customHeight="1">
      <c r="A18" s="1294" t="s">
        <v>1824</v>
      </c>
      <c r="B18" s="1295"/>
      <c r="C18" s="1295"/>
      <c r="D18" s="1295"/>
      <c r="E18" s="1295"/>
      <c r="F18" s="1295"/>
      <c r="G18" s="1292"/>
      <c r="H18" s="1292"/>
      <c r="I18" s="1293"/>
    </row>
    <row r="19" spans="1:9" s="335" customFormat="1" ht="27.75" customHeight="1">
      <c r="A19" s="1296" t="s">
        <v>1825</v>
      </c>
      <c r="B19" s="1297"/>
      <c r="C19" s="1297"/>
      <c r="D19" s="1297"/>
      <c r="E19" s="1297"/>
      <c r="F19" s="1297"/>
      <c r="G19" s="1298"/>
      <c r="H19" s="1299"/>
      <c r="I19" s="1300"/>
    </row>
    <row r="20" spans="1:9" s="335" customFormat="1" ht="33.75" customHeight="1">
      <c r="A20" s="343">
        <v>1</v>
      </c>
      <c r="B20" s="1274" t="s">
        <v>1566</v>
      </c>
      <c r="C20" s="1275"/>
      <c r="D20" s="1275"/>
      <c r="E20" s="1275"/>
      <c r="F20" s="1275"/>
      <c r="G20" s="1284" t="s">
        <v>1963</v>
      </c>
      <c r="H20" s="1285"/>
      <c r="I20" s="1286"/>
    </row>
    <row r="21" spans="1:9" s="335" customFormat="1" ht="30.75" customHeight="1">
      <c r="A21" s="343">
        <v>2</v>
      </c>
      <c r="B21" s="1274" t="s">
        <v>1827</v>
      </c>
      <c r="C21" s="1275"/>
      <c r="D21" s="1275"/>
      <c r="E21" s="1275"/>
      <c r="F21" s="1275"/>
      <c r="G21" s="1276" t="s">
        <v>2099</v>
      </c>
      <c r="H21" s="1277"/>
      <c r="I21" s="1278"/>
    </row>
    <row r="22" spans="1:9" s="335" customFormat="1" ht="27" customHeight="1">
      <c r="A22" s="343">
        <v>3</v>
      </c>
      <c r="B22" s="1274" t="s">
        <v>1570</v>
      </c>
      <c r="C22" s="1275"/>
      <c r="D22" s="1275"/>
      <c r="E22" s="1275"/>
      <c r="F22" s="1275"/>
      <c r="G22" s="1287"/>
      <c r="H22" s="1288"/>
      <c r="I22" s="1289"/>
    </row>
    <row r="23" spans="1:9" s="335" customFormat="1" ht="29.25" customHeight="1">
      <c r="A23" s="343">
        <v>4</v>
      </c>
      <c r="B23" s="1274" t="s">
        <v>1829</v>
      </c>
      <c r="C23" s="1275"/>
      <c r="D23" s="1275"/>
      <c r="E23" s="1275"/>
      <c r="F23" s="1275"/>
      <c r="G23" s="1276" t="s">
        <v>1963</v>
      </c>
      <c r="H23" s="1277"/>
      <c r="I23" s="1278"/>
    </row>
    <row r="24" spans="1:9" s="335" customFormat="1" ht="28.5" customHeight="1" thickBot="1">
      <c r="A24" s="343">
        <v>5</v>
      </c>
      <c r="B24" s="1274" t="s">
        <v>1573</v>
      </c>
      <c r="C24" s="1275"/>
      <c r="D24" s="1275"/>
      <c r="E24" s="1275"/>
      <c r="F24" s="1275"/>
      <c r="G24" s="1398">
        <v>45658</v>
      </c>
      <c r="H24" s="1280"/>
      <c r="I24" s="1281"/>
    </row>
    <row r="25" spans="1:9" s="335" customFormat="1" ht="8.25" customHeight="1">
      <c r="A25" s="1044"/>
      <c r="B25" s="1045"/>
      <c r="C25" s="1045"/>
      <c r="D25" s="1045"/>
      <c r="E25" s="1045"/>
      <c r="F25" s="1045"/>
      <c r="G25" s="1045"/>
      <c r="H25" s="1045"/>
      <c r="I25" s="351"/>
    </row>
    <row r="26" spans="1:9" s="335" customFormat="1" ht="30" customHeight="1">
      <c r="A26" s="1282" t="s">
        <v>1832</v>
      </c>
      <c r="B26" s="1283"/>
      <c r="C26" s="1283"/>
      <c r="D26" s="1283"/>
      <c r="E26" s="1283"/>
      <c r="F26" s="1283"/>
      <c r="G26" s="1283"/>
      <c r="H26" s="1283"/>
      <c r="I26" s="352"/>
    </row>
    <row r="27" spans="1:9" s="335" customFormat="1" ht="24" customHeight="1">
      <c r="A27" s="1266" t="s">
        <v>1833</v>
      </c>
      <c r="B27" s="1267"/>
      <c r="C27" s="1267"/>
      <c r="D27" s="1267"/>
      <c r="E27" s="1267"/>
      <c r="F27" s="1267"/>
      <c r="G27" s="1267"/>
      <c r="H27" s="1267"/>
      <c r="I27" s="352"/>
    </row>
    <row r="28" spans="1:9" s="335" customFormat="1" ht="12.75" customHeight="1" thickBot="1">
      <c r="A28" s="1268"/>
      <c r="B28" s="1269"/>
      <c r="C28" s="1269"/>
      <c r="D28" s="1269"/>
      <c r="E28" s="1269"/>
      <c r="F28" s="1269"/>
      <c r="G28" s="1269"/>
      <c r="H28" s="1269"/>
      <c r="I28" s="353"/>
    </row>
    <row r="29" spans="1:9" s="335" customFormat="1" ht="27" thickBot="1">
      <c r="A29" s="1092" t="s">
        <v>1834</v>
      </c>
      <c r="B29" s="1093"/>
      <c r="C29" s="1093"/>
      <c r="D29" s="1093"/>
      <c r="E29" s="1093"/>
      <c r="F29" s="1093"/>
      <c r="G29" s="1093"/>
      <c r="H29" s="1094"/>
      <c r="I29" s="352"/>
    </row>
    <row r="30" spans="1:9" s="335" customFormat="1" ht="28.5" customHeight="1">
      <c r="A30" s="1270" t="s">
        <v>1575</v>
      </c>
      <c r="B30" s="1271"/>
      <c r="C30" s="1271"/>
      <c r="D30" s="1271"/>
      <c r="E30" s="1271"/>
      <c r="F30" s="1271" t="s">
        <v>1576</v>
      </c>
      <c r="G30" s="1271"/>
      <c r="H30" s="1271"/>
      <c r="I30" s="352"/>
    </row>
    <row r="31" spans="1:9" s="335" customFormat="1" ht="25.5" customHeight="1">
      <c r="A31" s="343" t="s">
        <v>1554</v>
      </c>
      <c r="B31" s="1101" t="s">
        <v>1835</v>
      </c>
      <c r="C31" s="1102"/>
      <c r="D31" s="1102"/>
      <c r="E31" s="1128"/>
      <c r="F31" s="1272">
        <f>G22</f>
        <v>0</v>
      </c>
      <c r="G31" s="1273"/>
      <c r="H31" s="1273"/>
      <c r="I31" s="352"/>
    </row>
    <row r="32" spans="1:9" s="335" customFormat="1" ht="43.5" customHeight="1">
      <c r="A32" s="343" t="s">
        <v>1556</v>
      </c>
      <c r="B32" s="1201" t="s">
        <v>1965</v>
      </c>
      <c r="C32" s="1202"/>
      <c r="D32" s="1202"/>
      <c r="E32" s="1203"/>
      <c r="F32" s="1262">
        <v>0</v>
      </c>
      <c r="G32" s="1263"/>
      <c r="H32" s="1263"/>
      <c r="I32" s="354"/>
    </row>
    <row r="33" spans="1:11" s="335" customFormat="1" ht="44.25" customHeight="1">
      <c r="A33" s="343" t="s">
        <v>1559</v>
      </c>
      <c r="B33" s="1101" t="s">
        <v>1579</v>
      </c>
      <c r="C33" s="1102"/>
      <c r="D33" s="1102"/>
      <c r="E33" s="1128"/>
      <c r="F33" s="1264"/>
      <c r="G33" s="1265"/>
      <c r="H33" s="1265"/>
      <c r="I33" s="355"/>
    </row>
    <row r="34" spans="1:11" s="335" customFormat="1" ht="48" customHeight="1">
      <c r="A34" s="343" t="s">
        <v>1562</v>
      </c>
      <c r="B34" s="1201" t="s">
        <v>1837</v>
      </c>
      <c r="C34" s="1202"/>
      <c r="D34" s="1202"/>
      <c r="E34" s="1203"/>
      <c r="F34" s="1262">
        <v>0</v>
      </c>
      <c r="G34" s="1263"/>
      <c r="H34" s="1263"/>
      <c r="I34" s="1251"/>
    </row>
    <row r="35" spans="1:11" s="335" customFormat="1" ht="45" customHeight="1">
      <c r="A35" s="343" t="s">
        <v>1581</v>
      </c>
      <c r="B35" s="1149" t="s">
        <v>1838</v>
      </c>
      <c r="C35" s="1150"/>
      <c r="D35" s="1150"/>
      <c r="E35" s="1151"/>
      <c r="F35" s="1253">
        <v>0</v>
      </c>
      <c r="G35" s="1254"/>
      <c r="H35" s="1254"/>
      <c r="I35" s="1252"/>
    </row>
    <row r="36" spans="1:11" s="335" customFormat="1" ht="30" customHeight="1">
      <c r="A36" s="343" t="s">
        <v>1583</v>
      </c>
      <c r="B36" s="1101" t="s">
        <v>1584</v>
      </c>
      <c r="C36" s="1102"/>
      <c r="D36" s="1102"/>
      <c r="E36" s="1128"/>
      <c r="F36" s="1255"/>
      <c r="G36" s="1256"/>
      <c r="H36" s="1256"/>
      <c r="I36" s="352"/>
    </row>
    <row r="37" spans="1:11" s="335" customFormat="1" ht="24" thickBot="1">
      <c r="A37" s="356"/>
      <c r="B37" s="1257" t="s">
        <v>1839</v>
      </c>
      <c r="C37" s="1258"/>
      <c r="D37" s="1258"/>
      <c r="E37" s="1259"/>
      <c r="F37" s="1260">
        <f>SUM(F31:H36)</f>
        <v>0</v>
      </c>
      <c r="G37" s="1261"/>
      <c r="H37" s="1261"/>
      <c r="I37" s="352"/>
    </row>
    <row r="38" spans="1:11" s="335" customFormat="1" ht="9.75" customHeight="1" thickBot="1">
      <c r="A38" s="1009" t="s">
        <v>1840</v>
      </c>
      <c r="B38" s="1010"/>
      <c r="C38" s="1010"/>
      <c r="D38" s="1010"/>
      <c r="E38" s="1010"/>
      <c r="F38" s="1010"/>
      <c r="G38" s="1010"/>
      <c r="H38" s="1010"/>
      <c r="I38" s="1011"/>
    </row>
    <row r="39" spans="1:11" s="335" customFormat="1" ht="18.75">
      <c r="A39" s="1239" t="s">
        <v>1841</v>
      </c>
      <c r="B39" s="1240"/>
      <c r="C39" s="1240"/>
      <c r="D39" s="1240"/>
      <c r="E39" s="1240"/>
      <c r="F39" s="1240"/>
      <c r="G39" s="1240"/>
      <c r="H39" s="1240"/>
      <c r="I39" s="1241"/>
    </row>
    <row r="40" spans="1:11" s="335" customFormat="1" ht="1.5" customHeight="1" thickBot="1">
      <c r="A40" s="1242"/>
      <c r="B40" s="1243"/>
      <c r="C40" s="1243"/>
      <c r="D40" s="1243"/>
      <c r="E40" s="1243"/>
      <c r="F40" s="1243"/>
      <c r="G40" s="1243"/>
      <c r="H40" s="1243"/>
      <c r="I40" s="1244"/>
    </row>
    <row r="41" spans="1:11" s="335" customFormat="1" ht="9.75" customHeight="1" thickBot="1">
      <c r="A41" s="1245"/>
      <c r="B41" s="1246"/>
      <c r="C41" s="1246"/>
      <c r="D41" s="1246"/>
      <c r="E41" s="1246"/>
      <c r="F41" s="1246"/>
      <c r="G41" s="1246"/>
      <c r="H41" s="1246"/>
      <c r="I41" s="1247"/>
    </row>
    <row r="42" spans="1:11" s="335" customFormat="1" ht="36" customHeight="1" thickBot="1">
      <c r="A42" s="1092" t="s">
        <v>1842</v>
      </c>
      <c r="B42" s="1093"/>
      <c r="C42" s="1093"/>
      <c r="D42" s="1093"/>
      <c r="E42" s="1093"/>
      <c r="F42" s="1093"/>
      <c r="G42" s="1093"/>
      <c r="H42" s="1093"/>
      <c r="I42" s="1094"/>
    </row>
    <row r="43" spans="1:11" s="335" customFormat="1" ht="34.5" customHeight="1">
      <c r="A43" s="1248" t="s">
        <v>1843</v>
      </c>
      <c r="B43" s="1249"/>
      <c r="C43" s="1249"/>
      <c r="D43" s="1249"/>
      <c r="E43" s="1249"/>
      <c r="F43" s="1249"/>
      <c r="G43" s="1249"/>
      <c r="H43" s="1249"/>
      <c r="I43" s="1250"/>
    </row>
    <row r="44" spans="1:11" s="335" customFormat="1" ht="27" customHeight="1">
      <c r="A44" s="343" t="s">
        <v>710</v>
      </c>
      <c r="B44" s="1236" t="s">
        <v>1844</v>
      </c>
      <c r="C44" s="1237"/>
      <c r="D44" s="1237"/>
      <c r="E44" s="1238"/>
      <c r="F44" s="1236" t="s">
        <v>1845</v>
      </c>
      <c r="G44" s="1237"/>
      <c r="H44" s="1238"/>
      <c r="I44" s="357" t="s">
        <v>1576</v>
      </c>
    </row>
    <row r="45" spans="1:11" s="335" customFormat="1" ht="18">
      <c r="A45" s="358" t="s">
        <v>1554</v>
      </c>
      <c r="B45" s="1207" t="s">
        <v>1846</v>
      </c>
      <c r="C45" s="1208"/>
      <c r="D45" s="1208"/>
      <c r="E45" s="1209"/>
      <c r="F45" s="1154">
        <v>8.3299999999999999E-2</v>
      </c>
      <c r="G45" s="1155"/>
      <c r="H45" s="1156"/>
      <c r="I45" s="359">
        <f>F37*F45</f>
        <v>0</v>
      </c>
      <c r="J45" s="437"/>
    </row>
    <row r="46" spans="1:11" s="335" customFormat="1" ht="18">
      <c r="A46" s="358" t="s">
        <v>1556</v>
      </c>
      <c r="B46" s="1207" t="s">
        <v>1953</v>
      </c>
      <c r="C46" s="1208"/>
      <c r="D46" s="1208"/>
      <c r="E46" s="1209"/>
      <c r="F46" s="1154">
        <v>0.121</v>
      </c>
      <c r="G46" s="1155"/>
      <c r="H46" s="1156"/>
      <c r="I46" s="359">
        <f>F46*F37</f>
        <v>0</v>
      </c>
      <c r="J46" s="437"/>
    </row>
    <row r="47" spans="1:11" s="335" customFormat="1" ht="20.25">
      <c r="A47" s="360"/>
      <c r="B47" s="1221" t="s">
        <v>1848</v>
      </c>
      <c r="C47" s="1222"/>
      <c r="D47" s="1222"/>
      <c r="E47" s="1223"/>
      <c r="F47" s="1224">
        <f>F45+F46</f>
        <v>0.20429999999999998</v>
      </c>
      <c r="G47" s="1225"/>
      <c r="H47" s="1226"/>
      <c r="I47" s="361">
        <f>I45+I46</f>
        <v>0</v>
      </c>
      <c r="K47" s="350"/>
    </row>
    <row r="48" spans="1:11" s="335" customFormat="1" ht="33.75" customHeight="1">
      <c r="A48" s="362"/>
      <c r="B48" s="1227" t="s">
        <v>1849</v>
      </c>
      <c r="C48" s="1228"/>
      <c r="D48" s="1228"/>
      <c r="E48" s="1229"/>
      <c r="F48" s="1230">
        <f>F61*F47</f>
        <v>7.5182399999999996E-2</v>
      </c>
      <c r="G48" s="1231"/>
      <c r="H48" s="1232"/>
      <c r="I48" s="363">
        <f>F61*I47</f>
        <v>0</v>
      </c>
    </row>
    <row r="49" spans="1:11" s="335" customFormat="1" ht="30" customHeight="1" thickBot="1">
      <c r="A49" s="364"/>
      <c r="B49" s="1233" t="s">
        <v>15</v>
      </c>
      <c r="C49" s="1234"/>
      <c r="D49" s="1234"/>
      <c r="E49" s="1235"/>
      <c r="F49" s="1146">
        <f>F47+F48</f>
        <v>0.27948239999999996</v>
      </c>
      <c r="G49" s="1147"/>
      <c r="H49" s="1148"/>
      <c r="I49" s="365">
        <f>I47+I48</f>
        <v>0</v>
      </c>
      <c r="J49" s="350"/>
      <c r="K49" s="350"/>
    </row>
    <row r="50" spans="1:11" s="367" customFormat="1" ht="8.25" customHeight="1" thickBot="1">
      <c r="A50" s="1009"/>
      <c r="B50" s="1010"/>
      <c r="C50" s="1010"/>
      <c r="D50" s="1010"/>
      <c r="E50" s="1010"/>
      <c r="F50" s="1010"/>
      <c r="G50" s="1010"/>
      <c r="H50" s="1010"/>
      <c r="I50" s="1011"/>
      <c r="J50" s="335"/>
      <c r="K50" s="335"/>
    </row>
    <row r="51" spans="1:11" s="335" customFormat="1" ht="41.25" customHeight="1">
      <c r="A51" s="1217" t="s">
        <v>1850</v>
      </c>
      <c r="B51" s="1218"/>
      <c r="C51" s="1218"/>
      <c r="D51" s="1218"/>
      <c r="E51" s="1218"/>
      <c r="F51" s="1218"/>
      <c r="G51" s="1218"/>
      <c r="H51" s="1218"/>
      <c r="I51" s="1219"/>
    </row>
    <row r="52" spans="1:11" s="335" customFormat="1" ht="24" customHeight="1">
      <c r="A52" s="343" t="s">
        <v>782</v>
      </c>
      <c r="B52" s="1153" t="s">
        <v>1594</v>
      </c>
      <c r="C52" s="1064"/>
      <c r="D52" s="1064"/>
      <c r="E52" s="1065"/>
      <c r="F52" s="1153" t="s">
        <v>1845</v>
      </c>
      <c r="G52" s="1065"/>
      <c r="H52" s="1153" t="s">
        <v>1576</v>
      </c>
      <c r="I52" s="1220"/>
    </row>
    <row r="53" spans="1:11" s="335" customFormat="1" ht="20.25">
      <c r="A53" s="343" t="s">
        <v>1554</v>
      </c>
      <c r="B53" s="1207" t="s">
        <v>1595</v>
      </c>
      <c r="C53" s="1208"/>
      <c r="D53" s="1208"/>
      <c r="E53" s="1209"/>
      <c r="F53" s="1074">
        <v>0.2</v>
      </c>
      <c r="G53" s="1075"/>
      <c r="H53" s="1072">
        <f>$F$37*F53</f>
        <v>0</v>
      </c>
      <c r="I53" s="1073"/>
      <c r="K53" s="350"/>
    </row>
    <row r="54" spans="1:11" s="335" customFormat="1" ht="20.25">
      <c r="A54" s="343" t="s">
        <v>1556</v>
      </c>
      <c r="B54" s="1207" t="s">
        <v>1596</v>
      </c>
      <c r="C54" s="1208"/>
      <c r="D54" s="1208"/>
      <c r="E54" s="1209"/>
      <c r="F54" s="1074">
        <v>2.5000000000000001E-2</v>
      </c>
      <c r="G54" s="1075"/>
      <c r="H54" s="1072">
        <f t="shared" ref="H54:H60" si="0">$F$37*F54</f>
        <v>0</v>
      </c>
      <c r="I54" s="1073"/>
      <c r="K54" s="350"/>
    </row>
    <row r="55" spans="1:11" s="335" customFormat="1" ht="20.25">
      <c r="A55" s="343" t="s">
        <v>1559</v>
      </c>
      <c r="B55" s="1216" t="s">
        <v>1851</v>
      </c>
      <c r="C55" s="1208"/>
      <c r="D55" s="1208"/>
      <c r="E55" s="1209"/>
      <c r="F55" s="1074">
        <v>0.03</v>
      </c>
      <c r="G55" s="1075"/>
      <c r="H55" s="1072">
        <f t="shared" si="0"/>
        <v>0</v>
      </c>
      <c r="I55" s="1073"/>
      <c r="K55" s="350"/>
    </row>
    <row r="56" spans="1:11" s="335" customFormat="1" ht="20.25">
      <c r="A56" s="343" t="s">
        <v>1562</v>
      </c>
      <c r="B56" s="1207" t="s">
        <v>1598</v>
      </c>
      <c r="C56" s="1208"/>
      <c r="D56" s="1208"/>
      <c r="E56" s="1209"/>
      <c r="F56" s="1074">
        <v>1.4999999999999999E-2</v>
      </c>
      <c r="G56" s="1075"/>
      <c r="H56" s="1072">
        <f t="shared" si="0"/>
        <v>0</v>
      </c>
      <c r="I56" s="1073"/>
      <c r="K56" s="350"/>
    </row>
    <row r="57" spans="1:11" s="335" customFormat="1" ht="20.25">
      <c r="A57" s="343" t="s">
        <v>1581</v>
      </c>
      <c r="B57" s="1207" t="s">
        <v>1852</v>
      </c>
      <c r="C57" s="1208"/>
      <c r="D57" s="1208"/>
      <c r="E57" s="1209"/>
      <c r="F57" s="1074">
        <v>0.01</v>
      </c>
      <c r="G57" s="1075"/>
      <c r="H57" s="1072">
        <f t="shared" si="0"/>
        <v>0</v>
      </c>
      <c r="I57" s="1073"/>
      <c r="K57" s="350"/>
    </row>
    <row r="58" spans="1:11" s="335" customFormat="1" ht="20.25">
      <c r="A58" s="343" t="s">
        <v>1583</v>
      </c>
      <c r="B58" s="1207" t="s">
        <v>1600</v>
      </c>
      <c r="C58" s="1208"/>
      <c r="D58" s="1208"/>
      <c r="E58" s="1209"/>
      <c r="F58" s="1074">
        <v>6.0000000000000001E-3</v>
      </c>
      <c r="G58" s="1075"/>
      <c r="H58" s="1072">
        <f t="shared" si="0"/>
        <v>0</v>
      </c>
      <c r="I58" s="1073"/>
      <c r="K58" s="350"/>
    </row>
    <row r="59" spans="1:11" s="335" customFormat="1" ht="20.25">
      <c r="A59" s="343" t="s">
        <v>1601</v>
      </c>
      <c r="B59" s="1207" t="s">
        <v>1602</v>
      </c>
      <c r="C59" s="1208"/>
      <c r="D59" s="1208"/>
      <c r="E59" s="1209"/>
      <c r="F59" s="1074">
        <v>2E-3</v>
      </c>
      <c r="G59" s="1075"/>
      <c r="H59" s="1072">
        <f t="shared" si="0"/>
        <v>0</v>
      </c>
      <c r="I59" s="1073"/>
      <c r="K59" s="350"/>
    </row>
    <row r="60" spans="1:11" s="335" customFormat="1" ht="20.25">
      <c r="A60" s="343" t="s">
        <v>1603</v>
      </c>
      <c r="B60" s="1207" t="s">
        <v>1604</v>
      </c>
      <c r="C60" s="1208"/>
      <c r="D60" s="1208"/>
      <c r="E60" s="1209"/>
      <c r="F60" s="1074">
        <v>0.08</v>
      </c>
      <c r="G60" s="1075"/>
      <c r="H60" s="1072">
        <f t="shared" si="0"/>
        <v>0</v>
      </c>
      <c r="I60" s="1073"/>
      <c r="K60" s="350"/>
    </row>
    <row r="61" spans="1:11" s="335" customFormat="1" ht="21" thickBot="1">
      <c r="A61" s="368"/>
      <c r="B61" s="1210" t="s">
        <v>1853</v>
      </c>
      <c r="C61" s="1211"/>
      <c r="D61" s="1211"/>
      <c r="E61" s="1212"/>
      <c r="F61" s="1334">
        <f>SUM(F53:G60)</f>
        <v>0.36800000000000005</v>
      </c>
      <c r="G61" s="1335"/>
      <c r="H61" s="1118">
        <f>SUM(H53:I60)</f>
        <v>0</v>
      </c>
      <c r="I61" s="1215"/>
      <c r="J61" s="350"/>
      <c r="K61" s="438"/>
    </row>
    <row r="62" spans="1:11" s="335" customFormat="1" ht="9.75" customHeight="1" thickBot="1">
      <c r="A62" s="1009"/>
      <c r="B62" s="1010"/>
      <c r="C62" s="1010"/>
      <c r="D62" s="1010"/>
      <c r="E62" s="1010"/>
      <c r="F62" s="1010"/>
      <c r="G62" s="1010"/>
      <c r="H62" s="1010"/>
      <c r="I62" s="1011"/>
    </row>
    <row r="63" spans="1:11" s="335" customFormat="1" ht="31.5" customHeight="1">
      <c r="A63" s="1344" t="s">
        <v>1854</v>
      </c>
      <c r="B63" s="1345"/>
      <c r="C63" s="1345"/>
      <c r="D63" s="1345"/>
      <c r="E63" s="1345"/>
      <c r="F63" s="1345"/>
      <c r="G63" s="1345"/>
      <c r="H63" s="1346"/>
      <c r="I63" s="369"/>
    </row>
    <row r="64" spans="1:11" s="335" customFormat="1" ht="27" customHeight="1">
      <c r="A64" s="370" t="s">
        <v>789</v>
      </c>
      <c r="B64" s="1152" t="s">
        <v>1607</v>
      </c>
      <c r="C64" s="1108"/>
      <c r="D64" s="1108"/>
      <c r="E64" s="1109"/>
      <c r="F64" s="1152" t="s">
        <v>1576</v>
      </c>
      <c r="G64" s="1108"/>
      <c r="H64" s="1109"/>
      <c r="I64" s="369"/>
      <c r="J64" s="439"/>
    </row>
    <row r="65" spans="1:13" s="335" customFormat="1" ht="37.5" customHeight="1">
      <c r="A65" s="343" t="s">
        <v>1554</v>
      </c>
      <c r="B65" s="1201" t="s">
        <v>2100</v>
      </c>
      <c r="C65" s="1202"/>
      <c r="D65" s="1202"/>
      <c r="E65" s="1203"/>
      <c r="F65" s="1204"/>
      <c r="G65" s="1205"/>
      <c r="H65" s="1206"/>
      <c r="I65" s="371"/>
      <c r="J65" s="440"/>
    </row>
    <row r="66" spans="1:13" s="335" customFormat="1" ht="28.5" customHeight="1">
      <c r="A66" s="343" t="s">
        <v>1556</v>
      </c>
      <c r="B66" s="1170" t="s">
        <v>2101</v>
      </c>
      <c r="C66" s="1102"/>
      <c r="D66" s="1102"/>
      <c r="E66" s="1128"/>
      <c r="F66" s="1084"/>
      <c r="G66" s="1178"/>
      <c r="H66" s="1179"/>
      <c r="I66" s="369"/>
      <c r="J66" s="441"/>
    </row>
    <row r="67" spans="1:13" s="335" customFormat="1" ht="25.5" customHeight="1">
      <c r="A67" s="343" t="s">
        <v>1858</v>
      </c>
      <c r="B67" s="1101" t="s">
        <v>1859</v>
      </c>
      <c r="C67" s="1102"/>
      <c r="D67" s="1102"/>
      <c r="E67" s="1128"/>
      <c r="F67" s="1192">
        <v>0</v>
      </c>
      <c r="G67" s="1193"/>
      <c r="H67" s="1194"/>
      <c r="I67" s="369"/>
      <c r="J67" s="441"/>
    </row>
    <row r="68" spans="1:13" s="335" customFormat="1" ht="23.25" customHeight="1">
      <c r="A68" s="343" t="s">
        <v>1860</v>
      </c>
      <c r="B68" s="1101" t="s">
        <v>1861</v>
      </c>
      <c r="C68" s="1102"/>
      <c r="D68" s="1102"/>
      <c r="E68" s="1128"/>
      <c r="F68" s="1195">
        <f>F66-F67</f>
        <v>0</v>
      </c>
      <c r="G68" s="1196"/>
      <c r="H68" s="1197"/>
      <c r="I68" s="369"/>
      <c r="J68" s="441"/>
    </row>
    <row r="69" spans="1:13" s="335" customFormat="1" ht="24" customHeight="1">
      <c r="A69" s="343" t="s">
        <v>1559</v>
      </c>
      <c r="B69" s="1185" t="s">
        <v>2102</v>
      </c>
      <c r="C69" s="1102"/>
      <c r="D69" s="1102"/>
      <c r="E69" s="1128"/>
      <c r="F69" s="1084"/>
      <c r="G69" s="1178"/>
      <c r="H69" s="1179"/>
      <c r="I69" s="369"/>
      <c r="J69" s="439"/>
    </row>
    <row r="70" spans="1:13" s="335" customFormat="1" ht="24.75" customHeight="1">
      <c r="A70" s="343" t="s">
        <v>1562</v>
      </c>
      <c r="B70" s="1101" t="s">
        <v>2103</v>
      </c>
      <c r="C70" s="1102"/>
      <c r="D70" s="1102"/>
      <c r="E70" s="1128"/>
      <c r="F70" s="1084"/>
      <c r="G70" s="1178"/>
      <c r="H70" s="1179"/>
      <c r="I70" s="369"/>
      <c r="J70" s="439"/>
    </row>
    <row r="71" spans="1:13" s="335" customFormat="1" ht="23.25" customHeight="1">
      <c r="A71" s="343" t="s">
        <v>1581</v>
      </c>
      <c r="B71" s="1392" t="s">
        <v>1864</v>
      </c>
      <c r="C71" s="1393"/>
      <c r="D71" s="1393"/>
      <c r="E71" s="1394"/>
      <c r="F71" s="1395">
        <v>0</v>
      </c>
      <c r="G71" s="1396"/>
      <c r="H71" s="1397"/>
      <c r="I71" s="369"/>
      <c r="J71" s="350"/>
    </row>
    <row r="72" spans="1:13" s="335" customFormat="1" ht="40.5" customHeight="1">
      <c r="A72" s="343" t="s">
        <v>1583</v>
      </c>
      <c r="B72" s="1101" t="s">
        <v>1967</v>
      </c>
      <c r="C72" s="1102"/>
      <c r="D72" s="1102"/>
      <c r="E72" s="1128"/>
      <c r="F72" s="1084">
        <v>0</v>
      </c>
      <c r="G72" s="1178"/>
      <c r="H72" s="1179"/>
      <c r="I72" s="373"/>
      <c r="J72" s="1343"/>
      <c r="K72" s="1343"/>
      <c r="L72" s="1343"/>
      <c r="M72" s="443"/>
    </row>
    <row r="73" spans="1:13" s="335" customFormat="1" ht="24.75" customHeight="1">
      <c r="A73" s="374"/>
      <c r="B73" s="1176" t="s">
        <v>1865</v>
      </c>
      <c r="C73" s="1177"/>
      <c r="D73" s="1177"/>
      <c r="E73" s="1180"/>
      <c r="F73" s="1181">
        <f>F65+F68+F69+F70+F71+F72</f>
        <v>0</v>
      </c>
      <c r="G73" s="1182"/>
      <c r="H73" s="1183"/>
      <c r="I73" s="369"/>
    </row>
    <row r="74" spans="1:13" s="335" customFormat="1" ht="7.5" customHeight="1">
      <c r="A74" s="1044"/>
      <c r="B74" s="1045"/>
      <c r="C74" s="1045"/>
      <c r="D74" s="1045"/>
      <c r="E74" s="1045"/>
      <c r="F74" s="1045"/>
      <c r="G74" s="1045"/>
      <c r="H74" s="1184"/>
      <c r="I74" s="369"/>
    </row>
    <row r="75" spans="1:13" s="335" customFormat="1" ht="30.75" customHeight="1">
      <c r="A75" s="1047" t="s">
        <v>1968</v>
      </c>
      <c r="B75" s="1048"/>
      <c r="C75" s="1048"/>
      <c r="D75" s="1048"/>
      <c r="E75" s="1048"/>
      <c r="F75" s="1048"/>
      <c r="G75" s="1048"/>
      <c r="H75" s="1048"/>
      <c r="I75" s="1049"/>
      <c r="J75" s="444"/>
    </row>
    <row r="76" spans="1:13" s="335" customFormat="1" ht="22.5" customHeight="1">
      <c r="A76" s="343">
        <v>2</v>
      </c>
      <c r="B76" s="1125" t="s">
        <v>1617</v>
      </c>
      <c r="C76" s="1126" t="s">
        <v>1889</v>
      </c>
      <c r="D76" s="1126" t="s">
        <v>1889</v>
      </c>
      <c r="E76" s="1126" t="s">
        <v>1889</v>
      </c>
      <c r="F76" s="1126" t="s">
        <v>1889</v>
      </c>
      <c r="G76" s="1126" t="s">
        <v>1889</v>
      </c>
      <c r="H76" s="1127" t="s">
        <v>1889</v>
      </c>
      <c r="I76" s="380" t="s">
        <v>1576</v>
      </c>
    </row>
    <row r="77" spans="1:13" s="335" customFormat="1" ht="23.25" customHeight="1">
      <c r="A77" s="375" t="s">
        <v>710</v>
      </c>
      <c r="B77" s="1173" t="str">
        <f>B44</f>
        <v>13º Salário, Férias e Adicional de Férias</v>
      </c>
      <c r="C77" s="1174"/>
      <c r="D77" s="1174"/>
      <c r="E77" s="1174"/>
      <c r="F77" s="1174"/>
      <c r="G77" s="1174"/>
      <c r="H77" s="1175"/>
      <c r="I77" s="376">
        <f>I49</f>
        <v>0</v>
      </c>
    </row>
    <row r="78" spans="1:13" s="335" customFormat="1" ht="24.75" customHeight="1">
      <c r="A78" s="375" t="s">
        <v>782</v>
      </c>
      <c r="B78" s="1170" t="str">
        <f>B52</f>
        <v>GPS, FGTS e outras contribuições</v>
      </c>
      <c r="C78" s="1171"/>
      <c r="D78" s="1171"/>
      <c r="E78" s="1171"/>
      <c r="F78" s="1171"/>
      <c r="G78" s="1171"/>
      <c r="H78" s="1172"/>
      <c r="I78" s="377">
        <f>H61</f>
        <v>0</v>
      </c>
    </row>
    <row r="79" spans="1:13" s="335" customFormat="1" ht="24.75" customHeight="1">
      <c r="A79" s="375" t="s">
        <v>789</v>
      </c>
      <c r="B79" s="1173" t="str">
        <f>B64</f>
        <v>Benefícios Mensais e Diários</v>
      </c>
      <c r="C79" s="1174" t="s">
        <v>1866</v>
      </c>
      <c r="D79" s="1174" t="s">
        <v>1866</v>
      </c>
      <c r="E79" s="1174" t="s">
        <v>1866</v>
      </c>
      <c r="F79" s="1174" t="s">
        <v>1866</v>
      </c>
      <c r="G79" s="1174" t="s">
        <v>1866</v>
      </c>
      <c r="H79" s="1175" t="s">
        <v>1866</v>
      </c>
      <c r="I79" s="376">
        <f>F73</f>
        <v>0</v>
      </c>
    </row>
    <row r="80" spans="1:13" s="335" customFormat="1" ht="21" customHeight="1">
      <c r="A80" s="1063" t="s">
        <v>15</v>
      </c>
      <c r="B80" s="1064"/>
      <c r="C80" s="1064"/>
      <c r="D80" s="1064"/>
      <c r="E80" s="1064"/>
      <c r="F80" s="1064"/>
      <c r="G80" s="1064"/>
      <c r="H80" s="1065"/>
      <c r="I80" s="378">
        <f>SUM(I77:I79)</f>
        <v>0</v>
      </c>
    </row>
    <row r="81" spans="1:15" s="335" customFormat="1" ht="8.25" customHeight="1">
      <c r="A81" s="1044"/>
      <c r="B81" s="1045"/>
      <c r="C81" s="1045"/>
      <c r="D81" s="1045"/>
      <c r="E81" s="1045"/>
      <c r="F81" s="1045"/>
      <c r="G81" s="1045"/>
      <c r="H81" s="1045"/>
      <c r="I81" s="1046"/>
    </row>
    <row r="82" spans="1:15" s="335" customFormat="1" ht="32.25" customHeight="1">
      <c r="A82" s="1160" t="s">
        <v>1867</v>
      </c>
      <c r="B82" s="1161"/>
      <c r="C82" s="1161"/>
      <c r="D82" s="1161"/>
      <c r="E82" s="1161"/>
      <c r="F82" s="1161"/>
      <c r="G82" s="1161"/>
      <c r="H82" s="1161"/>
      <c r="I82" s="1162"/>
    </row>
    <row r="83" spans="1:15" s="381" customFormat="1" ht="33.75" customHeight="1">
      <c r="A83" s="343">
        <v>3</v>
      </c>
      <c r="B83" s="1176" t="s">
        <v>1868</v>
      </c>
      <c r="C83" s="1177"/>
      <c r="D83" s="1177"/>
      <c r="E83" s="1177"/>
      <c r="F83" s="1177"/>
      <c r="G83" s="1177"/>
      <c r="H83" s="379" t="s">
        <v>1845</v>
      </c>
      <c r="I83" s="380" t="s">
        <v>1576</v>
      </c>
    </row>
    <row r="84" spans="1:15" s="335" customFormat="1" ht="28.5" customHeight="1">
      <c r="A84" s="382" t="s">
        <v>1554</v>
      </c>
      <c r="B84" s="1101" t="s">
        <v>1869</v>
      </c>
      <c r="C84" s="1102"/>
      <c r="D84" s="1102"/>
      <c r="E84" s="1102"/>
      <c r="F84" s="1102"/>
      <c r="G84" s="1102"/>
      <c r="H84" s="383">
        <v>1.2800000000000001E-2</v>
      </c>
      <c r="I84" s="384">
        <f>H84*$F$37</f>
        <v>0</v>
      </c>
    </row>
    <row r="85" spans="1:15" s="335" customFormat="1" ht="31.5" customHeight="1">
      <c r="A85" s="382" t="s">
        <v>1556</v>
      </c>
      <c r="B85" s="1101" t="s">
        <v>1870</v>
      </c>
      <c r="C85" s="1102"/>
      <c r="D85" s="1102"/>
      <c r="E85" s="1102"/>
      <c r="F85" s="1102"/>
      <c r="G85" s="1102"/>
      <c r="H85" s="383">
        <v>4.1000000000000003E-3</v>
      </c>
      <c r="I85" s="384">
        <f>H85*$F$37</f>
        <v>0</v>
      </c>
    </row>
    <row r="86" spans="1:15" s="335" customFormat="1" ht="56.25" customHeight="1">
      <c r="A86" s="382" t="s">
        <v>1559</v>
      </c>
      <c r="B86" s="1169" t="s">
        <v>1871</v>
      </c>
      <c r="C86" s="1169"/>
      <c r="D86" s="1169"/>
      <c r="E86" s="1169"/>
      <c r="F86" s="1169"/>
      <c r="G86" s="1169"/>
      <c r="H86" s="385">
        <v>3.2000000000000001E-2</v>
      </c>
      <c r="I86" s="384">
        <f>H86*$F$37</f>
        <v>0</v>
      </c>
    </row>
    <row r="87" spans="1:15" s="335" customFormat="1" ht="33" customHeight="1">
      <c r="A87" s="382" t="s">
        <v>1562</v>
      </c>
      <c r="B87" s="1083" t="s">
        <v>1969</v>
      </c>
      <c r="C87" s="1150"/>
      <c r="D87" s="1150"/>
      <c r="E87" s="1150"/>
      <c r="F87" s="1150"/>
      <c r="G87" s="1150"/>
      <c r="H87" s="383">
        <v>1.6000000000000001E-3</v>
      </c>
      <c r="I87" s="384">
        <f>H87*$F$37</f>
        <v>0</v>
      </c>
    </row>
    <row r="88" spans="1:15" s="335" customFormat="1" ht="36.75" customHeight="1">
      <c r="A88" s="382" t="s">
        <v>1581</v>
      </c>
      <c r="B88" s="1101" t="s">
        <v>1873</v>
      </c>
      <c r="C88" s="1102"/>
      <c r="D88" s="1102"/>
      <c r="E88" s="1102"/>
      <c r="F88" s="1102"/>
      <c r="G88" s="1102"/>
      <c r="H88" s="383">
        <f>F63*H87</f>
        <v>0</v>
      </c>
      <c r="I88" s="384">
        <f>F37*H88</f>
        <v>0</v>
      </c>
    </row>
    <row r="89" spans="1:15" s="335" customFormat="1" ht="39.75" customHeight="1">
      <c r="A89" s="382" t="s">
        <v>1583</v>
      </c>
      <c r="B89" s="1149" t="s">
        <v>1874</v>
      </c>
      <c r="C89" s="1150"/>
      <c r="D89" s="1150"/>
      <c r="E89" s="1150"/>
      <c r="F89" s="1150"/>
      <c r="G89" s="1150"/>
      <c r="H89" s="383">
        <v>3.2000000000000001E-2</v>
      </c>
      <c r="I89" s="384">
        <f>H89*$F$37</f>
        <v>0</v>
      </c>
      <c r="J89" s="1342"/>
      <c r="K89" s="1342"/>
      <c r="L89" s="1342"/>
      <c r="M89" s="1342"/>
    </row>
    <row r="90" spans="1:15" s="335" customFormat="1" ht="33.75" customHeight="1">
      <c r="A90" s="1107" t="s">
        <v>15</v>
      </c>
      <c r="B90" s="1108"/>
      <c r="C90" s="1108"/>
      <c r="D90" s="1108"/>
      <c r="E90" s="1108"/>
      <c r="F90" s="1108"/>
      <c r="G90" s="1108"/>
      <c r="H90" s="386">
        <f>SUM(H84:H89)</f>
        <v>8.249999999999999E-2</v>
      </c>
      <c r="I90" s="387">
        <f>SUM(I84:I89)</f>
        <v>0</v>
      </c>
      <c r="J90" s="1342"/>
      <c r="K90" s="1342"/>
      <c r="L90" s="1342"/>
      <c r="M90" s="1342"/>
      <c r="N90" s="1342"/>
      <c r="O90" s="1342"/>
    </row>
    <row r="91" spans="1:15" s="335" customFormat="1" ht="10.5" customHeight="1">
      <c r="A91" s="1157"/>
      <c r="B91" s="1158"/>
      <c r="C91" s="1158"/>
      <c r="D91" s="1158"/>
      <c r="E91" s="1158"/>
      <c r="F91" s="1158"/>
      <c r="G91" s="1158"/>
      <c r="H91" s="1158"/>
      <c r="I91" s="1159"/>
    </row>
    <row r="92" spans="1:15" s="335" customFormat="1" ht="10.5" customHeight="1">
      <c r="A92" s="388"/>
      <c r="B92" s="389"/>
      <c r="C92" s="389"/>
      <c r="D92" s="389"/>
      <c r="E92" s="389"/>
      <c r="F92" s="389"/>
      <c r="G92" s="389"/>
      <c r="H92" s="389"/>
      <c r="I92" s="390"/>
    </row>
    <row r="93" spans="1:15" s="335" customFormat="1" ht="29.25" customHeight="1" thickBot="1">
      <c r="A93" s="1160" t="s">
        <v>1875</v>
      </c>
      <c r="B93" s="1161"/>
      <c r="C93" s="1161"/>
      <c r="D93" s="1161"/>
      <c r="E93" s="1161"/>
      <c r="F93" s="1161"/>
      <c r="G93" s="1161"/>
      <c r="H93" s="1161"/>
      <c r="I93" s="1162"/>
    </row>
    <row r="94" spans="1:15" s="335" customFormat="1" ht="9.75" customHeight="1" thickBot="1">
      <c r="A94" s="1009"/>
      <c r="B94" s="1010"/>
      <c r="C94" s="1010"/>
      <c r="D94" s="1010"/>
      <c r="E94" s="1010"/>
      <c r="F94" s="1010"/>
      <c r="G94" s="1010"/>
      <c r="H94" s="1010"/>
      <c r="I94" s="1011"/>
    </row>
    <row r="95" spans="1:15" s="335" customFormat="1" ht="27" customHeight="1">
      <c r="A95" s="391">
        <v>4</v>
      </c>
      <c r="B95" s="1163" t="s">
        <v>1639</v>
      </c>
      <c r="C95" s="1164"/>
      <c r="D95" s="1164"/>
      <c r="E95" s="1164"/>
      <c r="F95" s="1164"/>
      <c r="G95" s="1164"/>
      <c r="H95" s="1164"/>
      <c r="I95" s="1165"/>
    </row>
    <row r="96" spans="1:15" s="335" customFormat="1" ht="28.5" customHeight="1">
      <c r="A96" s="1166" t="s">
        <v>1876</v>
      </c>
      <c r="B96" s="1167"/>
      <c r="C96" s="1167"/>
      <c r="D96" s="1167"/>
      <c r="E96" s="1167"/>
      <c r="F96" s="1167"/>
      <c r="G96" s="1167"/>
      <c r="H96" s="1167"/>
      <c r="I96" s="1168"/>
    </row>
    <row r="97" spans="1:45" s="335" customFormat="1" ht="20.25">
      <c r="A97" s="343" t="s">
        <v>1292</v>
      </c>
      <c r="B97" s="1152" t="s">
        <v>1877</v>
      </c>
      <c r="C97" s="1108"/>
      <c r="D97" s="1108"/>
      <c r="E97" s="1109"/>
      <c r="F97" s="1153" t="s">
        <v>1845</v>
      </c>
      <c r="G97" s="1064"/>
      <c r="H97" s="1065"/>
      <c r="I97" s="392" t="s">
        <v>1576</v>
      </c>
    </row>
    <row r="98" spans="1:45" s="335" customFormat="1" ht="42" customHeight="1">
      <c r="A98" s="393" t="s">
        <v>1554</v>
      </c>
      <c r="B98" s="1036" t="s">
        <v>1970</v>
      </c>
      <c r="C98" s="1037"/>
      <c r="D98" s="1037"/>
      <c r="E98" s="1038"/>
      <c r="F98" s="1138">
        <f>(8.33%+2.78%)/12</f>
        <v>9.2583333333333337E-3</v>
      </c>
      <c r="G98" s="1139"/>
      <c r="H98" s="1140"/>
      <c r="I98" s="394">
        <f>F98*F37</f>
        <v>0</v>
      </c>
    </row>
    <row r="99" spans="1:45" s="335" customFormat="1" ht="31.5" customHeight="1">
      <c r="A99" s="393" t="s">
        <v>1556</v>
      </c>
      <c r="B99" s="1036" t="s">
        <v>1879</v>
      </c>
      <c r="C99" s="1037"/>
      <c r="D99" s="1037"/>
      <c r="E99" s="1038"/>
      <c r="F99" s="1154">
        <f>1/12/30</f>
        <v>2.7777777777777775E-3</v>
      </c>
      <c r="G99" s="1155"/>
      <c r="H99" s="1156"/>
      <c r="I99" s="394">
        <f>F37*F99</f>
        <v>0</v>
      </c>
    </row>
    <row r="100" spans="1:45" s="335" customFormat="1" ht="41.25" customHeight="1">
      <c r="A100" s="393" t="s">
        <v>1559</v>
      </c>
      <c r="B100" s="1036" t="s">
        <v>1880</v>
      </c>
      <c r="C100" s="1037"/>
      <c r="D100" s="1037"/>
      <c r="E100" s="1038"/>
      <c r="F100" s="1138">
        <f>1/12/30*5*1.5%</f>
        <v>2.0833333333333332E-4</v>
      </c>
      <c r="G100" s="1139"/>
      <c r="H100" s="1140"/>
      <c r="I100" s="394">
        <f>F37*F100</f>
        <v>0</v>
      </c>
    </row>
    <row r="101" spans="1:45" s="335" customFormat="1" ht="51.75" customHeight="1">
      <c r="A101" s="393" t="s">
        <v>1562</v>
      </c>
      <c r="B101" s="1036" t="s">
        <v>1881</v>
      </c>
      <c r="C101" s="1037"/>
      <c r="D101" s="1037"/>
      <c r="E101" s="1038"/>
      <c r="F101" s="1138">
        <f>(15/30)/12*0.0078</f>
        <v>3.2499999999999999E-4</v>
      </c>
      <c r="G101" s="1139"/>
      <c r="H101" s="1140"/>
      <c r="I101" s="394">
        <f>F37*F101</f>
        <v>0</v>
      </c>
    </row>
    <row r="102" spans="1:45" s="335" customFormat="1" ht="44.25" customHeight="1">
      <c r="A102" s="393" t="s">
        <v>1581</v>
      </c>
      <c r="B102" s="1149" t="s">
        <v>1882</v>
      </c>
      <c r="C102" s="1150"/>
      <c r="D102" s="1150"/>
      <c r="E102" s="1151"/>
      <c r="F102" s="1138">
        <f>0.0144*0.1*0.44509*6/12</f>
        <v>3.2046480000000002E-4</v>
      </c>
      <c r="G102" s="1139"/>
      <c r="H102" s="1140"/>
      <c r="I102" s="394">
        <f>F37*F102</f>
        <v>0</v>
      </c>
    </row>
    <row r="103" spans="1:45" s="335" customFormat="1" ht="36" customHeight="1">
      <c r="A103" s="393" t="s">
        <v>1583</v>
      </c>
      <c r="B103" s="1036" t="s">
        <v>1883</v>
      </c>
      <c r="C103" s="1037"/>
      <c r="D103" s="1037"/>
      <c r="E103" s="1038"/>
      <c r="F103" s="1138">
        <f>5/30/12</f>
        <v>1.3888888888888888E-2</v>
      </c>
      <c r="G103" s="1139"/>
      <c r="H103" s="1140"/>
      <c r="I103" s="394">
        <f>F37*F103</f>
        <v>0</v>
      </c>
    </row>
    <row r="104" spans="1:45" s="335" customFormat="1" ht="21.75" customHeight="1">
      <c r="A104" s="393" t="s">
        <v>1601</v>
      </c>
      <c r="B104" s="1036" t="s">
        <v>1584</v>
      </c>
      <c r="C104" s="1037"/>
      <c r="D104" s="1037"/>
      <c r="E104" s="1038"/>
      <c r="F104" s="1141"/>
      <c r="G104" s="1142"/>
      <c r="H104" s="1143"/>
      <c r="I104" s="394"/>
    </row>
    <row r="105" spans="1:45" s="335" customFormat="1" ht="30" customHeight="1" thickBot="1">
      <c r="A105" s="395"/>
      <c r="B105" s="1144" t="s">
        <v>15</v>
      </c>
      <c r="C105" s="1087"/>
      <c r="D105" s="1087"/>
      <c r="E105" s="1145"/>
      <c r="F105" s="1146">
        <f>SUM(F98:H104)</f>
        <v>2.6778798133333333E-2</v>
      </c>
      <c r="G105" s="1147"/>
      <c r="H105" s="1148"/>
      <c r="I105" s="396">
        <f>SUM(I98:I104)</f>
        <v>0</v>
      </c>
    </row>
    <row r="106" spans="1:45" s="335" customFormat="1" ht="10.5" customHeight="1" thickBot="1">
      <c r="A106" s="1339"/>
      <c r="B106" s="1340"/>
      <c r="C106" s="1340"/>
      <c r="D106" s="1340"/>
      <c r="E106" s="1340"/>
      <c r="F106" s="1340"/>
      <c r="G106" s="1340"/>
      <c r="H106" s="1340"/>
      <c r="I106" s="1341"/>
    </row>
    <row r="107" spans="1:45" s="335" customFormat="1" ht="27" customHeight="1">
      <c r="A107" s="1129" t="s">
        <v>1635</v>
      </c>
      <c r="B107" s="1130"/>
      <c r="C107" s="1130"/>
      <c r="D107" s="1130"/>
      <c r="E107" s="1130"/>
      <c r="F107" s="1130"/>
      <c r="G107" s="1130"/>
      <c r="H107" s="1131"/>
      <c r="I107" s="397"/>
    </row>
    <row r="108" spans="1:45" s="399" customFormat="1" ht="20.25">
      <c r="A108" s="391" t="s">
        <v>1884</v>
      </c>
      <c r="B108" s="1132" t="s">
        <v>1636</v>
      </c>
      <c r="C108" s="1133"/>
      <c r="D108" s="1133"/>
      <c r="E108" s="1134"/>
      <c r="F108" s="1132" t="s">
        <v>1576</v>
      </c>
      <c r="G108" s="1133"/>
      <c r="H108" s="1134"/>
      <c r="I108" s="398"/>
      <c r="J108" s="335"/>
      <c r="K108" s="335"/>
      <c r="L108" s="335"/>
      <c r="M108" s="335"/>
      <c r="N108" s="335"/>
      <c r="O108" s="335"/>
      <c r="P108" s="335"/>
      <c r="Q108" s="335"/>
      <c r="R108" s="335"/>
      <c r="S108" s="335"/>
      <c r="T108" s="335"/>
      <c r="U108" s="335"/>
      <c r="V108" s="335"/>
      <c r="W108" s="335"/>
      <c r="X108" s="335"/>
      <c r="Y108" s="335"/>
      <c r="Z108" s="335"/>
      <c r="AA108" s="335"/>
      <c r="AB108" s="335"/>
      <c r="AC108" s="335"/>
      <c r="AD108" s="335"/>
      <c r="AE108" s="335"/>
      <c r="AF108" s="335"/>
      <c r="AG108" s="335"/>
      <c r="AH108" s="335"/>
      <c r="AI108" s="335"/>
      <c r="AJ108" s="335"/>
      <c r="AK108" s="335"/>
      <c r="AL108" s="335"/>
      <c r="AM108" s="335"/>
      <c r="AN108" s="335"/>
      <c r="AO108" s="335"/>
      <c r="AP108" s="335"/>
      <c r="AQ108" s="335"/>
      <c r="AR108" s="335"/>
      <c r="AS108" s="335"/>
    </row>
    <row r="109" spans="1:45" s="335" customFormat="1" ht="35.25" customHeight="1">
      <c r="A109" s="382" t="s">
        <v>1554</v>
      </c>
      <c r="B109" s="1101" t="s">
        <v>1885</v>
      </c>
      <c r="C109" s="1102"/>
      <c r="D109" s="1102"/>
      <c r="E109" s="1128"/>
      <c r="F109" s="1135">
        <v>0</v>
      </c>
      <c r="G109" s="1136"/>
      <c r="H109" s="1137"/>
      <c r="I109" s="400"/>
    </row>
    <row r="110" spans="1:45" s="335" customFormat="1" ht="21" thickBot="1">
      <c r="A110" s="401"/>
      <c r="B110" s="1115" t="s">
        <v>15</v>
      </c>
      <c r="C110" s="1116"/>
      <c r="D110" s="1116"/>
      <c r="E110" s="1117"/>
      <c r="F110" s="1118">
        <v>0</v>
      </c>
      <c r="G110" s="1119"/>
      <c r="H110" s="1120"/>
      <c r="I110" s="398"/>
    </row>
    <row r="111" spans="1:45" s="335" customFormat="1" ht="10.5" customHeight="1" thickBot="1">
      <c r="A111" s="1009"/>
      <c r="B111" s="1010"/>
      <c r="C111" s="1010"/>
      <c r="D111" s="1010"/>
      <c r="E111" s="1010"/>
      <c r="F111" s="1010"/>
      <c r="G111" s="1010"/>
      <c r="H111" s="1010"/>
      <c r="I111" s="1011"/>
      <c r="J111" s="402"/>
      <c r="K111" s="402"/>
      <c r="L111" s="402"/>
    </row>
    <row r="112" spans="1:45" s="335" customFormat="1" ht="36" customHeight="1">
      <c r="A112" s="1121" t="s">
        <v>1886</v>
      </c>
      <c r="B112" s="1122"/>
      <c r="C112" s="1122"/>
      <c r="D112" s="1122"/>
      <c r="E112" s="1122"/>
      <c r="F112" s="1122"/>
      <c r="G112" s="1122"/>
      <c r="H112" s="1122"/>
      <c r="I112" s="1123"/>
      <c r="J112" s="402"/>
      <c r="K112" s="402"/>
      <c r="L112" s="402"/>
      <c r="P112" s="1124"/>
      <c r="Q112" s="1124"/>
      <c r="R112" s="1124"/>
      <c r="S112" s="1124"/>
      <c r="T112" s="1124"/>
      <c r="U112" s="1124"/>
      <c r="V112" s="1124"/>
      <c r="W112" s="1124"/>
      <c r="X112" s="1124"/>
      <c r="Y112" s="1124"/>
      <c r="Z112" s="1124"/>
    </row>
    <row r="113" spans="1:26" s="335" customFormat="1" ht="30.75" customHeight="1">
      <c r="A113" s="382" t="s">
        <v>1887</v>
      </c>
      <c r="B113" s="1125" t="s">
        <v>1639</v>
      </c>
      <c r="C113" s="1126"/>
      <c r="D113" s="1126"/>
      <c r="E113" s="1126"/>
      <c r="F113" s="1126"/>
      <c r="G113" s="1126"/>
      <c r="H113" s="1127"/>
      <c r="I113" s="380" t="s">
        <v>1576</v>
      </c>
      <c r="J113" s="402"/>
      <c r="K113" s="402"/>
      <c r="L113" s="402"/>
      <c r="P113" s="1124"/>
      <c r="Q113" s="1124"/>
      <c r="R113" s="1124"/>
      <c r="S113" s="1124"/>
      <c r="T113" s="1124"/>
      <c r="U113" s="1124"/>
      <c r="V113" s="1124"/>
      <c r="W113" s="1124"/>
      <c r="X113" s="1124"/>
      <c r="Y113" s="1124"/>
      <c r="Z113" s="1124"/>
    </row>
    <row r="114" spans="1:26" s="335" customFormat="1" ht="27.75" customHeight="1">
      <c r="A114" s="382" t="s">
        <v>1292</v>
      </c>
      <c r="B114" s="1036" t="s">
        <v>1888</v>
      </c>
      <c r="C114" s="1037" t="s">
        <v>1889</v>
      </c>
      <c r="D114" s="1037" t="s">
        <v>1889</v>
      </c>
      <c r="E114" s="1037" t="s">
        <v>1889</v>
      </c>
      <c r="F114" s="1037" t="s">
        <v>1889</v>
      </c>
      <c r="G114" s="1037" t="s">
        <v>1889</v>
      </c>
      <c r="H114" s="1038" t="s">
        <v>1889</v>
      </c>
      <c r="I114" s="403">
        <f>I105</f>
        <v>0</v>
      </c>
      <c r="J114" s="402"/>
      <c r="K114" s="402"/>
      <c r="L114" s="402"/>
      <c r="P114" s="1124"/>
      <c r="Q114" s="1124"/>
      <c r="R114" s="1124"/>
      <c r="S114" s="1124"/>
      <c r="T114" s="1124"/>
      <c r="U114" s="1124"/>
      <c r="V114" s="1124"/>
      <c r="W114" s="1124"/>
      <c r="X114" s="1124"/>
      <c r="Y114" s="1124"/>
      <c r="Z114" s="1124"/>
    </row>
    <row r="115" spans="1:26" s="335" customFormat="1" ht="29.25" customHeight="1">
      <c r="A115" s="382" t="s">
        <v>1884</v>
      </c>
      <c r="B115" s="1101" t="s">
        <v>1890</v>
      </c>
      <c r="C115" s="1102"/>
      <c r="D115" s="1102"/>
      <c r="E115" s="1102"/>
      <c r="F115" s="1102"/>
      <c r="G115" s="1102"/>
      <c r="H115" s="1128"/>
      <c r="I115" s="384">
        <f>F110</f>
        <v>0</v>
      </c>
      <c r="J115" s="402"/>
      <c r="K115" s="402"/>
      <c r="L115" s="402"/>
      <c r="P115" s="1124"/>
      <c r="Q115" s="1124"/>
      <c r="R115" s="1124"/>
      <c r="S115" s="1124"/>
      <c r="T115" s="1124"/>
      <c r="U115" s="1124"/>
      <c r="V115" s="1124"/>
      <c r="W115" s="1124"/>
      <c r="X115" s="1124"/>
      <c r="Y115" s="1124"/>
      <c r="Z115" s="1124"/>
    </row>
    <row r="116" spans="1:26" s="335" customFormat="1" ht="27.75" customHeight="1">
      <c r="A116" s="1107" t="s">
        <v>15</v>
      </c>
      <c r="B116" s="1108"/>
      <c r="C116" s="1108"/>
      <c r="D116" s="1108"/>
      <c r="E116" s="1108"/>
      <c r="F116" s="1108"/>
      <c r="G116" s="1108"/>
      <c r="H116" s="1109"/>
      <c r="I116" s="404">
        <f>I114+I115</f>
        <v>0</v>
      </c>
      <c r="J116" s="402"/>
      <c r="K116" s="402"/>
      <c r="L116" s="402"/>
    </row>
    <row r="117" spans="1:26" s="335" customFormat="1" ht="10.5" customHeight="1" thickBot="1">
      <c r="A117" s="1110"/>
      <c r="B117" s="1111"/>
      <c r="C117" s="1111"/>
      <c r="D117" s="1111"/>
      <c r="E117" s="1111"/>
      <c r="F117" s="1111"/>
      <c r="G117" s="1111"/>
      <c r="H117" s="1045"/>
      <c r="I117" s="1046"/>
      <c r="J117" s="402"/>
    </row>
    <row r="118" spans="1:26" s="335" customFormat="1" ht="32.25" customHeight="1" thickBot="1">
      <c r="A118" s="1092" t="s">
        <v>1891</v>
      </c>
      <c r="B118" s="1093"/>
      <c r="C118" s="1093"/>
      <c r="D118" s="1093"/>
      <c r="E118" s="1093"/>
      <c r="F118" s="1093"/>
      <c r="G118" s="1094"/>
      <c r="I118" s="405"/>
      <c r="J118" s="402"/>
    </row>
    <row r="119" spans="1:26" s="335" customFormat="1" ht="24.75" customHeight="1">
      <c r="A119" s="406" t="s">
        <v>1892</v>
      </c>
      <c r="B119" s="1112" t="s">
        <v>1641</v>
      </c>
      <c r="C119" s="1113"/>
      <c r="D119" s="1113"/>
      <c r="E119" s="1114" t="s">
        <v>1576</v>
      </c>
      <c r="F119" s="1114"/>
      <c r="G119" s="1114"/>
      <c r="I119" s="405"/>
      <c r="J119" s="402"/>
    </row>
    <row r="120" spans="1:26" s="335" customFormat="1" ht="27.75" customHeight="1">
      <c r="A120" s="407" t="s">
        <v>1554</v>
      </c>
      <c r="B120" s="1101" t="s">
        <v>1893</v>
      </c>
      <c r="C120" s="1102"/>
      <c r="D120" s="1102"/>
      <c r="E120" s="1103">
        <f>[4]UNIFORME!F21</f>
        <v>19.66</v>
      </c>
      <c r="F120" s="1103"/>
      <c r="G120" s="1103"/>
      <c r="I120" s="405"/>
      <c r="J120" s="402"/>
    </row>
    <row r="121" spans="1:26" s="335" customFormat="1" ht="38.25" customHeight="1">
      <c r="A121" s="408" t="s">
        <v>1556</v>
      </c>
      <c r="B121" s="1101" t="s">
        <v>1643</v>
      </c>
      <c r="C121" s="1102"/>
      <c r="D121" s="1102"/>
      <c r="E121" s="1103">
        <v>0</v>
      </c>
      <c r="F121" s="1103"/>
      <c r="G121" s="1103"/>
      <c r="H121" s="1104"/>
      <c r="I121" s="1105"/>
      <c r="J121" s="402"/>
    </row>
    <row r="122" spans="1:26" s="335" customFormat="1" ht="30" customHeight="1">
      <c r="A122" s="408" t="s">
        <v>1559</v>
      </c>
      <c r="B122" s="1101" t="s">
        <v>1894</v>
      </c>
      <c r="C122" s="1102"/>
      <c r="D122" s="1102"/>
      <c r="E122" s="1103">
        <f>'[4]EQUIPAMENTOS '!H12</f>
        <v>3.6</v>
      </c>
      <c r="F122" s="1103"/>
      <c r="G122" s="1103"/>
      <c r="I122" s="405"/>
      <c r="J122" s="402"/>
    </row>
    <row r="123" spans="1:26" s="335" customFormat="1" ht="27" customHeight="1">
      <c r="A123" s="408" t="s">
        <v>1562</v>
      </c>
      <c r="B123" s="1101" t="s">
        <v>1584</v>
      </c>
      <c r="C123" s="1102"/>
      <c r="D123" s="1102"/>
      <c r="E123" s="1106"/>
      <c r="F123" s="1106"/>
      <c r="G123" s="1106"/>
      <c r="I123" s="405"/>
      <c r="J123" s="402"/>
    </row>
    <row r="124" spans="1:26" s="335" customFormat="1" ht="22.5" customHeight="1">
      <c r="A124" s="1086" t="s">
        <v>15</v>
      </c>
      <c r="B124" s="1087"/>
      <c r="C124" s="1087"/>
      <c r="D124" s="1087"/>
      <c r="E124" s="1088">
        <f>SUM(E120:G123)</f>
        <v>23.26</v>
      </c>
      <c r="F124" s="1088"/>
      <c r="G124" s="1088"/>
      <c r="I124" s="405"/>
      <c r="J124" s="402"/>
    </row>
    <row r="125" spans="1:26" s="335" customFormat="1" ht="19.5" thickBot="1">
      <c r="A125" s="1089" t="s">
        <v>1895</v>
      </c>
      <c r="B125" s="1090"/>
      <c r="C125" s="1090"/>
      <c r="D125" s="1090"/>
      <c r="E125" s="1090"/>
      <c r="F125" s="1090"/>
      <c r="G125" s="1091"/>
      <c r="I125" s="405"/>
      <c r="J125" s="402"/>
    </row>
    <row r="126" spans="1:26" s="335" customFormat="1" ht="10.5" customHeight="1" thickBot="1">
      <c r="A126" s="1009"/>
      <c r="B126" s="1010"/>
      <c r="C126" s="1010"/>
      <c r="D126" s="1010"/>
      <c r="E126" s="1010"/>
      <c r="F126" s="1010"/>
      <c r="G126" s="1010"/>
      <c r="H126" s="1010"/>
      <c r="I126" s="1011"/>
      <c r="J126" s="402"/>
    </row>
    <row r="127" spans="1:26" s="335" customFormat="1" ht="31.5" customHeight="1" thickBot="1">
      <c r="A127" s="1092" t="s">
        <v>1896</v>
      </c>
      <c r="B127" s="1093"/>
      <c r="C127" s="1093"/>
      <c r="D127" s="1093"/>
      <c r="E127" s="1093"/>
      <c r="F127" s="1093"/>
      <c r="G127" s="1093"/>
      <c r="H127" s="1093"/>
      <c r="I127" s="1094"/>
      <c r="J127" s="402"/>
    </row>
    <row r="128" spans="1:26" s="335" customFormat="1" ht="18">
      <c r="A128" s="406" t="s">
        <v>1897</v>
      </c>
      <c r="B128" s="1095" t="s">
        <v>1646</v>
      </c>
      <c r="C128" s="1096"/>
      <c r="D128" s="1096"/>
      <c r="E128" s="1097"/>
      <c r="F128" s="1095" t="s">
        <v>1588</v>
      </c>
      <c r="G128" s="1097"/>
      <c r="H128" s="1095" t="s">
        <v>1576</v>
      </c>
      <c r="I128" s="1100"/>
      <c r="J128" s="402"/>
    </row>
    <row r="129" spans="1:11" s="335" customFormat="1" ht="18">
      <c r="A129" s="382" t="s">
        <v>1554</v>
      </c>
      <c r="B129" s="1083" t="s">
        <v>1647</v>
      </c>
      <c r="C129" s="1037"/>
      <c r="D129" s="1037"/>
      <c r="E129" s="1038"/>
      <c r="F129" s="1070">
        <f>'[4]SERVENTE 44 HORAS SEMANAIS'!F126:G126</f>
        <v>5.7500000000000002E-2</v>
      </c>
      <c r="G129" s="1071"/>
      <c r="H129" s="1084"/>
      <c r="I129" s="1085"/>
      <c r="J129" s="402"/>
    </row>
    <row r="130" spans="1:11" s="335" customFormat="1" ht="18">
      <c r="A130" s="382" t="s">
        <v>1556</v>
      </c>
      <c r="B130" s="1083" t="s">
        <v>1648</v>
      </c>
      <c r="C130" s="1037"/>
      <c r="D130" s="1037"/>
      <c r="E130" s="1038"/>
      <c r="F130" s="1070">
        <f>'[4]SERVENTE 44 HORAS SEMANAIS'!F127:G127</f>
        <v>2.5000000000000001E-2</v>
      </c>
      <c r="G130" s="1071"/>
      <c r="H130" s="1084"/>
      <c r="I130" s="1085"/>
      <c r="J130" s="402"/>
    </row>
    <row r="131" spans="1:11" s="335" customFormat="1" ht="18">
      <c r="A131" s="382" t="s">
        <v>1559</v>
      </c>
      <c r="B131" s="1076" t="s">
        <v>1649</v>
      </c>
      <c r="C131" s="1077"/>
      <c r="D131" s="1077"/>
      <c r="E131" s="1078"/>
      <c r="F131" s="1390">
        <f>SUM(F132:G134)</f>
        <v>8.6499999999999994E-2</v>
      </c>
      <c r="G131" s="1391"/>
      <c r="H131" s="1081"/>
      <c r="I131" s="1082"/>
      <c r="J131" s="402"/>
    </row>
    <row r="132" spans="1:11" s="335" customFormat="1" ht="18">
      <c r="A132" s="339"/>
      <c r="B132" s="409" t="s">
        <v>1900</v>
      </c>
      <c r="C132" s="1056" t="s">
        <v>1901</v>
      </c>
      <c r="D132" s="1057"/>
      <c r="E132" s="1058"/>
      <c r="F132" s="1074">
        <v>6.4999999999999997E-3</v>
      </c>
      <c r="G132" s="1075"/>
      <c r="H132" s="1072"/>
      <c r="I132" s="1073"/>
      <c r="J132" s="402"/>
    </row>
    <row r="133" spans="1:11" s="335" customFormat="1" ht="16.5" customHeight="1">
      <c r="A133" s="339"/>
      <c r="B133" s="409" t="s">
        <v>1902</v>
      </c>
      <c r="C133" s="1036" t="s">
        <v>1903</v>
      </c>
      <c r="D133" s="1037"/>
      <c r="E133" s="1038"/>
      <c r="F133" s="1074">
        <v>0.03</v>
      </c>
      <c r="G133" s="1075"/>
      <c r="H133" s="1072"/>
      <c r="I133" s="1073"/>
      <c r="J133" s="402"/>
      <c r="K133" s="570"/>
    </row>
    <row r="134" spans="1:11" s="335" customFormat="1" ht="16.5" customHeight="1">
      <c r="A134" s="339"/>
      <c r="B134" s="409" t="s">
        <v>1904</v>
      </c>
      <c r="C134" s="1036" t="s">
        <v>1905</v>
      </c>
      <c r="D134" s="1037"/>
      <c r="E134" s="1038"/>
      <c r="F134" s="1074">
        <v>0.05</v>
      </c>
      <c r="G134" s="1075"/>
      <c r="H134" s="1072"/>
      <c r="I134" s="1073"/>
      <c r="J134" s="402"/>
    </row>
    <row r="135" spans="1:11" s="335" customFormat="1" ht="19.5" customHeight="1">
      <c r="A135" s="410"/>
      <c r="B135" s="409" t="s">
        <v>1906</v>
      </c>
      <c r="C135" s="1056" t="s">
        <v>1907</v>
      </c>
      <c r="D135" s="1057"/>
      <c r="E135" s="1058"/>
      <c r="F135" s="1059"/>
      <c r="G135" s="1060"/>
      <c r="H135" s="1061">
        <f>F135*$I$147</f>
        <v>0</v>
      </c>
      <c r="I135" s="1062"/>
      <c r="J135" s="402"/>
    </row>
    <row r="136" spans="1:11" s="335" customFormat="1" ht="20.25">
      <c r="A136" s="1063" t="s">
        <v>1908</v>
      </c>
      <c r="B136" s="1064"/>
      <c r="C136" s="1064"/>
      <c r="D136" s="1064"/>
      <c r="E136" s="1065"/>
      <c r="F136" s="1066">
        <f>(((1+F129)*(1+F130))/(1-F131))-1</f>
        <v>0.18657635467980294</v>
      </c>
      <c r="G136" s="1067"/>
      <c r="H136" s="1068">
        <f>H129+H130+H131</f>
        <v>0</v>
      </c>
      <c r="I136" s="1069"/>
      <c r="J136" s="402"/>
    </row>
    <row r="137" spans="1:11" s="335" customFormat="1" ht="10.5" customHeight="1">
      <c r="A137" s="1044"/>
      <c r="B137" s="1045"/>
      <c r="C137" s="1045"/>
      <c r="D137" s="1045"/>
      <c r="E137" s="1045"/>
      <c r="F137" s="1045"/>
      <c r="G137" s="1045"/>
      <c r="H137" s="1045"/>
      <c r="I137" s="1046"/>
      <c r="J137" s="402"/>
    </row>
    <row r="138" spans="1:11" s="335" customFormat="1" ht="25.5" customHeight="1">
      <c r="A138" s="1047" t="s">
        <v>1653</v>
      </c>
      <c r="B138" s="1048"/>
      <c r="C138" s="1048"/>
      <c r="D138" s="1048"/>
      <c r="E138" s="1048"/>
      <c r="F138" s="1048"/>
      <c r="G138" s="1048"/>
      <c r="H138" s="1048"/>
      <c r="I138" s="1049"/>
      <c r="J138" s="402"/>
    </row>
    <row r="139" spans="1:11" s="335" customFormat="1" ht="23.25" customHeight="1">
      <c r="A139" s="1336" t="s">
        <v>1971</v>
      </c>
      <c r="B139" s="1337"/>
      <c r="C139" s="1337"/>
      <c r="D139" s="1337"/>
      <c r="E139" s="1337"/>
      <c r="F139" s="1337"/>
      <c r="G139" s="1337"/>
      <c r="H139" s="1338"/>
      <c r="I139" s="380" t="s">
        <v>1576</v>
      </c>
      <c r="J139" s="402"/>
    </row>
    <row r="140" spans="1:11" s="335" customFormat="1" ht="22.5" customHeight="1">
      <c r="A140" s="382" t="s">
        <v>1554</v>
      </c>
      <c r="B140" s="1036" t="s">
        <v>1910</v>
      </c>
      <c r="C140" s="1037"/>
      <c r="D140" s="1037"/>
      <c r="E140" s="1037"/>
      <c r="F140" s="1037"/>
      <c r="G140" s="1037"/>
      <c r="H140" s="1038"/>
      <c r="I140" s="403">
        <f>F37</f>
        <v>0</v>
      </c>
      <c r="J140" s="402"/>
    </row>
    <row r="141" spans="1:11" s="335" customFormat="1" ht="21" customHeight="1">
      <c r="A141" s="382" t="s">
        <v>1556</v>
      </c>
      <c r="B141" s="1036" t="s">
        <v>1911</v>
      </c>
      <c r="C141" s="1037" t="s">
        <v>1889</v>
      </c>
      <c r="D141" s="1037" t="s">
        <v>1889</v>
      </c>
      <c r="E141" s="1037" t="s">
        <v>1889</v>
      </c>
      <c r="F141" s="1037" t="s">
        <v>1889</v>
      </c>
      <c r="G141" s="1037" t="s">
        <v>1889</v>
      </c>
      <c r="H141" s="1038" t="s">
        <v>1889</v>
      </c>
      <c r="I141" s="403">
        <f>I80</f>
        <v>0</v>
      </c>
      <c r="J141" s="402"/>
    </row>
    <row r="142" spans="1:11" s="335" customFormat="1" ht="20.25" customHeight="1">
      <c r="A142" s="382" t="s">
        <v>1559</v>
      </c>
      <c r="B142" s="1036" t="s">
        <v>1912</v>
      </c>
      <c r="C142" s="1037" t="s">
        <v>1866</v>
      </c>
      <c r="D142" s="1037" t="s">
        <v>1866</v>
      </c>
      <c r="E142" s="1037" t="s">
        <v>1866</v>
      </c>
      <c r="F142" s="1037" t="s">
        <v>1866</v>
      </c>
      <c r="G142" s="1037" t="s">
        <v>1866</v>
      </c>
      <c r="H142" s="1038" t="s">
        <v>1866</v>
      </c>
      <c r="I142" s="384">
        <f>I90</f>
        <v>0</v>
      </c>
      <c r="J142" s="402"/>
    </row>
    <row r="143" spans="1:11" s="335" customFormat="1" ht="18" customHeight="1">
      <c r="A143" s="382" t="s">
        <v>1562</v>
      </c>
      <c r="B143" s="1036" t="s">
        <v>1913</v>
      </c>
      <c r="C143" s="1037"/>
      <c r="D143" s="1037"/>
      <c r="E143" s="1037"/>
      <c r="F143" s="1037"/>
      <c r="G143" s="1037"/>
      <c r="H143" s="1038"/>
      <c r="I143" s="384">
        <f>I116</f>
        <v>0</v>
      </c>
      <c r="J143" s="402"/>
    </row>
    <row r="144" spans="1:11" s="335" customFormat="1" ht="22.5" customHeight="1">
      <c r="A144" s="382" t="s">
        <v>1581</v>
      </c>
      <c r="B144" s="1036" t="s">
        <v>1914</v>
      </c>
      <c r="C144" s="1037"/>
      <c r="D144" s="1037"/>
      <c r="E144" s="1037"/>
      <c r="F144" s="1037"/>
      <c r="G144" s="1037"/>
      <c r="H144" s="1038"/>
      <c r="I144" s="403"/>
      <c r="J144" s="402"/>
    </row>
    <row r="145" spans="1:10" s="335" customFormat="1" ht="22.5" customHeight="1">
      <c r="A145" s="408"/>
      <c r="B145" s="1039" t="s">
        <v>1915</v>
      </c>
      <c r="C145" s="1040"/>
      <c r="D145" s="1040"/>
      <c r="E145" s="1040"/>
      <c r="F145" s="1040"/>
      <c r="G145" s="1040"/>
      <c r="H145" s="1023"/>
      <c r="I145" s="387">
        <f>SUM(I140:I144)</f>
        <v>0</v>
      </c>
      <c r="J145" s="402"/>
    </row>
    <row r="146" spans="1:10" s="335" customFormat="1" ht="24.75" customHeight="1">
      <c r="A146" s="382" t="s">
        <v>1583</v>
      </c>
      <c r="B146" s="1036" t="s">
        <v>1656</v>
      </c>
      <c r="C146" s="1037"/>
      <c r="D146" s="1037"/>
      <c r="E146" s="1037"/>
      <c r="F146" s="1037"/>
      <c r="G146" s="1037"/>
      <c r="H146" s="1038"/>
      <c r="I146" s="384">
        <f>H136</f>
        <v>0</v>
      </c>
      <c r="J146" s="402"/>
    </row>
    <row r="147" spans="1:10" s="335" customFormat="1" ht="23.25" customHeight="1">
      <c r="A147" s="1041" t="s">
        <v>1916</v>
      </c>
      <c r="B147" s="1042"/>
      <c r="C147" s="1042"/>
      <c r="D147" s="1042"/>
      <c r="E147" s="1042"/>
      <c r="F147" s="1042"/>
      <c r="G147" s="1042"/>
      <c r="H147" s="1043"/>
      <c r="I147" s="415">
        <f>(I145+H129+H130)/(1-F131)</f>
        <v>0</v>
      </c>
      <c r="J147" s="402"/>
    </row>
    <row r="148" spans="1:10" s="335" customFormat="1" ht="7.5" customHeight="1">
      <c r="A148" s="1044"/>
      <c r="B148" s="1045"/>
      <c r="C148" s="1045"/>
      <c r="D148" s="1045"/>
      <c r="E148" s="1045"/>
      <c r="F148" s="1045"/>
      <c r="G148" s="1045"/>
      <c r="H148" s="1045"/>
      <c r="I148" s="1046"/>
      <c r="J148" s="402"/>
    </row>
  </sheetData>
  <mergeCells count="245">
    <mergeCell ref="B7:H7"/>
    <mergeCell ref="B8:H8"/>
    <mergeCell ref="B9:H9"/>
    <mergeCell ref="B10:H10"/>
    <mergeCell ref="B11:H11"/>
    <mergeCell ref="A12:I12"/>
    <mergeCell ref="A1:I1"/>
    <mergeCell ref="C2:H2"/>
    <mergeCell ref="C3:H3"/>
    <mergeCell ref="A4:H4"/>
    <mergeCell ref="A5:I5"/>
    <mergeCell ref="A6:I6"/>
    <mergeCell ref="A16:I16"/>
    <mergeCell ref="A17:F17"/>
    <mergeCell ref="G17:I17"/>
    <mergeCell ref="A18:F18"/>
    <mergeCell ref="G18:I18"/>
    <mergeCell ref="A19:F19"/>
    <mergeCell ref="G19:I19"/>
    <mergeCell ref="A13:I13"/>
    <mergeCell ref="A14:C14"/>
    <mergeCell ref="D14:F14"/>
    <mergeCell ref="G14:I14"/>
    <mergeCell ref="A15:C15"/>
    <mergeCell ref="D15:F15"/>
    <mergeCell ref="G15:I15"/>
    <mergeCell ref="B23:F23"/>
    <mergeCell ref="G23:I23"/>
    <mergeCell ref="B24:F24"/>
    <mergeCell ref="G24:I24"/>
    <mergeCell ref="A25:H25"/>
    <mergeCell ref="A26:H26"/>
    <mergeCell ref="B20:F20"/>
    <mergeCell ref="G20:I20"/>
    <mergeCell ref="B21:F21"/>
    <mergeCell ref="G21:I21"/>
    <mergeCell ref="B22:F22"/>
    <mergeCell ref="G22:I22"/>
    <mergeCell ref="B32:E32"/>
    <mergeCell ref="F32:H32"/>
    <mergeCell ref="B33:E33"/>
    <mergeCell ref="F33:H33"/>
    <mergeCell ref="B34:E34"/>
    <mergeCell ref="F34:H34"/>
    <mergeCell ref="A27:H27"/>
    <mergeCell ref="A28:H28"/>
    <mergeCell ref="A29:H29"/>
    <mergeCell ref="A30:E30"/>
    <mergeCell ref="F30:H30"/>
    <mergeCell ref="B31:E31"/>
    <mergeCell ref="F31:H31"/>
    <mergeCell ref="A38:I38"/>
    <mergeCell ref="A39:I39"/>
    <mergeCell ref="A40:I40"/>
    <mergeCell ref="A41:I41"/>
    <mergeCell ref="A42:I42"/>
    <mergeCell ref="A43:I43"/>
    <mergeCell ref="I34:I35"/>
    <mergeCell ref="B35:E35"/>
    <mergeCell ref="F35:H35"/>
    <mergeCell ref="B36:E36"/>
    <mergeCell ref="F36:H36"/>
    <mergeCell ref="B37:E37"/>
    <mergeCell ref="F37:H37"/>
    <mergeCell ref="B47:E47"/>
    <mergeCell ref="F47:H47"/>
    <mergeCell ref="B48:E48"/>
    <mergeCell ref="F48:H48"/>
    <mergeCell ref="B49:E49"/>
    <mergeCell ref="F49:H49"/>
    <mergeCell ref="B44:E44"/>
    <mergeCell ref="F44:H44"/>
    <mergeCell ref="B45:E45"/>
    <mergeCell ref="F45:H45"/>
    <mergeCell ref="B46:E46"/>
    <mergeCell ref="F46:H46"/>
    <mergeCell ref="B54:E54"/>
    <mergeCell ref="F54:G54"/>
    <mergeCell ref="H54:I54"/>
    <mergeCell ref="B55:E55"/>
    <mergeCell ref="F55:G55"/>
    <mergeCell ref="H55:I55"/>
    <mergeCell ref="A50:I50"/>
    <mergeCell ref="A51:I51"/>
    <mergeCell ref="B52:E52"/>
    <mergeCell ref="F52:G52"/>
    <mergeCell ref="H52:I52"/>
    <mergeCell ref="B53:E53"/>
    <mergeCell ref="F53:G53"/>
    <mergeCell ref="H53:I53"/>
    <mergeCell ref="B58:E58"/>
    <mergeCell ref="F58:G58"/>
    <mergeCell ref="H58:I58"/>
    <mergeCell ref="B59:E59"/>
    <mergeCell ref="F59:G59"/>
    <mergeCell ref="H59:I59"/>
    <mergeCell ref="B56:E56"/>
    <mergeCell ref="F56:G56"/>
    <mergeCell ref="H56:I56"/>
    <mergeCell ref="B57:E57"/>
    <mergeCell ref="F57:G57"/>
    <mergeCell ref="H57:I57"/>
    <mergeCell ref="A62:I62"/>
    <mergeCell ref="A63:H63"/>
    <mergeCell ref="B64:E64"/>
    <mergeCell ref="F64:H64"/>
    <mergeCell ref="B65:E65"/>
    <mergeCell ref="F65:H65"/>
    <mergeCell ref="B60:E60"/>
    <mergeCell ref="F60:G60"/>
    <mergeCell ref="H60:I60"/>
    <mergeCell ref="B61:E61"/>
    <mergeCell ref="F61:G61"/>
    <mergeCell ref="H61:I61"/>
    <mergeCell ref="B69:E69"/>
    <mergeCell ref="F69:H69"/>
    <mergeCell ref="B70:E70"/>
    <mergeCell ref="F70:H70"/>
    <mergeCell ref="B71:E71"/>
    <mergeCell ref="F71:H71"/>
    <mergeCell ref="B66:E66"/>
    <mergeCell ref="F66:H66"/>
    <mergeCell ref="B67:E67"/>
    <mergeCell ref="F67:H67"/>
    <mergeCell ref="B68:E68"/>
    <mergeCell ref="F68:H68"/>
    <mergeCell ref="A75:I75"/>
    <mergeCell ref="B76:H76"/>
    <mergeCell ref="B77:H77"/>
    <mergeCell ref="B78:H78"/>
    <mergeCell ref="B79:H79"/>
    <mergeCell ref="A80:H80"/>
    <mergeCell ref="B72:E72"/>
    <mergeCell ref="F72:H72"/>
    <mergeCell ref="J72:L72"/>
    <mergeCell ref="B73:E73"/>
    <mergeCell ref="F73:H73"/>
    <mergeCell ref="A74:H74"/>
    <mergeCell ref="B87:G87"/>
    <mergeCell ref="B88:G88"/>
    <mergeCell ref="B89:G89"/>
    <mergeCell ref="J89:M89"/>
    <mergeCell ref="A90:G90"/>
    <mergeCell ref="J90:O90"/>
    <mergeCell ref="A81:I81"/>
    <mergeCell ref="A82:I82"/>
    <mergeCell ref="B83:G83"/>
    <mergeCell ref="B84:G84"/>
    <mergeCell ref="B85:G85"/>
    <mergeCell ref="B86:G86"/>
    <mergeCell ref="B98:E98"/>
    <mergeCell ref="F98:H98"/>
    <mergeCell ref="B99:E99"/>
    <mergeCell ref="F99:H99"/>
    <mergeCell ref="B100:E100"/>
    <mergeCell ref="F100:H100"/>
    <mergeCell ref="A91:I91"/>
    <mergeCell ref="A93:I93"/>
    <mergeCell ref="A94:I94"/>
    <mergeCell ref="B95:I95"/>
    <mergeCell ref="A96:I96"/>
    <mergeCell ref="B97:E97"/>
    <mergeCell ref="F97:H97"/>
    <mergeCell ref="B104:E104"/>
    <mergeCell ref="F104:H104"/>
    <mergeCell ref="B105:E105"/>
    <mergeCell ref="F105:H105"/>
    <mergeCell ref="A106:I106"/>
    <mergeCell ref="A107:H107"/>
    <mergeCell ref="B101:E101"/>
    <mergeCell ref="F101:H101"/>
    <mergeCell ref="B102:E102"/>
    <mergeCell ref="F102:H102"/>
    <mergeCell ref="B103:E103"/>
    <mergeCell ref="F103:H103"/>
    <mergeCell ref="P112:Z115"/>
    <mergeCell ref="B113:H113"/>
    <mergeCell ref="B114:H114"/>
    <mergeCell ref="B115:H115"/>
    <mergeCell ref="B108:E108"/>
    <mergeCell ref="F108:H108"/>
    <mergeCell ref="B109:E109"/>
    <mergeCell ref="F109:H109"/>
    <mergeCell ref="B110:E110"/>
    <mergeCell ref="F110:H110"/>
    <mergeCell ref="A116:H116"/>
    <mergeCell ref="A117:I117"/>
    <mergeCell ref="A118:G118"/>
    <mergeCell ref="B119:D119"/>
    <mergeCell ref="E119:G119"/>
    <mergeCell ref="B120:D120"/>
    <mergeCell ref="E120:G120"/>
    <mergeCell ref="A111:I111"/>
    <mergeCell ref="A112:I112"/>
    <mergeCell ref="A124:D124"/>
    <mergeCell ref="E124:G124"/>
    <mergeCell ref="A125:G125"/>
    <mergeCell ref="A126:I126"/>
    <mergeCell ref="A127:I127"/>
    <mergeCell ref="B128:E128"/>
    <mergeCell ref="F128:G128"/>
    <mergeCell ref="H128:I128"/>
    <mergeCell ref="B121:D121"/>
    <mergeCell ref="E121:G121"/>
    <mergeCell ref="H121:I121"/>
    <mergeCell ref="B122:D122"/>
    <mergeCell ref="E122:G122"/>
    <mergeCell ref="B123:D123"/>
    <mergeCell ref="E123:G123"/>
    <mergeCell ref="B131:E131"/>
    <mergeCell ref="F131:G131"/>
    <mergeCell ref="H131:I131"/>
    <mergeCell ref="C132:E132"/>
    <mergeCell ref="F132:G132"/>
    <mergeCell ref="H132:I132"/>
    <mergeCell ref="B129:E129"/>
    <mergeCell ref="F129:G129"/>
    <mergeCell ref="H129:I129"/>
    <mergeCell ref="B130:E130"/>
    <mergeCell ref="F130:G130"/>
    <mergeCell ref="H130:I130"/>
    <mergeCell ref="C135:E135"/>
    <mergeCell ref="F135:G135"/>
    <mergeCell ref="H135:I135"/>
    <mergeCell ref="A136:E136"/>
    <mergeCell ref="F136:G136"/>
    <mergeCell ref="H136:I136"/>
    <mergeCell ref="C133:E133"/>
    <mergeCell ref="F133:G133"/>
    <mergeCell ref="H133:I133"/>
    <mergeCell ref="C134:E134"/>
    <mergeCell ref="F134:G134"/>
    <mergeCell ref="H134:I134"/>
    <mergeCell ref="B143:H143"/>
    <mergeCell ref="B144:H144"/>
    <mergeCell ref="B145:H145"/>
    <mergeCell ref="B146:H146"/>
    <mergeCell ref="A147:H147"/>
    <mergeCell ref="A148:I148"/>
    <mergeCell ref="A137:I137"/>
    <mergeCell ref="A138:I138"/>
    <mergeCell ref="A139:H139"/>
    <mergeCell ref="B140:H140"/>
    <mergeCell ref="B141:H141"/>
    <mergeCell ref="B142:H142"/>
  </mergeCells>
  <printOptions horizontalCentered="1"/>
  <pageMargins left="0.19685039370078741" right="0.19685039370078741" top="1.1429166666666666" bottom="0.78740157480314965" header="0.31496062992125984" footer="0.31496062992125984"/>
  <pageSetup paperSize="9" scale="47" fitToHeight="0" orientation="portrait" r:id="rId1"/>
  <rowBreaks count="2" manualBreakCount="2">
    <brk id="62" max="8" man="1"/>
    <brk id="117" max="8" man="1"/>
  </rowBreaks>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40B0A-7050-463C-8D41-DD2D25BA56B2}">
  <sheetPr>
    <tabColor rgb="FF92D050"/>
    <pageSetUpPr fitToPage="1"/>
  </sheetPr>
  <dimension ref="A1:M83"/>
  <sheetViews>
    <sheetView view="pageBreakPreview" topLeftCell="A7" zoomScale="130" zoomScaleNormal="90" zoomScaleSheetLayoutView="130" workbookViewId="0">
      <selection activeCell="I53" sqref="I53"/>
    </sheetView>
  </sheetViews>
  <sheetFormatPr defaultRowHeight="15"/>
  <cols>
    <col min="1" max="1" width="14.140625" customWidth="1"/>
    <col min="2" max="2" width="18.28515625" customWidth="1"/>
    <col min="3" max="3" width="30.7109375" customWidth="1"/>
    <col min="4" max="4" width="27.85546875" customWidth="1"/>
    <col min="5" max="5" width="27" customWidth="1"/>
    <col min="6" max="6" width="15.140625" customWidth="1"/>
    <col min="7" max="7" width="14.28515625" customWidth="1"/>
    <col min="8" max="8" width="14.85546875" customWidth="1"/>
    <col min="9" max="9" width="29" customWidth="1"/>
    <col min="10" max="11" width="16.7109375" bestFit="1" customWidth="1"/>
    <col min="12" max="12" width="13.7109375" bestFit="1" customWidth="1"/>
    <col min="257" max="257" width="14.140625" customWidth="1"/>
    <col min="258" max="258" width="18.28515625" customWidth="1"/>
    <col min="259" max="259" width="30.7109375" customWidth="1"/>
    <col min="260" max="260" width="27.85546875" customWidth="1"/>
    <col min="261" max="261" width="27" customWidth="1"/>
    <col min="262" max="262" width="15.140625" customWidth="1"/>
    <col min="263" max="263" width="14.28515625" customWidth="1"/>
    <col min="264" max="264" width="14.85546875" customWidth="1"/>
    <col min="265" max="265" width="29" customWidth="1"/>
    <col min="266" max="267" width="16.7109375" bestFit="1" customWidth="1"/>
    <col min="268" max="268" width="13.7109375" bestFit="1" customWidth="1"/>
    <col min="513" max="513" width="14.140625" customWidth="1"/>
    <col min="514" max="514" width="18.28515625" customWidth="1"/>
    <col min="515" max="515" width="30.7109375" customWidth="1"/>
    <col min="516" max="516" width="27.85546875" customWidth="1"/>
    <col min="517" max="517" width="27" customWidth="1"/>
    <col min="518" max="518" width="15.140625" customWidth="1"/>
    <col min="519" max="519" width="14.28515625" customWidth="1"/>
    <col min="520" max="520" width="14.85546875" customWidth="1"/>
    <col min="521" max="521" width="29" customWidth="1"/>
    <col min="522" max="523" width="16.7109375" bestFit="1" customWidth="1"/>
    <col min="524" max="524" width="13.7109375" bestFit="1" customWidth="1"/>
    <col min="769" max="769" width="14.140625" customWidth="1"/>
    <col min="770" max="770" width="18.28515625" customWidth="1"/>
    <col min="771" max="771" width="30.7109375" customWidth="1"/>
    <col min="772" max="772" width="27.85546875" customWidth="1"/>
    <col min="773" max="773" width="27" customWidth="1"/>
    <col min="774" max="774" width="15.140625" customWidth="1"/>
    <col min="775" max="775" width="14.28515625" customWidth="1"/>
    <col min="776" max="776" width="14.85546875" customWidth="1"/>
    <col min="777" max="777" width="29" customWidth="1"/>
    <col min="778" max="779" width="16.7109375" bestFit="1" customWidth="1"/>
    <col min="780" max="780" width="13.7109375" bestFit="1" customWidth="1"/>
    <col min="1025" max="1025" width="14.140625" customWidth="1"/>
    <col min="1026" max="1026" width="18.28515625" customWidth="1"/>
    <col min="1027" max="1027" width="30.7109375" customWidth="1"/>
    <col min="1028" max="1028" width="27.85546875" customWidth="1"/>
    <col min="1029" max="1029" width="27" customWidth="1"/>
    <col min="1030" max="1030" width="15.140625" customWidth="1"/>
    <col min="1031" max="1031" width="14.28515625" customWidth="1"/>
    <col min="1032" max="1032" width="14.85546875" customWidth="1"/>
    <col min="1033" max="1033" width="29" customWidth="1"/>
    <col min="1034" max="1035" width="16.7109375" bestFit="1" customWidth="1"/>
    <col min="1036" max="1036" width="13.7109375" bestFit="1" customWidth="1"/>
    <col min="1281" max="1281" width="14.140625" customWidth="1"/>
    <col min="1282" max="1282" width="18.28515625" customWidth="1"/>
    <col min="1283" max="1283" width="30.7109375" customWidth="1"/>
    <col min="1284" max="1284" width="27.85546875" customWidth="1"/>
    <col min="1285" max="1285" width="27" customWidth="1"/>
    <col min="1286" max="1286" width="15.140625" customWidth="1"/>
    <col min="1287" max="1287" width="14.28515625" customWidth="1"/>
    <col min="1288" max="1288" width="14.85546875" customWidth="1"/>
    <col min="1289" max="1289" width="29" customWidth="1"/>
    <col min="1290" max="1291" width="16.7109375" bestFit="1" customWidth="1"/>
    <col min="1292" max="1292" width="13.7109375" bestFit="1" customWidth="1"/>
    <col min="1537" max="1537" width="14.140625" customWidth="1"/>
    <col min="1538" max="1538" width="18.28515625" customWidth="1"/>
    <col min="1539" max="1539" width="30.7109375" customWidth="1"/>
    <col min="1540" max="1540" width="27.85546875" customWidth="1"/>
    <col min="1541" max="1541" width="27" customWidth="1"/>
    <col min="1542" max="1542" width="15.140625" customWidth="1"/>
    <col min="1543" max="1543" width="14.28515625" customWidth="1"/>
    <col min="1544" max="1544" width="14.85546875" customWidth="1"/>
    <col min="1545" max="1545" width="29" customWidth="1"/>
    <col min="1546" max="1547" width="16.7109375" bestFit="1" customWidth="1"/>
    <col min="1548" max="1548" width="13.7109375" bestFit="1" customWidth="1"/>
    <col min="1793" max="1793" width="14.140625" customWidth="1"/>
    <col min="1794" max="1794" width="18.28515625" customWidth="1"/>
    <col min="1795" max="1795" width="30.7109375" customWidth="1"/>
    <col min="1796" max="1796" width="27.85546875" customWidth="1"/>
    <col min="1797" max="1797" width="27" customWidth="1"/>
    <col min="1798" max="1798" width="15.140625" customWidth="1"/>
    <col min="1799" max="1799" width="14.28515625" customWidth="1"/>
    <col min="1800" max="1800" width="14.85546875" customWidth="1"/>
    <col min="1801" max="1801" width="29" customWidth="1"/>
    <col min="1802" max="1803" width="16.7109375" bestFit="1" customWidth="1"/>
    <col min="1804" max="1804" width="13.7109375" bestFit="1" customWidth="1"/>
    <col min="2049" max="2049" width="14.140625" customWidth="1"/>
    <col min="2050" max="2050" width="18.28515625" customWidth="1"/>
    <col min="2051" max="2051" width="30.7109375" customWidth="1"/>
    <col min="2052" max="2052" width="27.85546875" customWidth="1"/>
    <col min="2053" max="2053" width="27" customWidth="1"/>
    <col min="2054" max="2054" width="15.140625" customWidth="1"/>
    <col min="2055" max="2055" width="14.28515625" customWidth="1"/>
    <col min="2056" max="2056" width="14.85546875" customWidth="1"/>
    <col min="2057" max="2057" width="29" customWidth="1"/>
    <col min="2058" max="2059" width="16.7109375" bestFit="1" customWidth="1"/>
    <col min="2060" max="2060" width="13.7109375" bestFit="1" customWidth="1"/>
    <col min="2305" max="2305" width="14.140625" customWidth="1"/>
    <col min="2306" max="2306" width="18.28515625" customWidth="1"/>
    <col min="2307" max="2307" width="30.7109375" customWidth="1"/>
    <col min="2308" max="2308" width="27.85546875" customWidth="1"/>
    <col min="2309" max="2309" width="27" customWidth="1"/>
    <col min="2310" max="2310" width="15.140625" customWidth="1"/>
    <col min="2311" max="2311" width="14.28515625" customWidth="1"/>
    <col min="2312" max="2312" width="14.85546875" customWidth="1"/>
    <col min="2313" max="2313" width="29" customWidth="1"/>
    <col min="2314" max="2315" width="16.7109375" bestFit="1" customWidth="1"/>
    <col min="2316" max="2316" width="13.7109375" bestFit="1" customWidth="1"/>
    <col min="2561" max="2561" width="14.140625" customWidth="1"/>
    <col min="2562" max="2562" width="18.28515625" customWidth="1"/>
    <col min="2563" max="2563" width="30.7109375" customWidth="1"/>
    <col min="2564" max="2564" width="27.85546875" customWidth="1"/>
    <col min="2565" max="2565" width="27" customWidth="1"/>
    <col min="2566" max="2566" width="15.140625" customWidth="1"/>
    <col min="2567" max="2567" width="14.28515625" customWidth="1"/>
    <col min="2568" max="2568" width="14.85546875" customWidth="1"/>
    <col min="2569" max="2569" width="29" customWidth="1"/>
    <col min="2570" max="2571" width="16.7109375" bestFit="1" customWidth="1"/>
    <col min="2572" max="2572" width="13.7109375" bestFit="1" customWidth="1"/>
    <col min="2817" max="2817" width="14.140625" customWidth="1"/>
    <col min="2818" max="2818" width="18.28515625" customWidth="1"/>
    <col min="2819" max="2819" width="30.7109375" customWidth="1"/>
    <col min="2820" max="2820" width="27.85546875" customWidth="1"/>
    <col min="2821" max="2821" width="27" customWidth="1"/>
    <col min="2822" max="2822" width="15.140625" customWidth="1"/>
    <col min="2823" max="2823" width="14.28515625" customWidth="1"/>
    <col min="2824" max="2824" width="14.85546875" customWidth="1"/>
    <col min="2825" max="2825" width="29" customWidth="1"/>
    <col min="2826" max="2827" width="16.7109375" bestFit="1" customWidth="1"/>
    <col min="2828" max="2828" width="13.7109375" bestFit="1" customWidth="1"/>
    <col min="3073" max="3073" width="14.140625" customWidth="1"/>
    <col min="3074" max="3074" width="18.28515625" customWidth="1"/>
    <col min="3075" max="3075" width="30.7109375" customWidth="1"/>
    <col min="3076" max="3076" width="27.85546875" customWidth="1"/>
    <col min="3077" max="3077" width="27" customWidth="1"/>
    <col min="3078" max="3078" width="15.140625" customWidth="1"/>
    <col min="3079" max="3079" width="14.28515625" customWidth="1"/>
    <col min="3080" max="3080" width="14.85546875" customWidth="1"/>
    <col min="3081" max="3081" width="29" customWidth="1"/>
    <col min="3082" max="3083" width="16.7109375" bestFit="1" customWidth="1"/>
    <col min="3084" max="3084" width="13.7109375" bestFit="1" customWidth="1"/>
    <col min="3329" max="3329" width="14.140625" customWidth="1"/>
    <col min="3330" max="3330" width="18.28515625" customWidth="1"/>
    <col min="3331" max="3331" width="30.7109375" customWidth="1"/>
    <col min="3332" max="3332" width="27.85546875" customWidth="1"/>
    <col min="3333" max="3333" width="27" customWidth="1"/>
    <col min="3334" max="3334" width="15.140625" customWidth="1"/>
    <col min="3335" max="3335" width="14.28515625" customWidth="1"/>
    <col min="3336" max="3336" width="14.85546875" customWidth="1"/>
    <col min="3337" max="3337" width="29" customWidth="1"/>
    <col min="3338" max="3339" width="16.7109375" bestFit="1" customWidth="1"/>
    <col min="3340" max="3340" width="13.7109375" bestFit="1" customWidth="1"/>
    <col min="3585" max="3585" width="14.140625" customWidth="1"/>
    <col min="3586" max="3586" width="18.28515625" customWidth="1"/>
    <col min="3587" max="3587" width="30.7109375" customWidth="1"/>
    <col min="3588" max="3588" width="27.85546875" customWidth="1"/>
    <col min="3589" max="3589" width="27" customWidth="1"/>
    <col min="3590" max="3590" width="15.140625" customWidth="1"/>
    <col min="3591" max="3591" width="14.28515625" customWidth="1"/>
    <col min="3592" max="3592" width="14.85546875" customWidth="1"/>
    <col min="3593" max="3593" width="29" customWidth="1"/>
    <col min="3594" max="3595" width="16.7109375" bestFit="1" customWidth="1"/>
    <col min="3596" max="3596" width="13.7109375" bestFit="1" customWidth="1"/>
    <col min="3841" max="3841" width="14.140625" customWidth="1"/>
    <col min="3842" max="3842" width="18.28515625" customWidth="1"/>
    <col min="3843" max="3843" width="30.7109375" customWidth="1"/>
    <col min="3844" max="3844" width="27.85546875" customWidth="1"/>
    <col min="3845" max="3845" width="27" customWidth="1"/>
    <col min="3846" max="3846" width="15.140625" customWidth="1"/>
    <col min="3847" max="3847" width="14.28515625" customWidth="1"/>
    <col min="3848" max="3848" width="14.85546875" customWidth="1"/>
    <col min="3849" max="3849" width="29" customWidth="1"/>
    <col min="3850" max="3851" width="16.7109375" bestFit="1" customWidth="1"/>
    <col min="3852" max="3852" width="13.7109375" bestFit="1" customWidth="1"/>
    <col min="4097" max="4097" width="14.140625" customWidth="1"/>
    <col min="4098" max="4098" width="18.28515625" customWidth="1"/>
    <col min="4099" max="4099" width="30.7109375" customWidth="1"/>
    <col min="4100" max="4100" width="27.85546875" customWidth="1"/>
    <col min="4101" max="4101" width="27" customWidth="1"/>
    <col min="4102" max="4102" width="15.140625" customWidth="1"/>
    <col min="4103" max="4103" width="14.28515625" customWidth="1"/>
    <col min="4104" max="4104" width="14.85546875" customWidth="1"/>
    <col min="4105" max="4105" width="29" customWidth="1"/>
    <col min="4106" max="4107" width="16.7109375" bestFit="1" customWidth="1"/>
    <col min="4108" max="4108" width="13.7109375" bestFit="1" customWidth="1"/>
    <col min="4353" max="4353" width="14.140625" customWidth="1"/>
    <col min="4354" max="4354" width="18.28515625" customWidth="1"/>
    <col min="4355" max="4355" width="30.7109375" customWidth="1"/>
    <col min="4356" max="4356" width="27.85546875" customWidth="1"/>
    <col min="4357" max="4357" width="27" customWidth="1"/>
    <col min="4358" max="4358" width="15.140625" customWidth="1"/>
    <col min="4359" max="4359" width="14.28515625" customWidth="1"/>
    <col min="4360" max="4360" width="14.85546875" customWidth="1"/>
    <col min="4361" max="4361" width="29" customWidth="1"/>
    <col min="4362" max="4363" width="16.7109375" bestFit="1" customWidth="1"/>
    <col min="4364" max="4364" width="13.7109375" bestFit="1" customWidth="1"/>
    <col min="4609" max="4609" width="14.140625" customWidth="1"/>
    <col min="4610" max="4610" width="18.28515625" customWidth="1"/>
    <col min="4611" max="4611" width="30.7109375" customWidth="1"/>
    <col min="4612" max="4612" width="27.85546875" customWidth="1"/>
    <col min="4613" max="4613" width="27" customWidth="1"/>
    <col min="4614" max="4614" width="15.140625" customWidth="1"/>
    <col min="4615" max="4615" width="14.28515625" customWidth="1"/>
    <col min="4616" max="4616" width="14.85546875" customWidth="1"/>
    <col min="4617" max="4617" width="29" customWidth="1"/>
    <col min="4618" max="4619" width="16.7109375" bestFit="1" customWidth="1"/>
    <col min="4620" max="4620" width="13.7109375" bestFit="1" customWidth="1"/>
    <col min="4865" max="4865" width="14.140625" customWidth="1"/>
    <col min="4866" max="4866" width="18.28515625" customWidth="1"/>
    <col min="4867" max="4867" width="30.7109375" customWidth="1"/>
    <col min="4868" max="4868" width="27.85546875" customWidth="1"/>
    <col min="4869" max="4869" width="27" customWidth="1"/>
    <col min="4870" max="4870" width="15.140625" customWidth="1"/>
    <col min="4871" max="4871" width="14.28515625" customWidth="1"/>
    <col min="4872" max="4872" width="14.85546875" customWidth="1"/>
    <col min="4873" max="4873" width="29" customWidth="1"/>
    <col min="4874" max="4875" width="16.7109375" bestFit="1" customWidth="1"/>
    <col min="4876" max="4876" width="13.7109375" bestFit="1" customWidth="1"/>
    <col min="5121" max="5121" width="14.140625" customWidth="1"/>
    <col min="5122" max="5122" width="18.28515625" customWidth="1"/>
    <col min="5123" max="5123" width="30.7109375" customWidth="1"/>
    <col min="5124" max="5124" width="27.85546875" customWidth="1"/>
    <col min="5125" max="5125" width="27" customWidth="1"/>
    <col min="5126" max="5126" width="15.140625" customWidth="1"/>
    <col min="5127" max="5127" width="14.28515625" customWidth="1"/>
    <col min="5128" max="5128" width="14.85546875" customWidth="1"/>
    <col min="5129" max="5129" width="29" customWidth="1"/>
    <col min="5130" max="5131" width="16.7109375" bestFit="1" customWidth="1"/>
    <col min="5132" max="5132" width="13.7109375" bestFit="1" customWidth="1"/>
    <col min="5377" max="5377" width="14.140625" customWidth="1"/>
    <col min="5378" max="5378" width="18.28515625" customWidth="1"/>
    <col min="5379" max="5379" width="30.7109375" customWidth="1"/>
    <col min="5380" max="5380" width="27.85546875" customWidth="1"/>
    <col min="5381" max="5381" width="27" customWidth="1"/>
    <col min="5382" max="5382" width="15.140625" customWidth="1"/>
    <col min="5383" max="5383" width="14.28515625" customWidth="1"/>
    <col min="5384" max="5384" width="14.85546875" customWidth="1"/>
    <col min="5385" max="5385" width="29" customWidth="1"/>
    <col min="5386" max="5387" width="16.7109375" bestFit="1" customWidth="1"/>
    <col min="5388" max="5388" width="13.7109375" bestFit="1" customWidth="1"/>
    <col min="5633" max="5633" width="14.140625" customWidth="1"/>
    <col min="5634" max="5634" width="18.28515625" customWidth="1"/>
    <col min="5635" max="5635" width="30.7109375" customWidth="1"/>
    <col min="5636" max="5636" width="27.85546875" customWidth="1"/>
    <col min="5637" max="5637" width="27" customWidth="1"/>
    <col min="5638" max="5638" width="15.140625" customWidth="1"/>
    <col min="5639" max="5639" width="14.28515625" customWidth="1"/>
    <col min="5640" max="5640" width="14.85546875" customWidth="1"/>
    <col min="5641" max="5641" width="29" customWidth="1"/>
    <col min="5642" max="5643" width="16.7109375" bestFit="1" customWidth="1"/>
    <col min="5644" max="5644" width="13.7109375" bestFit="1" customWidth="1"/>
    <col min="5889" max="5889" width="14.140625" customWidth="1"/>
    <col min="5890" max="5890" width="18.28515625" customWidth="1"/>
    <col min="5891" max="5891" width="30.7109375" customWidth="1"/>
    <col min="5892" max="5892" width="27.85546875" customWidth="1"/>
    <col min="5893" max="5893" width="27" customWidth="1"/>
    <col min="5894" max="5894" width="15.140625" customWidth="1"/>
    <col min="5895" max="5895" width="14.28515625" customWidth="1"/>
    <col min="5896" max="5896" width="14.85546875" customWidth="1"/>
    <col min="5897" max="5897" width="29" customWidth="1"/>
    <col min="5898" max="5899" width="16.7109375" bestFit="1" customWidth="1"/>
    <col min="5900" max="5900" width="13.7109375" bestFit="1" customWidth="1"/>
    <col min="6145" max="6145" width="14.140625" customWidth="1"/>
    <col min="6146" max="6146" width="18.28515625" customWidth="1"/>
    <col min="6147" max="6147" width="30.7109375" customWidth="1"/>
    <col min="6148" max="6148" width="27.85546875" customWidth="1"/>
    <col min="6149" max="6149" width="27" customWidth="1"/>
    <col min="6150" max="6150" width="15.140625" customWidth="1"/>
    <col min="6151" max="6151" width="14.28515625" customWidth="1"/>
    <col min="6152" max="6152" width="14.85546875" customWidth="1"/>
    <col min="6153" max="6153" width="29" customWidth="1"/>
    <col min="6154" max="6155" width="16.7109375" bestFit="1" customWidth="1"/>
    <col min="6156" max="6156" width="13.7109375" bestFit="1" customWidth="1"/>
    <col min="6401" max="6401" width="14.140625" customWidth="1"/>
    <col min="6402" max="6402" width="18.28515625" customWidth="1"/>
    <col min="6403" max="6403" width="30.7109375" customWidth="1"/>
    <col min="6404" max="6404" width="27.85546875" customWidth="1"/>
    <col min="6405" max="6405" width="27" customWidth="1"/>
    <col min="6406" max="6406" width="15.140625" customWidth="1"/>
    <col min="6407" max="6407" width="14.28515625" customWidth="1"/>
    <col min="6408" max="6408" width="14.85546875" customWidth="1"/>
    <col min="6409" max="6409" width="29" customWidth="1"/>
    <col min="6410" max="6411" width="16.7109375" bestFit="1" customWidth="1"/>
    <col min="6412" max="6412" width="13.7109375" bestFit="1" customWidth="1"/>
    <col min="6657" max="6657" width="14.140625" customWidth="1"/>
    <col min="6658" max="6658" width="18.28515625" customWidth="1"/>
    <col min="6659" max="6659" width="30.7109375" customWidth="1"/>
    <col min="6660" max="6660" width="27.85546875" customWidth="1"/>
    <col min="6661" max="6661" width="27" customWidth="1"/>
    <col min="6662" max="6662" width="15.140625" customWidth="1"/>
    <col min="6663" max="6663" width="14.28515625" customWidth="1"/>
    <col min="6664" max="6664" width="14.85546875" customWidth="1"/>
    <col min="6665" max="6665" width="29" customWidth="1"/>
    <col min="6666" max="6667" width="16.7109375" bestFit="1" customWidth="1"/>
    <col min="6668" max="6668" width="13.7109375" bestFit="1" customWidth="1"/>
    <col min="6913" max="6913" width="14.140625" customWidth="1"/>
    <col min="6914" max="6914" width="18.28515625" customWidth="1"/>
    <col min="6915" max="6915" width="30.7109375" customWidth="1"/>
    <col min="6916" max="6916" width="27.85546875" customWidth="1"/>
    <col min="6917" max="6917" width="27" customWidth="1"/>
    <col min="6918" max="6918" width="15.140625" customWidth="1"/>
    <col min="6919" max="6919" width="14.28515625" customWidth="1"/>
    <col min="6920" max="6920" width="14.85546875" customWidth="1"/>
    <col min="6921" max="6921" width="29" customWidth="1"/>
    <col min="6922" max="6923" width="16.7109375" bestFit="1" customWidth="1"/>
    <col min="6924" max="6924" width="13.7109375" bestFit="1" customWidth="1"/>
    <col min="7169" max="7169" width="14.140625" customWidth="1"/>
    <col min="7170" max="7170" width="18.28515625" customWidth="1"/>
    <col min="7171" max="7171" width="30.7109375" customWidth="1"/>
    <col min="7172" max="7172" width="27.85546875" customWidth="1"/>
    <col min="7173" max="7173" width="27" customWidth="1"/>
    <col min="7174" max="7174" width="15.140625" customWidth="1"/>
    <col min="7175" max="7175" width="14.28515625" customWidth="1"/>
    <col min="7176" max="7176" width="14.85546875" customWidth="1"/>
    <col min="7177" max="7177" width="29" customWidth="1"/>
    <col min="7178" max="7179" width="16.7109375" bestFit="1" customWidth="1"/>
    <col min="7180" max="7180" width="13.7109375" bestFit="1" customWidth="1"/>
    <col min="7425" max="7425" width="14.140625" customWidth="1"/>
    <col min="7426" max="7426" width="18.28515625" customWidth="1"/>
    <col min="7427" max="7427" width="30.7109375" customWidth="1"/>
    <col min="7428" max="7428" width="27.85546875" customWidth="1"/>
    <col min="7429" max="7429" width="27" customWidth="1"/>
    <col min="7430" max="7430" width="15.140625" customWidth="1"/>
    <col min="7431" max="7431" width="14.28515625" customWidth="1"/>
    <col min="7432" max="7432" width="14.85546875" customWidth="1"/>
    <col min="7433" max="7433" width="29" customWidth="1"/>
    <col min="7434" max="7435" width="16.7109375" bestFit="1" customWidth="1"/>
    <col min="7436" max="7436" width="13.7109375" bestFit="1" customWidth="1"/>
    <col min="7681" max="7681" width="14.140625" customWidth="1"/>
    <col min="7682" max="7682" width="18.28515625" customWidth="1"/>
    <col min="7683" max="7683" width="30.7109375" customWidth="1"/>
    <col min="7684" max="7684" width="27.85546875" customWidth="1"/>
    <col min="7685" max="7685" width="27" customWidth="1"/>
    <col min="7686" max="7686" width="15.140625" customWidth="1"/>
    <col min="7687" max="7687" width="14.28515625" customWidth="1"/>
    <col min="7688" max="7688" width="14.85546875" customWidth="1"/>
    <col min="7689" max="7689" width="29" customWidth="1"/>
    <col min="7690" max="7691" width="16.7109375" bestFit="1" customWidth="1"/>
    <col min="7692" max="7692" width="13.7109375" bestFit="1" customWidth="1"/>
    <col min="7937" max="7937" width="14.140625" customWidth="1"/>
    <col min="7938" max="7938" width="18.28515625" customWidth="1"/>
    <col min="7939" max="7939" width="30.7109375" customWidth="1"/>
    <col min="7940" max="7940" width="27.85546875" customWidth="1"/>
    <col min="7941" max="7941" width="27" customWidth="1"/>
    <col min="7942" max="7942" width="15.140625" customWidth="1"/>
    <col min="7943" max="7943" width="14.28515625" customWidth="1"/>
    <col min="7944" max="7944" width="14.85546875" customWidth="1"/>
    <col min="7945" max="7945" width="29" customWidth="1"/>
    <col min="7946" max="7947" width="16.7109375" bestFit="1" customWidth="1"/>
    <col min="7948" max="7948" width="13.7109375" bestFit="1" customWidth="1"/>
    <col min="8193" max="8193" width="14.140625" customWidth="1"/>
    <col min="8194" max="8194" width="18.28515625" customWidth="1"/>
    <col min="8195" max="8195" width="30.7109375" customWidth="1"/>
    <col min="8196" max="8196" width="27.85546875" customWidth="1"/>
    <col min="8197" max="8197" width="27" customWidth="1"/>
    <col min="8198" max="8198" width="15.140625" customWidth="1"/>
    <col min="8199" max="8199" width="14.28515625" customWidth="1"/>
    <col min="8200" max="8200" width="14.85546875" customWidth="1"/>
    <col min="8201" max="8201" width="29" customWidth="1"/>
    <col min="8202" max="8203" width="16.7109375" bestFit="1" customWidth="1"/>
    <col min="8204" max="8204" width="13.7109375" bestFit="1" customWidth="1"/>
    <col min="8449" max="8449" width="14.140625" customWidth="1"/>
    <col min="8450" max="8450" width="18.28515625" customWidth="1"/>
    <col min="8451" max="8451" width="30.7109375" customWidth="1"/>
    <col min="8452" max="8452" width="27.85546875" customWidth="1"/>
    <col min="8453" max="8453" width="27" customWidth="1"/>
    <col min="8454" max="8454" width="15.140625" customWidth="1"/>
    <col min="8455" max="8455" width="14.28515625" customWidth="1"/>
    <col min="8456" max="8456" width="14.85546875" customWidth="1"/>
    <col min="8457" max="8457" width="29" customWidth="1"/>
    <col min="8458" max="8459" width="16.7109375" bestFit="1" customWidth="1"/>
    <col min="8460" max="8460" width="13.7109375" bestFit="1" customWidth="1"/>
    <col min="8705" max="8705" width="14.140625" customWidth="1"/>
    <col min="8706" max="8706" width="18.28515625" customWidth="1"/>
    <col min="8707" max="8707" width="30.7109375" customWidth="1"/>
    <col min="8708" max="8708" width="27.85546875" customWidth="1"/>
    <col min="8709" max="8709" width="27" customWidth="1"/>
    <col min="8710" max="8710" width="15.140625" customWidth="1"/>
    <col min="8711" max="8711" width="14.28515625" customWidth="1"/>
    <col min="8712" max="8712" width="14.85546875" customWidth="1"/>
    <col min="8713" max="8713" width="29" customWidth="1"/>
    <col min="8714" max="8715" width="16.7109375" bestFit="1" customWidth="1"/>
    <col min="8716" max="8716" width="13.7109375" bestFit="1" customWidth="1"/>
    <col min="8961" max="8961" width="14.140625" customWidth="1"/>
    <col min="8962" max="8962" width="18.28515625" customWidth="1"/>
    <col min="8963" max="8963" width="30.7109375" customWidth="1"/>
    <col min="8964" max="8964" width="27.85546875" customWidth="1"/>
    <col min="8965" max="8965" width="27" customWidth="1"/>
    <col min="8966" max="8966" width="15.140625" customWidth="1"/>
    <col min="8967" max="8967" width="14.28515625" customWidth="1"/>
    <col min="8968" max="8968" width="14.85546875" customWidth="1"/>
    <col min="8969" max="8969" width="29" customWidth="1"/>
    <col min="8970" max="8971" width="16.7109375" bestFit="1" customWidth="1"/>
    <col min="8972" max="8972" width="13.7109375" bestFit="1" customWidth="1"/>
    <col min="9217" max="9217" width="14.140625" customWidth="1"/>
    <col min="9218" max="9218" width="18.28515625" customWidth="1"/>
    <col min="9219" max="9219" width="30.7109375" customWidth="1"/>
    <col min="9220" max="9220" width="27.85546875" customWidth="1"/>
    <col min="9221" max="9221" width="27" customWidth="1"/>
    <col min="9222" max="9222" width="15.140625" customWidth="1"/>
    <col min="9223" max="9223" width="14.28515625" customWidth="1"/>
    <col min="9224" max="9224" width="14.85546875" customWidth="1"/>
    <col min="9225" max="9225" width="29" customWidth="1"/>
    <col min="9226" max="9227" width="16.7109375" bestFit="1" customWidth="1"/>
    <col min="9228" max="9228" width="13.7109375" bestFit="1" customWidth="1"/>
    <col min="9473" max="9473" width="14.140625" customWidth="1"/>
    <col min="9474" max="9474" width="18.28515625" customWidth="1"/>
    <col min="9475" max="9475" width="30.7109375" customWidth="1"/>
    <col min="9476" max="9476" width="27.85546875" customWidth="1"/>
    <col min="9477" max="9477" width="27" customWidth="1"/>
    <col min="9478" max="9478" width="15.140625" customWidth="1"/>
    <col min="9479" max="9479" width="14.28515625" customWidth="1"/>
    <col min="9480" max="9480" width="14.85546875" customWidth="1"/>
    <col min="9481" max="9481" width="29" customWidth="1"/>
    <col min="9482" max="9483" width="16.7109375" bestFit="1" customWidth="1"/>
    <col min="9484" max="9484" width="13.7109375" bestFit="1" customWidth="1"/>
    <col min="9729" max="9729" width="14.140625" customWidth="1"/>
    <col min="9730" max="9730" width="18.28515625" customWidth="1"/>
    <col min="9731" max="9731" width="30.7109375" customWidth="1"/>
    <col min="9732" max="9732" width="27.85546875" customWidth="1"/>
    <col min="9733" max="9733" width="27" customWidth="1"/>
    <col min="9734" max="9734" width="15.140625" customWidth="1"/>
    <col min="9735" max="9735" width="14.28515625" customWidth="1"/>
    <col min="9736" max="9736" width="14.85546875" customWidth="1"/>
    <col min="9737" max="9737" width="29" customWidth="1"/>
    <col min="9738" max="9739" width="16.7109375" bestFit="1" customWidth="1"/>
    <col min="9740" max="9740" width="13.7109375" bestFit="1" customWidth="1"/>
    <col min="9985" max="9985" width="14.140625" customWidth="1"/>
    <col min="9986" max="9986" width="18.28515625" customWidth="1"/>
    <col min="9987" max="9987" width="30.7109375" customWidth="1"/>
    <col min="9988" max="9988" width="27.85546875" customWidth="1"/>
    <col min="9989" max="9989" width="27" customWidth="1"/>
    <col min="9990" max="9990" width="15.140625" customWidth="1"/>
    <col min="9991" max="9991" width="14.28515625" customWidth="1"/>
    <col min="9992" max="9992" width="14.85546875" customWidth="1"/>
    <col min="9993" max="9993" width="29" customWidth="1"/>
    <col min="9994" max="9995" width="16.7109375" bestFit="1" customWidth="1"/>
    <col min="9996" max="9996" width="13.7109375" bestFit="1" customWidth="1"/>
    <col min="10241" max="10241" width="14.140625" customWidth="1"/>
    <col min="10242" max="10242" width="18.28515625" customWidth="1"/>
    <col min="10243" max="10243" width="30.7109375" customWidth="1"/>
    <col min="10244" max="10244" width="27.85546875" customWidth="1"/>
    <col min="10245" max="10245" width="27" customWidth="1"/>
    <col min="10246" max="10246" width="15.140625" customWidth="1"/>
    <col min="10247" max="10247" width="14.28515625" customWidth="1"/>
    <col min="10248" max="10248" width="14.85546875" customWidth="1"/>
    <col min="10249" max="10249" width="29" customWidth="1"/>
    <col min="10250" max="10251" width="16.7109375" bestFit="1" customWidth="1"/>
    <col min="10252" max="10252" width="13.7109375" bestFit="1" customWidth="1"/>
    <col min="10497" max="10497" width="14.140625" customWidth="1"/>
    <col min="10498" max="10498" width="18.28515625" customWidth="1"/>
    <col min="10499" max="10499" width="30.7109375" customWidth="1"/>
    <col min="10500" max="10500" width="27.85546875" customWidth="1"/>
    <col min="10501" max="10501" width="27" customWidth="1"/>
    <col min="10502" max="10502" width="15.140625" customWidth="1"/>
    <col min="10503" max="10503" width="14.28515625" customWidth="1"/>
    <col min="10504" max="10504" width="14.85546875" customWidth="1"/>
    <col min="10505" max="10505" width="29" customWidth="1"/>
    <col min="10506" max="10507" width="16.7109375" bestFit="1" customWidth="1"/>
    <col min="10508" max="10508" width="13.7109375" bestFit="1" customWidth="1"/>
    <col min="10753" max="10753" width="14.140625" customWidth="1"/>
    <col min="10754" max="10754" width="18.28515625" customWidth="1"/>
    <col min="10755" max="10755" width="30.7109375" customWidth="1"/>
    <col min="10756" max="10756" width="27.85546875" customWidth="1"/>
    <col min="10757" max="10757" width="27" customWidth="1"/>
    <col min="10758" max="10758" width="15.140625" customWidth="1"/>
    <col min="10759" max="10759" width="14.28515625" customWidth="1"/>
    <col min="10760" max="10760" width="14.85546875" customWidth="1"/>
    <col min="10761" max="10761" width="29" customWidth="1"/>
    <col min="10762" max="10763" width="16.7109375" bestFit="1" customWidth="1"/>
    <col min="10764" max="10764" width="13.7109375" bestFit="1" customWidth="1"/>
    <col min="11009" max="11009" width="14.140625" customWidth="1"/>
    <col min="11010" max="11010" width="18.28515625" customWidth="1"/>
    <col min="11011" max="11011" width="30.7109375" customWidth="1"/>
    <col min="11012" max="11012" width="27.85546875" customWidth="1"/>
    <col min="11013" max="11013" width="27" customWidth="1"/>
    <col min="11014" max="11014" width="15.140625" customWidth="1"/>
    <col min="11015" max="11015" width="14.28515625" customWidth="1"/>
    <col min="11016" max="11016" width="14.85546875" customWidth="1"/>
    <col min="11017" max="11017" width="29" customWidth="1"/>
    <col min="11018" max="11019" width="16.7109375" bestFit="1" customWidth="1"/>
    <col min="11020" max="11020" width="13.7109375" bestFit="1" customWidth="1"/>
    <col min="11265" max="11265" width="14.140625" customWidth="1"/>
    <col min="11266" max="11266" width="18.28515625" customWidth="1"/>
    <col min="11267" max="11267" width="30.7109375" customWidth="1"/>
    <col min="11268" max="11268" width="27.85546875" customWidth="1"/>
    <col min="11269" max="11269" width="27" customWidth="1"/>
    <col min="11270" max="11270" width="15.140625" customWidth="1"/>
    <col min="11271" max="11271" width="14.28515625" customWidth="1"/>
    <col min="11272" max="11272" width="14.85546875" customWidth="1"/>
    <col min="11273" max="11273" width="29" customWidth="1"/>
    <col min="11274" max="11275" width="16.7109375" bestFit="1" customWidth="1"/>
    <col min="11276" max="11276" width="13.7109375" bestFit="1" customWidth="1"/>
    <col min="11521" max="11521" width="14.140625" customWidth="1"/>
    <col min="11522" max="11522" width="18.28515625" customWidth="1"/>
    <col min="11523" max="11523" width="30.7109375" customWidth="1"/>
    <col min="11524" max="11524" width="27.85546875" customWidth="1"/>
    <col min="11525" max="11525" width="27" customWidth="1"/>
    <col min="11526" max="11526" width="15.140625" customWidth="1"/>
    <col min="11527" max="11527" width="14.28515625" customWidth="1"/>
    <col min="11528" max="11528" width="14.85546875" customWidth="1"/>
    <col min="11529" max="11529" width="29" customWidth="1"/>
    <col min="11530" max="11531" width="16.7109375" bestFit="1" customWidth="1"/>
    <col min="11532" max="11532" width="13.7109375" bestFit="1" customWidth="1"/>
    <col min="11777" max="11777" width="14.140625" customWidth="1"/>
    <col min="11778" max="11778" width="18.28515625" customWidth="1"/>
    <col min="11779" max="11779" width="30.7109375" customWidth="1"/>
    <col min="11780" max="11780" width="27.85546875" customWidth="1"/>
    <col min="11781" max="11781" width="27" customWidth="1"/>
    <col min="11782" max="11782" width="15.140625" customWidth="1"/>
    <col min="11783" max="11783" width="14.28515625" customWidth="1"/>
    <col min="11784" max="11784" width="14.85546875" customWidth="1"/>
    <col min="11785" max="11785" width="29" customWidth="1"/>
    <col min="11786" max="11787" width="16.7109375" bestFit="1" customWidth="1"/>
    <col min="11788" max="11788" width="13.7109375" bestFit="1" customWidth="1"/>
    <col min="12033" max="12033" width="14.140625" customWidth="1"/>
    <col min="12034" max="12034" width="18.28515625" customWidth="1"/>
    <col min="12035" max="12035" width="30.7109375" customWidth="1"/>
    <col min="12036" max="12036" width="27.85546875" customWidth="1"/>
    <col min="12037" max="12037" width="27" customWidth="1"/>
    <col min="12038" max="12038" width="15.140625" customWidth="1"/>
    <col min="12039" max="12039" width="14.28515625" customWidth="1"/>
    <col min="12040" max="12040" width="14.85546875" customWidth="1"/>
    <col min="12041" max="12041" width="29" customWidth="1"/>
    <col min="12042" max="12043" width="16.7109375" bestFit="1" customWidth="1"/>
    <col min="12044" max="12044" width="13.7109375" bestFit="1" customWidth="1"/>
    <col min="12289" max="12289" width="14.140625" customWidth="1"/>
    <col min="12290" max="12290" width="18.28515625" customWidth="1"/>
    <col min="12291" max="12291" width="30.7109375" customWidth="1"/>
    <col min="12292" max="12292" width="27.85546875" customWidth="1"/>
    <col min="12293" max="12293" width="27" customWidth="1"/>
    <col min="12294" max="12294" width="15.140625" customWidth="1"/>
    <col min="12295" max="12295" width="14.28515625" customWidth="1"/>
    <col min="12296" max="12296" width="14.85546875" customWidth="1"/>
    <col min="12297" max="12297" width="29" customWidth="1"/>
    <col min="12298" max="12299" width="16.7109375" bestFit="1" customWidth="1"/>
    <col min="12300" max="12300" width="13.7109375" bestFit="1" customWidth="1"/>
    <col min="12545" max="12545" width="14.140625" customWidth="1"/>
    <col min="12546" max="12546" width="18.28515625" customWidth="1"/>
    <col min="12547" max="12547" width="30.7109375" customWidth="1"/>
    <col min="12548" max="12548" width="27.85546875" customWidth="1"/>
    <col min="12549" max="12549" width="27" customWidth="1"/>
    <col min="12550" max="12550" width="15.140625" customWidth="1"/>
    <col min="12551" max="12551" width="14.28515625" customWidth="1"/>
    <col min="12552" max="12552" width="14.85546875" customWidth="1"/>
    <col min="12553" max="12553" width="29" customWidth="1"/>
    <col min="12554" max="12555" width="16.7109375" bestFit="1" customWidth="1"/>
    <col min="12556" max="12556" width="13.7109375" bestFit="1" customWidth="1"/>
    <col min="12801" max="12801" width="14.140625" customWidth="1"/>
    <col min="12802" max="12802" width="18.28515625" customWidth="1"/>
    <col min="12803" max="12803" width="30.7109375" customWidth="1"/>
    <col min="12804" max="12804" width="27.85546875" customWidth="1"/>
    <col min="12805" max="12805" width="27" customWidth="1"/>
    <col min="12806" max="12806" width="15.140625" customWidth="1"/>
    <col min="12807" max="12807" width="14.28515625" customWidth="1"/>
    <col min="12808" max="12808" width="14.85546875" customWidth="1"/>
    <col min="12809" max="12809" width="29" customWidth="1"/>
    <col min="12810" max="12811" width="16.7109375" bestFit="1" customWidth="1"/>
    <col min="12812" max="12812" width="13.7109375" bestFit="1" customWidth="1"/>
    <col min="13057" max="13057" width="14.140625" customWidth="1"/>
    <col min="13058" max="13058" width="18.28515625" customWidth="1"/>
    <col min="13059" max="13059" width="30.7109375" customWidth="1"/>
    <col min="13060" max="13060" width="27.85546875" customWidth="1"/>
    <col min="13061" max="13061" width="27" customWidth="1"/>
    <col min="13062" max="13062" width="15.140625" customWidth="1"/>
    <col min="13063" max="13063" width="14.28515625" customWidth="1"/>
    <col min="13064" max="13064" width="14.85546875" customWidth="1"/>
    <col min="13065" max="13065" width="29" customWidth="1"/>
    <col min="13066" max="13067" width="16.7109375" bestFit="1" customWidth="1"/>
    <col min="13068" max="13068" width="13.7109375" bestFit="1" customWidth="1"/>
    <col min="13313" max="13313" width="14.140625" customWidth="1"/>
    <col min="13314" max="13314" width="18.28515625" customWidth="1"/>
    <col min="13315" max="13315" width="30.7109375" customWidth="1"/>
    <col min="13316" max="13316" width="27.85546875" customWidth="1"/>
    <col min="13317" max="13317" width="27" customWidth="1"/>
    <col min="13318" max="13318" width="15.140625" customWidth="1"/>
    <col min="13319" max="13319" width="14.28515625" customWidth="1"/>
    <col min="13320" max="13320" width="14.85546875" customWidth="1"/>
    <col min="13321" max="13321" width="29" customWidth="1"/>
    <col min="13322" max="13323" width="16.7109375" bestFit="1" customWidth="1"/>
    <col min="13324" max="13324" width="13.7109375" bestFit="1" customWidth="1"/>
    <col min="13569" max="13569" width="14.140625" customWidth="1"/>
    <col min="13570" max="13570" width="18.28515625" customWidth="1"/>
    <col min="13571" max="13571" width="30.7109375" customWidth="1"/>
    <col min="13572" max="13572" width="27.85546875" customWidth="1"/>
    <col min="13573" max="13573" width="27" customWidth="1"/>
    <col min="13574" max="13574" width="15.140625" customWidth="1"/>
    <col min="13575" max="13575" width="14.28515625" customWidth="1"/>
    <col min="13576" max="13576" width="14.85546875" customWidth="1"/>
    <col min="13577" max="13577" width="29" customWidth="1"/>
    <col min="13578" max="13579" width="16.7109375" bestFit="1" customWidth="1"/>
    <col min="13580" max="13580" width="13.7109375" bestFit="1" customWidth="1"/>
    <col min="13825" max="13825" width="14.140625" customWidth="1"/>
    <col min="13826" max="13826" width="18.28515625" customWidth="1"/>
    <col min="13827" max="13827" width="30.7109375" customWidth="1"/>
    <col min="13828" max="13828" width="27.85546875" customWidth="1"/>
    <col min="13829" max="13829" width="27" customWidth="1"/>
    <col min="13830" max="13830" width="15.140625" customWidth="1"/>
    <col min="13831" max="13831" width="14.28515625" customWidth="1"/>
    <col min="13832" max="13832" width="14.85546875" customWidth="1"/>
    <col min="13833" max="13833" width="29" customWidth="1"/>
    <col min="13834" max="13835" width="16.7109375" bestFit="1" customWidth="1"/>
    <col min="13836" max="13836" width="13.7109375" bestFit="1" customWidth="1"/>
    <col min="14081" max="14081" width="14.140625" customWidth="1"/>
    <col min="14082" max="14082" width="18.28515625" customWidth="1"/>
    <col min="14083" max="14083" width="30.7109375" customWidth="1"/>
    <col min="14084" max="14084" width="27.85546875" customWidth="1"/>
    <col min="14085" max="14085" width="27" customWidth="1"/>
    <col min="14086" max="14086" width="15.140625" customWidth="1"/>
    <col min="14087" max="14087" width="14.28515625" customWidth="1"/>
    <col min="14088" max="14088" width="14.85546875" customWidth="1"/>
    <col min="14089" max="14089" width="29" customWidth="1"/>
    <col min="14090" max="14091" width="16.7109375" bestFit="1" customWidth="1"/>
    <col min="14092" max="14092" width="13.7109375" bestFit="1" customWidth="1"/>
    <col min="14337" max="14337" width="14.140625" customWidth="1"/>
    <col min="14338" max="14338" width="18.28515625" customWidth="1"/>
    <col min="14339" max="14339" width="30.7109375" customWidth="1"/>
    <col min="14340" max="14340" width="27.85546875" customWidth="1"/>
    <col min="14341" max="14341" width="27" customWidth="1"/>
    <col min="14342" max="14342" width="15.140625" customWidth="1"/>
    <col min="14343" max="14343" width="14.28515625" customWidth="1"/>
    <col min="14344" max="14344" width="14.85546875" customWidth="1"/>
    <col min="14345" max="14345" width="29" customWidth="1"/>
    <col min="14346" max="14347" width="16.7109375" bestFit="1" customWidth="1"/>
    <col min="14348" max="14348" width="13.7109375" bestFit="1" customWidth="1"/>
    <col min="14593" max="14593" width="14.140625" customWidth="1"/>
    <col min="14594" max="14594" width="18.28515625" customWidth="1"/>
    <col min="14595" max="14595" width="30.7109375" customWidth="1"/>
    <col min="14596" max="14596" width="27.85546875" customWidth="1"/>
    <col min="14597" max="14597" width="27" customWidth="1"/>
    <col min="14598" max="14598" width="15.140625" customWidth="1"/>
    <col min="14599" max="14599" width="14.28515625" customWidth="1"/>
    <col min="14600" max="14600" width="14.85546875" customWidth="1"/>
    <col min="14601" max="14601" width="29" customWidth="1"/>
    <col min="14602" max="14603" width="16.7109375" bestFit="1" customWidth="1"/>
    <col min="14604" max="14604" width="13.7109375" bestFit="1" customWidth="1"/>
    <col min="14849" max="14849" width="14.140625" customWidth="1"/>
    <col min="14850" max="14850" width="18.28515625" customWidth="1"/>
    <col min="14851" max="14851" width="30.7109375" customWidth="1"/>
    <col min="14852" max="14852" width="27.85546875" customWidth="1"/>
    <col min="14853" max="14853" width="27" customWidth="1"/>
    <col min="14854" max="14854" width="15.140625" customWidth="1"/>
    <col min="14855" max="14855" width="14.28515625" customWidth="1"/>
    <col min="14856" max="14856" width="14.85546875" customWidth="1"/>
    <col min="14857" max="14857" width="29" customWidth="1"/>
    <col min="14858" max="14859" width="16.7109375" bestFit="1" customWidth="1"/>
    <col min="14860" max="14860" width="13.7109375" bestFit="1" customWidth="1"/>
    <col min="15105" max="15105" width="14.140625" customWidth="1"/>
    <col min="15106" max="15106" width="18.28515625" customWidth="1"/>
    <col min="15107" max="15107" width="30.7109375" customWidth="1"/>
    <col min="15108" max="15108" width="27.85546875" customWidth="1"/>
    <col min="15109" max="15109" width="27" customWidth="1"/>
    <col min="15110" max="15110" width="15.140625" customWidth="1"/>
    <col min="15111" max="15111" width="14.28515625" customWidth="1"/>
    <col min="15112" max="15112" width="14.85546875" customWidth="1"/>
    <col min="15113" max="15113" width="29" customWidth="1"/>
    <col min="15114" max="15115" width="16.7109375" bestFit="1" customWidth="1"/>
    <col min="15116" max="15116" width="13.7109375" bestFit="1" customWidth="1"/>
    <col min="15361" max="15361" width="14.140625" customWidth="1"/>
    <col min="15362" max="15362" width="18.28515625" customWidth="1"/>
    <col min="15363" max="15363" width="30.7109375" customWidth="1"/>
    <col min="15364" max="15364" width="27.85546875" customWidth="1"/>
    <col min="15365" max="15365" width="27" customWidth="1"/>
    <col min="15366" max="15366" width="15.140625" customWidth="1"/>
    <col min="15367" max="15367" width="14.28515625" customWidth="1"/>
    <col min="15368" max="15368" width="14.85546875" customWidth="1"/>
    <col min="15369" max="15369" width="29" customWidth="1"/>
    <col min="15370" max="15371" width="16.7109375" bestFit="1" customWidth="1"/>
    <col min="15372" max="15372" width="13.7109375" bestFit="1" customWidth="1"/>
    <col min="15617" max="15617" width="14.140625" customWidth="1"/>
    <col min="15618" max="15618" width="18.28515625" customWidth="1"/>
    <col min="15619" max="15619" width="30.7109375" customWidth="1"/>
    <col min="15620" max="15620" width="27.85546875" customWidth="1"/>
    <col min="15621" max="15621" width="27" customWidth="1"/>
    <col min="15622" max="15622" width="15.140625" customWidth="1"/>
    <col min="15623" max="15623" width="14.28515625" customWidth="1"/>
    <col min="15624" max="15624" width="14.85546875" customWidth="1"/>
    <col min="15625" max="15625" width="29" customWidth="1"/>
    <col min="15626" max="15627" width="16.7109375" bestFit="1" customWidth="1"/>
    <col min="15628" max="15628" width="13.7109375" bestFit="1" customWidth="1"/>
    <col min="15873" max="15873" width="14.140625" customWidth="1"/>
    <col min="15874" max="15874" width="18.28515625" customWidth="1"/>
    <col min="15875" max="15875" width="30.7109375" customWidth="1"/>
    <col min="15876" max="15876" width="27.85546875" customWidth="1"/>
    <col min="15877" max="15877" width="27" customWidth="1"/>
    <col min="15878" max="15878" width="15.140625" customWidth="1"/>
    <col min="15879" max="15879" width="14.28515625" customWidth="1"/>
    <col min="15880" max="15880" width="14.85546875" customWidth="1"/>
    <col min="15881" max="15881" width="29" customWidth="1"/>
    <col min="15882" max="15883" width="16.7109375" bestFit="1" customWidth="1"/>
    <col min="15884" max="15884" width="13.7109375" bestFit="1" customWidth="1"/>
    <col min="16129" max="16129" width="14.140625" customWidth="1"/>
    <col min="16130" max="16130" width="18.28515625" customWidth="1"/>
    <col min="16131" max="16131" width="30.7109375" customWidth="1"/>
    <col min="16132" max="16132" width="27.85546875" customWidth="1"/>
    <col min="16133" max="16133" width="27" customWidth="1"/>
    <col min="16134" max="16134" width="15.140625" customWidth="1"/>
    <col min="16135" max="16135" width="14.28515625" customWidth="1"/>
    <col min="16136" max="16136" width="14.85546875" customWidth="1"/>
    <col min="16137" max="16137" width="29" customWidth="1"/>
    <col min="16138" max="16139" width="16.7109375" bestFit="1" customWidth="1"/>
    <col min="16140" max="16140" width="13.7109375" bestFit="1" customWidth="1"/>
  </cols>
  <sheetData>
    <row r="1" spans="1:13">
      <c r="A1" s="1418" t="s">
        <v>2104</v>
      </c>
      <c r="B1" s="1418"/>
      <c r="C1" s="1418"/>
      <c r="D1" s="1418"/>
      <c r="E1" s="1418"/>
      <c r="F1" s="572"/>
      <c r="G1" s="572"/>
      <c r="H1" s="572"/>
      <c r="I1" s="572"/>
    </row>
    <row r="2" spans="1:13" ht="15" customHeight="1">
      <c r="A2" s="1418" t="s">
        <v>2105</v>
      </c>
      <c r="B2" s="1418"/>
      <c r="C2" s="1418"/>
      <c r="D2" s="1418"/>
      <c r="E2" s="1418"/>
      <c r="F2" s="573"/>
      <c r="G2" s="574"/>
      <c r="H2" s="574"/>
      <c r="I2" s="574"/>
      <c r="J2" s="574"/>
      <c r="K2" s="574"/>
      <c r="L2" s="574"/>
      <c r="M2" s="574"/>
    </row>
    <row r="3" spans="1:13">
      <c r="A3" s="575" t="s">
        <v>2106</v>
      </c>
      <c r="B3" s="575" t="s">
        <v>2107</v>
      </c>
      <c r="C3" s="571" t="s">
        <v>2108</v>
      </c>
      <c r="D3" s="575" t="s">
        <v>2109</v>
      </c>
      <c r="E3" s="575" t="s">
        <v>2110</v>
      </c>
      <c r="F3" s="573"/>
      <c r="G3" s="574"/>
      <c r="H3" s="574"/>
      <c r="I3" s="574"/>
      <c r="J3" s="574"/>
      <c r="K3" s="574"/>
      <c r="L3" s="574"/>
      <c r="M3" s="574"/>
    </row>
    <row r="4" spans="1:13">
      <c r="A4" s="1422" t="s">
        <v>2111</v>
      </c>
      <c r="B4" s="576" t="s">
        <v>2092</v>
      </c>
      <c r="C4" s="576">
        <f>1/(30*800)</f>
        <v>4.1666666666666665E-5</v>
      </c>
      <c r="D4" s="577"/>
      <c r="E4" s="577">
        <f>C4*D4</f>
        <v>0</v>
      </c>
      <c r="F4" s="573"/>
      <c r="G4" s="574"/>
      <c r="H4" s="574"/>
      <c r="I4" s="574"/>
      <c r="J4" s="574"/>
      <c r="K4" s="574"/>
      <c r="L4" s="574"/>
      <c r="M4" s="574"/>
    </row>
    <row r="5" spans="1:13">
      <c r="A5" s="1422"/>
      <c r="B5" s="576" t="s">
        <v>2090</v>
      </c>
      <c r="C5" s="576">
        <f>1/800</f>
        <v>1.25E-3</v>
      </c>
      <c r="D5" s="577"/>
      <c r="E5" s="577">
        <f>C5*D5</f>
        <v>0</v>
      </c>
      <c r="F5" s="573"/>
      <c r="G5" s="574"/>
      <c r="H5" s="574"/>
      <c r="I5" s="574"/>
      <c r="J5" s="574"/>
      <c r="K5" s="574"/>
      <c r="L5" s="574"/>
      <c r="M5" s="574"/>
    </row>
    <row r="6" spans="1:13">
      <c r="A6" s="1418" t="s">
        <v>1853</v>
      </c>
      <c r="B6" s="1418"/>
      <c r="C6" s="1418"/>
      <c r="D6" s="1418"/>
      <c r="E6" s="578">
        <f>E5+E4</f>
        <v>0</v>
      </c>
      <c r="F6" s="573"/>
      <c r="G6" s="574"/>
      <c r="H6" s="574"/>
      <c r="I6" s="574"/>
      <c r="J6" s="574"/>
      <c r="K6" s="574"/>
      <c r="L6" s="574"/>
      <c r="M6" s="574"/>
    </row>
    <row r="7" spans="1:13" s="502" customFormat="1">
      <c r="A7" s="1419"/>
      <c r="B7" s="1420"/>
      <c r="C7" s="1420"/>
      <c r="D7" s="1420"/>
      <c r="E7" s="1421"/>
      <c r="F7" s="573"/>
      <c r="G7" s="574"/>
      <c r="H7" s="574"/>
      <c r="I7" s="574"/>
      <c r="J7" s="574"/>
      <c r="K7" s="574"/>
      <c r="L7" s="574"/>
      <c r="M7" s="574"/>
    </row>
    <row r="8" spans="1:13">
      <c r="A8" s="1418" t="s">
        <v>2104</v>
      </c>
      <c r="B8" s="1418"/>
      <c r="C8" s="1418"/>
      <c r="D8" s="1418"/>
      <c r="E8" s="1418"/>
      <c r="F8" s="573"/>
      <c r="G8" s="574"/>
      <c r="H8" s="574"/>
      <c r="I8" s="574"/>
      <c r="J8" s="574"/>
      <c r="K8" s="574"/>
      <c r="L8" s="574"/>
      <c r="M8" s="574"/>
    </row>
    <row r="9" spans="1:13">
      <c r="A9" s="1418" t="s">
        <v>2112</v>
      </c>
      <c r="B9" s="1418"/>
      <c r="C9" s="1418"/>
      <c r="D9" s="1418"/>
      <c r="E9" s="1418"/>
      <c r="F9" s="573"/>
      <c r="G9" s="574"/>
      <c r="H9" s="574"/>
      <c r="I9" s="574"/>
      <c r="J9" s="574"/>
      <c r="K9" s="574"/>
      <c r="L9" s="574"/>
      <c r="M9" s="574"/>
    </row>
    <row r="10" spans="1:13">
      <c r="A10" s="575" t="s">
        <v>2106</v>
      </c>
      <c r="B10" s="575" t="s">
        <v>2107</v>
      </c>
      <c r="C10" s="575" t="s">
        <v>2108</v>
      </c>
      <c r="D10" s="575" t="s">
        <v>2109</v>
      </c>
      <c r="E10" s="575" t="s">
        <v>2110</v>
      </c>
      <c r="F10" s="573"/>
      <c r="G10" s="574"/>
      <c r="H10" s="574"/>
      <c r="I10" s="574"/>
      <c r="J10" s="574"/>
      <c r="K10" s="574"/>
      <c r="L10" s="574"/>
      <c r="M10" s="574"/>
    </row>
    <row r="11" spans="1:13">
      <c r="A11" s="1422" t="s">
        <v>2113</v>
      </c>
      <c r="B11" s="576" t="s">
        <v>2092</v>
      </c>
      <c r="C11" s="576">
        <f>1/(30*1000)</f>
        <v>3.3333333333333335E-5</v>
      </c>
      <c r="D11" s="577">
        <f>D4</f>
        <v>0</v>
      </c>
      <c r="E11" s="577">
        <f>C11*D11</f>
        <v>0</v>
      </c>
      <c r="F11" s="573"/>
      <c r="G11" s="574"/>
      <c r="H11" s="574"/>
      <c r="I11" s="574"/>
      <c r="J11" s="574"/>
      <c r="K11" s="574"/>
      <c r="L11" s="574"/>
      <c r="M11" s="574"/>
    </row>
    <row r="12" spans="1:13">
      <c r="A12" s="1422"/>
      <c r="B12" s="576" t="s">
        <v>2090</v>
      </c>
      <c r="C12" s="576">
        <f>1/1000</f>
        <v>1E-3</v>
      </c>
      <c r="D12" s="577">
        <f>D5</f>
        <v>0</v>
      </c>
      <c r="E12" s="577">
        <f>C12*D12</f>
        <v>0</v>
      </c>
      <c r="F12" s="573"/>
      <c r="G12" s="574"/>
      <c r="H12" s="574"/>
      <c r="I12" s="574"/>
      <c r="J12" s="574"/>
      <c r="K12" s="574"/>
      <c r="L12" s="574"/>
      <c r="M12" s="574"/>
    </row>
    <row r="13" spans="1:13">
      <c r="A13" s="1418" t="s">
        <v>1853</v>
      </c>
      <c r="B13" s="1418"/>
      <c r="C13" s="1418"/>
      <c r="D13" s="1418"/>
      <c r="E13" s="578">
        <f>E12+E11</f>
        <v>0</v>
      </c>
      <c r="F13" s="573"/>
      <c r="G13" s="574"/>
      <c r="H13" s="574"/>
      <c r="I13" s="574"/>
      <c r="J13" s="574"/>
      <c r="K13" s="574"/>
      <c r="L13" s="574"/>
      <c r="M13" s="574"/>
    </row>
    <row r="14" spans="1:13">
      <c r="A14" s="1419"/>
      <c r="B14" s="1420"/>
      <c r="C14" s="1420"/>
      <c r="D14" s="1420"/>
      <c r="E14" s="1421"/>
      <c r="F14" s="573"/>
      <c r="G14" s="574"/>
      <c r="H14" s="574"/>
      <c r="I14" s="574"/>
      <c r="J14" s="574"/>
      <c r="K14" s="574"/>
      <c r="L14" s="574"/>
      <c r="M14" s="574"/>
    </row>
    <row r="15" spans="1:13">
      <c r="A15" s="1418" t="s">
        <v>2104</v>
      </c>
      <c r="B15" s="1418"/>
      <c r="C15" s="1418"/>
      <c r="D15" s="1418"/>
      <c r="E15" s="1418"/>
      <c r="F15" s="573"/>
      <c r="G15" s="574"/>
      <c r="H15" s="574"/>
      <c r="I15" s="574"/>
      <c r="J15" s="574"/>
      <c r="K15" s="574"/>
      <c r="L15" s="574"/>
      <c r="M15" s="574"/>
    </row>
    <row r="16" spans="1:13">
      <c r="A16" s="1418" t="s">
        <v>2114</v>
      </c>
      <c r="B16" s="1418"/>
      <c r="C16" s="1418"/>
      <c r="D16" s="1418"/>
      <c r="E16" s="1418"/>
      <c r="F16" s="573"/>
      <c r="G16" s="574"/>
      <c r="H16" s="574"/>
      <c r="I16" s="574"/>
      <c r="J16" s="574"/>
      <c r="K16" s="574"/>
      <c r="L16" s="574"/>
      <c r="M16" s="574"/>
    </row>
    <row r="17" spans="1:13">
      <c r="A17" s="575" t="s">
        <v>2106</v>
      </c>
      <c r="B17" s="575" t="s">
        <v>2107</v>
      </c>
      <c r="C17" s="575" t="s">
        <v>2108</v>
      </c>
      <c r="D17" s="575" t="s">
        <v>2109</v>
      </c>
      <c r="E17" s="575" t="s">
        <v>2110</v>
      </c>
      <c r="F17" s="573"/>
      <c r="G17" s="574"/>
      <c r="H17" s="574"/>
      <c r="I17" s="574"/>
      <c r="J17" s="574"/>
      <c r="K17" s="574"/>
      <c r="L17" s="574"/>
      <c r="M17" s="574"/>
    </row>
    <row r="18" spans="1:13">
      <c r="A18" s="1422" t="s">
        <v>2115</v>
      </c>
      <c r="B18" s="576" t="s">
        <v>2092</v>
      </c>
      <c r="C18" s="576">
        <f>1/(30*200)</f>
        <v>1.6666666666666666E-4</v>
      </c>
      <c r="D18" s="577">
        <f>D4</f>
        <v>0</v>
      </c>
      <c r="E18" s="577">
        <f>C18*D18</f>
        <v>0</v>
      </c>
      <c r="F18" s="573"/>
      <c r="G18" s="574"/>
      <c r="H18" s="574"/>
      <c r="I18" s="574"/>
      <c r="J18" s="574"/>
      <c r="K18" s="574"/>
      <c r="L18" s="574"/>
      <c r="M18" s="574"/>
    </row>
    <row r="19" spans="1:13">
      <c r="A19" s="1422"/>
      <c r="B19" s="576" t="s">
        <v>2090</v>
      </c>
      <c r="C19" s="576">
        <f>1/200</f>
        <v>5.0000000000000001E-3</v>
      </c>
      <c r="D19" s="577">
        <f>D5</f>
        <v>0</v>
      </c>
      <c r="E19" s="577">
        <f>C19*D19</f>
        <v>0</v>
      </c>
      <c r="F19" s="573"/>
      <c r="G19" s="574"/>
      <c r="H19" s="574"/>
      <c r="I19" s="574"/>
      <c r="J19" s="574"/>
      <c r="K19" s="574"/>
      <c r="L19" s="574"/>
      <c r="M19" s="574"/>
    </row>
    <row r="20" spans="1:13">
      <c r="A20" s="1418" t="s">
        <v>1853</v>
      </c>
      <c r="B20" s="1418"/>
      <c r="C20" s="1418"/>
      <c r="D20" s="1418"/>
      <c r="E20" s="578">
        <f>E19+E18</f>
        <v>0</v>
      </c>
      <c r="F20" s="573"/>
      <c r="G20" s="574"/>
      <c r="H20" s="574"/>
      <c r="I20" s="574"/>
      <c r="J20" s="574"/>
      <c r="K20" s="574"/>
      <c r="L20" s="574"/>
      <c r="M20" s="574"/>
    </row>
    <row r="21" spans="1:13">
      <c r="A21" s="1419"/>
      <c r="B21" s="1420"/>
      <c r="C21" s="1420"/>
      <c r="D21" s="1420"/>
      <c r="E21" s="1421"/>
      <c r="F21" s="573"/>
      <c r="G21" s="574"/>
      <c r="H21" s="574"/>
      <c r="I21" s="574"/>
      <c r="J21" s="574"/>
      <c r="K21" s="574"/>
      <c r="L21" s="574"/>
      <c r="M21" s="574"/>
    </row>
    <row r="22" spans="1:13">
      <c r="A22" s="1418" t="s">
        <v>2116</v>
      </c>
      <c r="B22" s="1418"/>
      <c r="C22" s="1418"/>
      <c r="D22" s="1418"/>
      <c r="E22" s="1418"/>
      <c r="F22" s="573"/>
      <c r="G22" s="574"/>
      <c r="H22" s="574"/>
      <c r="I22" s="574"/>
      <c r="J22" s="574"/>
      <c r="K22" s="574"/>
      <c r="L22" s="574"/>
      <c r="M22" s="574"/>
    </row>
    <row r="23" spans="1:13">
      <c r="A23" s="1418" t="s">
        <v>2117</v>
      </c>
      <c r="B23" s="1418"/>
      <c r="C23" s="1418"/>
      <c r="D23" s="1418"/>
      <c r="E23" s="1418"/>
      <c r="F23" s="573"/>
      <c r="G23" s="574"/>
      <c r="H23" s="574"/>
      <c r="I23" s="574"/>
      <c r="J23" s="574"/>
      <c r="K23" s="574"/>
      <c r="L23" s="574"/>
      <c r="M23" s="574"/>
    </row>
    <row r="24" spans="1:13">
      <c r="A24" s="575" t="s">
        <v>2106</v>
      </c>
      <c r="B24" s="575" t="s">
        <v>2107</v>
      </c>
      <c r="C24" s="575" t="s">
        <v>2108</v>
      </c>
      <c r="D24" s="575" t="s">
        <v>2109</v>
      </c>
      <c r="E24" s="575" t="s">
        <v>2110</v>
      </c>
      <c r="F24" s="573"/>
      <c r="G24" s="574"/>
      <c r="H24" s="574"/>
      <c r="I24" s="574"/>
      <c r="J24" s="574"/>
      <c r="K24" s="574"/>
      <c r="L24" s="574"/>
      <c r="M24" s="574"/>
    </row>
    <row r="25" spans="1:13">
      <c r="A25" s="1422" t="s">
        <v>2118</v>
      </c>
      <c r="B25" s="576" t="s">
        <v>2092</v>
      </c>
      <c r="C25" s="576">
        <f>1/(30*1800)</f>
        <v>1.8518518518518518E-5</v>
      </c>
      <c r="D25" s="577">
        <f>D4</f>
        <v>0</v>
      </c>
      <c r="E25" s="577">
        <f>C25*D25</f>
        <v>0</v>
      </c>
      <c r="F25" s="573"/>
      <c r="G25" s="574"/>
      <c r="H25" s="574"/>
      <c r="I25" s="574"/>
      <c r="J25" s="574"/>
      <c r="K25" s="574"/>
      <c r="L25" s="574"/>
      <c r="M25" s="574"/>
    </row>
    <row r="26" spans="1:13">
      <c r="A26" s="1422"/>
      <c r="B26" s="576" t="s">
        <v>2090</v>
      </c>
      <c r="C26" s="576">
        <f>1/1800</f>
        <v>5.5555555555555556E-4</v>
      </c>
      <c r="D26" s="577">
        <f>D5</f>
        <v>0</v>
      </c>
      <c r="E26" s="577">
        <f>C26*D26</f>
        <v>0</v>
      </c>
      <c r="F26" s="573"/>
      <c r="G26" s="574"/>
      <c r="H26" s="574"/>
      <c r="I26" s="574"/>
      <c r="J26" s="574"/>
      <c r="K26" s="574"/>
      <c r="L26" s="574"/>
      <c r="M26" s="574"/>
    </row>
    <row r="27" spans="1:13">
      <c r="A27" s="1418" t="s">
        <v>1853</v>
      </c>
      <c r="B27" s="1418"/>
      <c r="C27" s="1418"/>
      <c r="D27" s="1418"/>
      <c r="E27" s="578">
        <f>E26+E25</f>
        <v>0</v>
      </c>
      <c r="F27" s="572"/>
      <c r="G27" s="572"/>
      <c r="H27" s="572"/>
      <c r="I27" s="572"/>
    </row>
    <row r="28" spans="1:13">
      <c r="A28" s="1419"/>
      <c r="B28" s="1420"/>
      <c r="C28" s="1420"/>
      <c r="D28" s="1420"/>
      <c r="E28" s="1421"/>
      <c r="F28" s="572"/>
      <c r="G28" s="572"/>
      <c r="H28" s="572"/>
      <c r="I28" s="572"/>
    </row>
    <row r="29" spans="1:13">
      <c r="A29" s="1418" t="s">
        <v>2119</v>
      </c>
      <c r="B29" s="1418"/>
      <c r="C29" s="1418"/>
      <c r="D29" s="1418"/>
      <c r="E29" s="1418"/>
      <c r="F29" s="1418"/>
      <c r="G29" s="1418"/>
      <c r="H29" s="1418"/>
      <c r="I29" s="572"/>
    </row>
    <row r="30" spans="1:13">
      <c r="A30" s="1418" t="s">
        <v>2120</v>
      </c>
      <c r="B30" s="1418"/>
      <c r="C30" s="1418"/>
      <c r="D30" s="1418"/>
      <c r="E30" s="1418"/>
      <c r="F30" s="1418"/>
      <c r="G30" s="1418"/>
      <c r="H30" s="1418"/>
      <c r="I30" s="572"/>
    </row>
    <row r="31" spans="1:13" ht="54">
      <c r="A31" s="575" t="s">
        <v>2106</v>
      </c>
      <c r="B31" s="579" t="s">
        <v>2107</v>
      </c>
      <c r="C31" s="580" t="s">
        <v>2108</v>
      </c>
      <c r="D31" s="580" t="s">
        <v>2121</v>
      </c>
      <c r="E31" s="580" t="s">
        <v>2122</v>
      </c>
      <c r="F31" s="580" t="s">
        <v>2123</v>
      </c>
      <c r="G31" s="580" t="s">
        <v>2124</v>
      </c>
      <c r="H31" s="580" t="s">
        <v>2125</v>
      </c>
      <c r="I31" s="572"/>
    </row>
    <row r="32" spans="1:13">
      <c r="A32" s="1422">
        <v>300</v>
      </c>
      <c r="B32" s="576" t="s">
        <v>2092</v>
      </c>
      <c r="C32" s="576">
        <f>1/(30*300)</f>
        <v>1.1111111111111112E-4</v>
      </c>
      <c r="D32" s="581">
        <v>16</v>
      </c>
      <c r="E32" s="576">
        <f>1/188.76</f>
        <v>5.2977325704598437E-3</v>
      </c>
      <c r="F32" s="576">
        <f>C32*D32*E32</f>
        <v>9.418191236373056E-6</v>
      </c>
      <c r="G32" s="577">
        <f>D4</f>
        <v>0</v>
      </c>
      <c r="H32" s="577">
        <f>F32*G32</f>
        <v>0</v>
      </c>
      <c r="I32" s="572"/>
    </row>
    <row r="33" spans="1:9">
      <c r="A33" s="1422"/>
      <c r="B33" s="576" t="s">
        <v>2090</v>
      </c>
      <c r="C33" s="576">
        <f>1/300</f>
        <v>3.3333333333333335E-3</v>
      </c>
      <c r="D33" s="581">
        <v>16</v>
      </c>
      <c r="E33" s="576">
        <f>1/188.76</f>
        <v>5.2977325704598437E-3</v>
      </c>
      <c r="F33" s="576">
        <f>C33*D33*E33</f>
        <v>2.8254573709119167E-4</v>
      </c>
      <c r="G33" s="577">
        <f>D5</f>
        <v>0</v>
      </c>
      <c r="H33" s="577">
        <f>F33*G33</f>
        <v>0</v>
      </c>
      <c r="I33" s="582"/>
    </row>
    <row r="34" spans="1:9">
      <c r="A34" s="1418" t="s">
        <v>1853</v>
      </c>
      <c r="B34" s="1418"/>
      <c r="C34" s="1418"/>
      <c r="D34" s="1418"/>
      <c r="E34" s="1418"/>
      <c r="F34" s="1418"/>
      <c r="G34" s="1418"/>
      <c r="H34" s="578">
        <f>H33+H32</f>
        <v>0</v>
      </c>
      <c r="I34" s="572"/>
    </row>
    <row r="35" spans="1:9">
      <c r="A35" s="1419"/>
      <c r="B35" s="1420"/>
      <c r="C35" s="1420"/>
      <c r="D35" s="1420"/>
      <c r="E35" s="1420"/>
      <c r="F35" s="1420"/>
      <c r="G35" s="1420"/>
      <c r="H35" s="1421"/>
      <c r="I35" s="572"/>
    </row>
    <row r="36" spans="1:9">
      <c r="A36" s="1418" t="s">
        <v>2126</v>
      </c>
      <c r="B36" s="1418"/>
      <c r="C36" s="1418"/>
      <c r="D36" s="1418"/>
      <c r="E36" s="1418"/>
      <c r="F36" s="1418"/>
      <c r="G36" s="1418"/>
      <c r="H36" s="1418"/>
      <c r="I36" s="572"/>
    </row>
    <row r="37" spans="1:9">
      <c r="A37" s="1418" t="s">
        <v>2127</v>
      </c>
      <c r="B37" s="1418"/>
      <c r="C37" s="1418"/>
      <c r="D37" s="1418"/>
      <c r="E37" s="1418"/>
      <c r="F37" s="1418"/>
      <c r="G37" s="1418"/>
      <c r="H37" s="1418"/>
      <c r="I37" s="572"/>
    </row>
    <row r="38" spans="1:9" ht="54">
      <c r="A38" s="575" t="s">
        <v>2106</v>
      </c>
      <c r="B38" s="579" t="s">
        <v>2107</v>
      </c>
      <c r="C38" s="580" t="s">
        <v>2108</v>
      </c>
      <c r="D38" s="580" t="s">
        <v>2121</v>
      </c>
      <c r="E38" s="580" t="s">
        <v>2122</v>
      </c>
      <c r="F38" s="580" t="s">
        <v>2123</v>
      </c>
      <c r="G38" s="580" t="s">
        <v>2124</v>
      </c>
      <c r="H38" s="580" t="s">
        <v>2125</v>
      </c>
      <c r="I38" s="572"/>
    </row>
    <row r="39" spans="1:9">
      <c r="A39" s="1422">
        <v>130</v>
      </c>
      <c r="B39" s="576" t="s">
        <v>2092</v>
      </c>
      <c r="C39" s="576">
        <f>1/(4*130)</f>
        <v>1.9230769230769232E-3</v>
      </c>
      <c r="D39" s="581">
        <v>8</v>
      </c>
      <c r="E39" s="576">
        <f>1/1132.6</f>
        <v>8.8292424509977055E-4</v>
      </c>
      <c r="F39" s="576">
        <f>C39*D39*E39</f>
        <v>1.3583449924611855E-5</v>
      </c>
      <c r="G39" s="577">
        <f>D4</f>
        <v>0</v>
      </c>
      <c r="H39" s="577">
        <f>F39*G39</f>
        <v>0</v>
      </c>
      <c r="I39" s="572"/>
    </row>
    <row r="40" spans="1:9">
      <c r="A40" s="1422"/>
      <c r="B40" s="576" t="s">
        <v>2090</v>
      </c>
      <c r="C40" s="576">
        <f>1/130</f>
        <v>7.6923076923076927E-3</v>
      </c>
      <c r="D40" s="581">
        <v>8</v>
      </c>
      <c r="E40" s="576">
        <f>1/1132.6</f>
        <v>8.8292424509977055E-4</v>
      </c>
      <c r="F40" s="576">
        <f>C40*D40*E40</f>
        <v>5.4333799698447419E-5</v>
      </c>
      <c r="G40" s="577"/>
      <c r="H40" s="577">
        <f>F40*G40</f>
        <v>0</v>
      </c>
      <c r="I40" s="572"/>
    </row>
    <row r="41" spans="1:9">
      <c r="A41" s="1418" t="s">
        <v>1853</v>
      </c>
      <c r="B41" s="1418"/>
      <c r="C41" s="1418"/>
      <c r="D41" s="1418"/>
      <c r="E41" s="1418"/>
      <c r="F41" s="1418"/>
      <c r="G41" s="1418"/>
      <c r="H41" s="578">
        <f>H40+H39</f>
        <v>0</v>
      </c>
      <c r="I41" s="572"/>
    </row>
    <row r="42" spans="1:9">
      <c r="A42" s="572"/>
      <c r="B42" s="572"/>
      <c r="C42" s="572"/>
      <c r="D42" s="572"/>
      <c r="E42" s="572"/>
      <c r="F42" s="572"/>
      <c r="G42" s="572"/>
      <c r="H42" s="572"/>
      <c r="I42" s="572"/>
    </row>
    <row r="43" spans="1:9" ht="15.75" thickBot="1">
      <c r="A43" s="572"/>
      <c r="B43" s="572"/>
      <c r="C43" s="572"/>
      <c r="D43" s="572"/>
      <c r="E43" s="572"/>
      <c r="F43" s="572"/>
      <c r="G43" s="572"/>
      <c r="H43" s="572"/>
      <c r="I43" s="572"/>
    </row>
    <row r="44" spans="1:9">
      <c r="A44" s="583" t="s">
        <v>2128</v>
      </c>
      <c r="B44" s="584"/>
      <c r="C44" s="584"/>
      <c r="D44" s="584"/>
      <c r="E44" s="584"/>
      <c r="F44" s="584"/>
      <c r="G44" s="584"/>
      <c r="H44" s="584"/>
      <c r="I44" s="585"/>
    </row>
    <row r="45" spans="1:9" ht="36" customHeight="1">
      <c r="A45" s="1413" t="s">
        <v>2129</v>
      </c>
      <c r="B45" s="1414"/>
      <c r="C45" s="1415"/>
      <c r="D45" s="586" t="s">
        <v>2130</v>
      </c>
      <c r="E45" s="586" t="s">
        <v>2131</v>
      </c>
      <c r="G45" s="1416" t="s">
        <v>2132</v>
      </c>
      <c r="H45" s="1417"/>
      <c r="I45" s="587" t="s">
        <v>2133</v>
      </c>
    </row>
    <row r="46" spans="1:9" ht="19.5" customHeight="1">
      <c r="A46" s="1401" t="s">
        <v>2134</v>
      </c>
      <c r="B46" s="1402"/>
      <c r="C46" s="1403"/>
      <c r="D46" s="588">
        <f>E6</f>
        <v>0</v>
      </c>
      <c r="E46" s="589">
        <f>'[4]QUANT. ESTIMADA POR SERVENTES'!E5</f>
        <v>10092</v>
      </c>
      <c r="F46" s="590" t="s">
        <v>2135</v>
      </c>
      <c r="G46" s="1404">
        <f t="shared" ref="G46:G51" si="0">D46*E46</f>
        <v>0</v>
      </c>
      <c r="H46" s="1405"/>
      <c r="I46" s="591">
        <f t="shared" ref="I46:I51" si="1">D46*E46</f>
        <v>0</v>
      </c>
    </row>
    <row r="47" spans="1:9" ht="19.5" customHeight="1">
      <c r="A47" s="1401" t="s">
        <v>2136</v>
      </c>
      <c r="B47" s="1402"/>
      <c r="C47" s="1402"/>
      <c r="D47" s="588">
        <f>E13</f>
        <v>0</v>
      </c>
      <c r="E47" s="592">
        <f>'[4]QUANT. ESTIMADA POR SERVENTES'!E4</f>
        <v>250</v>
      </c>
      <c r="F47" s="590" t="s">
        <v>2137</v>
      </c>
      <c r="G47" s="1404">
        <f t="shared" si="0"/>
        <v>0</v>
      </c>
      <c r="H47" s="1405"/>
      <c r="I47" s="591">
        <f t="shared" si="1"/>
        <v>0</v>
      </c>
    </row>
    <row r="48" spans="1:9" ht="19.5" customHeight="1">
      <c r="A48" s="1401" t="s">
        <v>2138</v>
      </c>
      <c r="B48" s="1402"/>
      <c r="C48" s="1403"/>
      <c r="D48" s="588">
        <f>E20</f>
        <v>0</v>
      </c>
      <c r="E48" s="589">
        <f>'[4]QUANT. ESTIMADA POR SERVENTES'!E6</f>
        <v>600</v>
      </c>
      <c r="F48" s="590" t="s">
        <v>2135</v>
      </c>
      <c r="G48" s="1404">
        <f t="shared" si="0"/>
        <v>0</v>
      </c>
      <c r="H48" s="1405"/>
      <c r="I48" s="591">
        <f>D48*E48</f>
        <v>0</v>
      </c>
    </row>
    <row r="49" spans="1:12" ht="19.5" customHeight="1">
      <c r="A49" s="1401" t="s">
        <v>2139</v>
      </c>
      <c r="B49" s="1402"/>
      <c r="C49" s="1403"/>
      <c r="D49" s="588">
        <f>E27</f>
        <v>0</v>
      </c>
      <c r="E49" s="589">
        <f>'[4]QUANT. ESTIMADA POR SERVENTES'!E7</f>
        <v>200</v>
      </c>
      <c r="F49" s="590" t="s">
        <v>2135</v>
      </c>
      <c r="G49" s="1404">
        <f t="shared" si="0"/>
        <v>0</v>
      </c>
      <c r="H49" s="1405"/>
      <c r="I49" s="591">
        <f t="shared" si="1"/>
        <v>0</v>
      </c>
    </row>
    <row r="50" spans="1:12" ht="19.5" customHeight="1">
      <c r="A50" s="1401" t="s">
        <v>2140</v>
      </c>
      <c r="B50" s="1402"/>
      <c r="C50" s="1403"/>
      <c r="D50" s="588">
        <f>H34</f>
        <v>0</v>
      </c>
      <c r="E50" s="589">
        <f>'[4]QUANT. ESTIMADA POR SERVENTES'!E8</f>
        <v>14000</v>
      </c>
      <c r="F50" s="590" t="s">
        <v>2135</v>
      </c>
      <c r="G50" s="1404">
        <f t="shared" si="0"/>
        <v>0</v>
      </c>
      <c r="H50" s="1405"/>
      <c r="I50" s="591">
        <f t="shared" si="1"/>
        <v>0</v>
      </c>
    </row>
    <row r="51" spans="1:12" ht="19.5" customHeight="1" thickBot="1">
      <c r="A51" s="1406" t="s">
        <v>2141</v>
      </c>
      <c r="B51" s="1407"/>
      <c r="C51" s="1408"/>
      <c r="D51" s="593">
        <f>H41</f>
        <v>0</v>
      </c>
      <c r="E51" s="594">
        <f>'[4]QUANT. ESTIMADA POR SERVENTES'!E9</f>
        <v>6000</v>
      </c>
      <c r="F51" s="595" t="s">
        <v>2135</v>
      </c>
      <c r="G51" s="1404">
        <f t="shared" si="0"/>
        <v>0</v>
      </c>
      <c r="H51" s="1405"/>
      <c r="I51" s="596">
        <f t="shared" si="1"/>
        <v>0</v>
      </c>
    </row>
    <row r="52" spans="1:12" ht="19.5" customHeight="1">
      <c r="A52" s="1409" t="s">
        <v>2142</v>
      </c>
      <c r="B52" s="1410"/>
      <c r="C52" s="1410"/>
      <c r="D52" s="1410"/>
      <c r="E52" s="1410"/>
      <c r="F52" s="1410"/>
      <c r="G52" s="1410"/>
      <c r="H52" s="1410"/>
      <c r="I52" s="597">
        <f>SUM(I46:I51)</f>
        <v>0</v>
      </c>
      <c r="J52" s="598"/>
    </row>
    <row r="53" spans="1:12" ht="19.5" customHeight="1">
      <c r="A53" s="1411" t="s">
        <v>2143</v>
      </c>
      <c r="B53" s="1412"/>
      <c r="C53" s="1412"/>
      <c r="D53" s="1412"/>
      <c r="E53" s="1412"/>
      <c r="F53" s="1412"/>
      <c r="G53" s="1412"/>
      <c r="H53" s="1412"/>
      <c r="I53" s="599"/>
      <c r="J53" s="598"/>
    </row>
    <row r="54" spans="1:12" ht="19.5" customHeight="1">
      <c r="A54" s="1411" t="s">
        <v>2144</v>
      </c>
      <c r="B54" s="1412"/>
      <c r="C54" s="1412"/>
      <c r="D54" s="1412"/>
      <c r="E54" s="1412"/>
      <c r="F54" s="1412"/>
      <c r="G54" s="1412"/>
      <c r="H54" s="1412"/>
      <c r="I54" s="600">
        <f>I52+I53</f>
        <v>0</v>
      </c>
      <c r="J54" s="598"/>
    </row>
    <row r="55" spans="1:12" ht="19.5" customHeight="1" thickBot="1">
      <c r="A55" s="1399" t="s">
        <v>2145</v>
      </c>
      <c r="B55" s="1400"/>
      <c r="C55" s="1400"/>
      <c r="D55" s="1400"/>
      <c r="E55" s="1400"/>
      <c r="F55" s="1400"/>
      <c r="G55" s="1400"/>
      <c r="H55" s="1400"/>
      <c r="I55" s="601">
        <f>I53*12</f>
        <v>0</v>
      </c>
    </row>
    <row r="56" spans="1:12" ht="19.5" customHeight="1" thickBot="1">
      <c r="A56" s="1399" t="s">
        <v>2146</v>
      </c>
      <c r="B56" s="1400"/>
      <c r="C56" s="1400"/>
      <c r="D56" s="1400"/>
      <c r="E56" s="1400"/>
      <c r="F56" s="1400"/>
      <c r="G56" s="1400"/>
      <c r="H56" s="1400"/>
      <c r="I56" s="601">
        <f>I52*12</f>
        <v>0</v>
      </c>
    </row>
    <row r="57" spans="1:12" ht="19.5" customHeight="1" thickBot="1">
      <c r="A57" s="1399" t="s">
        <v>2147</v>
      </c>
      <c r="B57" s="1400"/>
      <c r="C57" s="1400"/>
      <c r="D57" s="1400"/>
      <c r="E57" s="1400"/>
      <c r="F57" s="1400"/>
      <c r="G57" s="1400"/>
      <c r="H57" s="1400"/>
      <c r="I57" s="601">
        <f>I55+I56</f>
        <v>0</v>
      </c>
      <c r="J57" s="602"/>
      <c r="K57" s="602"/>
      <c r="L57" s="329"/>
    </row>
    <row r="58" spans="1:12">
      <c r="I58" s="602"/>
    </row>
    <row r="59" spans="1:12" s="603" customFormat="1"/>
    <row r="60" spans="1:12" s="603" customFormat="1">
      <c r="E60" s="604"/>
    </row>
    <row r="61" spans="1:12" s="603" customFormat="1">
      <c r="E61" s="604"/>
    </row>
    <row r="62" spans="1:12" s="603" customFormat="1">
      <c r="E62" s="604"/>
    </row>
    <row r="63" spans="1:12" s="603" customFormat="1">
      <c r="E63" s="604"/>
    </row>
    <row r="64" spans="1:12" s="603" customFormat="1">
      <c r="E64" s="604"/>
    </row>
    <row r="65" spans="4:5" s="603" customFormat="1">
      <c r="E65" s="604"/>
    </row>
    <row r="66" spans="4:5" s="603" customFormat="1">
      <c r="E66" s="604"/>
    </row>
    <row r="67" spans="4:5" s="603" customFormat="1">
      <c r="E67" s="604"/>
    </row>
    <row r="68" spans="4:5" s="603" customFormat="1">
      <c r="E68" s="604"/>
    </row>
    <row r="69" spans="4:5" s="603" customFormat="1">
      <c r="D69" s="605"/>
    </row>
    <row r="70" spans="4:5" s="603" customFormat="1">
      <c r="D70" s="606"/>
    </row>
    <row r="71" spans="4:5" s="603" customFormat="1">
      <c r="D71" s="606"/>
    </row>
    <row r="72" spans="4:5" s="603" customFormat="1">
      <c r="D72" s="605"/>
    </row>
    <row r="73" spans="4:5" s="603" customFormat="1">
      <c r="D73" s="605"/>
    </row>
    <row r="74" spans="4:5" s="603" customFormat="1">
      <c r="D74" s="605"/>
    </row>
    <row r="75" spans="4:5" s="603" customFormat="1">
      <c r="D75" s="605"/>
    </row>
    <row r="76" spans="4:5" s="603" customFormat="1">
      <c r="D76" s="605"/>
    </row>
    <row r="77" spans="4:5" s="603" customFormat="1">
      <c r="D77" s="605"/>
    </row>
    <row r="78" spans="4:5" s="603" customFormat="1">
      <c r="D78" s="605"/>
    </row>
    <row r="79" spans="4:5" s="603" customFormat="1">
      <c r="D79" s="605"/>
    </row>
    <row r="80" spans="4:5" s="603" customFormat="1">
      <c r="D80" s="605"/>
    </row>
    <row r="81" spans="2:4" s="603" customFormat="1">
      <c r="D81" s="605"/>
    </row>
    <row r="82" spans="2:4" s="603" customFormat="1">
      <c r="D82" s="605"/>
    </row>
    <row r="83" spans="2:4" s="607" customFormat="1">
      <c r="B83" s="608"/>
      <c r="D83" s="609"/>
    </row>
  </sheetData>
  <mergeCells count="49">
    <mergeCell ref="A8:E8"/>
    <mergeCell ref="A1:E1"/>
    <mergeCell ref="A2:E2"/>
    <mergeCell ref="A4:A5"/>
    <mergeCell ref="A6:D6"/>
    <mergeCell ref="A7:E7"/>
    <mergeCell ref="A25:A26"/>
    <mergeCell ref="A9:E9"/>
    <mergeCell ref="A11:A12"/>
    <mergeCell ref="A13:D13"/>
    <mergeCell ref="A14:E14"/>
    <mergeCell ref="A15:E15"/>
    <mergeCell ref="A16:E16"/>
    <mergeCell ref="A18:A19"/>
    <mergeCell ref="A20:D20"/>
    <mergeCell ref="A21:E21"/>
    <mergeCell ref="A22:E22"/>
    <mergeCell ref="A23:E23"/>
    <mergeCell ref="A45:C45"/>
    <mergeCell ref="G45:H45"/>
    <mergeCell ref="A27:D27"/>
    <mergeCell ref="A28:E28"/>
    <mergeCell ref="A29:H29"/>
    <mergeCell ref="A30:H30"/>
    <mergeCell ref="A32:A33"/>
    <mergeCell ref="A34:G34"/>
    <mergeCell ref="A35:H35"/>
    <mergeCell ref="A36:H36"/>
    <mergeCell ref="A37:H37"/>
    <mergeCell ref="A39:A40"/>
    <mergeCell ref="A41:G41"/>
    <mergeCell ref="A46:C46"/>
    <mergeCell ref="G46:H46"/>
    <mergeCell ref="A47:C47"/>
    <mergeCell ref="G47:H47"/>
    <mergeCell ref="A48:C48"/>
    <mergeCell ref="G48:H48"/>
    <mergeCell ref="A57:H57"/>
    <mergeCell ref="A49:C49"/>
    <mergeCell ref="G49:H49"/>
    <mergeCell ref="A50:C50"/>
    <mergeCell ref="G50:H50"/>
    <mergeCell ref="A51:C51"/>
    <mergeCell ref="G51:H51"/>
    <mergeCell ref="A52:H52"/>
    <mergeCell ref="A53:H53"/>
    <mergeCell ref="A54:H54"/>
    <mergeCell ref="A55:H55"/>
    <mergeCell ref="A56:H56"/>
  </mergeCells>
  <printOptions horizontalCentered="1"/>
  <pageMargins left="0.19685039370078741" right="0.19685039370078741" top="1.1429166666666666" bottom="0.78740157480314965" header="0.31496062992125984" footer="0.31496062992125984"/>
  <pageSetup paperSize="9" scale="52"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6CCC6-B33F-47B8-BA7A-E8968E1C81E8}">
  <sheetPr>
    <tabColor rgb="FF92D050"/>
  </sheetPr>
  <dimension ref="A1:AS149"/>
  <sheetViews>
    <sheetView view="pageBreakPreview" zoomScaleNormal="60" zoomScaleSheetLayoutView="100" workbookViewId="0">
      <selection activeCell="E119" sqref="E119:G119"/>
    </sheetView>
  </sheetViews>
  <sheetFormatPr defaultRowHeight="15"/>
  <cols>
    <col min="4" max="4" width="28.140625" customWidth="1"/>
    <col min="5" max="5" width="40.28515625" customWidth="1"/>
    <col min="6" max="6" width="28.42578125" customWidth="1"/>
    <col min="7" max="7" width="17" customWidth="1"/>
    <col min="8" max="8" width="14.140625" customWidth="1"/>
    <col min="9" max="9" width="48.85546875" customWidth="1"/>
    <col min="10" max="10" width="16.140625" bestFit="1" customWidth="1"/>
    <col min="11" max="11" width="12.42578125" customWidth="1"/>
    <col min="12" max="12" width="17.42578125" customWidth="1"/>
    <col min="260" max="260" width="28.140625" customWidth="1"/>
    <col min="261" max="261" width="40.28515625" customWidth="1"/>
    <col min="262" max="262" width="28.42578125" customWidth="1"/>
    <col min="263" max="263" width="17" customWidth="1"/>
    <col min="264" max="264" width="14.140625" customWidth="1"/>
    <col min="265" max="265" width="48.85546875" customWidth="1"/>
    <col min="266" max="266" width="16.140625" bestFit="1" customWidth="1"/>
    <col min="267" max="267" width="12.42578125" customWidth="1"/>
    <col min="268" max="268" width="17.42578125" customWidth="1"/>
    <col min="516" max="516" width="28.140625" customWidth="1"/>
    <col min="517" max="517" width="40.28515625" customWidth="1"/>
    <col min="518" max="518" width="28.42578125" customWidth="1"/>
    <col min="519" max="519" width="17" customWidth="1"/>
    <col min="520" max="520" width="14.140625" customWidth="1"/>
    <col min="521" max="521" width="48.85546875" customWidth="1"/>
    <col min="522" max="522" width="16.140625" bestFit="1" customWidth="1"/>
    <col min="523" max="523" width="12.42578125" customWidth="1"/>
    <col min="524" max="524" width="17.42578125" customWidth="1"/>
    <col min="772" max="772" width="28.140625" customWidth="1"/>
    <col min="773" max="773" width="40.28515625" customWidth="1"/>
    <col min="774" max="774" width="28.42578125" customWidth="1"/>
    <col min="775" max="775" width="17" customWidth="1"/>
    <col min="776" max="776" width="14.140625" customWidth="1"/>
    <col min="777" max="777" width="48.85546875" customWidth="1"/>
    <col min="778" max="778" width="16.140625" bestFit="1" customWidth="1"/>
    <col min="779" max="779" width="12.42578125" customWidth="1"/>
    <col min="780" max="780" width="17.42578125" customWidth="1"/>
    <col min="1028" max="1028" width="28.140625" customWidth="1"/>
    <col min="1029" max="1029" width="40.28515625" customWidth="1"/>
    <col min="1030" max="1030" width="28.42578125" customWidth="1"/>
    <col min="1031" max="1031" width="17" customWidth="1"/>
    <col min="1032" max="1032" width="14.140625" customWidth="1"/>
    <col min="1033" max="1033" width="48.85546875" customWidth="1"/>
    <col min="1034" max="1034" width="16.140625" bestFit="1" customWidth="1"/>
    <col min="1035" max="1035" width="12.42578125" customWidth="1"/>
    <col min="1036" max="1036" width="17.42578125" customWidth="1"/>
    <col min="1284" max="1284" width="28.140625" customWidth="1"/>
    <col min="1285" max="1285" width="40.28515625" customWidth="1"/>
    <col min="1286" max="1286" width="28.42578125" customWidth="1"/>
    <col min="1287" max="1287" width="17" customWidth="1"/>
    <col min="1288" max="1288" width="14.140625" customWidth="1"/>
    <col min="1289" max="1289" width="48.85546875" customWidth="1"/>
    <col min="1290" max="1290" width="16.140625" bestFit="1" customWidth="1"/>
    <col min="1291" max="1291" width="12.42578125" customWidth="1"/>
    <col min="1292" max="1292" width="17.42578125" customWidth="1"/>
    <col min="1540" max="1540" width="28.140625" customWidth="1"/>
    <col min="1541" max="1541" width="40.28515625" customWidth="1"/>
    <col min="1542" max="1542" width="28.42578125" customWidth="1"/>
    <col min="1543" max="1543" width="17" customWidth="1"/>
    <col min="1544" max="1544" width="14.140625" customWidth="1"/>
    <col min="1545" max="1545" width="48.85546875" customWidth="1"/>
    <col min="1546" max="1546" width="16.140625" bestFit="1" customWidth="1"/>
    <col min="1547" max="1547" width="12.42578125" customWidth="1"/>
    <col min="1548" max="1548" width="17.42578125" customWidth="1"/>
    <col min="1796" max="1796" width="28.140625" customWidth="1"/>
    <col min="1797" max="1797" width="40.28515625" customWidth="1"/>
    <col min="1798" max="1798" width="28.42578125" customWidth="1"/>
    <col min="1799" max="1799" width="17" customWidth="1"/>
    <col min="1800" max="1800" width="14.140625" customWidth="1"/>
    <col min="1801" max="1801" width="48.85546875" customWidth="1"/>
    <col min="1802" max="1802" width="16.140625" bestFit="1" customWidth="1"/>
    <col min="1803" max="1803" width="12.42578125" customWidth="1"/>
    <col min="1804" max="1804" width="17.42578125" customWidth="1"/>
    <col min="2052" max="2052" width="28.140625" customWidth="1"/>
    <col min="2053" max="2053" width="40.28515625" customWidth="1"/>
    <col min="2054" max="2054" width="28.42578125" customWidth="1"/>
    <col min="2055" max="2055" width="17" customWidth="1"/>
    <col min="2056" max="2056" width="14.140625" customWidth="1"/>
    <col min="2057" max="2057" width="48.85546875" customWidth="1"/>
    <col min="2058" max="2058" width="16.140625" bestFit="1" customWidth="1"/>
    <col min="2059" max="2059" width="12.42578125" customWidth="1"/>
    <col min="2060" max="2060" width="17.42578125" customWidth="1"/>
    <col min="2308" max="2308" width="28.140625" customWidth="1"/>
    <col min="2309" max="2309" width="40.28515625" customWidth="1"/>
    <col min="2310" max="2310" width="28.42578125" customWidth="1"/>
    <col min="2311" max="2311" width="17" customWidth="1"/>
    <col min="2312" max="2312" width="14.140625" customWidth="1"/>
    <col min="2313" max="2313" width="48.85546875" customWidth="1"/>
    <col min="2314" max="2314" width="16.140625" bestFit="1" customWidth="1"/>
    <col min="2315" max="2315" width="12.42578125" customWidth="1"/>
    <col min="2316" max="2316" width="17.42578125" customWidth="1"/>
    <col min="2564" max="2564" width="28.140625" customWidth="1"/>
    <col min="2565" max="2565" width="40.28515625" customWidth="1"/>
    <col min="2566" max="2566" width="28.42578125" customWidth="1"/>
    <col min="2567" max="2567" width="17" customWidth="1"/>
    <col min="2568" max="2568" width="14.140625" customWidth="1"/>
    <col min="2569" max="2569" width="48.85546875" customWidth="1"/>
    <col min="2570" max="2570" width="16.140625" bestFit="1" customWidth="1"/>
    <col min="2571" max="2571" width="12.42578125" customWidth="1"/>
    <col min="2572" max="2572" width="17.42578125" customWidth="1"/>
    <col min="2820" max="2820" width="28.140625" customWidth="1"/>
    <col min="2821" max="2821" width="40.28515625" customWidth="1"/>
    <col min="2822" max="2822" width="28.42578125" customWidth="1"/>
    <col min="2823" max="2823" width="17" customWidth="1"/>
    <col min="2824" max="2824" width="14.140625" customWidth="1"/>
    <col min="2825" max="2825" width="48.85546875" customWidth="1"/>
    <col min="2826" max="2826" width="16.140625" bestFit="1" customWidth="1"/>
    <col min="2827" max="2827" width="12.42578125" customWidth="1"/>
    <col min="2828" max="2828" width="17.42578125" customWidth="1"/>
    <col min="3076" max="3076" width="28.140625" customWidth="1"/>
    <col min="3077" max="3077" width="40.28515625" customWidth="1"/>
    <col min="3078" max="3078" width="28.42578125" customWidth="1"/>
    <col min="3079" max="3079" width="17" customWidth="1"/>
    <col min="3080" max="3080" width="14.140625" customWidth="1"/>
    <col min="3081" max="3081" width="48.85546875" customWidth="1"/>
    <col min="3082" max="3082" width="16.140625" bestFit="1" customWidth="1"/>
    <col min="3083" max="3083" width="12.42578125" customWidth="1"/>
    <col min="3084" max="3084" width="17.42578125" customWidth="1"/>
    <col min="3332" max="3332" width="28.140625" customWidth="1"/>
    <col min="3333" max="3333" width="40.28515625" customWidth="1"/>
    <col min="3334" max="3334" width="28.42578125" customWidth="1"/>
    <col min="3335" max="3335" width="17" customWidth="1"/>
    <col min="3336" max="3336" width="14.140625" customWidth="1"/>
    <col min="3337" max="3337" width="48.85546875" customWidth="1"/>
    <col min="3338" max="3338" width="16.140625" bestFit="1" customWidth="1"/>
    <col min="3339" max="3339" width="12.42578125" customWidth="1"/>
    <col min="3340" max="3340" width="17.42578125" customWidth="1"/>
    <col min="3588" max="3588" width="28.140625" customWidth="1"/>
    <col min="3589" max="3589" width="40.28515625" customWidth="1"/>
    <col min="3590" max="3590" width="28.42578125" customWidth="1"/>
    <col min="3591" max="3591" width="17" customWidth="1"/>
    <col min="3592" max="3592" width="14.140625" customWidth="1"/>
    <col min="3593" max="3593" width="48.85546875" customWidth="1"/>
    <col min="3594" max="3594" width="16.140625" bestFit="1" customWidth="1"/>
    <col min="3595" max="3595" width="12.42578125" customWidth="1"/>
    <col min="3596" max="3596" width="17.42578125" customWidth="1"/>
    <col min="3844" max="3844" width="28.140625" customWidth="1"/>
    <col min="3845" max="3845" width="40.28515625" customWidth="1"/>
    <col min="3846" max="3846" width="28.42578125" customWidth="1"/>
    <col min="3847" max="3847" width="17" customWidth="1"/>
    <col min="3848" max="3848" width="14.140625" customWidth="1"/>
    <col min="3849" max="3849" width="48.85546875" customWidth="1"/>
    <col min="3850" max="3850" width="16.140625" bestFit="1" customWidth="1"/>
    <col min="3851" max="3851" width="12.42578125" customWidth="1"/>
    <col min="3852" max="3852" width="17.42578125" customWidth="1"/>
    <col min="4100" max="4100" width="28.140625" customWidth="1"/>
    <col min="4101" max="4101" width="40.28515625" customWidth="1"/>
    <col min="4102" max="4102" width="28.42578125" customWidth="1"/>
    <col min="4103" max="4103" width="17" customWidth="1"/>
    <col min="4104" max="4104" width="14.140625" customWidth="1"/>
    <col min="4105" max="4105" width="48.85546875" customWidth="1"/>
    <col min="4106" max="4106" width="16.140625" bestFit="1" customWidth="1"/>
    <col min="4107" max="4107" width="12.42578125" customWidth="1"/>
    <col min="4108" max="4108" width="17.42578125" customWidth="1"/>
    <col min="4356" max="4356" width="28.140625" customWidth="1"/>
    <col min="4357" max="4357" width="40.28515625" customWidth="1"/>
    <col min="4358" max="4358" width="28.42578125" customWidth="1"/>
    <col min="4359" max="4359" width="17" customWidth="1"/>
    <col min="4360" max="4360" width="14.140625" customWidth="1"/>
    <col min="4361" max="4361" width="48.85546875" customWidth="1"/>
    <col min="4362" max="4362" width="16.140625" bestFit="1" customWidth="1"/>
    <col min="4363" max="4363" width="12.42578125" customWidth="1"/>
    <col min="4364" max="4364" width="17.42578125" customWidth="1"/>
    <col min="4612" max="4612" width="28.140625" customWidth="1"/>
    <col min="4613" max="4613" width="40.28515625" customWidth="1"/>
    <col min="4614" max="4614" width="28.42578125" customWidth="1"/>
    <col min="4615" max="4615" width="17" customWidth="1"/>
    <col min="4616" max="4616" width="14.140625" customWidth="1"/>
    <col min="4617" max="4617" width="48.85546875" customWidth="1"/>
    <col min="4618" max="4618" width="16.140625" bestFit="1" customWidth="1"/>
    <col min="4619" max="4619" width="12.42578125" customWidth="1"/>
    <col min="4620" max="4620" width="17.42578125" customWidth="1"/>
    <col min="4868" max="4868" width="28.140625" customWidth="1"/>
    <col min="4869" max="4869" width="40.28515625" customWidth="1"/>
    <col min="4870" max="4870" width="28.42578125" customWidth="1"/>
    <col min="4871" max="4871" width="17" customWidth="1"/>
    <col min="4872" max="4872" width="14.140625" customWidth="1"/>
    <col min="4873" max="4873" width="48.85546875" customWidth="1"/>
    <col min="4874" max="4874" width="16.140625" bestFit="1" customWidth="1"/>
    <col min="4875" max="4875" width="12.42578125" customWidth="1"/>
    <col min="4876" max="4876" width="17.42578125" customWidth="1"/>
    <col min="5124" max="5124" width="28.140625" customWidth="1"/>
    <col min="5125" max="5125" width="40.28515625" customWidth="1"/>
    <col min="5126" max="5126" width="28.42578125" customWidth="1"/>
    <col min="5127" max="5127" width="17" customWidth="1"/>
    <col min="5128" max="5128" width="14.140625" customWidth="1"/>
    <col min="5129" max="5129" width="48.85546875" customWidth="1"/>
    <col min="5130" max="5130" width="16.140625" bestFit="1" customWidth="1"/>
    <col min="5131" max="5131" width="12.42578125" customWidth="1"/>
    <col min="5132" max="5132" width="17.42578125" customWidth="1"/>
    <col min="5380" max="5380" width="28.140625" customWidth="1"/>
    <col min="5381" max="5381" width="40.28515625" customWidth="1"/>
    <col min="5382" max="5382" width="28.42578125" customWidth="1"/>
    <col min="5383" max="5383" width="17" customWidth="1"/>
    <col min="5384" max="5384" width="14.140625" customWidth="1"/>
    <col min="5385" max="5385" width="48.85546875" customWidth="1"/>
    <col min="5386" max="5386" width="16.140625" bestFit="1" customWidth="1"/>
    <col min="5387" max="5387" width="12.42578125" customWidth="1"/>
    <col min="5388" max="5388" width="17.42578125" customWidth="1"/>
    <col min="5636" max="5636" width="28.140625" customWidth="1"/>
    <col min="5637" max="5637" width="40.28515625" customWidth="1"/>
    <col min="5638" max="5638" width="28.42578125" customWidth="1"/>
    <col min="5639" max="5639" width="17" customWidth="1"/>
    <col min="5640" max="5640" width="14.140625" customWidth="1"/>
    <col min="5641" max="5641" width="48.85546875" customWidth="1"/>
    <col min="5642" max="5642" width="16.140625" bestFit="1" customWidth="1"/>
    <col min="5643" max="5643" width="12.42578125" customWidth="1"/>
    <col min="5644" max="5644" width="17.42578125" customWidth="1"/>
    <col min="5892" max="5892" width="28.140625" customWidth="1"/>
    <col min="5893" max="5893" width="40.28515625" customWidth="1"/>
    <col min="5894" max="5894" width="28.42578125" customWidth="1"/>
    <col min="5895" max="5895" width="17" customWidth="1"/>
    <col min="5896" max="5896" width="14.140625" customWidth="1"/>
    <col min="5897" max="5897" width="48.85546875" customWidth="1"/>
    <col min="5898" max="5898" width="16.140625" bestFit="1" customWidth="1"/>
    <col min="5899" max="5899" width="12.42578125" customWidth="1"/>
    <col min="5900" max="5900" width="17.42578125" customWidth="1"/>
    <col min="6148" max="6148" width="28.140625" customWidth="1"/>
    <col min="6149" max="6149" width="40.28515625" customWidth="1"/>
    <col min="6150" max="6150" width="28.42578125" customWidth="1"/>
    <col min="6151" max="6151" width="17" customWidth="1"/>
    <col min="6152" max="6152" width="14.140625" customWidth="1"/>
    <col min="6153" max="6153" width="48.85546875" customWidth="1"/>
    <col min="6154" max="6154" width="16.140625" bestFit="1" customWidth="1"/>
    <col min="6155" max="6155" width="12.42578125" customWidth="1"/>
    <col min="6156" max="6156" width="17.42578125" customWidth="1"/>
    <col min="6404" max="6404" width="28.140625" customWidth="1"/>
    <col min="6405" max="6405" width="40.28515625" customWidth="1"/>
    <col min="6406" max="6406" width="28.42578125" customWidth="1"/>
    <col min="6407" max="6407" width="17" customWidth="1"/>
    <col min="6408" max="6408" width="14.140625" customWidth="1"/>
    <col min="6409" max="6409" width="48.85546875" customWidth="1"/>
    <col min="6410" max="6410" width="16.140625" bestFit="1" customWidth="1"/>
    <col min="6411" max="6411" width="12.42578125" customWidth="1"/>
    <col min="6412" max="6412" width="17.42578125" customWidth="1"/>
    <col min="6660" max="6660" width="28.140625" customWidth="1"/>
    <col min="6661" max="6661" width="40.28515625" customWidth="1"/>
    <col min="6662" max="6662" width="28.42578125" customWidth="1"/>
    <col min="6663" max="6663" width="17" customWidth="1"/>
    <col min="6664" max="6664" width="14.140625" customWidth="1"/>
    <col min="6665" max="6665" width="48.85546875" customWidth="1"/>
    <col min="6666" max="6666" width="16.140625" bestFit="1" customWidth="1"/>
    <col min="6667" max="6667" width="12.42578125" customWidth="1"/>
    <col min="6668" max="6668" width="17.42578125" customWidth="1"/>
    <col min="6916" max="6916" width="28.140625" customWidth="1"/>
    <col min="6917" max="6917" width="40.28515625" customWidth="1"/>
    <col min="6918" max="6918" width="28.42578125" customWidth="1"/>
    <col min="6919" max="6919" width="17" customWidth="1"/>
    <col min="6920" max="6920" width="14.140625" customWidth="1"/>
    <col min="6921" max="6921" width="48.85546875" customWidth="1"/>
    <col min="6922" max="6922" width="16.140625" bestFit="1" customWidth="1"/>
    <col min="6923" max="6923" width="12.42578125" customWidth="1"/>
    <col min="6924" max="6924" width="17.42578125" customWidth="1"/>
    <col min="7172" max="7172" width="28.140625" customWidth="1"/>
    <col min="7173" max="7173" width="40.28515625" customWidth="1"/>
    <col min="7174" max="7174" width="28.42578125" customWidth="1"/>
    <col min="7175" max="7175" width="17" customWidth="1"/>
    <col min="7176" max="7176" width="14.140625" customWidth="1"/>
    <col min="7177" max="7177" width="48.85546875" customWidth="1"/>
    <col min="7178" max="7178" width="16.140625" bestFit="1" customWidth="1"/>
    <col min="7179" max="7179" width="12.42578125" customWidth="1"/>
    <col min="7180" max="7180" width="17.42578125" customWidth="1"/>
    <col min="7428" max="7428" width="28.140625" customWidth="1"/>
    <col min="7429" max="7429" width="40.28515625" customWidth="1"/>
    <col min="7430" max="7430" width="28.42578125" customWidth="1"/>
    <col min="7431" max="7431" width="17" customWidth="1"/>
    <col min="7432" max="7432" width="14.140625" customWidth="1"/>
    <col min="7433" max="7433" width="48.85546875" customWidth="1"/>
    <col min="7434" max="7434" width="16.140625" bestFit="1" customWidth="1"/>
    <col min="7435" max="7435" width="12.42578125" customWidth="1"/>
    <col min="7436" max="7436" width="17.42578125" customWidth="1"/>
    <col min="7684" max="7684" width="28.140625" customWidth="1"/>
    <col min="7685" max="7685" width="40.28515625" customWidth="1"/>
    <col min="7686" max="7686" width="28.42578125" customWidth="1"/>
    <col min="7687" max="7687" width="17" customWidth="1"/>
    <col min="7688" max="7688" width="14.140625" customWidth="1"/>
    <col min="7689" max="7689" width="48.85546875" customWidth="1"/>
    <col min="7690" max="7690" width="16.140625" bestFit="1" customWidth="1"/>
    <col min="7691" max="7691" width="12.42578125" customWidth="1"/>
    <col min="7692" max="7692" width="17.42578125" customWidth="1"/>
    <col min="7940" max="7940" width="28.140625" customWidth="1"/>
    <col min="7941" max="7941" width="40.28515625" customWidth="1"/>
    <col min="7942" max="7942" width="28.42578125" customWidth="1"/>
    <col min="7943" max="7943" width="17" customWidth="1"/>
    <col min="7944" max="7944" width="14.140625" customWidth="1"/>
    <col min="7945" max="7945" width="48.85546875" customWidth="1"/>
    <col min="7946" max="7946" width="16.140625" bestFit="1" customWidth="1"/>
    <col min="7947" max="7947" width="12.42578125" customWidth="1"/>
    <col min="7948" max="7948" width="17.42578125" customWidth="1"/>
    <col min="8196" max="8196" width="28.140625" customWidth="1"/>
    <col min="8197" max="8197" width="40.28515625" customWidth="1"/>
    <col min="8198" max="8198" width="28.42578125" customWidth="1"/>
    <col min="8199" max="8199" width="17" customWidth="1"/>
    <col min="8200" max="8200" width="14.140625" customWidth="1"/>
    <col min="8201" max="8201" width="48.85546875" customWidth="1"/>
    <col min="8202" max="8202" width="16.140625" bestFit="1" customWidth="1"/>
    <col min="8203" max="8203" width="12.42578125" customWidth="1"/>
    <col min="8204" max="8204" width="17.42578125" customWidth="1"/>
    <col min="8452" max="8452" width="28.140625" customWidth="1"/>
    <col min="8453" max="8453" width="40.28515625" customWidth="1"/>
    <col min="8454" max="8454" width="28.42578125" customWidth="1"/>
    <col min="8455" max="8455" width="17" customWidth="1"/>
    <col min="8456" max="8456" width="14.140625" customWidth="1"/>
    <col min="8457" max="8457" width="48.85546875" customWidth="1"/>
    <col min="8458" max="8458" width="16.140625" bestFit="1" customWidth="1"/>
    <col min="8459" max="8459" width="12.42578125" customWidth="1"/>
    <col min="8460" max="8460" width="17.42578125" customWidth="1"/>
    <col min="8708" max="8708" width="28.140625" customWidth="1"/>
    <col min="8709" max="8709" width="40.28515625" customWidth="1"/>
    <col min="8710" max="8710" width="28.42578125" customWidth="1"/>
    <col min="8711" max="8711" width="17" customWidth="1"/>
    <col min="8712" max="8712" width="14.140625" customWidth="1"/>
    <col min="8713" max="8713" width="48.85546875" customWidth="1"/>
    <col min="8714" max="8714" width="16.140625" bestFit="1" customWidth="1"/>
    <col min="8715" max="8715" width="12.42578125" customWidth="1"/>
    <col min="8716" max="8716" width="17.42578125" customWidth="1"/>
    <col min="8964" max="8964" width="28.140625" customWidth="1"/>
    <col min="8965" max="8965" width="40.28515625" customWidth="1"/>
    <col min="8966" max="8966" width="28.42578125" customWidth="1"/>
    <col min="8967" max="8967" width="17" customWidth="1"/>
    <col min="8968" max="8968" width="14.140625" customWidth="1"/>
    <col min="8969" max="8969" width="48.85546875" customWidth="1"/>
    <col min="8970" max="8970" width="16.140625" bestFit="1" customWidth="1"/>
    <col min="8971" max="8971" width="12.42578125" customWidth="1"/>
    <col min="8972" max="8972" width="17.42578125" customWidth="1"/>
    <col min="9220" max="9220" width="28.140625" customWidth="1"/>
    <col min="9221" max="9221" width="40.28515625" customWidth="1"/>
    <col min="9222" max="9222" width="28.42578125" customWidth="1"/>
    <col min="9223" max="9223" width="17" customWidth="1"/>
    <col min="9224" max="9224" width="14.140625" customWidth="1"/>
    <col min="9225" max="9225" width="48.85546875" customWidth="1"/>
    <col min="9226" max="9226" width="16.140625" bestFit="1" customWidth="1"/>
    <col min="9227" max="9227" width="12.42578125" customWidth="1"/>
    <col min="9228" max="9228" width="17.42578125" customWidth="1"/>
    <col min="9476" max="9476" width="28.140625" customWidth="1"/>
    <col min="9477" max="9477" width="40.28515625" customWidth="1"/>
    <col min="9478" max="9478" width="28.42578125" customWidth="1"/>
    <col min="9479" max="9479" width="17" customWidth="1"/>
    <col min="9480" max="9480" width="14.140625" customWidth="1"/>
    <col min="9481" max="9481" width="48.85546875" customWidth="1"/>
    <col min="9482" max="9482" width="16.140625" bestFit="1" customWidth="1"/>
    <col min="9483" max="9483" width="12.42578125" customWidth="1"/>
    <col min="9484" max="9484" width="17.42578125" customWidth="1"/>
    <col min="9732" max="9732" width="28.140625" customWidth="1"/>
    <col min="9733" max="9733" width="40.28515625" customWidth="1"/>
    <col min="9734" max="9734" width="28.42578125" customWidth="1"/>
    <col min="9735" max="9735" width="17" customWidth="1"/>
    <col min="9736" max="9736" width="14.140625" customWidth="1"/>
    <col min="9737" max="9737" width="48.85546875" customWidth="1"/>
    <col min="9738" max="9738" width="16.140625" bestFit="1" customWidth="1"/>
    <col min="9739" max="9739" width="12.42578125" customWidth="1"/>
    <col min="9740" max="9740" width="17.42578125" customWidth="1"/>
    <col min="9988" max="9988" width="28.140625" customWidth="1"/>
    <col min="9989" max="9989" width="40.28515625" customWidth="1"/>
    <col min="9990" max="9990" width="28.42578125" customWidth="1"/>
    <col min="9991" max="9991" width="17" customWidth="1"/>
    <col min="9992" max="9992" width="14.140625" customWidth="1"/>
    <col min="9993" max="9993" width="48.85546875" customWidth="1"/>
    <col min="9994" max="9994" width="16.140625" bestFit="1" customWidth="1"/>
    <col min="9995" max="9995" width="12.42578125" customWidth="1"/>
    <col min="9996" max="9996" width="17.42578125" customWidth="1"/>
    <col min="10244" max="10244" width="28.140625" customWidth="1"/>
    <col min="10245" max="10245" width="40.28515625" customWidth="1"/>
    <col min="10246" max="10246" width="28.42578125" customWidth="1"/>
    <col min="10247" max="10247" width="17" customWidth="1"/>
    <col min="10248" max="10248" width="14.140625" customWidth="1"/>
    <col min="10249" max="10249" width="48.85546875" customWidth="1"/>
    <col min="10250" max="10250" width="16.140625" bestFit="1" customWidth="1"/>
    <col min="10251" max="10251" width="12.42578125" customWidth="1"/>
    <col min="10252" max="10252" width="17.42578125" customWidth="1"/>
    <col min="10500" max="10500" width="28.140625" customWidth="1"/>
    <col min="10501" max="10501" width="40.28515625" customWidth="1"/>
    <col min="10502" max="10502" width="28.42578125" customWidth="1"/>
    <col min="10503" max="10503" width="17" customWidth="1"/>
    <col min="10504" max="10504" width="14.140625" customWidth="1"/>
    <col min="10505" max="10505" width="48.85546875" customWidth="1"/>
    <col min="10506" max="10506" width="16.140625" bestFit="1" customWidth="1"/>
    <col min="10507" max="10507" width="12.42578125" customWidth="1"/>
    <col min="10508" max="10508" width="17.42578125" customWidth="1"/>
    <col min="10756" max="10756" width="28.140625" customWidth="1"/>
    <col min="10757" max="10757" width="40.28515625" customWidth="1"/>
    <col min="10758" max="10758" width="28.42578125" customWidth="1"/>
    <col min="10759" max="10759" width="17" customWidth="1"/>
    <col min="10760" max="10760" width="14.140625" customWidth="1"/>
    <col min="10761" max="10761" width="48.85546875" customWidth="1"/>
    <col min="10762" max="10762" width="16.140625" bestFit="1" customWidth="1"/>
    <col min="10763" max="10763" width="12.42578125" customWidth="1"/>
    <col min="10764" max="10764" width="17.42578125" customWidth="1"/>
    <col min="11012" max="11012" width="28.140625" customWidth="1"/>
    <col min="11013" max="11013" width="40.28515625" customWidth="1"/>
    <col min="11014" max="11014" width="28.42578125" customWidth="1"/>
    <col min="11015" max="11015" width="17" customWidth="1"/>
    <col min="11016" max="11016" width="14.140625" customWidth="1"/>
    <col min="11017" max="11017" width="48.85546875" customWidth="1"/>
    <col min="11018" max="11018" width="16.140625" bestFit="1" customWidth="1"/>
    <col min="11019" max="11019" width="12.42578125" customWidth="1"/>
    <col min="11020" max="11020" width="17.42578125" customWidth="1"/>
    <col min="11268" max="11268" width="28.140625" customWidth="1"/>
    <col min="11269" max="11269" width="40.28515625" customWidth="1"/>
    <col min="11270" max="11270" width="28.42578125" customWidth="1"/>
    <col min="11271" max="11271" width="17" customWidth="1"/>
    <col min="11272" max="11272" width="14.140625" customWidth="1"/>
    <col min="11273" max="11273" width="48.85546875" customWidth="1"/>
    <col min="11274" max="11274" width="16.140625" bestFit="1" customWidth="1"/>
    <col min="11275" max="11275" width="12.42578125" customWidth="1"/>
    <col min="11276" max="11276" width="17.42578125" customWidth="1"/>
    <col min="11524" max="11524" width="28.140625" customWidth="1"/>
    <col min="11525" max="11525" width="40.28515625" customWidth="1"/>
    <col min="11526" max="11526" width="28.42578125" customWidth="1"/>
    <col min="11527" max="11527" width="17" customWidth="1"/>
    <col min="11528" max="11528" width="14.140625" customWidth="1"/>
    <col min="11529" max="11529" width="48.85546875" customWidth="1"/>
    <col min="11530" max="11530" width="16.140625" bestFit="1" customWidth="1"/>
    <col min="11531" max="11531" width="12.42578125" customWidth="1"/>
    <col min="11532" max="11532" width="17.42578125" customWidth="1"/>
    <col min="11780" max="11780" width="28.140625" customWidth="1"/>
    <col min="11781" max="11781" width="40.28515625" customWidth="1"/>
    <col min="11782" max="11782" width="28.42578125" customWidth="1"/>
    <col min="11783" max="11783" width="17" customWidth="1"/>
    <col min="11784" max="11784" width="14.140625" customWidth="1"/>
    <col min="11785" max="11785" width="48.85546875" customWidth="1"/>
    <col min="11786" max="11786" width="16.140625" bestFit="1" customWidth="1"/>
    <col min="11787" max="11787" width="12.42578125" customWidth="1"/>
    <col min="11788" max="11788" width="17.42578125" customWidth="1"/>
    <col min="12036" max="12036" width="28.140625" customWidth="1"/>
    <col min="12037" max="12037" width="40.28515625" customWidth="1"/>
    <col min="12038" max="12038" width="28.42578125" customWidth="1"/>
    <col min="12039" max="12039" width="17" customWidth="1"/>
    <col min="12040" max="12040" width="14.140625" customWidth="1"/>
    <col min="12041" max="12041" width="48.85546875" customWidth="1"/>
    <col min="12042" max="12042" width="16.140625" bestFit="1" customWidth="1"/>
    <col min="12043" max="12043" width="12.42578125" customWidth="1"/>
    <col min="12044" max="12044" width="17.42578125" customWidth="1"/>
    <col min="12292" max="12292" width="28.140625" customWidth="1"/>
    <col min="12293" max="12293" width="40.28515625" customWidth="1"/>
    <col min="12294" max="12294" width="28.42578125" customWidth="1"/>
    <col min="12295" max="12295" width="17" customWidth="1"/>
    <col min="12296" max="12296" width="14.140625" customWidth="1"/>
    <col min="12297" max="12297" width="48.85546875" customWidth="1"/>
    <col min="12298" max="12298" width="16.140625" bestFit="1" customWidth="1"/>
    <col min="12299" max="12299" width="12.42578125" customWidth="1"/>
    <col min="12300" max="12300" width="17.42578125" customWidth="1"/>
    <col min="12548" max="12548" width="28.140625" customWidth="1"/>
    <col min="12549" max="12549" width="40.28515625" customWidth="1"/>
    <col min="12550" max="12550" width="28.42578125" customWidth="1"/>
    <col min="12551" max="12551" width="17" customWidth="1"/>
    <col min="12552" max="12552" width="14.140625" customWidth="1"/>
    <col min="12553" max="12553" width="48.85546875" customWidth="1"/>
    <col min="12554" max="12554" width="16.140625" bestFit="1" customWidth="1"/>
    <col min="12555" max="12555" width="12.42578125" customWidth="1"/>
    <col min="12556" max="12556" width="17.42578125" customWidth="1"/>
    <col min="12804" max="12804" width="28.140625" customWidth="1"/>
    <col min="12805" max="12805" width="40.28515625" customWidth="1"/>
    <col min="12806" max="12806" width="28.42578125" customWidth="1"/>
    <col min="12807" max="12807" width="17" customWidth="1"/>
    <col min="12808" max="12808" width="14.140625" customWidth="1"/>
    <col min="12809" max="12809" width="48.85546875" customWidth="1"/>
    <col min="12810" max="12810" width="16.140625" bestFit="1" customWidth="1"/>
    <col min="12811" max="12811" width="12.42578125" customWidth="1"/>
    <col min="12812" max="12812" width="17.42578125" customWidth="1"/>
    <col min="13060" max="13060" width="28.140625" customWidth="1"/>
    <col min="13061" max="13061" width="40.28515625" customWidth="1"/>
    <col min="13062" max="13062" width="28.42578125" customWidth="1"/>
    <col min="13063" max="13063" width="17" customWidth="1"/>
    <col min="13064" max="13064" width="14.140625" customWidth="1"/>
    <col min="13065" max="13065" width="48.85546875" customWidth="1"/>
    <col min="13066" max="13066" width="16.140625" bestFit="1" customWidth="1"/>
    <col min="13067" max="13067" width="12.42578125" customWidth="1"/>
    <col min="13068" max="13068" width="17.42578125" customWidth="1"/>
    <col min="13316" max="13316" width="28.140625" customWidth="1"/>
    <col min="13317" max="13317" width="40.28515625" customWidth="1"/>
    <col min="13318" max="13318" width="28.42578125" customWidth="1"/>
    <col min="13319" max="13319" width="17" customWidth="1"/>
    <col min="13320" max="13320" width="14.140625" customWidth="1"/>
    <col min="13321" max="13321" width="48.85546875" customWidth="1"/>
    <col min="13322" max="13322" width="16.140625" bestFit="1" customWidth="1"/>
    <col min="13323" max="13323" width="12.42578125" customWidth="1"/>
    <col min="13324" max="13324" width="17.42578125" customWidth="1"/>
    <col min="13572" max="13572" width="28.140625" customWidth="1"/>
    <col min="13573" max="13573" width="40.28515625" customWidth="1"/>
    <col min="13574" max="13574" width="28.42578125" customWidth="1"/>
    <col min="13575" max="13575" width="17" customWidth="1"/>
    <col min="13576" max="13576" width="14.140625" customWidth="1"/>
    <col min="13577" max="13577" width="48.85546875" customWidth="1"/>
    <col min="13578" max="13578" width="16.140625" bestFit="1" customWidth="1"/>
    <col min="13579" max="13579" width="12.42578125" customWidth="1"/>
    <col min="13580" max="13580" width="17.42578125" customWidth="1"/>
    <col min="13828" max="13828" width="28.140625" customWidth="1"/>
    <col min="13829" max="13829" width="40.28515625" customWidth="1"/>
    <col min="13830" max="13830" width="28.42578125" customWidth="1"/>
    <col min="13831" max="13831" width="17" customWidth="1"/>
    <col min="13832" max="13832" width="14.140625" customWidth="1"/>
    <col min="13833" max="13833" width="48.85546875" customWidth="1"/>
    <col min="13834" max="13834" width="16.140625" bestFit="1" customWidth="1"/>
    <col min="13835" max="13835" width="12.42578125" customWidth="1"/>
    <col min="13836" max="13836" width="17.42578125" customWidth="1"/>
    <col min="14084" max="14084" width="28.140625" customWidth="1"/>
    <col min="14085" max="14085" width="40.28515625" customWidth="1"/>
    <col min="14086" max="14086" width="28.42578125" customWidth="1"/>
    <col min="14087" max="14087" width="17" customWidth="1"/>
    <col min="14088" max="14088" width="14.140625" customWidth="1"/>
    <col min="14089" max="14089" width="48.85546875" customWidth="1"/>
    <col min="14090" max="14090" width="16.140625" bestFit="1" customWidth="1"/>
    <col min="14091" max="14091" width="12.42578125" customWidth="1"/>
    <col min="14092" max="14092" width="17.42578125" customWidth="1"/>
    <col min="14340" max="14340" width="28.140625" customWidth="1"/>
    <col min="14341" max="14341" width="40.28515625" customWidth="1"/>
    <col min="14342" max="14342" width="28.42578125" customWidth="1"/>
    <col min="14343" max="14343" width="17" customWidth="1"/>
    <col min="14344" max="14344" width="14.140625" customWidth="1"/>
    <col min="14345" max="14345" width="48.85546875" customWidth="1"/>
    <col min="14346" max="14346" width="16.140625" bestFit="1" customWidth="1"/>
    <col min="14347" max="14347" width="12.42578125" customWidth="1"/>
    <col min="14348" max="14348" width="17.42578125" customWidth="1"/>
    <col min="14596" max="14596" width="28.140625" customWidth="1"/>
    <col min="14597" max="14597" width="40.28515625" customWidth="1"/>
    <col min="14598" max="14598" width="28.42578125" customWidth="1"/>
    <col min="14599" max="14599" width="17" customWidth="1"/>
    <col min="14600" max="14600" width="14.140625" customWidth="1"/>
    <col min="14601" max="14601" width="48.85546875" customWidth="1"/>
    <col min="14602" max="14602" width="16.140625" bestFit="1" customWidth="1"/>
    <col min="14603" max="14603" width="12.42578125" customWidth="1"/>
    <col min="14604" max="14604" width="17.42578125" customWidth="1"/>
    <col min="14852" max="14852" width="28.140625" customWidth="1"/>
    <col min="14853" max="14853" width="40.28515625" customWidth="1"/>
    <col min="14854" max="14854" width="28.42578125" customWidth="1"/>
    <col min="14855" max="14855" width="17" customWidth="1"/>
    <col min="14856" max="14856" width="14.140625" customWidth="1"/>
    <col min="14857" max="14857" width="48.85546875" customWidth="1"/>
    <col min="14858" max="14858" width="16.140625" bestFit="1" customWidth="1"/>
    <col min="14859" max="14859" width="12.42578125" customWidth="1"/>
    <col min="14860" max="14860" width="17.42578125" customWidth="1"/>
    <col min="15108" max="15108" width="28.140625" customWidth="1"/>
    <col min="15109" max="15109" width="40.28515625" customWidth="1"/>
    <col min="15110" max="15110" width="28.42578125" customWidth="1"/>
    <col min="15111" max="15111" width="17" customWidth="1"/>
    <col min="15112" max="15112" width="14.140625" customWidth="1"/>
    <col min="15113" max="15113" width="48.85546875" customWidth="1"/>
    <col min="15114" max="15114" width="16.140625" bestFit="1" customWidth="1"/>
    <col min="15115" max="15115" width="12.42578125" customWidth="1"/>
    <col min="15116" max="15116" width="17.42578125" customWidth="1"/>
    <col min="15364" max="15364" width="28.140625" customWidth="1"/>
    <col min="15365" max="15365" width="40.28515625" customWidth="1"/>
    <col min="15366" max="15366" width="28.42578125" customWidth="1"/>
    <col min="15367" max="15367" width="17" customWidth="1"/>
    <col min="15368" max="15368" width="14.140625" customWidth="1"/>
    <col min="15369" max="15369" width="48.85546875" customWidth="1"/>
    <col min="15370" max="15370" width="16.140625" bestFit="1" customWidth="1"/>
    <col min="15371" max="15371" width="12.42578125" customWidth="1"/>
    <col min="15372" max="15372" width="17.42578125" customWidth="1"/>
    <col min="15620" max="15620" width="28.140625" customWidth="1"/>
    <col min="15621" max="15621" width="40.28515625" customWidth="1"/>
    <col min="15622" max="15622" width="28.42578125" customWidth="1"/>
    <col min="15623" max="15623" width="17" customWidth="1"/>
    <col min="15624" max="15624" width="14.140625" customWidth="1"/>
    <col min="15625" max="15625" width="48.85546875" customWidth="1"/>
    <col min="15626" max="15626" width="16.140625" bestFit="1" customWidth="1"/>
    <col min="15627" max="15627" width="12.42578125" customWidth="1"/>
    <col min="15628" max="15628" width="17.42578125" customWidth="1"/>
    <col min="15876" max="15876" width="28.140625" customWidth="1"/>
    <col min="15877" max="15877" width="40.28515625" customWidth="1"/>
    <col min="15878" max="15878" width="28.42578125" customWidth="1"/>
    <col min="15879" max="15879" width="17" customWidth="1"/>
    <col min="15880" max="15880" width="14.140625" customWidth="1"/>
    <col min="15881" max="15881" width="48.85546875" customWidth="1"/>
    <col min="15882" max="15882" width="16.140625" bestFit="1" customWidth="1"/>
    <col min="15883" max="15883" width="12.42578125" customWidth="1"/>
    <col min="15884" max="15884" width="17.42578125" customWidth="1"/>
    <col min="16132" max="16132" width="28.140625" customWidth="1"/>
    <col min="16133" max="16133" width="40.28515625" customWidth="1"/>
    <col min="16134" max="16134" width="28.42578125" customWidth="1"/>
    <col min="16135" max="16135" width="17" customWidth="1"/>
    <col min="16136" max="16136" width="14.140625" customWidth="1"/>
    <col min="16137" max="16137" width="48.85546875" customWidth="1"/>
    <col min="16138" max="16138" width="16.140625" bestFit="1" customWidth="1"/>
    <col min="16139" max="16139" width="12.42578125" customWidth="1"/>
    <col min="16140" max="16140" width="17.42578125" customWidth="1"/>
  </cols>
  <sheetData>
    <row r="1" spans="1:9" s="335" customFormat="1" ht="23.25" customHeight="1" thickBot="1">
      <c r="A1" s="1310" t="s">
        <v>1807</v>
      </c>
      <c r="B1" s="1311"/>
      <c r="C1" s="1311"/>
      <c r="D1" s="1311"/>
      <c r="E1" s="1311"/>
      <c r="F1" s="1311"/>
      <c r="G1" s="1311"/>
      <c r="H1" s="1311"/>
      <c r="I1" s="1312"/>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2096</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2148</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22</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1534</v>
      </c>
      <c r="B14" s="1322"/>
      <c r="C14" s="1323"/>
      <c r="D14" s="1324" t="s">
        <v>1819</v>
      </c>
      <c r="E14" s="1322"/>
      <c r="F14" s="1323"/>
      <c r="G14" s="1325" t="s">
        <v>1820</v>
      </c>
      <c r="H14" s="1326"/>
      <c r="I14" s="1327"/>
    </row>
    <row r="15" spans="1:9" s="335" customFormat="1" ht="30" customHeight="1">
      <c r="A15" s="1301" t="s">
        <v>1806</v>
      </c>
      <c r="B15" s="1302"/>
      <c r="C15" s="1303"/>
      <c r="D15" s="1304" t="s">
        <v>2098</v>
      </c>
      <c r="E15" s="1302"/>
      <c r="F15" s="1303"/>
      <c r="G15" s="1304">
        <v>1</v>
      </c>
      <c r="H15" s="1302"/>
      <c r="I15" s="1305"/>
    </row>
    <row r="16" spans="1:9" s="335" customFormat="1" ht="8.25" customHeight="1">
      <c r="A16" s="1044"/>
      <c r="B16" s="1045"/>
      <c r="C16" s="1045"/>
      <c r="D16" s="1045"/>
      <c r="E16" s="1045"/>
      <c r="F16" s="1045"/>
      <c r="G16" s="1045"/>
      <c r="H16" s="1045"/>
      <c r="I16" s="1046"/>
    </row>
    <row r="17" spans="1:9" s="335" customFormat="1" ht="26.25" customHeight="1">
      <c r="A17" s="1290" t="s">
        <v>1823</v>
      </c>
      <c r="B17" s="1291"/>
      <c r="C17" s="1291"/>
      <c r="D17" s="1291"/>
      <c r="E17" s="1291"/>
      <c r="F17" s="1291"/>
      <c r="G17" s="1292"/>
      <c r="H17" s="1292"/>
      <c r="I17" s="1293"/>
    </row>
    <row r="18" spans="1:9" s="335" customFormat="1" ht="32.25" customHeight="1">
      <c r="A18" s="1294" t="s">
        <v>1824</v>
      </c>
      <c r="B18" s="1295"/>
      <c r="C18" s="1295"/>
      <c r="D18" s="1295"/>
      <c r="E18" s="1295"/>
      <c r="F18" s="1295"/>
      <c r="G18" s="1292"/>
      <c r="H18" s="1292"/>
      <c r="I18" s="1293"/>
    </row>
    <row r="19" spans="1:9" s="335" customFormat="1" ht="27.75" customHeight="1">
      <c r="A19" s="1296" t="s">
        <v>1825</v>
      </c>
      <c r="B19" s="1297"/>
      <c r="C19" s="1297"/>
      <c r="D19" s="1297"/>
      <c r="E19" s="1297"/>
      <c r="F19" s="1297"/>
      <c r="G19" s="1298"/>
      <c r="H19" s="1299"/>
      <c r="I19" s="1300"/>
    </row>
    <row r="20" spans="1:9" s="335" customFormat="1" ht="33.75" customHeight="1">
      <c r="A20" s="343">
        <v>1</v>
      </c>
      <c r="B20" s="1274" t="s">
        <v>1566</v>
      </c>
      <c r="C20" s="1275"/>
      <c r="D20" s="1275"/>
      <c r="E20" s="1275"/>
      <c r="F20" s="1275"/>
      <c r="G20" s="1284" t="s">
        <v>1830</v>
      </c>
      <c r="H20" s="1285"/>
      <c r="I20" s="1286"/>
    </row>
    <row r="21" spans="1:9" s="335" customFormat="1" ht="30.75" customHeight="1">
      <c r="A21" s="343">
        <v>2</v>
      </c>
      <c r="B21" s="1274" t="s">
        <v>1827</v>
      </c>
      <c r="C21" s="1275"/>
      <c r="D21" s="1275"/>
      <c r="E21" s="1275"/>
      <c r="F21" s="1275"/>
      <c r="G21" s="1276" t="s">
        <v>2149</v>
      </c>
      <c r="H21" s="1277"/>
      <c r="I21" s="1278"/>
    </row>
    <row r="22" spans="1:9" s="335" customFormat="1" ht="27" customHeight="1">
      <c r="A22" s="343">
        <v>3</v>
      </c>
      <c r="B22" s="1274" t="s">
        <v>1570</v>
      </c>
      <c r="C22" s="1275"/>
      <c r="D22" s="1275"/>
      <c r="E22" s="1275"/>
      <c r="F22" s="1275"/>
      <c r="G22" s="1287">
        <v>1629.62</v>
      </c>
      <c r="H22" s="1288"/>
      <c r="I22" s="1289"/>
    </row>
    <row r="23" spans="1:9" s="335" customFormat="1" ht="29.25" customHeight="1">
      <c r="A23" s="343">
        <v>4</v>
      </c>
      <c r="B23" s="1274" t="s">
        <v>1829</v>
      </c>
      <c r="C23" s="1275"/>
      <c r="D23" s="1275"/>
      <c r="E23" s="1275"/>
      <c r="F23" s="1275"/>
      <c r="G23" s="1276" t="s">
        <v>1830</v>
      </c>
      <c r="H23" s="1277"/>
      <c r="I23" s="1278"/>
    </row>
    <row r="24" spans="1:9" s="335" customFormat="1" ht="28.5" customHeight="1" thickBot="1">
      <c r="A24" s="343">
        <v>5</v>
      </c>
      <c r="B24" s="1274" t="s">
        <v>1573</v>
      </c>
      <c r="C24" s="1275"/>
      <c r="D24" s="1275"/>
      <c r="E24" s="1275"/>
      <c r="F24" s="1275"/>
      <c r="G24" s="1398">
        <v>45658</v>
      </c>
      <c r="H24" s="1280"/>
      <c r="I24" s="1281"/>
    </row>
    <row r="25" spans="1:9" s="335" customFormat="1" ht="8.25" customHeight="1">
      <c r="A25" s="1044"/>
      <c r="B25" s="1045"/>
      <c r="C25" s="1045"/>
      <c r="D25" s="1045"/>
      <c r="E25" s="1045"/>
      <c r="F25" s="1045"/>
      <c r="G25" s="1045"/>
      <c r="H25" s="1045"/>
      <c r="I25" s="351"/>
    </row>
    <row r="26" spans="1:9" s="335" customFormat="1" ht="30" customHeight="1">
      <c r="A26" s="1282"/>
      <c r="B26" s="1283"/>
      <c r="C26" s="1283"/>
      <c r="D26" s="1283"/>
      <c r="E26" s="1283"/>
      <c r="F26" s="1283"/>
      <c r="G26" s="1283"/>
      <c r="H26" s="1283"/>
      <c r="I26" s="352"/>
    </row>
    <row r="27" spans="1:9" s="335" customFormat="1" ht="24" customHeight="1">
      <c r="A27" s="1266" t="s">
        <v>1833</v>
      </c>
      <c r="B27" s="1267"/>
      <c r="C27" s="1267"/>
      <c r="D27" s="1267"/>
      <c r="E27" s="1267"/>
      <c r="F27" s="1267"/>
      <c r="G27" s="1267"/>
      <c r="H27" s="1267"/>
      <c r="I27" s="352"/>
    </row>
    <row r="28" spans="1:9" s="335" customFormat="1" ht="12.75" customHeight="1" thickBot="1">
      <c r="A28" s="1268"/>
      <c r="B28" s="1269"/>
      <c r="C28" s="1269"/>
      <c r="D28" s="1269"/>
      <c r="E28" s="1269"/>
      <c r="F28" s="1269"/>
      <c r="G28" s="1269"/>
      <c r="H28" s="1269"/>
      <c r="I28" s="353"/>
    </row>
    <row r="29" spans="1:9" s="335" customFormat="1" ht="27" thickBot="1">
      <c r="A29" s="1092" t="s">
        <v>1834</v>
      </c>
      <c r="B29" s="1093"/>
      <c r="C29" s="1093"/>
      <c r="D29" s="1093"/>
      <c r="E29" s="1093"/>
      <c r="F29" s="1093"/>
      <c r="G29" s="1093"/>
      <c r="H29" s="1094"/>
      <c r="I29" s="352"/>
    </row>
    <row r="30" spans="1:9" s="335" customFormat="1" ht="28.5" customHeight="1">
      <c r="A30" s="1270" t="s">
        <v>1575</v>
      </c>
      <c r="B30" s="1271"/>
      <c r="C30" s="1271"/>
      <c r="D30" s="1271"/>
      <c r="E30" s="1271"/>
      <c r="F30" s="1271" t="s">
        <v>1576</v>
      </c>
      <c r="G30" s="1271"/>
      <c r="H30" s="1271"/>
      <c r="I30" s="352"/>
    </row>
    <row r="31" spans="1:9" s="335" customFormat="1" ht="25.5" customHeight="1">
      <c r="A31" s="343" t="s">
        <v>1554</v>
      </c>
      <c r="B31" s="1101" t="s">
        <v>1835</v>
      </c>
      <c r="C31" s="1102"/>
      <c r="D31" s="1102"/>
      <c r="E31" s="1128"/>
      <c r="F31" s="1272"/>
      <c r="G31" s="1273"/>
      <c r="H31" s="1273"/>
      <c r="I31" s="352"/>
    </row>
    <row r="32" spans="1:9" s="335" customFormat="1" ht="43.5" customHeight="1">
      <c r="A32" s="343" t="s">
        <v>1556</v>
      </c>
      <c r="B32" s="1201" t="s">
        <v>1836</v>
      </c>
      <c r="C32" s="1202"/>
      <c r="D32" s="1202"/>
      <c r="E32" s="1203"/>
      <c r="F32" s="1262">
        <v>0</v>
      </c>
      <c r="G32" s="1263"/>
      <c r="H32" s="1263"/>
      <c r="I32" s="354"/>
    </row>
    <row r="33" spans="1:9" s="335" customFormat="1" ht="44.25" customHeight="1">
      <c r="A33" s="343" t="s">
        <v>1559</v>
      </c>
      <c r="B33" s="1101" t="s">
        <v>1579</v>
      </c>
      <c r="C33" s="1102"/>
      <c r="D33" s="1102"/>
      <c r="E33" s="1128"/>
      <c r="F33" s="1264"/>
      <c r="G33" s="1265"/>
      <c r="H33" s="1265"/>
      <c r="I33" s="355"/>
    </row>
    <row r="34" spans="1:9" s="335" customFormat="1" ht="48" customHeight="1">
      <c r="A34" s="343" t="s">
        <v>1562</v>
      </c>
      <c r="B34" s="1201" t="s">
        <v>1837</v>
      </c>
      <c r="C34" s="1202"/>
      <c r="D34" s="1202"/>
      <c r="E34" s="1203"/>
      <c r="F34" s="1262">
        <v>0</v>
      </c>
      <c r="G34" s="1263"/>
      <c r="H34" s="1263"/>
      <c r="I34" s="1251"/>
    </row>
    <row r="35" spans="1:9" s="335" customFormat="1" ht="45" customHeight="1">
      <c r="A35" s="343" t="s">
        <v>1581</v>
      </c>
      <c r="B35" s="1149" t="s">
        <v>1838</v>
      </c>
      <c r="C35" s="1150"/>
      <c r="D35" s="1150"/>
      <c r="E35" s="1151"/>
      <c r="F35" s="1253">
        <v>0</v>
      </c>
      <c r="G35" s="1254"/>
      <c r="H35" s="1254"/>
      <c r="I35" s="1252"/>
    </row>
    <row r="36" spans="1:9" s="335" customFormat="1" ht="30" customHeight="1">
      <c r="A36" s="343" t="s">
        <v>1583</v>
      </c>
      <c r="B36" s="1101" t="s">
        <v>1584</v>
      </c>
      <c r="C36" s="1102"/>
      <c r="D36" s="1102"/>
      <c r="E36" s="1128"/>
      <c r="F36" s="1255"/>
      <c r="G36" s="1256"/>
      <c r="H36" s="1256"/>
      <c r="I36" s="352"/>
    </row>
    <row r="37" spans="1:9" s="335" customFormat="1" ht="24" thickBot="1">
      <c r="A37" s="356"/>
      <c r="B37" s="1257" t="s">
        <v>1839</v>
      </c>
      <c r="C37" s="1258"/>
      <c r="D37" s="1258"/>
      <c r="E37" s="1259"/>
      <c r="F37" s="1260">
        <f>SUM(F31:H36)</f>
        <v>0</v>
      </c>
      <c r="G37" s="1261"/>
      <c r="H37" s="1261"/>
      <c r="I37" s="352"/>
    </row>
    <row r="38" spans="1:9" s="335" customFormat="1" ht="9.75" customHeight="1" thickBot="1">
      <c r="A38" s="1009" t="s">
        <v>1840</v>
      </c>
      <c r="B38" s="1010"/>
      <c r="C38" s="1010"/>
      <c r="D38" s="1010"/>
      <c r="E38" s="1010"/>
      <c r="F38" s="1010"/>
      <c r="G38" s="1010"/>
      <c r="H38" s="1010"/>
      <c r="I38" s="1011"/>
    </row>
    <row r="39" spans="1:9" s="335" customFormat="1" ht="18.75">
      <c r="A39" s="1239" t="s">
        <v>1841</v>
      </c>
      <c r="B39" s="1240"/>
      <c r="C39" s="1240"/>
      <c r="D39" s="1240"/>
      <c r="E39" s="1240"/>
      <c r="F39" s="1240"/>
      <c r="G39" s="1240"/>
      <c r="H39" s="1240"/>
      <c r="I39" s="1241"/>
    </row>
    <row r="40" spans="1:9" s="335" customFormat="1" ht="1.5" customHeight="1" thickBot="1">
      <c r="A40" s="1242"/>
      <c r="B40" s="1243"/>
      <c r="C40" s="1243"/>
      <c r="D40" s="1243"/>
      <c r="E40" s="1243"/>
      <c r="F40" s="1243"/>
      <c r="G40" s="1243"/>
      <c r="H40" s="1243"/>
      <c r="I40" s="1244"/>
    </row>
    <row r="41" spans="1:9" s="335" customFormat="1" ht="9.75" customHeight="1" thickBot="1">
      <c r="A41" s="1245"/>
      <c r="B41" s="1246"/>
      <c r="C41" s="1246"/>
      <c r="D41" s="1246"/>
      <c r="E41" s="1246"/>
      <c r="F41" s="1246"/>
      <c r="G41" s="1246"/>
      <c r="H41" s="1246"/>
      <c r="I41" s="1247"/>
    </row>
    <row r="42" spans="1:9" s="335" customFormat="1" ht="36" customHeight="1" thickBot="1">
      <c r="A42" s="1092" t="s">
        <v>1842</v>
      </c>
      <c r="B42" s="1093"/>
      <c r="C42" s="1093"/>
      <c r="D42" s="1093"/>
      <c r="E42" s="1093"/>
      <c r="F42" s="1093"/>
      <c r="G42" s="1093"/>
      <c r="H42" s="1093"/>
      <c r="I42" s="1094"/>
    </row>
    <row r="43" spans="1:9" s="335" customFormat="1" ht="34.5" customHeight="1">
      <c r="A43" s="1248" t="s">
        <v>1843</v>
      </c>
      <c r="B43" s="1249"/>
      <c r="C43" s="1249"/>
      <c r="D43" s="1249"/>
      <c r="E43" s="1249"/>
      <c r="F43" s="1249"/>
      <c r="G43" s="1249"/>
      <c r="H43" s="1249"/>
      <c r="I43" s="1250"/>
    </row>
    <row r="44" spans="1:9" s="335" customFormat="1" ht="27" customHeight="1">
      <c r="A44" s="343" t="s">
        <v>710</v>
      </c>
      <c r="B44" s="1236" t="s">
        <v>1844</v>
      </c>
      <c r="C44" s="1237"/>
      <c r="D44" s="1237"/>
      <c r="E44" s="1238"/>
      <c r="F44" s="1236" t="s">
        <v>1845</v>
      </c>
      <c r="G44" s="1237"/>
      <c r="H44" s="1238"/>
      <c r="I44" s="357" t="s">
        <v>1576</v>
      </c>
    </row>
    <row r="45" spans="1:9" s="335" customFormat="1" ht="18.75" customHeight="1">
      <c r="A45" s="358" t="s">
        <v>1554</v>
      </c>
      <c r="B45" s="1207" t="s">
        <v>1846</v>
      </c>
      <c r="C45" s="1208"/>
      <c r="D45" s="1208"/>
      <c r="E45" s="1209"/>
      <c r="F45" s="1154">
        <v>8.3299999999999999E-2</v>
      </c>
      <c r="G45" s="1155"/>
      <c r="H45" s="1156"/>
      <c r="I45" s="359">
        <f>F37*F45</f>
        <v>0</v>
      </c>
    </row>
    <row r="46" spans="1:9" s="335" customFormat="1" ht="18">
      <c r="A46" s="358" t="s">
        <v>1556</v>
      </c>
      <c r="B46" s="1207" t="s">
        <v>2150</v>
      </c>
      <c r="C46" s="1208"/>
      <c r="D46" s="1208"/>
      <c r="E46" s="1209"/>
      <c r="F46" s="1154">
        <v>0.121</v>
      </c>
      <c r="G46" s="1155"/>
      <c r="H46" s="1156"/>
      <c r="I46" s="359">
        <f>F46*F37</f>
        <v>0</v>
      </c>
    </row>
    <row r="47" spans="1:9" s="335" customFormat="1" ht="20.25">
      <c r="A47" s="360"/>
      <c r="B47" s="1221" t="s">
        <v>1848</v>
      </c>
      <c r="C47" s="1222"/>
      <c r="D47" s="1222"/>
      <c r="E47" s="1223"/>
      <c r="F47" s="1224">
        <f>F45+F46</f>
        <v>0.20429999999999998</v>
      </c>
      <c r="G47" s="1225"/>
      <c r="H47" s="1226"/>
      <c r="I47" s="361">
        <f>I45+I46</f>
        <v>0</v>
      </c>
    </row>
    <row r="48" spans="1:9" s="335" customFormat="1" ht="33.75" customHeight="1">
      <c r="A48" s="362"/>
      <c r="B48" s="1227" t="s">
        <v>1849</v>
      </c>
      <c r="C48" s="1228"/>
      <c r="D48" s="1228"/>
      <c r="E48" s="1229"/>
      <c r="F48" s="1230">
        <f>F61*F47</f>
        <v>7.6183470000000003E-2</v>
      </c>
      <c r="G48" s="1231"/>
      <c r="H48" s="1232"/>
      <c r="I48" s="363">
        <f>F61*I47</f>
        <v>0</v>
      </c>
    </row>
    <row r="49" spans="1:17" s="335" customFormat="1" ht="30" customHeight="1" thickBot="1">
      <c r="A49" s="364"/>
      <c r="B49" s="1233" t="s">
        <v>15</v>
      </c>
      <c r="C49" s="1234"/>
      <c r="D49" s="1234"/>
      <c r="E49" s="1235"/>
      <c r="F49" s="1146">
        <f>F47+F48</f>
        <v>0.28048346999999996</v>
      </c>
      <c r="G49" s="1147"/>
      <c r="H49" s="1148"/>
      <c r="I49" s="365">
        <f>I47+I48</f>
        <v>0</v>
      </c>
      <c r="J49" s="366"/>
    </row>
    <row r="50" spans="1:17" s="367" customFormat="1" ht="8.25" customHeight="1" thickBot="1">
      <c r="A50" s="1009"/>
      <c r="B50" s="1010"/>
      <c r="C50" s="1010"/>
      <c r="D50" s="1010"/>
      <c r="E50" s="1010"/>
      <c r="F50" s="1010"/>
      <c r="G50" s="1010"/>
      <c r="H50" s="1010"/>
      <c r="I50" s="1011"/>
      <c r="J50" s="335"/>
      <c r="K50" s="335"/>
      <c r="L50" s="335"/>
      <c r="M50" s="335"/>
      <c r="N50" s="335"/>
      <c r="O50" s="335"/>
      <c r="P50" s="335"/>
      <c r="Q50" s="335"/>
    </row>
    <row r="51" spans="1:17" s="335" customFormat="1" ht="41.25" customHeight="1">
      <c r="A51" s="1217" t="s">
        <v>1850</v>
      </c>
      <c r="B51" s="1218"/>
      <c r="C51" s="1218"/>
      <c r="D51" s="1218"/>
      <c r="E51" s="1218"/>
      <c r="F51" s="1218"/>
      <c r="G51" s="1218"/>
      <c r="H51" s="1218"/>
      <c r="I51" s="1219"/>
      <c r="J51" s="366"/>
    </row>
    <row r="52" spans="1:17" s="335" customFormat="1" ht="24" customHeight="1">
      <c r="A52" s="343" t="s">
        <v>782</v>
      </c>
      <c r="B52" s="1153" t="s">
        <v>1594</v>
      </c>
      <c r="C52" s="1064"/>
      <c r="D52" s="1064"/>
      <c r="E52" s="1065"/>
      <c r="F52" s="1153" t="s">
        <v>1845</v>
      </c>
      <c r="G52" s="1065"/>
      <c r="H52" s="1153" t="s">
        <v>1576</v>
      </c>
      <c r="I52" s="1220"/>
    </row>
    <row r="53" spans="1:17" s="335" customFormat="1" ht="20.25">
      <c r="A53" s="343" t="s">
        <v>1554</v>
      </c>
      <c r="B53" s="1207" t="s">
        <v>1595</v>
      </c>
      <c r="C53" s="1208"/>
      <c r="D53" s="1208"/>
      <c r="E53" s="1209"/>
      <c r="F53" s="1074">
        <v>0.2</v>
      </c>
      <c r="G53" s="1075"/>
      <c r="H53" s="1072">
        <f>$F$37*F53</f>
        <v>0</v>
      </c>
      <c r="I53" s="1073"/>
    </row>
    <row r="54" spans="1:17" s="335" customFormat="1" ht="20.25">
      <c r="A54" s="343" t="s">
        <v>1556</v>
      </c>
      <c r="B54" s="1207" t="s">
        <v>1596</v>
      </c>
      <c r="C54" s="1208"/>
      <c r="D54" s="1208"/>
      <c r="E54" s="1209"/>
      <c r="F54" s="1074">
        <v>2.5000000000000001E-2</v>
      </c>
      <c r="G54" s="1075"/>
      <c r="H54" s="1072">
        <f t="shared" ref="H54:H60" si="0">$F$37*F54</f>
        <v>0</v>
      </c>
      <c r="I54" s="1073"/>
    </row>
    <row r="55" spans="1:17" s="335" customFormat="1" ht="20.25">
      <c r="A55" s="343" t="s">
        <v>1559</v>
      </c>
      <c r="B55" s="1216" t="s">
        <v>1851</v>
      </c>
      <c r="C55" s="1208"/>
      <c r="D55" s="1208"/>
      <c r="E55" s="1209"/>
      <c r="F55" s="1074">
        <v>3.49E-2</v>
      </c>
      <c r="G55" s="1075"/>
      <c r="H55" s="1072">
        <f t="shared" si="0"/>
        <v>0</v>
      </c>
      <c r="I55" s="1073"/>
    </row>
    <row r="56" spans="1:17" s="335" customFormat="1" ht="20.25">
      <c r="A56" s="343" t="s">
        <v>1562</v>
      </c>
      <c r="B56" s="1207" t="s">
        <v>1598</v>
      </c>
      <c r="C56" s="1208"/>
      <c r="D56" s="1208"/>
      <c r="E56" s="1209"/>
      <c r="F56" s="1074">
        <v>1.4999999999999999E-2</v>
      </c>
      <c r="G56" s="1075"/>
      <c r="H56" s="1072">
        <f t="shared" si="0"/>
        <v>0</v>
      </c>
      <c r="I56" s="1073"/>
    </row>
    <row r="57" spans="1:17" s="335" customFormat="1" ht="20.25">
      <c r="A57" s="343" t="s">
        <v>1581</v>
      </c>
      <c r="B57" s="1207" t="s">
        <v>1852</v>
      </c>
      <c r="C57" s="1208"/>
      <c r="D57" s="1208"/>
      <c r="E57" s="1209"/>
      <c r="F57" s="1074">
        <v>0.01</v>
      </c>
      <c r="G57" s="1075"/>
      <c r="H57" s="1072">
        <f t="shared" si="0"/>
        <v>0</v>
      </c>
      <c r="I57" s="1073"/>
    </row>
    <row r="58" spans="1:17" s="335" customFormat="1" ht="20.25">
      <c r="A58" s="343" t="s">
        <v>1583</v>
      </c>
      <c r="B58" s="1207" t="s">
        <v>1600</v>
      </c>
      <c r="C58" s="1208"/>
      <c r="D58" s="1208"/>
      <c r="E58" s="1209"/>
      <c r="F58" s="1074">
        <v>6.0000000000000001E-3</v>
      </c>
      <c r="G58" s="1075"/>
      <c r="H58" s="1072">
        <f t="shared" si="0"/>
        <v>0</v>
      </c>
      <c r="I58" s="1073"/>
    </row>
    <row r="59" spans="1:17" s="335" customFormat="1" ht="20.25">
      <c r="A59" s="343" t="s">
        <v>1601</v>
      </c>
      <c r="B59" s="1207" t="s">
        <v>1602</v>
      </c>
      <c r="C59" s="1208"/>
      <c r="D59" s="1208"/>
      <c r="E59" s="1209"/>
      <c r="F59" s="1074">
        <v>2E-3</v>
      </c>
      <c r="G59" s="1075"/>
      <c r="H59" s="1072">
        <f t="shared" si="0"/>
        <v>0</v>
      </c>
      <c r="I59" s="1073"/>
    </row>
    <row r="60" spans="1:17" s="335" customFormat="1" ht="20.25">
      <c r="A60" s="343" t="s">
        <v>1603</v>
      </c>
      <c r="B60" s="1207" t="s">
        <v>1604</v>
      </c>
      <c r="C60" s="1208"/>
      <c r="D60" s="1208"/>
      <c r="E60" s="1209"/>
      <c r="F60" s="1074">
        <v>0.08</v>
      </c>
      <c r="G60" s="1075"/>
      <c r="H60" s="1072">
        <f t="shared" si="0"/>
        <v>0</v>
      </c>
      <c r="I60" s="1073"/>
    </row>
    <row r="61" spans="1:17" s="335" customFormat="1" ht="21" thickBot="1">
      <c r="A61" s="368"/>
      <c r="B61" s="1210" t="s">
        <v>1853</v>
      </c>
      <c r="C61" s="1211"/>
      <c r="D61" s="1211"/>
      <c r="E61" s="1212"/>
      <c r="F61" s="1334">
        <f>SUM(F53:G60)</f>
        <v>0.37290000000000006</v>
      </c>
      <c r="G61" s="1335"/>
      <c r="H61" s="1118">
        <f>SUM(H53:I60)</f>
        <v>0</v>
      </c>
      <c r="I61" s="1215"/>
    </row>
    <row r="62" spans="1:17" s="335" customFormat="1" ht="9.75" customHeight="1" thickBot="1">
      <c r="A62" s="1009"/>
      <c r="B62" s="1010"/>
      <c r="C62" s="1010"/>
      <c r="D62" s="1010"/>
      <c r="E62" s="1010"/>
      <c r="F62" s="1010"/>
      <c r="G62" s="1010"/>
      <c r="H62" s="1010"/>
      <c r="I62" s="1011"/>
    </row>
    <row r="63" spans="1:17" s="335" customFormat="1" ht="31.5" customHeight="1">
      <c r="A63" s="1198" t="s">
        <v>1854</v>
      </c>
      <c r="B63" s="1199"/>
      <c r="C63" s="1199"/>
      <c r="D63" s="1199"/>
      <c r="E63" s="1199"/>
      <c r="F63" s="1199"/>
      <c r="G63" s="1199"/>
      <c r="H63" s="1200"/>
      <c r="I63" s="369"/>
    </row>
    <row r="64" spans="1:17" s="335" customFormat="1" ht="27" customHeight="1">
      <c r="A64" s="370" t="s">
        <v>789</v>
      </c>
      <c r="B64" s="1152" t="s">
        <v>1607</v>
      </c>
      <c r="C64" s="1108"/>
      <c r="D64" s="1108"/>
      <c r="E64" s="1109"/>
      <c r="F64" s="1152" t="s">
        <v>1576</v>
      </c>
      <c r="G64" s="1108"/>
      <c r="H64" s="1109"/>
      <c r="I64" s="369"/>
    </row>
    <row r="65" spans="1:9" s="335" customFormat="1" ht="37.5" customHeight="1">
      <c r="A65" s="343" t="s">
        <v>1554</v>
      </c>
      <c r="B65" s="1201" t="s">
        <v>2151</v>
      </c>
      <c r="C65" s="1202"/>
      <c r="D65" s="1202"/>
      <c r="E65" s="1203"/>
      <c r="F65" s="1204"/>
      <c r="G65" s="1205"/>
      <c r="H65" s="1206"/>
      <c r="I65" s="371"/>
    </row>
    <row r="66" spans="1:9" s="335" customFormat="1" ht="45" customHeight="1">
      <c r="A66" s="343" t="s">
        <v>1556</v>
      </c>
      <c r="B66" s="1423" t="s">
        <v>2152</v>
      </c>
      <c r="C66" s="1424"/>
      <c r="D66" s="1424"/>
      <c r="E66" s="1425"/>
      <c r="F66" s="1084"/>
      <c r="G66" s="1178"/>
      <c r="H66" s="1179"/>
      <c r="I66" s="369"/>
    </row>
    <row r="67" spans="1:9" s="335" customFormat="1" ht="25.5" customHeight="1">
      <c r="A67" s="343" t="s">
        <v>1858</v>
      </c>
      <c r="B67" s="1101" t="s">
        <v>1859</v>
      </c>
      <c r="C67" s="1102"/>
      <c r="D67" s="1102"/>
      <c r="E67" s="1128"/>
      <c r="F67" s="1426">
        <v>0</v>
      </c>
      <c r="G67" s="1427"/>
      <c r="H67" s="1428"/>
      <c r="I67" s="369"/>
    </row>
    <row r="68" spans="1:9" s="335" customFormat="1" ht="23.25" customHeight="1">
      <c r="A68" s="343" t="s">
        <v>1860</v>
      </c>
      <c r="B68" s="1101" t="s">
        <v>1861</v>
      </c>
      <c r="C68" s="1102"/>
      <c r="D68" s="1102"/>
      <c r="E68" s="1128"/>
      <c r="F68" s="1195">
        <f>F66-F67</f>
        <v>0</v>
      </c>
      <c r="G68" s="1196"/>
      <c r="H68" s="1197"/>
      <c r="I68" s="369"/>
    </row>
    <row r="69" spans="1:9" s="335" customFormat="1" ht="24" customHeight="1">
      <c r="A69" s="343" t="s">
        <v>1559</v>
      </c>
      <c r="B69" s="1185" t="s">
        <v>2153</v>
      </c>
      <c r="C69" s="1102"/>
      <c r="D69" s="1102"/>
      <c r="E69" s="1128"/>
      <c r="F69" s="1084"/>
      <c r="G69" s="1178"/>
      <c r="H69" s="1179"/>
      <c r="I69" s="369"/>
    </row>
    <row r="70" spans="1:9" s="335" customFormat="1" ht="24.75" customHeight="1">
      <c r="A70" s="343" t="s">
        <v>1562</v>
      </c>
      <c r="B70" s="1101" t="s">
        <v>1863</v>
      </c>
      <c r="C70" s="1102"/>
      <c r="D70" s="1102"/>
      <c r="E70" s="1128"/>
      <c r="F70" s="1084"/>
      <c r="G70" s="1178"/>
      <c r="H70" s="1179"/>
      <c r="I70" s="369"/>
    </row>
    <row r="71" spans="1:9" s="435" customFormat="1" ht="23.25" customHeight="1">
      <c r="A71" s="436" t="s">
        <v>1581</v>
      </c>
      <c r="B71" s="1186" t="s">
        <v>1864</v>
      </c>
      <c r="C71" s="1187"/>
      <c r="D71" s="1187"/>
      <c r="E71" s="1188"/>
      <c r="F71" s="1189">
        <v>0</v>
      </c>
      <c r="G71" s="1190"/>
      <c r="H71" s="1191"/>
      <c r="I71" s="434"/>
    </row>
    <row r="72" spans="1:9" s="335" customFormat="1" ht="40.5" customHeight="1">
      <c r="A72" s="343"/>
      <c r="B72" s="1101"/>
      <c r="C72" s="1102"/>
      <c r="D72" s="1102"/>
      <c r="E72" s="1128"/>
      <c r="F72" s="1084">
        <v>0</v>
      </c>
      <c r="G72" s="1178"/>
      <c r="H72" s="1179"/>
      <c r="I72" s="373"/>
    </row>
    <row r="73" spans="1:9" s="335" customFormat="1" ht="24.75" customHeight="1">
      <c r="A73" s="374"/>
      <c r="B73" s="1176" t="s">
        <v>1865</v>
      </c>
      <c r="C73" s="1177"/>
      <c r="D73" s="1177"/>
      <c r="E73" s="1180"/>
      <c r="F73" s="1181">
        <f>F65+F68+F69+F70+F71+F72</f>
        <v>0</v>
      </c>
      <c r="G73" s="1182"/>
      <c r="H73" s="1183"/>
      <c r="I73" s="369"/>
    </row>
    <row r="74" spans="1:9" s="335" customFormat="1" ht="7.5" customHeight="1">
      <c r="A74" s="1044"/>
      <c r="B74" s="1045"/>
      <c r="C74" s="1045"/>
      <c r="D74" s="1045"/>
      <c r="E74" s="1045"/>
      <c r="F74" s="1045"/>
      <c r="G74" s="1045"/>
      <c r="H74" s="1184"/>
      <c r="I74" s="369"/>
    </row>
    <row r="75" spans="1:9" s="335" customFormat="1" ht="23.25" customHeight="1">
      <c r="A75" s="375" t="s">
        <v>710</v>
      </c>
      <c r="B75" s="1173" t="str">
        <f>B44</f>
        <v>13º Salário, Férias e Adicional de Férias</v>
      </c>
      <c r="C75" s="1174"/>
      <c r="D75" s="1174"/>
      <c r="E75" s="1174"/>
      <c r="F75" s="1174"/>
      <c r="G75" s="1174"/>
      <c r="H75" s="1175"/>
      <c r="I75" s="376">
        <f>I49</f>
        <v>0</v>
      </c>
    </row>
    <row r="76" spans="1:9" s="335" customFormat="1" ht="24.75" customHeight="1">
      <c r="A76" s="375" t="s">
        <v>782</v>
      </c>
      <c r="B76" s="1170" t="str">
        <f>B52</f>
        <v>GPS, FGTS e outras contribuições</v>
      </c>
      <c r="C76" s="1171"/>
      <c r="D76" s="1171"/>
      <c r="E76" s="1171"/>
      <c r="F76" s="1171"/>
      <c r="G76" s="1171"/>
      <c r="H76" s="1172"/>
      <c r="I76" s="377">
        <f>H61</f>
        <v>0</v>
      </c>
    </row>
    <row r="77" spans="1:9" s="335" customFormat="1" ht="24.75" customHeight="1">
      <c r="A77" s="375" t="s">
        <v>789</v>
      </c>
      <c r="B77" s="1173" t="str">
        <f>B64</f>
        <v>Benefícios Mensais e Diários</v>
      </c>
      <c r="C77" s="1174" t="s">
        <v>1866</v>
      </c>
      <c r="D77" s="1174" t="s">
        <v>1866</v>
      </c>
      <c r="E77" s="1174" t="s">
        <v>1866</v>
      </c>
      <c r="F77" s="1174" t="s">
        <v>1866</v>
      </c>
      <c r="G77" s="1174" t="s">
        <v>1866</v>
      </c>
      <c r="H77" s="1175" t="s">
        <v>1866</v>
      </c>
      <c r="I77" s="376">
        <f>F73</f>
        <v>0</v>
      </c>
    </row>
    <row r="78" spans="1:9" s="335" customFormat="1" ht="21" customHeight="1">
      <c r="A78" s="1063" t="s">
        <v>15</v>
      </c>
      <c r="B78" s="1064"/>
      <c r="C78" s="1064"/>
      <c r="D78" s="1064"/>
      <c r="E78" s="1064"/>
      <c r="F78" s="1064"/>
      <c r="G78" s="1064"/>
      <c r="H78" s="1065"/>
      <c r="I78" s="378">
        <f>SUM(I75:I77)</f>
        <v>0</v>
      </c>
    </row>
    <row r="79" spans="1:9" s="335" customFormat="1" ht="8.25" customHeight="1">
      <c r="A79" s="1044"/>
      <c r="B79" s="1045"/>
      <c r="C79" s="1045"/>
      <c r="D79" s="1045"/>
      <c r="E79" s="1045"/>
      <c r="F79" s="1045"/>
      <c r="G79" s="1045"/>
      <c r="H79" s="1045"/>
      <c r="I79" s="1046"/>
    </row>
    <row r="80" spans="1:9" s="335" customFormat="1" ht="32.25" customHeight="1">
      <c r="A80" s="1160" t="s">
        <v>1867</v>
      </c>
      <c r="B80" s="1161"/>
      <c r="C80" s="1161"/>
      <c r="D80" s="1161"/>
      <c r="E80" s="1161"/>
      <c r="F80" s="1161"/>
      <c r="G80" s="1161"/>
      <c r="H80" s="1161"/>
      <c r="I80" s="1162"/>
    </row>
    <row r="81" spans="1:17" s="381" customFormat="1" ht="33.75" customHeight="1">
      <c r="A81" s="343">
        <v>3</v>
      </c>
      <c r="B81" s="1176" t="s">
        <v>1868</v>
      </c>
      <c r="C81" s="1177"/>
      <c r="D81" s="1177"/>
      <c r="E81" s="1177"/>
      <c r="F81" s="1177"/>
      <c r="G81" s="1177"/>
      <c r="H81" s="379" t="s">
        <v>1845</v>
      </c>
      <c r="I81" s="380" t="s">
        <v>1576</v>
      </c>
      <c r="J81" s="335"/>
      <c r="K81" s="335"/>
      <c r="L81" s="335"/>
      <c r="M81" s="335"/>
      <c r="N81" s="335"/>
      <c r="O81" s="335"/>
      <c r="P81" s="335"/>
      <c r="Q81" s="335"/>
    </row>
    <row r="82" spans="1:17" s="335" customFormat="1" ht="28.5" customHeight="1">
      <c r="A82" s="382" t="s">
        <v>1554</v>
      </c>
      <c r="B82" s="1101" t="s">
        <v>1869</v>
      </c>
      <c r="C82" s="1102"/>
      <c r="D82" s="1102"/>
      <c r="E82" s="1102"/>
      <c r="F82" s="1102"/>
      <c r="G82" s="1102"/>
      <c r="H82" s="383">
        <v>1.2800000000000001E-2</v>
      </c>
      <c r="I82" s="384">
        <f>H82*$F$37</f>
        <v>0</v>
      </c>
    </row>
    <row r="83" spans="1:17" s="335" customFormat="1" ht="31.5" customHeight="1">
      <c r="A83" s="382" t="s">
        <v>1556</v>
      </c>
      <c r="B83" s="1101" t="s">
        <v>1870</v>
      </c>
      <c r="C83" s="1102"/>
      <c r="D83" s="1102"/>
      <c r="E83" s="1102"/>
      <c r="F83" s="1102"/>
      <c r="G83" s="1102"/>
      <c r="H83" s="383">
        <v>4.1000000000000003E-3</v>
      </c>
      <c r="I83" s="384">
        <f>H83*$F$37</f>
        <v>0</v>
      </c>
    </row>
    <row r="84" spans="1:17" s="335" customFormat="1" ht="56.25" customHeight="1">
      <c r="A84" s="382" t="s">
        <v>1559</v>
      </c>
      <c r="B84" s="1169" t="s">
        <v>1871</v>
      </c>
      <c r="C84" s="1169"/>
      <c r="D84" s="1169"/>
      <c r="E84" s="1169"/>
      <c r="F84" s="1169"/>
      <c r="G84" s="1169"/>
      <c r="H84" s="385">
        <v>3.2000000000000001E-2</v>
      </c>
      <c r="I84" s="384">
        <f>H84*$F$37</f>
        <v>0</v>
      </c>
    </row>
    <row r="85" spans="1:17" s="335" customFormat="1" ht="33" customHeight="1">
      <c r="A85" s="382" t="s">
        <v>1562</v>
      </c>
      <c r="B85" s="1083" t="s">
        <v>1872</v>
      </c>
      <c r="C85" s="1150"/>
      <c r="D85" s="1150"/>
      <c r="E85" s="1150"/>
      <c r="F85" s="1150"/>
      <c r="G85" s="1150"/>
      <c r="H85" s="383">
        <v>1.6000000000000001E-3</v>
      </c>
      <c r="I85" s="384">
        <f>H85*$F$37</f>
        <v>0</v>
      </c>
    </row>
    <row r="86" spans="1:17" s="335" customFormat="1" ht="36.75" customHeight="1">
      <c r="A86" s="382" t="s">
        <v>1581</v>
      </c>
      <c r="B86" s="1101" t="s">
        <v>1873</v>
      </c>
      <c r="C86" s="1102"/>
      <c r="D86" s="1102"/>
      <c r="E86" s="1102"/>
      <c r="F86" s="1102"/>
      <c r="G86" s="1102"/>
      <c r="H86" s="383">
        <f>F61*H85</f>
        <v>5.9664000000000017E-4</v>
      </c>
      <c r="I86" s="384">
        <f>F37*H86</f>
        <v>0</v>
      </c>
    </row>
    <row r="87" spans="1:17" s="335" customFormat="1" ht="39.75" customHeight="1">
      <c r="A87" s="382" t="s">
        <v>1583</v>
      </c>
      <c r="B87" s="1149" t="s">
        <v>1874</v>
      </c>
      <c r="C87" s="1150"/>
      <c r="D87" s="1150"/>
      <c r="E87" s="1150"/>
      <c r="F87" s="1150"/>
      <c r="G87" s="1150"/>
      <c r="H87" s="383">
        <v>3.2000000000000001E-2</v>
      </c>
      <c r="I87" s="384">
        <f>H87*$F$37</f>
        <v>0</v>
      </c>
    </row>
    <row r="88" spans="1:17" s="335" customFormat="1" ht="33.75" customHeight="1">
      <c r="A88" s="1107" t="s">
        <v>15</v>
      </c>
      <c r="B88" s="1108"/>
      <c r="C88" s="1108"/>
      <c r="D88" s="1108"/>
      <c r="E88" s="1108"/>
      <c r="F88" s="1108"/>
      <c r="G88" s="1108"/>
      <c r="H88" s="386">
        <f>SUM(H82:H87)</f>
        <v>8.3096639999999999E-2</v>
      </c>
      <c r="I88" s="387">
        <f>SUM(I82:I87)</f>
        <v>0</v>
      </c>
    </row>
    <row r="89" spans="1:17" s="335" customFormat="1" ht="10.5" customHeight="1">
      <c r="A89" s="1157"/>
      <c r="B89" s="1158"/>
      <c r="C89" s="1158"/>
      <c r="D89" s="1158"/>
      <c r="E89" s="1158"/>
      <c r="F89" s="1158"/>
      <c r="G89" s="1158"/>
      <c r="H89" s="1158"/>
      <c r="I89" s="1159"/>
    </row>
    <row r="90" spans="1:17" s="335" customFormat="1" ht="29.25" customHeight="1" thickBot="1">
      <c r="A90" s="1160" t="s">
        <v>1875</v>
      </c>
      <c r="B90" s="1161"/>
      <c r="C90" s="1161"/>
      <c r="D90" s="1161"/>
      <c r="E90" s="1161"/>
      <c r="F90" s="1161"/>
      <c r="G90" s="1161"/>
      <c r="H90" s="1161"/>
      <c r="I90" s="1162"/>
    </row>
    <row r="91" spans="1:17" s="335" customFormat="1" ht="9.75" customHeight="1" thickBot="1">
      <c r="A91" s="1009"/>
      <c r="B91" s="1010"/>
      <c r="C91" s="1010"/>
      <c r="D91" s="1010"/>
      <c r="E91" s="1010"/>
      <c r="F91" s="1010"/>
      <c r="G91" s="1010"/>
      <c r="H91" s="1010"/>
      <c r="I91" s="1011"/>
    </row>
    <row r="92" spans="1:17" s="335" customFormat="1" ht="27" customHeight="1">
      <c r="A92" s="391">
        <v>4</v>
      </c>
      <c r="B92" s="1163" t="s">
        <v>1639</v>
      </c>
      <c r="C92" s="1164"/>
      <c r="D92" s="1164"/>
      <c r="E92" s="1164"/>
      <c r="F92" s="1164"/>
      <c r="G92" s="1164"/>
      <c r="H92" s="1164"/>
      <c r="I92" s="1165"/>
    </row>
    <row r="93" spans="1:17" s="335" customFormat="1" ht="28.5" customHeight="1">
      <c r="A93" s="1166" t="s">
        <v>1876</v>
      </c>
      <c r="B93" s="1167"/>
      <c r="C93" s="1167"/>
      <c r="D93" s="1167"/>
      <c r="E93" s="1167"/>
      <c r="F93" s="1167"/>
      <c r="G93" s="1167"/>
      <c r="H93" s="1167"/>
      <c r="I93" s="1168"/>
    </row>
    <row r="94" spans="1:17" s="335" customFormat="1" ht="20.25">
      <c r="A94" s="343" t="s">
        <v>1292</v>
      </c>
      <c r="B94" s="1152" t="s">
        <v>1877</v>
      </c>
      <c r="C94" s="1108"/>
      <c r="D94" s="1108"/>
      <c r="E94" s="1109"/>
      <c r="F94" s="1153" t="s">
        <v>1845</v>
      </c>
      <c r="G94" s="1064"/>
      <c r="H94" s="1065"/>
      <c r="I94" s="392" t="s">
        <v>1576</v>
      </c>
    </row>
    <row r="95" spans="1:17" s="335" customFormat="1" ht="42" customHeight="1">
      <c r="A95" s="393" t="s">
        <v>1554</v>
      </c>
      <c r="B95" s="1036" t="s">
        <v>1878</v>
      </c>
      <c r="C95" s="1037"/>
      <c r="D95" s="1037"/>
      <c r="E95" s="1038"/>
      <c r="F95" s="1138">
        <f>(8.33%+2.78%)/12</f>
        <v>9.2583333333333337E-3</v>
      </c>
      <c r="G95" s="1139"/>
      <c r="H95" s="1140"/>
      <c r="I95" s="394">
        <f>F95*F37</f>
        <v>0</v>
      </c>
    </row>
    <row r="96" spans="1:17" s="335" customFormat="1" ht="31.5" customHeight="1">
      <c r="A96" s="393" t="s">
        <v>1556</v>
      </c>
      <c r="B96" s="1036" t="s">
        <v>1879</v>
      </c>
      <c r="C96" s="1037"/>
      <c r="D96" s="1037"/>
      <c r="E96" s="1038"/>
      <c r="F96" s="1154">
        <f>1/12/30</f>
        <v>2.7777777777777775E-3</v>
      </c>
      <c r="G96" s="1155"/>
      <c r="H96" s="1156"/>
      <c r="I96" s="394">
        <f>F37*F96</f>
        <v>0</v>
      </c>
    </row>
    <row r="97" spans="1:45" s="335" customFormat="1" ht="41.25" customHeight="1">
      <c r="A97" s="393" t="s">
        <v>1559</v>
      </c>
      <c r="B97" s="1036" t="s">
        <v>1880</v>
      </c>
      <c r="C97" s="1037"/>
      <c r="D97" s="1037"/>
      <c r="E97" s="1038"/>
      <c r="F97" s="1138">
        <f>1/12/30*5*1.5%</f>
        <v>2.0833333333333332E-4</v>
      </c>
      <c r="G97" s="1139"/>
      <c r="H97" s="1140"/>
      <c r="I97" s="394">
        <f>F37*F97</f>
        <v>0</v>
      </c>
    </row>
    <row r="98" spans="1:45" s="335" customFormat="1" ht="51.75" customHeight="1">
      <c r="A98" s="393" t="s">
        <v>1562</v>
      </c>
      <c r="B98" s="1036" t="s">
        <v>1881</v>
      </c>
      <c r="C98" s="1037"/>
      <c r="D98" s="1037"/>
      <c r="E98" s="1038"/>
      <c r="F98" s="1138">
        <f>(15/30)/12*0.0078</f>
        <v>3.2499999999999999E-4</v>
      </c>
      <c r="G98" s="1139"/>
      <c r="H98" s="1140"/>
      <c r="I98" s="394">
        <f>F37*F98</f>
        <v>0</v>
      </c>
    </row>
    <row r="99" spans="1:45" s="335" customFormat="1" ht="44.25" customHeight="1">
      <c r="A99" s="393" t="s">
        <v>1581</v>
      </c>
      <c r="B99" s="1149" t="s">
        <v>1882</v>
      </c>
      <c r="C99" s="1150"/>
      <c r="D99" s="1150"/>
      <c r="E99" s="1151"/>
      <c r="F99" s="1138">
        <f>0.0144*0.1*0.44509*6/12</f>
        <v>3.2046480000000002E-4</v>
      </c>
      <c r="G99" s="1139"/>
      <c r="H99" s="1140"/>
      <c r="I99" s="394">
        <f>F37*F99</f>
        <v>0</v>
      </c>
    </row>
    <row r="100" spans="1:45" s="335" customFormat="1" ht="36" customHeight="1">
      <c r="A100" s="393" t="s">
        <v>1583</v>
      </c>
      <c r="B100" s="1036" t="s">
        <v>1883</v>
      </c>
      <c r="C100" s="1037"/>
      <c r="D100" s="1037"/>
      <c r="E100" s="1038"/>
      <c r="F100" s="1138">
        <f>3/30/12</f>
        <v>8.3333333333333332E-3</v>
      </c>
      <c r="G100" s="1139"/>
      <c r="H100" s="1140"/>
      <c r="I100" s="394">
        <f>F37*F100</f>
        <v>0</v>
      </c>
    </row>
    <row r="101" spans="1:45" s="335" customFormat="1" ht="21.75" customHeight="1">
      <c r="A101" s="393" t="s">
        <v>1601</v>
      </c>
      <c r="B101" s="1036" t="s">
        <v>1584</v>
      </c>
      <c r="C101" s="1037"/>
      <c r="D101" s="1037"/>
      <c r="E101" s="1038"/>
      <c r="F101" s="1141"/>
      <c r="G101" s="1142"/>
      <c r="H101" s="1143"/>
      <c r="I101" s="394"/>
    </row>
    <row r="102" spans="1:45" s="335" customFormat="1" ht="30" customHeight="1" thickBot="1">
      <c r="A102" s="395"/>
      <c r="B102" s="1144" t="s">
        <v>15</v>
      </c>
      <c r="C102" s="1087"/>
      <c r="D102" s="1087"/>
      <c r="E102" s="1145"/>
      <c r="F102" s="1146">
        <f>SUM(F95:H101)</f>
        <v>2.122324257777778E-2</v>
      </c>
      <c r="G102" s="1147"/>
      <c r="H102" s="1148"/>
      <c r="I102" s="396">
        <f>SUM(I95:I101)</f>
        <v>0</v>
      </c>
    </row>
    <row r="103" spans="1:45" s="335" customFormat="1" ht="10.5" customHeight="1" thickBot="1">
      <c r="A103" s="1009"/>
      <c r="B103" s="1010"/>
      <c r="C103" s="1010"/>
      <c r="D103" s="1010"/>
      <c r="E103" s="1010"/>
      <c r="F103" s="1010"/>
      <c r="G103" s="1010"/>
      <c r="H103" s="1010"/>
      <c r="I103" s="1011"/>
    </row>
    <row r="104" spans="1:45" s="335" customFormat="1" ht="27" customHeight="1">
      <c r="A104" s="1129" t="s">
        <v>1635</v>
      </c>
      <c r="B104" s="1130"/>
      <c r="C104" s="1130"/>
      <c r="D104" s="1130"/>
      <c r="E104" s="1130"/>
      <c r="F104" s="1130"/>
      <c r="G104" s="1130"/>
      <c r="H104" s="1131"/>
      <c r="I104" s="397"/>
    </row>
    <row r="105" spans="1:45" s="399" customFormat="1" ht="20.25">
      <c r="A105" s="391" t="s">
        <v>1884</v>
      </c>
      <c r="B105" s="1132" t="s">
        <v>1636</v>
      </c>
      <c r="C105" s="1133"/>
      <c r="D105" s="1133"/>
      <c r="E105" s="1134"/>
      <c r="F105" s="1132" t="s">
        <v>1576</v>
      </c>
      <c r="G105" s="1133"/>
      <c r="H105" s="1134"/>
      <c r="I105" s="398"/>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row>
    <row r="106" spans="1:45" s="335" customFormat="1" ht="35.25" customHeight="1">
      <c r="A106" s="382" t="s">
        <v>1554</v>
      </c>
      <c r="B106" s="1101" t="s">
        <v>1885</v>
      </c>
      <c r="C106" s="1102"/>
      <c r="D106" s="1102"/>
      <c r="E106" s="1128"/>
      <c r="F106" s="1135">
        <v>0</v>
      </c>
      <c r="G106" s="1136"/>
      <c r="H106" s="1137"/>
      <c r="I106" s="400"/>
    </row>
    <row r="107" spans="1:45" s="335" customFormat="1" ht="21" thickBot="1">
      <c r="A107" s="401"/>
      <c r="B107" s="1115" t="s">
        <v>15</v>
      </c>
      <c r="C107" s="1116"/>
      <c r="D107" s="1116"/>
      <c r="E107" s="1117"/>
      <c r="F107" s="1118">
        <v>0</v>
      </c>
      <c r="G107" s="1119"/>
      <c r="H107" s="1120"/>
      <c r="I107" s="398"/>
    </row>
    <row r="108" spans="1:45" s="335" customFormat="1" ht="10.5" customHeight="1" thickBot="1">
      <c r="A108" s="1009"/>
      <c r="B108" s="1010"/>
      <c r="C108" s="1010"/>
      <c r="D108" s="1010"/>
      <c r="E108" s="1010"/>
      <c r="F108" s="1010"/>
      <c r="G108" s="1010"/>
      <c r="H108" s="1010"/>
      <c r="I108" s="1011"/>
      <c r="J108" s="402"/>
      <c r="K108" s="402"/>
      <c r="L108" s="402"/>
    </row>
    <row r="109" spans="1:45" s="335" customFormat="1" ht="36" customHeight="1">
      <c r="A109" s="1121" t="s">
        <v>1886</v>
      </c>
      <c r="B109" s="1122"/>
      <c r="C109" s="1122"/>
      <c r="D109" s="1122"/>
      <c r="E109" s="1122"/>
      <c r="F109" s="1122"/>
      <c r="G109" s="1122"/>
      <c r="H109" s="1122"/>
      <c r="I109" s="1123"/>
      <c r="J109" s="402"/>
      <c r="K109" s="402"/>
      <c r="L109" s="402"/>
      <c r="P109" s="1124"/>
      <c r="Q109" s="1124"/>
      <c r="R109" s="1124"/>
      <c r="S109" s="1124"/>
      <c r="T109" s="1124"/>
      <c r="U109" s="1124"/>
      <c r="V109" s="1124"/>
      <c r="W109" s="1124"/>
      <c r="X109" s="1124"/>
      <c r="Y109" s="1124"/>
      <c r="Z109" s="1124"/>
    </row>
    <row r="110" spans="1:45" s="335" customFormat="1" ht="30.75" customHeight="1">
      <c r="A110" s="382" t="s">
        <v>1887</v>
      </c>
      <c r="B110" s="1125" t="s">
        <v>1639</v>
      </c>
      <c r="C110" s="1126"/>
      <c r="D110" s="1126"/>
      <c r="E110" s="1126"/>
      <c r="F110" s="1126"/>
      <c r="G110" s="1126"/>
      <c r="H110" s="1127"/>
      <c r="I110" s="380" t="s">
        <v>1576</v>
      </c>
      <c r="J110" s="402"/>
      <c r="K110" s="402"/>
      <c r="L110" s="402"/>
      <c r="P110" s="1124"/>
      <c r="Q110" s="1124"/>
      <c r="R110" s="1124"/>
      <c r="S110" s="1124"/>
      <c r="T110" s="1124"/>
      <c r="U110" s="1124"/>
      <c r="V110" s="1124"/>
      <c r="W110" s="1124"/>
      <c r="X110" s="1124"/>
      <c r="Y110" s="1124"/>
      <c r="Z110" s="1124"/>
    </row>
    <row r="111" spans="1:45" s="335" customFormat="1" ht="27.75" customHeight="1">
      <c r="A111" s="382" t="s">
        <v>1292</v>
      </c>
      <c r="B111" s="1036" t="s">
        <v>1888</v>
      </c>
      <c r="C111" s="1037" t="s">
        <v>1889</v>
      </c>
      <c r="D111" s="1037" t="s">
        <v>1889</v>
      </c>
      <c r="E111" s="1037" t="s">
        <v>1889</v>
      </c>
      <c r="F111" s="1037" t="s">
        <v>1889</v>
      </c>
      <c r="G111" s="1037" t="s">
        <v>1889</v>
      </c>
      <c r="H111" s="1038" t="s">
        <v>1889</v>
      </c>
      <c r="I111" s="403">
        <f>I102</f>
        <v>0</v>
      </c>
      <c r="J111" s="402"/>
      <c r="K111" s="402"/>
      <c r="L111" s="402"/>
      <c r="P111" s="1124"/>
      <c r="Q111" s="1124"/>
      <c r="R111" s="1124"/>
      <c r="S111" s="1124"/>
      <c r="T111" s="1124"/>
      <c r="U111" s="1124"/>
      <c r="V111" s="1124"/>
      <c r="W111" s="1124"/>
      <c r="X111" s="1124"/>
      <c r="Y111" s="1124"/>
      <c r="Z111" s="1124"/>
    </row>
    <row r="112" spans="1:45" s="335" customFormat="1" ht="29.25" customHeight="1">
      <c r="A112" s="382" t="s">
        <v>1884</v>
      </c>
      <c r="B112" s="1101" t="s">
        <v>1890</v>
      </c>
      <c r="C112" s="1102"/>
      <c r="D112" s="1102"/>
      <c r="E112" s="1102"/>
      <c r="F112" s="1102"/>
      <c r="G112" s="1102"/>
      <c r="H112" s="1128"/>
      <c r="I112" s="384">
        <f>F107</f>
        <v>0</v>
      </c>
      <c r="J112" s="402"/>
      <c r="K112" s="402"/>
      <c r="L112" s="402"/>
      <c r="P112" s="1124"/>
      <c r="Q112" s="1124"/>
      <c r="R112" s="1124"/>
      <c r="S112" s="1124"/>
      <c r="T112" s="1124"/>
      <c r="U112" s="1124"/>
      <c r="V112" s="1124"/>
      <c r="W112" s="1124"/>
      <c r="X112" s="1124"/>
      <c r="Y112" s="1124"/>
      <c r="Z112" s="1124"/>
    </row>
    <row r="113" spans="1:12" s="335" customFormat="1" ht="27.75" customHeight="1">
      <c r="A113" s="1107" t="s">
        <v>15</v>
      </c>
      <c r="B113" s="1108"/>
      <c r="C113" s="1108"/>
      <c r="D113" s="1108"/>
      <c r="E113" s="1108"/>
      <c r="F113" s="1108"/>
      <c r="G113" s="1108"/>
      <c r="H113" s="1109"/>
      <c r="I113" s="404">
        <f>I111+I112</f>
        <v>0</v>
      </c>
      <c r="J113" s="402"/>
      <c r="K113" s="402"/>
      <c r="L113" s="402"/>
    </row>
    <row r="114" spans="1:12" s="335" customFormat="1" ht="10.5" customHeight="1" thickBot="1">
      <c r="A114" s="1110"/>
      <c r="B114" s="1111"/>
      <c r="C114" s="1111"/>
      <c r="D114" s="1111"/>
      <c r="E114" s="1111"/>
      <c r="F114" s="1111"/>
      <c r="G114" s="1111"/>
      <c r="H114" s="1045"/>
      <c r="I114" s="1046"/>
      <c r="J114" s="402"/>
    </row>
    <row r="115" spans="1:12" s="335" customFormat="1" ht="32.25" customHeight="1" thickBot="1">
      <c r="A115" s="1092" t="s">
        <v>1891</v>
      </c>
      <c r="B115" s="1093"/>
      <c r="C115" s="1093"/>
      <c r="D115" s="1093"/>
      <c r="E115" s="1093"/>
      <c r="F115" s="1093"/>
      <c r="G115" s="1094"/>
      <c r="I115" s="405"/>
      <c r="J115" s="402"/>
    </row>
    <row r="116" spans="1:12" s="335" customFormat="1" ht="24.75" customHeight="1">
      <c r="A116" s="406" t="s">
        <v>1892</v>
      </c>
      <c r="B116" s="1112" t="s">
        <v>1641</v>
      </c>
      <c r="C116" s="1113"/>
      <c r="D116" s="1113"/>
      <c r="E116" s="1114" t="s">
        <v>1576</v>
      </c>
      <c r="F116" s="1114"/>
      <c r="G116" s="1114"/>
      <c r="I116" s="405"/>
      <c r="J116" s="402"/>
    </row>
    <row r="117" spans="1:12" s="335" customFormat="1" ht="27.75" customHeight="1">
      <c r="A117" s="407" t="s">
        <v>1554</v>
      </c>
      <c r="B117" s="1101" t="s">
        <v>1893</v>
      </c>
      <c r="C117" s="1102"/>
      <c r="D117" s="1102"/>
      <c r="E117" s="1103"/>
      <c r="F117" s="1103"/>
      <c r="G117" s="1103"/>
      <c r="I117" s="405"/>
      <c r="J117" s="402"/>
    </row>
    <row r="118" spans="1:12" s="335" customFormat="1" ht="38.25" customHeight="1">
      <c r="A118" s="408" t="s">
        <v>1556</v>
      </c>
      <c r="B118" s="1101" t="s">
        <v>1643</v>
      </c>
      <c r="C118" s="1102"/>
      <c r="D118" s="1102"/>
      <c r="E118" s="1103">
        <v>0</v>
      </c>
      <c r="F118" s="1103"/>
      <c r="G118" s="1103"/>
      <c r="H118" s="1104"/>
      <c r="I118" s="1105"/>
      <c r="J118" s="402"/>
    </row>
    <row r="119" spans="1:12" s="335" customFormat="1" ht="30" customHeight="1">
      <c r="A119" s="408" t="s">
        <v>1559</v>
      </c>
      <c r="B119" s="1101" t="s">
        <v>1894</v>
      </c>
      <c r="C119" s="1102"/>
      <c r="D119" s="1102"/>
      <c r="E119" s="1103"/>
      <c r="F119" s="1103"/>
      <c r="G119" s="1103"/>
      <c r="I119" s="405"/>
      <c r="J119" s="402"/>
    </row>
    <row r="120" spans="1:12" s="335" customFormat="1" ht="27" customHeight="1">
      <c r="A120" s="408" t="s">
        <v>1562</v>
      </c>
      <c r="B120" s="1101" t="s">
        <v>1584</v>
      </c>
      <c r="C120" s="1102"/>
      <c r="D120" s="1102"/>
      <c r="E120" s="1106"/>
      <c r="F120" s="1106"/>
      <c r="G120" s="1106"/>
      <c r="I120" s="405"/>
      <c r="J120" s="402"/>
    </row>
    <row r="121" spans="1:12" s="335" customFormat="1" ht="22.5" customHeight="1">
      <c r="A121" s="1086" t="s">
        <v>15</v>
      </c>
      <c r="B121" s="1087"/>
      <c r="C121" s="1087"/>
      <c r="D121" s="1087"/>
      <c r="E121" s="1088">
        <f>SUM(E117:G120)</f>
        <v>0</v>
      </c>
      <c r="F121" s="1088"/>
      <c r="G121" s="1088"/>
      <c r="I121" s="405"/>
      <c r="J121" s="402"/>
    </row>
    <row r="122" spans="1:12" s="335" customFormat="1" ht="19.5" thickBot="1">
      <c r="A122" s="1089" t="s">
        <v>1895</v>
      </c>
      <c r="B122" s="1090"/>
      <c r="C122" s="1090"/>
      <c r="D122" s="1090"/>
      <c r="E122" s="1090"/>
      <c r="F122" s="1090"/>
      <c r="G122" s="1091"/>
      <c r="I122" s="405"/>
      <c r="J122" s="402"/>
    </row>
    <row r="123" spans="1:12" s="335" customFormat="1" ht="10.5" customHeight="1" thickBot="1">
      <c r="A123" s="1009"/>
      <c r="B123" s="1010"/>
      <c r="C123" s="1010"/>
      <c r="D123" s="1010"/>
      <c r="E123" s="1010"/>
      <c r="F123" s="1010"/>
      <c r="G123" s="1010"/>
      <c r="H123" s="1010"/>
      <c r="I123" s="1011"/>
      <c r="J123" s="402"/>
    </row>
    <row r="124" spans="1:12" s="335" customFormat="1" ht="31.5" customHeight="1" thickBot="1">
      <c r="A124" s="1092" t="s">
        <v>1896</v>
      </c>
      <c r="B124" s="1093"/>
      <c r="C124" s="1093"/>
      <c r="D124" s="1093"/>
      <c r="E124" s="1093"/>
      <c r="F124" s="1093"/>
      <c r="G124" s="1093"/>
      <c r="H124" s="1093"/>
      <c r="I124" s="1094"/>
      <c r="J124" s="402"/>
    </row>
    <row r="125" spans="1:12" s="335" customFormat="1" ht="18">
      <c r="A125" s="406" t="s">
        <v>1897</v>
      </c>
      <c r="B125" s="1095" t="s">
        <v>1646</v>
      </c>
      <c r="C125" s="1096"/>
      <c r="D125" s="1096"/>
      <c r="E125" s="1097"/>
      <c r="F125" s="1095" t="s">
        <v>1588</v>
      </c>
      <c r="G125" s="1097"/>
      <c r="H125" s="1095" t="s">
        <v>1576</v>
      </c>
      <c r="I125" s="1100"/>
      <c r="J125" s="402"/>
    </row>
    <row r="126" spans="1:12" s="335" customFormat="1" ht="18">
      <c r="A126" s="382" t="s">
        <v>1554</v>
      </c>
      <c r="B126" s="1083" t="s">
        <v>1647</v>
      </c>
      <c r="C126" s="1037"/>
      <c r="D126" s="1037"/>
      <c r="E126" s="1038"/>
      <c r="F126" s="1070">
        <v>5.7500000000000002E-2</v>
      </c>
      <c r="G126" s="1071"/>
      <c r="H126" s="1084">
        <f>I140*F126</f>
        <v>0</v>
      </c>
      <c r="I126" s="1085"/>
      <c r="J126" s="402"/>
    </row>
    <row r="127" spans="1:12" s="335" customFormat="1" ht="18">
      <c r="A127" s="382" t="s">
        <v>1556</v>
      </c>
      <c r="B127" s="1083" t="s">
        <v>1648</v>
      </c>
      <c r="C127" s="1037"/>
      <c r="D127" s="1037"/>
      <c r="E127" s="1038"/>
      <c r="F127" s="1070">
        <v>2.5000000000000001E-2</v>
      </c>
      <c r="G127" s="1071"/>
      <c r="H127" s="1084">
        <f>SUM(I140+H126)*F127</f>
        <v>0</v>
      </c>
      <c r="I127" s="1085"/>
      <c r="J127" s="402"/>
      <c r="L127" s="570"/>
    </row>
    <row r="128" spans="1:12" s="335" customFormat="1" ht="18">
      <c r="A128" s="382" t="s">
        <v>1559</v>
      </c>
      <c r="B128" s="1076" t="s">
        <v>1649</v>
      </c>
      <c r="C128" s="1077"/>
      <c r="D128" s="1077"/>
      <c r="E128" s="1078"/>
      <c r="F128" s="1390">
        <f>SUM(F129:G131)</f>
        <v>8.6499999999999994E-2</v>
      </c>
      <c r="G128" s="1391"/>
      <c r="H128" s="1081">
        <f>SUM(H129:I132)</f>
        <v>0</v>
      </c>
      <c r="I128" s="1082"/>
      <c r="J128" s="402"/>
    </row>
    <row r="129" spans="1:10" s="335" customFormat="1" ht="18">
      <c r="A129" s="339"/>
      <c r="B129" s="409" t="s">
        <v>1900</v>
      </c>
      <c r="C129" s="1056" t="s">
        <v>1901</v>
      </c>
      <c r="D129" s="1057"/>
      <c r="E129" s="1058"/>
      <c r="F129" s="1074">
        <v>6.4999999999999997E-3</v>
      </c>
      <c r="G129" s="1075"/>
      <c r="H129" s="1072">
        <f>I142*F129</f>
        <v>0</v>
      </c>
      <c r="I129" s="1073"/>
      <c r="J129" s="402"/>
    </row>
    <row r="130" spans="1:10" s="335" customFormat="1" ht="16.5" customHeight="1">
      <c r="A130" s="339"/>
      <c r="B130" s="409" t="s">
        <v>1902</v>
      </c>
      <c r="C130" s="1036" t="s">
        <v>1903</v>
      </c>
      <c r="D130" s="1037"/>
      <c r="E130" s="1038"/>
      <c r="F130" s="1074">
        <v>0.03</v>
      </c>
      <c r="G130" s="1075"/>
      <c r="H130" s="1072">
        <f>F130*$I$142</f>
        <v>0</v>
      </c>
      <c r="I130" s="1073"/>
      <c r="J130" s="402"/>
    </row>
    <row r="131" spans="1:10" s="335" customFormat="1" ht="16.5" customHeight="1">
      <c r="A131" s="339"/>
      <c r="B131" s="409" t="s">
        <v>1904</v>
      </c>
      <c r="C131" s="1036" t="s">
        <v>1905</v>
      </c>
      <c r="D131" s="1037"/>
      <c r="E131" s="1038"/>
      <c r="F131" s="1074">
        <v>0.05</v>
      </c>
      <c r="G131" s="1075"/>
      <c r="H131" s="1072">
        <f>F131*$I$142</f>
        <v>0</v>
      </c>
      <c r="I131" s="1073"/>
      <c r="J131" s="402"/>
    </row>
    <row r="132" spans="1:10" s="335" customFormat="1" ht="19.5" customHeight="1">
      <c r="A132" s="410"/>
      <c r="B132" s="409" t="s">
        <v>1906</v>
      </c>
      <c r="C132" s="1056" t="s">
        <v>1907</v>
      </c>
      <c r="D132" s="1057"/>
      <c r="E132" s="1058"/>
      <c r="F132" s="1059"/>
      <c r="G132" s="1060"/>
      <c r="H132" s="1061">
        <f>F132*$I$142</f>
        <v>0</v>
      </c>
      <c r="I132" s="1062"/>
      <c r="J132" s="402"/>
    </row>
    <row r="133" spans="1:10" s="335" customFormat="1" ht="20.25">
      <c r="A133" s="1063" t="s">
        <v>1908</v>
      </c>
      <c r="B133" s="1064"/>
      <c r="C133" s="1064"/>
      <c r="D133" s="1064"/>
      <c r="E133" s="1065"/>
      <c r="F133" s="1066">
        <f>(((1+F126)*(1+F127))/(1-F128))-1</f>
        <v>0.18657635467980294</v>
      </c>
      <c r="G133" s="1067"/>
      <c r="H133" s="1068">
        <f>H126+H127+H128</f>
        <v>0</v>
      </c>
      <c r="I133" s="1069"/>
      <c r="J133" s="402"/>
    </row>
    <row r="134" spans="1:10" s="335" customFormat="1" ht="9.75" customHeight="1">
      <c r="A134" s="1044"/>
      <c r="B134" s="1045"/>
      <c r="C134" s="1045"/>
      <c r="D134" s="1045"/>
      <c r="E134" s="1045"/>
      <c r="F134" s="1045"/>
      <c r="G134" s="1045"/>
      <c r="H134" s="1045"/>
      <c r="I134" s="1046"/>
      <c r="J134" s="402"/>
    </row>
    <row r="135" spans="1:10" s="335" customFormat="1" ht="30" customHeight="1">
      <c r="A135" s="412" t="s">
        <v>1554</v>
      </c>
      <c r="B135" s="1053" t="s">
        <v>1910</v>
      </c>
      <c r="C135" s="1054" t="s">
        <v>1889</v>
      </c>
      <c r="D135" s="1054" t="s">
        <v>1889</v>
      </c>
      <c r="E135" s="1054" t="s">
        <v>1889</v>
      </c>
      <c r="F135" s="1054" t="s">
        <v>1889</v>
      </c>
      <c r="G135" s="1054" t="s">
        <v>1889</v>
      </c>
      <c r="H135" s="1055" t="s">
        <v>1889</v>
      </c>
      <c r="I135" s="413">
        <f>F37</f>
        <v>0</v>
      </c>
      <c r="J135" s="414"/>
    </row>
    <row r="136" spans="1:10" s="335" customFormat="1" ht="21" customHeight="1">
      <c r="A136" s="382" t="s">
        <v>1556</v>
      </c>
      <c r="B136" s="1036" t="s">
        <v>1911</v>
      </c>
      <c r="C136" s="1037" t="s">
        <v>1889</v>
      </c>
      <c r="D136" s="1037" t="s">
        <v>1889</v>
      </c>
      <c r="E136" s="1037" t="s">
        <v>1889</v>
      </c>
      <c r="F136" s="1037" t="s">
        <v>1889</v>
      </c>
      <c r="G136" s="1037" t="s">
        <v>1889</v>
      </c>
      <c r="H136" s="1038" t="s">
        <v>1889</v>
      </c>
      <c r="I136" s="403">
        <f>I78</f>
        <v>0</v>
      </c>
      <c r="J136" s="402"/>
    </row>
    <row r="137" spans="1:10" s="335" customFormat="1" ht="20.25" customHeight="1">
      <c r="A137" s="382" t="s">
        <v>1559</v>
      </c>
      <c r="B137" s="1036" t="s">
        <v>1912</v>
      </c>
      <c r="C137" s="1037" t="s">
        <v>1866</v>
      </c>
      <c r="D137" s="1037" t="s">
        <v>1866</v>
      </c>
      <c r="E137" s="1037" t="s">
        <v>1866</v>
      </c>
      <c r="F137" s="1037" t="s">
        <v>1866</v>
      </c>
      <c r="G137" s="1037" t="s">
        <v>1866</v>
      </c>
      <c r="H137" s="1038" t="s">
        <v>1866</v>
      </c>
      <c r="I137" s="384">
        <f>I88</f>
        <v>0</v>
      </c>
      <c r="J137" s="402"/>
    </row>
    <row r="138" spans="1:10" s="335" customFormat="1" ht="18" customHeight="1">
      <c r="A138" s="382" t="s">
        <v>1562</v>
      </c>
      <c r="B138" s="1036" t="s">
        <v>1913</v>
      </c>
      <c r="C138" s="1037"/>
      <c r="D138" s="1037"/>
      <c r="E138" s="1037"/>
      <c r="F138" s="1037"/>
      <c r="G138" s="1037"/>
      <c r="H138" s="1038"/>
      <c r="I138" s="384">
        <f>I113</f>
        <v>0</v>
      </c>
      <c r="J138" s="402"/>
    </row>
    <row r="139" spans="1:10" s="335" customFormat="1" ht="22.5" customHeight="1">
      <c r="A139" s="382" t="s">
        <v>1581</v>
      </c>
      <c r="B139" s="1036" t="s">
        <v>1914</v>
      </c>
      <c r="C139" s="1037"/>
      <c r="D139" s="1037"/>
      <c r="E139" s="1037"/>
      <c r="F139" s="1037"/>
      <c r="G139" s="1037"/>
      <c r="H139" s="1038"/>
      <c r="I139" s="403">
        <f>E121</f>
        <v>0</v>
      </c>
      <c r="J139" s="402"/>
    </row>
    <row r="140" spans="1:10" s="335" customFormat="1" ht="22.5" customHeight="1">
      <c r="A140" s="408"/>
      <c r="B140" s="1039" t="s">
        <v>1915</v>
      </c>
      <c r="C140" s="1040"/>
      <c r="D140" s="1040"/>
      <c r="E140" s="1040"/>
      <c r="F140" s="1040"/>
      <c r="G140" s="1040"/>
      <c r="H140" s="1023"/>
      <c r="I140" s="404">
        <f>SUM(I135:I139)</f>
        <v>0</v>
      </c>
      <c r="J140" s="402"/>
    </row>
    <row r="141" spans="1:10" s="335" customFormat="1" ht="24.75" customHeight="1">
      <c r="A141" s="382" t="s">
        <v>1583</v>
      </c>
      <c r="B141" s="1036" t="s">
        <v>1656</v>
      </c>
      <c r="C141" s="1037"/>
      <c r="D141" s="1037"/>
      <c r="E141" s="1037"/>
      <c r="F141" s="1037"/>
      <c r="G141" s="1037"/>
      <c r="H141" s="1038"/>
      <c r="I141" s="384">
        <f>H133</f>
        <v>0</v>
      </c>
      <c r="J141" s="402"/>
    </row>
    <row r="142" spans="1:10" s="335" customFormat="1" ht="23.25" customHeight="1">
      <c r="A142" s="1041" t="s">
        <v>1916</v>
      </c>
      <c r="B142" s="1042"/>
      <c r="C142" s="1042"/>
      <c r="D142" s="1042"/>
      <c r="E142" s="1042"/>
      <c r="F142" s="1042"/>
      <c r="G142" s="1042"/>
      <c r="H142" s="1043"/>
      <c r="I142" s="415">
        <f>(I140+H126+H127)/(1-F128)</f>
        <v>0</v>
      </c>
      <c r="J142" s="402"/>
    </row>
    <row r="143" spans="1:10" s="335" customFormat="1" ht="7.5" customHeight="1" thickBot="1">
      <c r="A143" s="1044"/>
      <c r="B143" s="1045"/>
      <c r="C143" s="1045"/>
      <c r="D143" s="1045"/>
      <c r="E143" s="1045"/>
      <c r="F143" s="1045"/>
      <c r="G143" s="1045"/>
      <c r="H143" s="1045"/>
      <c r="I143" s="1046"/>
      <c r="J143" s="402"/>
    </row>
    <row r="144" spans="1:10" s="335" customFormat="1" ht="7.5" customHeight="1" thickBot="1">
      <c r="A144" s="1009"/>
      <c r="B144" s="1010"/>
      <c r="C144" s="1010"/>
      <c r="D144" s="1010"/>
      <c r="E144" s="1010"/>
      <c r="F144" s="1010"/>
      <c r="G144" s="1010"/>
      <c r="H144" s="1010"/>
      <c r="I144" s="1011"/>
      <c r="J144" s="402"/>
    </row>
    <row r="146" spans="1:9">
      <c r="G146" s="329"/>
      <c r="I146" s="329"/>
    </row>
    <row r="147" spans="1:9">
      <c r="G147" s="329"/>
    </row>
    <row r="148" spans="1:9">
      <c r="G148" s="329"/>
      <c r="H148" s="329"/>
    </row>
    <row r="149" spans="1:9">
      <c r="A149" s="1372"/>
      <c r="B149" s="1372"/>
      <c r="C149" s="1372"/>
      <c r="D149" s="1372"/>
      <c r="E149" s="1372"/>
      <c r="F149" s="1372"/>
      <c r="G149" s="1372"/>
      <c r="H149" s="1372"/>
      <c r="I149" s="1372"/>
    </row>
  </sheetData>
  <mergeCells count="240">
    <mergeCell ref="A1:I1"/>
    <mergeCell ref="C2:H2"/>
    <mergeCell ref="C3:H3"/>
    <mergeCell ref="A4:H4"/>
    <mergeCell ref="A5:I5"/>
    <mergeCell ref="A6:I6"/>
    <mergeCell ref="A13:I13"/>
    <mergeCell ref="A14:C14"/>
    <mergeCell ref="D14:F14"/>
    <mergeCell ref="G14:I14"/>
    <mergeCell ref="A15:C15"/>
    <mergeCell ref="D15:F15"/>
    <mergeCell ref="G15:I15"/>
    <mergeCell ref="B7:H7"/>
    <mergeCell ref="B8:H8"/>
    <mergeCell ref="B9:H9"/>
    <mergeCell ref="B10:H10"/>
    <mergeCell ref="B11:H11"/>
    <mergeCell ref="A12:I12"/>
    <mergeCell ref="B20:F20"/>
    <mergeCell ref="G20:I20"/>
    <mergeCell ref="B21:F21"/>
    <mergeCell ref="G21:I21"/>
    <mergeCell ref="B22:F22"/>
    <mergeCell ref="G22:I22"/>
    <mergeCell ref="A16:I16"/>
    <mergeCell ref="A17:F17"/>
    <mergeCell ref="G17:I17"/>
    <mergeCell ref="A18:F18"/>
    <mergeCell ref="G18:I18"/>
    <mergeCell ref="A19:F19"/>
    <mergeCell ref="G19:I19"/>
    <mergeCell ref="A27:H27"/>
    <mergeCell ref="A28:H28"/>
    <mergeCell ref="A29:H29"/>
    <mergeCell ref="A30:E30"/>
    <mergeCell ref="F30:H30"/>
    <mergeCell ref="B31:E31"/>
    <mergeCell ref="F31:H31"/>
    <mergeCell ref="B23:F23"/>
    <mergeCell ref="G23:I23"/>
    <mergeCell ref="B24:F24"/>
    <mergeCell ref="G24:I24"/>
    <mergeCell ref="A25:H25"/>
    <mergeCell ref="A26:H26"/>
    <mergeCell ref="I34:I35"/>
    <mergeCell ref="B35:E35"/>
    <mergeCell ref="F35:H35"/>
    <mergeCell ref="B36:E36"/>
    <mergeCell ref="F36:H36"/>
    <mergeCell ref="B37:E37"/>
    <mergeCell ref="F37:H37"/>
    <mergeCell ref="B32:E32"/>
    <mergeCell ref="F32:H32"/>
    <mergeCell ref="B33:E33"/>
    <mergeCell ref="F33:H33"/>
    <mergeCell ref="B34:E34"/>
    <mergeCell ref="F34:H34"/>
    <mergeCell ref="B44:E44"/>
    <mergeCell ref="F44:H44"/>
    <mergeCell ref="B45:E45"/>
    <mergeCell ref="F45:H45"/>
    <mergeCell ref="B46:E46"/>
    <mergeCell ref="F46:H46"/>
    <mergeCell ref="A38:I38"/>
    <mergeCell ref="A39:I39"/>
    <mergeCell ref="A40:I40"/>
    <mergeCell ref="A41:I41"/>
    <mergeCell ref="A42:I42"/>
    <mergeCell ref="A43:I43"/>
    <mergeCell ref="A50:I50"/>
    <mergeCell ref="A51:I51"/>
    <mergeCell ref="B52:E52"/>
    <mergeCell ref="F52:G52"/>
    <mergeCell ref="H52:I52"/>
    <mergeCell ref="B53:E53"/>
    <mergeCell ref="F53:G53"/>
    <mergeCell ref="H53:I53"/>
    <mergeCell ref="B47:E47"/>
    <mergeCell ref="F47:H47"/>
    <mergeCell ref="B48:E48"/>
    <mergeCell ref="F48:H48"/>
    <mergeCell ref="B49:E49"/>
    <mergeCell ref="F49:H49"/>
    <mergeCell ref="B56:E56"/>
    <mergeCell ref="F56:G56"/>
    <mergeCell ref="H56:I56"/>
    <mergeCell ref="B57:E57"/>
    <mergeCell ref="F57:G57"/>
    <mergeCell ref="H57:I57"/>
    <mergeCell ref="B54:E54"/>
    <mergeCell ref="F54:G54"/>
    <mergeCell ref="H54:I54"/>
    <mergeCell ref="B55:E55"/>
    <mergeCell ref="F55:G55"/>
    <mergeCell ref="H55:I55"/>
    <mergeCell ref="B60:E60"/>
    <mergeCell ref="F60:G60"/>
    <mergeCell ref="H60:I60"/>
    <mergeCell ref="B61:E61"/>
    <mergeCell ref="F61:G61"/>
    <mergeCell ref="H61:I61"/>
    <mergeCell ref="B58:E58"/>
    <mergeCell ref="F58:G58"/>
    <mergeCell ref="H58:I58"/>
    <mergeCell ref="B59:E59"/>
    <mergeCell ref="F59:G59"/>
    <mergeCell ref="H59:I59"/>
    <mergeCell ref="B66:E66"/>
    <mergeCell ref="F66:H66"/>
    <mergeCell ref="B67:E67"/>
    <mergeCell ref="F67:H67"/>
    <mergeCell ref="B68:E68"/>
    <mergeCell ref="F68:H68"/>
    <mergeCell ref="A62:I62"/>
    <mergeCell ref="A63:H63"/>
    <mergeCell ref="B64:E64"/>
    <mergeCell ref="F64:H64"/>
    <mergeCell ref="B65:E65"/>
    <mergeCell ref="F65:H65"/>
    <mergeCell ref="B72:E72"/>
    <mergeCell ref="F72:H72"/>
    <mergeCell ref="B73:E73"/>
    <mergeCell ref="F73:H73"/>
    <mergeCell ref="A74:H74"/>
    <mergeCell ref="B75:H75"/>
    <mergeCell ref="B69:E69"/>
    <mergeCell ref="F69:H69"/>
    <mergeCell ref="B70:E70"/>
    <mergeCell ref="F70:H70"/>
    <mergeCell ref="B71:E71"/>
    <mergeCell ref="F71:H71"/>
    <mergeCell ref="B82:G82"/>
    <mergeCell ref="B83:G83"/>
    <mergeCell ref="B84:G84"/>
    <mergeCell ref="B85:G85"/>
    <mergeCell ref="B86:G86"/>
    <mergeCell ref="B87:G87"/>
    <mergeCell ref="B76:H76"/>
    <mergeCell ref="B77:H77"/>
    <mergeCell ref="A78:H78"/>
    <mergeCell ref="A79:I79"/>
    <mergeCell ref="A80:I80"/>
    <mergeCell ref="B81:G81"/>
    <mergeCell ref="B94:E94"/>
    <mergeCell ref="F94:H94"/>
    <mergeCell ref="B95:E95"/>
    <mergeCell ref="F95:H95"/>
    <mergeCell ref="B96:E96"/>
    <mergeCell ref="F96:H96"/>
    <mergeCell ref="A88:G88"/>
    <mergeCell ref="A89:I89"/>
    <mergeCell ref="A90:I90"/>
    <mergeCell ref="A91:I91"/>
    <mergeCell ref="B92:I92"/>
    <mergeCell ref="A93:I93"/>
    <mergeCell ref="B100:E100"/>
    <mergeCell ref="F100:H100"/>
    <mergeCell ref="B101:E101"/>
    <mergeCell ref="F101:H101"/>
    <mergeCell ref="B102:E102"/>
    <mergeCell ref="F102:H102"/>
    <mergeCell ref="B97:E97"/>
    <mergeCell ref="F97:H97"/>
    <mergeCell ref="B98:E98"/>
    <mergeCell ref="F98:H98"/>
    <mergeCell ref="B99:E99"/>
    <mergeCell ref="F99:H99"/>
    <mergeCell ref="P109:Z112"/>
    <mergeCell ref="B110:H110"/>
    <mergeCell ref="B111:H111"/>
    <mergeCell ref="B112:H112"/>
    <mergeCell ref="A103:I103"/>
    <mergeCell ref="A104:H104"/>
    <mergeCell ref="B105:E105"/>
    <mergeCell ref="F105:H105"/>
    <mergeCell ref="B106:E106"/>
    <mergeCell ref="F106:H106"/>
    <mergeCell ref="A113:H113"/>
    <mergeCell ref="A114:I114"/>
    <mergeCell ref="A115:G115"/>
    <mergeCell ref="B116:D116"/>
    <mergeCell ref="E116:G116"/>
    <mergeCell ref="B117:D117"/>
    <mergeCell ref="E117:G117"/>
    <mergeCell ref="B107:E107"/>
    <mergeCell ref="F107:H107"/>
    <mergeCell ref="A108:I108"/>
    <mergeCell ref="A109:I109"/>
    <mergeCell ref="A121:D121"/>
    <mergeCell ref="E121:G121"/>
    <mergeCell ref="A122:G122"/>
    <mergeCell ref="A123:I123"/>
    <mergeCell ref="A124:I124"/>
    <mergeCell ref="B125:E125"/>
    <mergeCell ref="F125:G125"/>
    <mergeCell ref="H125:I125"/>
    <mergeCell ref="B118:D118"/>
    <mergeCell ref="E118:G118"/>
    <mergeCell ref="H118:I118"/>
    <mergeCell ref="B119:D119"/>
    <mergeCell ref="E119:G119"/>
    <mergeCell ref="B120:D120"/>
    <mergeCell ref="E120:G120"/>
    <mergeCell ref="B128:E128"/>
    <mergeCell ref="F128:G128"/>
    <mergeCell ref="H128:I128"/>
    <mergeCell ref="C129:E129"/>
    <mergeCell ref="F129:G129"/>
    <mergeCell ref="H129:I129"/>
    <mergeCell ref="B126:E126"/>
    <mergeCell ref="F126:G126"/>
    <mergeCell ref="H126:I126"/>
    <mergeCell ref="B127:E127"/>
    <mergeCell ref="F127:G127"/>
    <mergeCell ref="H127:I127"/>
    <mergeCell ref="C132:E132"/>
    <mergeCell ref="F132:G132"/>
    <mergeCell ref="H132:I132"/>
    <mergeCell ref="A133:E133"/>
    <mergeCell ref="F133:G133"/>
    <mergeCell ref="H133:I133"/>
    <mergeCell ref="C130:E130"/>
    <mergeCell ref="F130:G130"/>
    <mergeCell ref="H130:I130"/>
    <mergeCell ref="C131:E131"/>
    <mergeCell ref="F131:G131"/>
    <mergeCell ref="H131:I131"/>
    <mergeCell ref="B140:H140"/>
    <mergeCell ref="B141:H141"/>
    <mergeCell ref="A142:H142"/>
    <mergeCell ref="A143:I143"/>
    <mergeCell ref="A144:I144"/>
    <mergeCell ref="A149:I149"/>
    <mergeCell ref="A134:I134"/>
    <mergeCell ref="B135:H135"/>
    <mergeCell ref="B136:H136"/>
    <mergeCell ref="B137:H137"/>
    <mergeCell ref="B138:H138"/>
    <mergeCell ref="B139:H139"/>
  </mergeCells>
  <printOptions horizontalCentered="1"/>
  <pageMargins left="0.19685039370078741" right="0.19685039370078741" top="1.1429166666666666" bottom="0.78740157480314965" header="0.31496062992125984" footer="0.31496062992125984"/>
  <pageSetup paperSize="9" scale="48" fitToHeight="0" orientation="portrait" r:id="rId1"/>
  <rowBreaks count="3" manualBreakCount="3">
    <brk id="61" max="8" man="1"/>
    <brk id="62" max="8" man="1"/>
    <brk id="114" max="8" man="1"/>
  </rowBreaks>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22A47-A4AD-4C17-97B9-9A7807C48DB5}">
  <sheetPr>
    <tabColor rgb="FF92D050"/>
  </sheetPr>
  <dimension ref="A1:AS143"/>
  <sheetViews>
    <sheetView view="pageBreakPreview" zoomScale="85" zoomScaleNormal="60" zoomScaleSheetLayoutView="85" workbookViewId="0">
      <selection activeCell="F70" sqref="F70:H70"/>
    </sheetView>
  </sheetViews>
  <sheetFormatPr defaultColWidth="8.85546875" defaultRowHeight="15"/>
  <cols>
    <col min="4" max="4" width="28.140625" customWidth="1"/>
    <col min="5" max="5" width="40.28515625" customWidth="1"/>
    <col min="6" max="6" width="28.42578125" customWidth="1"/>
    <col min="7" max="7" width="17" customWidth="1"/>
    <col min="8" max="8" width="14.140625" customWidth="1"/>
    <col min="9" max="9" width="48.85546875" customWidth="1"/>
    <col min="10" max="10" width="13.42578125" customWidth="1"/>
    <col min="11" max="11" width="14.7109375" bestFit="1" customWidth="1"/>
    <col min="12" max="12" width="17.42578125" customWidth="1"/>
    <col min="260" max="260" width="28.140625" customWidth="1"/>
    <col min="261" max="261" width="40.28515625" customWidth="1"/>
    <col min="262" max="262" width="28.42578125" customWidth="1"/>
    <col min="263" max="263" width="17" customWidth="1"/>
    <col min="264" max="264" width="14.140625" customWidth="1"/>
    <col min="265" max="265" width="48.85546875" customWidth="1"/>
    <col min="266" max="266" width="13.42578125" customWidth="1"/>
    <col min="267" max="267" width="14.7109375" bestFit="1" customWidth="1"/>
    <col min="268" max="268" width="17.42578125" customWidth="1"/>
    <col min="516" max="516" width="28.140625" customWidth="1"/>
    <col min="517" max="517" width="40.28515625" customWidth="1"/>
    <col min="518" max="518" width="28.42578125" customWidth="1"/>
    <col min="519" max="519" width="17" customWidth="1"/>
    <col min="520" max="520" width="14.140625" customWidth="1"/>
    <col min="521" max="521" width="48.85546875" customWidth="1"/>
    <col min="522" max="522" width="13.42578125" customWidth="1"/>
    <col min="523" max="523" width="14.7109375" bestFit="1" customWidth="1"/>
    <col min="524" max="524" width="17.42578125" customWidth="1"/>
    <col min="772" max="772" width="28.140625" customWidth="1"/>
    <col min="773" max="773" width="40.28515625" customWidth="1"/>
    <col min="774" max="774" width="28.42578125" customWidth="1"/>
    <col min="775" max="775" width="17" customWidth="1"/>
    <col min="776" max="776" width="14.140625" customWidth="1"/>
    <col min="777" max="777" width="48.85546875" customWidth="1"/>
    <col min="778" max="778" width="13.42578125" customWidth="1"/>
    <col min="779" max="779" width="14.7109375" bestFit="1" customWidth="1"/>
    <col min="780" max="780" width="17.42578125" customWidth="1"/>
    <col min="1028" max="1028" width="28.140625" customWidth="1"/>
    <col min="1029" max="1029" width="40.28515625" customWidth="1"/>
    <col min="1030" max="1030" width="28.42578125" customWidth="1"/>
    <col min="1031" max="1031" width="17" customWidth="1"/>
    <col min="1032" max="1032" width="14.140625" customWidth="1"/>
    <col min="1033" max="1033" width="48.85546875" customWidth="1"/>
    <col min="1034" max="1034" width="13.42578125" customWidth="1"/>
    <col min="1035" max="1035" width="14.7109375" bestFit="1" customWidth="1"/>
    <col min="1036" max="1036" width="17.42578125" customWidth="1"/>
    <col min="1284" max="1284" width="28.140625" customWidth="1"/>
    <col min="1285" max="1285" width="40.28515625" customWidth="1"/>
    <col min="1286" max="1286" width="28.42578125" customWidth="1"/>
    <col min="1287" max="1287" width="17" customWidth="1"/>
    <col min="1288" max="1288" width="14.140625" customWidth="1"/>
    <col min="1289" max="1289" width="48.85546875" customWidth="1"/>
    <col min="1290" max="1290" width="13.42578125" customWidth="1"/>
    <col min="1291" max="1291" width="14.7109375" bestFit="1" customWidth="1"/>
    <col min="1292" max="1292" width="17.42578125" customWidth="1"/>
    <col min="1540" max="1540" width="28.140625" customWidth="1"/>
    <col min="1541" max="1541" width="40.28515625" customWidth="1"/>
    <col min="1542" max="1542" width="28.42578125" customWidth="1"/>
    <col min="1543" max="1543" width="17" customWidth="1"/>
    <col min="1544" max="1544" width="14.140625" customWidth="1"/>
    <col min="1545" max="1545" width="48.85546875" customWidth="1"/>
    <col min="1546" max="1546" width="13.42578125" customWidth="1"/>
    <col min="1547" max="1547" width="14.7109375" bestFit="1" customWidth="1"/>
    <col min="1548" max="1548" width="17.42578125" customWidth="1"/>
    <col min="1796" max="1796" width="28.140625" customWidth="1"/>
    <col min="1797" max="1797" width="40.28515625" customWidth="1"/>
    <col min="1798" max="1798" width="28.42578125" customWidth="1"/>
    <col min="1799" max="1799" width="17" customWidth="1"/>
    <col min="1800" max="1800" width="14.140625" customWidth="1"/>
    <col min="1801" max="1801" width="48.85546875" customWidth="1"/>
    <col min="1802" max="1802" width="13.42578125" customWidth="1"/>
    <col min="1803" max="1803" width="14.7109375" bestFit="1" customWidth="1"/>
    <col min="1804" max="1804" width="17.42578125" customWidth="1"/>
    <col min="2052" max="2052" width="28.140625" customWidth="1"/>
    <col min="2053" max="2053" width="40.28515625" customWidth="1"/>
    <col min="2054" max="2054" width="28.42578125" customWidth="1"/>
    <col min="2055" max="2055" width="17" customWidth="1"/>
    <col min="2056" max="2056" width="14.140625" customWidth="1"/>
    <col min="2057" max="2057" width="48.85546875" customWidth="1"/>
    <col min="2058" max="2058" width="13.42578125" customWidth="1"/>
    <col min="2059" max="2059" width="14.7109375" bestFit="1" customWidth="1"/>
    <col min="2060" max="2060" width="17.42578125" customWidth="1"/>
    <col min="2308" max="2308" width="28.140625" customWidth="1"/>
    <col min="2309" max="2309" width="40.28515625" customWidth="1"/>
    <col min="2310" max="2310" width="28.42578125" customWidth="1"/>
    <col min="2311" max="2311" width="17" customWidth="1"/>
    <col min="2312" max="2312" width="14.140625" customWidth="1"/>
    <col min="2313" max="2313" width="48.85546875" customWidth="1"/>
    <col min="2314" max="2314" width="13.42578125" customWidth="1"/>
    <col min="2315" max="2315" width="14.7109375" bestFit="1" customWidth="1"/>
    <col min="2316" max="2316" width="17.42578125" customWidth="1"/>
    <col min="2564" max="2564" width="28.140625" customWidth="1"/>
    <col min="2565" max="2565" width="40.28515625" customWidth="1"/>
    <col min="2566" max="2566" width="28.42578125" customWidth="1"/>
    <col min="2567" max="2567" width="17" customWidth="1"/>
    <col min="2568" max="2568" width="14.140625" customWidth="1"/>
    <col min="2569" max="2569" width="48.85546875" customWidth="1"/>
    <col min="2570" max="2570" width="13.42578125" customWidth="1"/>
    <col min="2571" max="2571" width="14.7109375" bestFit="1" customWidth="1"/>
    <col min="2572" max="2572" width="17.42578125" customWidth="1"/>
    <col min="2820" max="2820" width="28.140625" customWidth="1"/>
    <col min="2821" max="2821" width="40.28515625" customWidth="1"/>
    <col min="2822" max="2822" width="28.42578125" customWidth="1"/>
    <col min="2823" max="2823" width="17" customWidth="1"/>
    <col min="2824" max="2824" width="14.140625" customWidth="1"/>
    <col min="2825" max="2825" width="48.85546875" customWidth="1"/>
    <col min="2826" max="2826" width="13.42578125" customWidth="1"/>
    <col min="2827" max="2827" width="14.7109375" bestFit="1" customWidth="1"/>
    <col min="2828" max="2828" width="17.42578125" customWidth="1"/>
    <col min="3076" max="3076" width="28.140625" customWidth="1"/>
    <col min="3077" max="3077" width="40.28515625" customWidth="1"/>
    <col min="3078" max="3078" width="28.42578125" customWidth="1"/>
    <col min="3079" max="3079" width="17" customWidth="1"/>
    <col min="3080" max="3080" width="14.140625" customWidth="1"/>
    <col min="3081" max="3081" width="48.85546875" customWidth="1"/>
    <col min="3082" max="3082" width="13.42578125" customWidth="1"/>
    <col min="3083" max="3083" width="14.7109375" bestFit="1" customWidth="1"/>
    <col min="3084" max="3084" width="17.42578125" customWidth="1"/>
    <col min="3332" max="3332" width="28.140625" customWidth="1"/>
    <col min="3333" max="3333" width="40.28515625" customWidth="1"/>
    <col min="3334" max="3334" width="28.42578125" customWidth="1"/>
    <col min="3335" max="3335" width="17" customWidth="1"/>
    <col min="3336" max="3336" width="14.140625" customWidth="1"/>
    <col min="3337" max="3337" width="48.85546875" customWidth="1"/>
    <col min="3338" max="3338" width="13.42578125" customWidth="1"/>
    <col min="3339" max="3339" width="14.7109375" bestFit="1" customWidth="1"/>
    <col min="3340" max="3340" width="17.42578125" customWidth="1"/>
    <col min="3588" max="3588" width="28.140625" customWidth="1"/>
    <col min="3589" max="3589" width="40.28515625" customWidth="1"/>
    <col min="3590" max="3590" width="28.42578125" customWidth="1"/>
    <col min="3591" max="3591" width="17" customWidth="1"/>
    <col min="3592" max="3592" width="14.140625" customWidth="1"/>
    <col min="3593" max="3593" width="48.85546875" customWidth="1"/>
    <col min="3594" max="3594" width="13.42578125" customWidth="1"/>
    <col min="3595" max="3595" width="14.7109375" bestFit="1" customWidth="1"/>
    <col min="3596" max="3596" width="17.42578125" customWidth="1"/>
    <col min="3844" max="3844" width="28.140625" customWidth="1"/>
    <col min="3845" max="3845" width="40.28515625" customWidth="1"/>
    <col min="3846" max="3846" width="28.42578125" customWidth="1"/>
    <col min="3847" max="3847" width="17" customWidth="1"/>
    <col min="3848" max="3848" width="14.140625" customWidth="1"/>
    <col min="3849" max="3849" width="48.85546875" customWidth="1"/>
    <col min="3850" max="3850" width="13.42578125" customWidth="1"/>
    <col min="3851" max="3851" width="14.7109375" bestFit="1" customWidth="1"/>
    <col min="3852" max="3852" width="17.42578125" customWidth="1"/>
    <col min="4100" max="4100" width="28.140625" customWidth="1"/>
    <col min="4101" max="4101" width="40.28515625" customWidth="1"/>
    <col min="4102" max="4102" width="28.42578125" customWidth="1"/>
    <col min="4103" max="4103" width="17" customWidth="1"/>
    <col min="4104" max="4104" width="14.140625" customWidth="1"/>
    <col min="4105" max="4105" width="48.85546875" customWidth="1"/>
    <col min="4106" max="4106" width="13.42578125" customWidth="1"/>
    <col min="4107" max="4107" width="14.7109375" bestFit="1" customWidth="1"/>
    <col min="4108" max="4108" width="17.42578125" customWidth="1"/>
    <col min="4356" max="4356" width="28.140625" customWidth="1"/>
    <col min="4357" max="4357" width="40.28515625" customWidth="1"/>
    <col min="4358" max="4358" width="28.42578125" customWidth="1"/>
    <col min="4359" max="4359" width="17" customWidth="1"/>
    <col min="4360" max="4360" width="14.140625" customWidth="1"/>
    <col min="4361" max="4361" width="48.85546875" customWidth="1"/>
    <col min="4362" max="4362" width="13.42578125" customWidth="1"/>
    <col min="4363" max="4363" width="14.7109375" bestFit="1" customWidth="1"/>
    <col min="4364" max="4364" width="17.42578125" customWidth="1"/>
    <col min="4612" max="4612" width="28.140625" customWidth="1"/>
    <col min="4613" max="4613" width="40.28515625" customWidth="1"/>
    <col min="4614" max="4614" width="28.42578125" customWidth="1"/>
    <col min="4615" max="4615" width="17" customWidth="1"/>
    <col min="4616" max="4616" width="14.140625" customWidth="1"/>
    <col min="4617" max="4617" width="48.85546875" customWidth="1"/>
    <col min="4618" max="4618" width="13.42578125" customWidth="1"/>
    <col min="4619" max="4619" width="14.7109375" bestFit="1" customWidth="1"/>
    <col min="4620" max="4620" width="17.42578125" customWidth="1"/>
    <col min="4868" max="4868" width="28.140625" customWidth="1"/>
    <col min="4869" max="4869" width="40.28515625" customWidth="1"/>
    <col min="4870" max="4870" width="28.42578125" customWidth="1"/>
    <col min="4871" max="4871" width="17" customWidth="1"/>
    <col min="4872" max="4872" width="14.140625" customWidth="1"/>
    <col min="4873" max="4873" width="48.85546875" customWidth="1"/>
    <col min="4874" max="4874" width="13.42578125" customWidth="1"/>
    <col min="4875" max="4875" width="14.7109375" bestFit="1" customWidth="1"/>
    <col min="4876" max="4876" width="17.42578125" customWidth="1"/>
    <col min="5124" max="5124" width="28.140625" customWidth="1"/>
    <col min="5125" max="5125" width="40.28515625" customWidth="1"/>
    <col min="5126" max="5126" width="28.42578125" customWidth="1"/>
    <col min="5127" max="5127" width="17" customWidth="1"/>
    <col min="5128" max="5128" width="14.140625" customWidth="1"/>
    <col min="5129" max="5129" width="48.85546875" customWidth="1"/>
    <col min="5130" max="5130" width="13.42578125" customWidth="1"/>
    <col min="5131" max="5131" width="14.7109375" bestFit="1" customWidth="1"/>
    <col min="5132" max="5132" width="17.42578125" customWidth="1"/>
    <col min="5380" max="5380" width="28.140625" customWidth="1"/>
    <col min="5381" max="5381" width="40.28515625" customWidth="1"/>
    <col min="5382" max="5382" width="28.42578125" customWidth="1"/>
    <col min="5383" max="5383" width="17" customWidth="1"/>
    <col min="5384" max="5384" width="14.140625" customWidth="1"/>
    <col min="5385" max="5385" width="48.85546875" customWidth="1"/>
    <col min="5386" max="5386" width="13.42578125" customWidth="1"/>
    <col min="5387" max="5387" width="14.7109375" bestFit="1" customWidth="1"/>
    <col min="5388" max="5388" width="17.42578125" customWidth="1"/>
    <col min="5636" max="5636" width="28.140625" customWidth="1"/>
    <col min="5637" max="5637" width="40.28515625" customWidth="1"/>
    <col min="5638" max="5638" width="28.42578125" customWidth="1"/>
    <col min="5639" max="5639" width="17" customWidth="1"/>
    <col min="5640" max="5640" width="14.140625" customWidth="1"/>
    <col min="5641" max="5641" width="48.85546875" customWidth="1"/>
    <col min="5642" max="5642" width="13.42578125" customWidth="1"/>
    <col min="5643" max="5643" width="14.7109375" bestFit="1" customWidth="1"/>
    <col min="5644" max="5644" width="17.42578125" customWidth="1"/>
    <col min="5892" max="5892" width="28.140625" customWidth="1"/>
    <col min="5893" max="5893" width="40.28515625" customWidth="1"/>
    <col min="5894" max="5894" width="28.42578125" customWidth="1"/>
    <col min="5895" max="5895" width="17" customWidth="1"/>
    <col min="5896" max="5896" width="14.140625" customWidth="1"/>
    <col min="5897" max="5897" width="48.85546875" customWidth="1"/>
    <col min="5898" max="5898" width="13.42578125" customWidth="1"/>
    <col min="5899" max="5899" width="14.7109375" bestFit="1" customWidth="1"/>
    <col min="5900" max="5900" width="17.42578125" customWidth="1"/>
    <col min="6148" max="6148" width="28.140625" customWidth="1"/>
    <col min="6149" max="6149" width="40.28515625" customWidth="1"/>
    <col min="6150" max="6150" width="28.42578125" customWidth="1"/>
    <col min="6151" max="6151" width="17" customWidth="1"/>
    <col min="6152" max="6152" width="14.140625" customWidth="1"/>
    <col min="6153" max="6153" width="48.85546875" customWidth="1"/>
    <col min="6154" max="6154" width="13.42578125" customWidth="1"/>
    <col min="6155" max="6155" width="14.7109375" bestFit="1" customWidth="1"/>
    <col min="6156" max="6156" width="17.42578125" customWidth="1"/>
    <col min="6404" max="6404" width="28.140625" customWidth="1"/>
    <col min="6405" max="6405" width="40.28515625" customWidth="1"/>
    <col min="6406" max="6406" width="28.42578125" customWidth="1"/>
    <col min="6407" max="6407" width="17" customWidth="1"/>
    <col min="6408" max="6408" width="14.140625" customWidth="1"/>
    <col min="6409" max="6409" width="48.85546875" customWidth="1"/>
    <col min="6410" max="6410" width="13.42578125" customWidth="1"/>
    <col min="6411" max="6411" width="14.7109375" bestFit="1" customWidth="1"/>
    <col min="6412" max="6412" width="17.42578125" customWidth="1"/>
    <col min="6660" max="6660" width="28.140625" customWidth="1"/>
    <col min="6661" max="6661" width="40.28515625" customWidth="1"/>
    <col min="6662" max="6662" width="28.42578125" customWidth="1"/>
    <col min="6663" max="6663" width="17" customWidth="1"/>
    <col min="6664" max="6664" width="14.140625" customWidth="1"/>
    <col min="6665" max="6665" width="48.85546875" customWidth="1"/>
    <col min="6666" max="6666" width="13.42578125" customWidth="1"/>
    <col min="6667" max="6667" width="14.7109375" bestFit="1" customWidth="1"/>
    <col min="6668" max="6668" width="17.42578125" customWidth="1"/>
    <col min="6916" max="6916" width="28.140625" customWidth="1"/>
    <col min="6917" max="6917" width="40.28515625" customWidth="1"/>
    <col min="6918" max="6918" width="28.42578125" customWidth="1"/>
    <col min="6919" max="6919" width="17" customWidth="1"/>
    <col min="6920" max="6920" width="14.140625" customWidth="1"/>
    <col min="6921" max="6921" width="48.85546875" customWidth="1"/>
    <col min="6922" max="6922" width="13.42578125" customWidth="1"/>
    <col min="6923" max="6923" width="14.7109375" bestFit="1" customWidth="1"/>
    <col min="6924" max="6924" width="17.42578125" customWidth="1"/>
    <col min="7172" max="7172" width="28.140625" customWidth="1"/>
    <col min="7173" max="7173" width="40.28515625" customWidth="1"/>
    <col min="7174" max="7174" width="28.42578125" customWidth="1"/>
    <col min="7175" max="7175" width="17" customWidth="1"/>
    <col min="7176" max="7176" width="14.140625" customWidth="1"/>
    <col min="7177" max="7177" width="48.85546875" customWidth="1"/>
    <col min="7178" max="7178" width="13.42578125" customWidth="1"/>
    <col min="7179" max="7179" width="14.7109375" bestFit="1" customWidth="1"/>
    <col min="7180" max="7180" width="17.42578125" customWidth="1"/>
    <col min="7428" max="7428" width="28.140625" customWidth="1"/>
    <col min="7429" max="7429" width="40.28515625" customWidth="1"/>
    <col min="7430" max="7430" width="28.42578125" customWidth="1"/>
    <col min="7431" max="7431" width="17" customWidth="1"/>
    <col min="7432" max="7432" width="14.140625" customWidth="1"/>
    <col min="7433" max="7433" width="48.85546875" customWidth="1"/>
    <col min="7434" max="7434" width="13.42578125" customWidth="1"/>
    <col min="7435" max="7435" width="14.7109375" bestFit="1" customWidth="1"/>
    <col min="7436" max="7436" width="17.42578125" customWidth="1"/>
    <col min="7684" max="7684" width="28.140625" customWidth="1"/>
    <col min="7685" max="7685" width="40.28515625" customWidth="1"/>
    <col min="7686" max="7686" width="28.42578125" customWidth="1"/>
    <col min="7687" max="7687" width="17" customWidth="1"/>
    <col min="7688" max="7688" width="14.140625" customWidth="1"/>
    <col min="7689" max="7689" width="48.85546875" customWidth="1"/>
    <col min="7690" max="7690" width="13.42578125" customWidth="1"/>
    <col min="7691" max="7691" width="14.7109375" bestFit="1" customWidth="1"/>
    <col min="7692" max="7692" width="17.42578125" customWidth="1"/>
    <col min="7940" max="7940" width="28.140625" customWidth="1"/>
    <col min="7941" max="7941" width="40.28515625" customWidth="1"/>
    <col min="7942" max="7942" width="28.42578125" customWidth="1"/>
    <col min="7943" max="7943" width="17" customWidth="1"/>
    <col min="7944" max="7944" width="14.140625" customWidth="1"/>
    <col min="7945" max="7945" width="48.85546875" customWidth="1"/>
    <col min="7946" max="7946" width="13.42578125" customWidth="1"/>
    <col min="7947" max="7947" width="14.7109375" bestFit="1" customWidth="1"/>
    <col min="7948" max="7948" width="17.42578125" customWidth="1"/>
    <col min="8196" max="8196" width="28.140625" customWidth="1"/>
    <col min="8197" max="8197" width="40.28515625" customWidth="1"/>
    <col min="8198" max="8198" width="28.42578125" customWidth="1"/>
    <col min="8199" max="8199" width="17" customWidth="1"/>
    <col min="8200" max="8200" width="14.140625" customWidth="1"/>
    <col min="8201" max="8201" width="48.85546875" customWidth="1"/>
    <col min="8202" max="8202" width="13.42578125" customWidth="1"/>
    <col min="8203" max="8203" width="14.7109375" bestFit="1" customWidth="1"/>
    <col min="8204" max="8204" width="17.42578125" customWidth="1"/>
    <col min="8452" max="8452" width="28.140625" customWidth="1"/>
    <col min="8453" max="8453" width="40.28515625" customWidth="1"/>
    <col min="8454" max="8454" width="28.42578125" customWidth="1"/>
    <col min="8455" max="8455" width="17" customWidth="1"/>
    <col min="8456" max="8456" width="14.140625" customWidth="1"/>
    <col min="8457" max="8457" width="48.85546875" customWidth="1"/>
    <col min="8458" max="8458" width="13.42578125" customWidth="1"/>
    <col min="8459" max="8459" width="14.7109375" bestFit="1" customWidth="1"/>
    <col min="8460" max="8460" width="17.42578125" customWidth="1"/>
    <col min="8708" max="8708" width="28.140625" customWidth="1"/>
    <col min="8709" max="8709" width="40.28515625" customWidth="1"/>
    <col min="8710" max="8710" width="28.42578125" customWidth="1"/>
    <col min="8711" max="8711" width="17" customWidth="1"/>
    <col min="8712" max="8712" width="14.140625" customWidth="1"/>
    <col min="8713" max="8713" width="48.85546875" customWidth="1"/>
    <col min="8714" max="8714" width="13.42578125" customWidth="1"/>
    <col min="8715" max="8715" width="14.7109375" bestFit="1" customWidth="1"/>
    <col min="8716" max="8716" width="17.42578125" customWidth="1"/>
    <col min="8964" max="8964" width="28.140625" customWidth="1"/>
    <col min="8965" max="8965" width="40.28515625" customWidth="1"/>
    <col min="8966" max="8966" width="28.42578125" customWidth="1"/>
    <col min="8967" max="8967" width="17" customWidth="1"/>
    <col min="8968" max="8968" width="14.140625" customWidth="1"/>
    <col min="8969" max="8969" width="48.85546875" customWidth="1"/>
    <col min="8970" max="8970" width="13.42578125" customWidth="1"/>
    <col min="8971" max="8971" width="14.7109375" bestFit="1" customWidth="1"/>
    <col min="8972" max="8972" width="17.42578125" customWidth="1"/>
    <col min="9220" max="9220" width="28.140625" customWidth="1"/>
    <col min="9221" max="9221" width="40.28515625" customWidth="1"/>
    <col min="9222" max="9222" width="28.42578125" customWidth="1"/>
    <col min="9223" max="9223" width="17" customWidth="1"/>
    <col min="9224" max="9224" width="14.140625" customWidth="1"/>
    <col min="9225" max="9225" width="48.85546875" customWidth="1"/>
    <col min="9226" max="9226" width="13.42578125" customWidth="1"/>
    <col min="9227" max="9227" width="14.7109375" bestFit="1" customWidth="1"/>
    <col min="9228" max="9228" width="17.42578125" customWidth="1"/>
    <col min="9476" max="9476" width="28.140625" customWidth="1"/>
    <col min="9477" max="9477" width="40.28515625" customWidth="1"/>
    <col min="9478" max="9478" width="28.42578125" customWidth="1"/>
    <col min="9479" max="9479" width="17" customWidth="1"/>
    <col min="9480" max="9480" width="14.140625" customWidth="1"/>
    <col min="9481" max="9481" width="48.85546875" customWidth="1"/>
    <col min="9482" max="9482" width="13.42578125" customWidth="1"/>
    <col min="9483" max="9483" width="14.7109375" bestFit="1" customWidth="1"/>
    <col min="9484" max="9484" width="17.42578125" customWidth="1"/>
    <col min="9732" max="9732" width="28.140625" customWidth="1"/>
    <col min="9733" max="9733" width="40.28515625" customWidth="1"/>
    <col min="9734" max="9734" width="28.42578125" customWidth="1"/>
    <col min="9735" max="9735" width="17" customWidth="1"/>
    <col min="9736" max="9736" width="14.140625" customWidth="1"/>
    <col min="9737" max="9737" width="48.85546875" customWidth="1"/>
    <col min="9738" max="9738" width="13.42578125" customWidth="1"/>
    <col min="9739" max="9739" width="14.7109375" bestFit="1" customWidth="1"/>
    <col min="9740" max="9740" width="17.42578125" customWidth="1"/>
    <col min="9988" max="9988" width="28.140625" customWidth="1"/>
    <col min="9989" max="9989" width="40.28515625" customWidth="1"/>
    <col min="9990" max="9990" width="28.42578125" customWidth="1"/>
    <col min="9991" max="9991" width="17" customWidth="1"/>
    <col min="9992" max="9992" width="14.140625" customWidth="1"/>
    <col min="9993" max="9993" width="48.85546875" customWidth="1"/>
    <col min="9994" max="9994" width="13.42578125" customWidth="1"/>
    <col min="9995" max="9995" width="14.7109375" bestFit="1" customWidth="1"/>
    <col min="9996" max="9996" width="17.42578125" customWidth="1"/>
    <col min="10244" max="10244" width="28.140625" customWidth="1"/>
    <col min="10245" max="10245" width="40.28515625" customWidth="1"/>
    <col min="10246" max="10246" width="28.42578125" customWidth="1"/>
    <col min="10247" max="10247" width="17" customWidth="1"/>
    <col min="10248" max="10248" width="14.140625" customWidth="1"/>
    <col min="10249" max="10249" width="48.85546875" customWidth="1"/>
    <col min="10250" max="10250" width="13.42578125" customWidth="1"/>
    <col min="10251" max="10251" width="14.7109375" bestFit="1" customWidth="1"/>
    <col min="10252" max="10252" width="17.42578125" customWidth="1"/>
    <col min="10500" max="10500" width="28.140625" customWidth="1"/>
    <col min="10501" max="10501" width="40.28515625" customWidth="1"/>
    <col min="10502" max="10502" width="28.42578125" customWidth="1"/>
    <col min="10503" max="10503" width="17" customWidth="1"/>
    <col min="10504" max="10504" width="14.140625" customWidth="1"/>
    <col min="10505" max="10505" width="48.85546875" customWidth="1"/>
    <col min="10506" max="10506" width="13.42578125" customWidth="1"/>
    <col min="10507" max="10507" width="14.7109375" bestFit="1" customWidth="1"/>
    <col min="10508" max="10508" width="17.42578125" customWidth="1"/>
    <col min="10756" max="10756" width="28.140625" customWidth="1"/>
    <col min="10757" max="10757" width="40.28515625" customWidth="1"/>
    <col min="10758" max="10758" width="28.42578125" customWidth="1"/>
    <col min="10759" max="10759" width="17" customWidth="1"/>
    <col min="10760" max="10760" width="14.140625" customWidth="1"/>
    <col min="10761" max="10761" width="48.85546875" customWidth="1"/>
    <col min="10762" max="10762" width="13.42578125" customWidth="1"/>
    <col min="10763" max="10763" width="14.7109375" bestFit="1" customWidth="1"/>
    <col min="10764" max="10764" width="17.42578125" customWidth="1"/>
    <col min="11012" max="11012" width="28.140625" customWidth="1"/>
    <col min="11013" max="11013" width="40.28515625" customWidth="1"/>
    <col min="11014" max="11014" width="28.42578125" customWidth="1"/>
    <col min="11015" max="11015" width="17" customWidth="1"/>
    <col min="11016" max="11016" width="14.140625" customWidth="1"/>
    <col min="11017" max="11017" width="48.85546875" customWidth="1"/>
    <col min="11018" max="11018" width="13.42578125" customWidth="1"/>
    <col min="11019" max="11019" width="14.7109375" bestFit="1" customWidth="1"/>
    <col min="11020" max="11020" width="17.42578125" customWidth="1"/>
    <col min="11268" max="11268" width="28.140625" customWidth="1"/>
    <col min="11269" max="11269" width="40.28515625" customWidth="1"/>
    <col min="11270" max="11270" width="28.42578125" customWidth="1"/>
    <col min="11271" max="11271" width="17" customWidth="1"/>
    <col min="11272" max="11272" width="14.140625" customWidth="1"/>
    <col min="11273" max="11273" width="48.85546875" customWidth="1"/>
    <col min="11274" max="11274" width="13.42578125" customWidth="1"/>
    <col min="11275" max="11275" width="14.7109375" bestFit="1" customWidth="1"/>
    <col min="11276" max="11276" width="17.42578125" customWidth="1"/>
    <col min="11524" max="11524" width="28.140625" customWidth="1"/>
    <col min="11525" max="11525" width="40.28515625" customWidth="1"/>
    <col min="11526" max="11526" width="28.42578125" customWidth="1"/>
    <col min="11527" max="11527" width="17" customWidth="1"/>
    <col min="11528" max="11528" width="14.140625" customWidth="1"/>
    <col min="11529" max="11529" width="48.85546875" customWidth="1"/>
    <col min="11530" max="11530" width="13.42578125" customWidth="1"/>
    <col min="11531" max="11531" width="14.7109375" bestFit="1" customWidth="1"/>
    <col min="11532" max="11532" width="17.42578125" customWidth="1"/>
    <col min="11780" max="11780" width="28.140625" customWidth="1"/>
    <col min="11781" max="11781" width="40.28515625" customWidth="1"/>
    <col min="11782" max="11782" width="28.42578125" customWidth="1"/>
    <col min="11783" max="11783" width="17" customWidth="1"/>
    <col min="11784" max="11784" width="14.140625" customWidth="1"/>
    <col min="11785" max="11785" width="48.85546875" customWidth="1"/>
    <col min="11786" max="11786" width="13.42578125" customWidth="1"/>
    <col min="11787" max="11787" width="14.7109375" bestFit="1" customWidth="1"/>
    <col min="11788" max="11788" width="17.42578125" customWidth="1"/>
    <col min="12036" max="12036" width="28.140625" customWidth="1"/>
    <col min="12037" max="12037" width="40.28515625" customWidth="1"/>
    <col min="12038" max="12038" width="28.42578125" customWidth="1"/>
    <col min="12039" max="12039" width="17" customWidth="1"/>
    <col min="12040" max="12040" width="14.140625" customWidth="1"/>
    <col min="12041" max="12041" width="48.85546875" customWidth="1"/>
    <col min="12042" max="12042" width="13.42578125" customWidth="1"/>
    <col min="12043" max="12043" width="14.7109375" bestFit="1" customWidth="1"/>
    <col min="12044" max="12044" width="17.42578125" customWidth="1"/>
    <col min="12292" max="12292" width="28.140625" customWidth="1"/>
    <col min="12293" max="12293" width="40.28515625" customWidth="1"/>
    <col min="12294" max="12294" width="28.42578125" customWidth="1"/>
    <col min="12295" max="12295" width="17" customWidth="1"/>
    <col min="12296" max="12296" width="14.140625" customWidth="1"/>
    <col min="12297" max="12297" width="48.85546875" customWidth="1"/>
    <col min="12298" max="12298" width="13.42578125" customWidth="1"/>
    <col min="12299" max="12299" width="14.7109375" bestFit="1" customWidth="1"/>
    <col min="12300" max="12300" width="17.42578125" customWidth="1"/>
    <col min="12548" max="12548" width="28.140625" customWidth="1"/>
    <col min="12549" max="12549" width="40.28515625" customWidth="1"/>
    <col min="12550" max="12550" width="28.42578125" customWidth="1"/>
    <col min="12551" max="12551" width="17" customWidth="1"/>
    <col min="12552" max="12552" width="14.140625" customWidth="1"/>
    <col min="12553" max="12553" width="48.85546875" customWidth="1"/>
    <col min="12554" max="12554" width="13.42578125" customWidth="1"/>
    <col min="12555" max="12555" width="14.7109375" bestFit="1" customWidth="1"/>
    <col min="12556" max="12556" width="17.42578125" customWidth="1"/>
    <col min="12804" max="12804" width="28.140625" customWidth="1"/>
    <col min="12805" max="12805" width="40.28515625" customWidth="1"/>
    <col min="12806" max="12806" width="28.42578125" customWidth="1"/>
    <col min="12807" max="12807" width="17" customWidth="1"/>
    <col min="12808" max="12808" width="14.140625" customWidth="1"/>
    <col min="12809" max="12809" width="48.85546875" customWidth="1"/>
    <col min="12810" max="12810" width="13.42578125" customWidth="1"/>
    <col min="12811" max="12811" width="14.7109375" bestFit="1" customWidth="1"/>
    <col min="12812" max="12812" width="17.42578125" customWidth="1"/>
    <col min="13060" max="13060" width="28.140625" customWidth="1"/>
    <col min="13061" max="13061" width="40.28515625" customWidth="1"/>
    <col min="13062" max="13062" width="28.42578125" customWidth="1"/>
    <col min="13063" max="13063" width="17" customWidth="1"/>
    <col min="13064" max="13064" width="14.140625" customWidth="1"/>
    <col min="13065" max="13065" width="48.85546875" customWidth="1"/>
    <col min="13066" max="13066" width="13.42578125" customWidth="1"/>
    <col min="13067" max="13067" width="14.7109375" bestFit="1" customWidth="1"/>
    <col min="13068" max="13068" width="17.42578125" customWidth="1"/>
    <col min="13316" max="13316" width="28.140625" customWidth="1"/>
    <col min="13317" max="13317" width="40.28515625" customWidth="1"/>
    <col min="13318" max="13318" width="28.42578125" customWidth="1"/>
    <col min="13319" max="13319" width="17" customWidth="1"/>
    <col min="13320" max="13320" width="14.140625" customWidth="1"/>
    <col min="13321" max="13321" width="48.85546875" customWidth="1"/>
    <col min="13322" max="13322" width="13.42578125" customWidth="1"/>
    <col min="13323" max="13323" width="14.7109375" bestFit="1" customWidth="1"/>
    <col min="13324" max="13324" width="17.42578125" customWidth="1"/>
    <col min="13572" max="13572" width="28.140625" customWidth="1"/>
    <col min="13573" max="13573" width="40.28515625" customWidth="1"/>
    <col min="13574" max="13574" width="28.42578125" customWidth="1"/>
    <col min="13575" max="13575" width="17" customWidth="1"/>
    <col min="13576" max="13576" width="14.140625" customWidth="1"/>
    <col min="13577" max="13577" width="48.85546875" customWidth="1"/>
    <col min="13578" max="13578" width="13.42578125" customWidth="1"/>
    <col min="13579" max="13579" width="14.7109375" bestFit="1" customWidth="1"/>
    <col min="13580" max="13580" width="17.42578125" customWidth="1"/>
    <col min="13828" max="13828" width="28.140625" customWidth="1"/>
    <col min="13829" max="13829" width="40.28515625" customWidth="1"/>
    <col min="13830" max="13830" width="28.42578125" customWidth="1"/>
    <col min="13831" max="13831" width="17" customWidth="1"/>
    <col min="13832" max="13832" width="14.140625" customWidth="1"/>
    <col min="13833" max="13833" width="48.85546875" customWidth="1"/>
    <col min="13834" max="13834" width="13.42578125" customWidth="1"/>
    <col min="13835" max="13835" width="14.7109375" bestFit="1" customWidth="1"/>
    <col min="13836" max="13836" width="17.42578125" customWidth="1"/>
    <col min="14084" max="14084" width="28.140625" customWidth="1"/>
    <col min="14085" max="14085" width="40.28515625" customWidth="1"/>
    <col min="14086" max="14086" width="28.42578125" customWidth="1"/>
    <col min="14087" max="14087" width="17" customWidth="1"/>
    <col min="14088" max="14088" width="14.140625" customWidth="1"/>
    <col min="14089" max="14089" width="48.85546875" customWidth="1"/>
    <col min="14090" max="14090" width="13.42578125" customWidth="1"/>
    <col min="14091" max="14091" width="14.7109375" bestFit="1" customWidth="1"/>
    <col min="14092" max="14092" width="17.42578125" customWidth="1"/>
    <col min="14340" max="14340" width="28.140625" customWidth="1"/>
    <col min="14341" max="14341" width="40.28515625" customWidth="1"/>
    <col min="14342" max="14342" width="28.42578125" customWidth="1"/>
    <col min="14343" max="14343" width="17" customWidth="1"/>
    <col min="14344" max="14344" width="14.140625" customWidth="1"/>
    <col min="14345" max="14345" width="48.85546875" customWidth="1"/>
    <col min="14346" max="14346" width="13.42578125" customWidth="1"/>
    <col min="14347" max="14347" width="14.7109375" bestFit="1" customWidth="1"/>
    <col min="14348" max="14348" width="17.42578125" customWidth="1"/>
    <col min="14596" max="14596" width="28.140625" customWidth="1"/>
    <col min="14597" max="14597" width="40.28515625" customWidth="1"/>
    <col min="14598" max="14598" width="28.42578125" customWidth="1"/>
    <col min="14599" max="14599" width="17" customWidth="1"/>
    <col min="14600" max="14600" width="14.140625" customWidth="1"/>
    <col min="14601" max="14601" width="48.85546875" customWidth="1"/>
    <col min="14602" max="14602" width="13.42578125" customWidth="1"/>
    <col min="14603" max="14603" width="14.7109375" bestFit="1" customWidth="1"/>
    <col min="14604" max="14604" width="17.42578125" customWidth="1"/>
    <col min="14852" max="14852" width="28.140625" customWidth="1"/>
    <col min="14853" max="14853" width="40.28515625" customWidth="1"/>
    <col min="14854" max="14854" width="28.42578125" customWidth="1"/>
    <col min="14855" max="14855" width="17" customWidth="1"/>
    <col min="14856" max="14856" width="14.140625" customWidth="1"/>
    <col min="14857" max="14857" width="48.85546875" customWidth="1"/>
    <col min="14858" max="14858" width="13.42578125" customWidth="1"/>
    <col min="14859" max="14859" width="14.7109375" bestFit="1" customWidth="1"/>
    <col min="14860" max="14860" width="17.42578125" customWidth="1"/>
    <col min="15108" max="15108" width="28.140625" customWidth="1"/>
    <col min="15109" max="15109" width="40.28515625" customWidth="1"/>
    <col min="15110" max="15110" width="28.42578125" customWidth="1"/>
    <col min="15111" max="15111" width="17" customWidth="1"/>
    <col min="15112" max="15112" width="14.140625" customWidth="1"/>
    <col min="15113" max="15113" width="48.85546875" customWidth="1"/>
    <col min="15114" max="15114" width="13.42578125" customWidth="1"/>
    <col min="15115" max="15115" width="14.7109375" bestFit="1" customWidth="1"/>
    <col min="15116" max="15116" width="17.42578125" customWidth="1"/>
    <col min="15364" max="15364" width="28.140625" customWidth="1"/>
    <col min="15365" max="15365" width="40.28515625" customWidth="1"/>
    <col min="15366" max="15366" width="28.42578125" customWidth="1"/>
    <col min="15367" max="15367" width="17" customWidth="1"/>
    <col min="15368" max="15368" width="14.140625" customWidth="1"/>
    <col min="15369" max="15369" width="48.85546875" customWidth="1"/>
    <col min="15370" max="15370" width="13.42578125" customWidth="1"/>
    <col min="15371" max="15371" width="14.7109375" bestFit="1" customWidth="1"/>
    <col min="15372" max="15372" width="17.42578125" customWidth="1"/>
    <col min="15620" max="15620" width="28.140625" customWidth="1"/>
    <col min="15621" max="15621" width="40.28515625" customWidth="1"/>
    <col min="15622" max="15622" width="28.42578125" customWidth="1"/>
    <col min="15623" max="15623" width="17" customWidth="1"/>
    <col min="15624" max="15624" width="14.140625" customWidth="1"/>
    <col min="15625" max="15625" width="48.85546875" customWidth="1"/>
    <col min="15626" max="15626" width="13.42578125" customWidth="1"/>
    <col min="15627" max="15627" width="14.7109375" bestFit="1" customWidth="1"/>
    <col min="15628" max="15628" width="17.42578125" customWidth="1"/>
    <col min="15876" max="15876" width="28.140625" customWidth="1"/>
    <col min="15877" max="15877" width="40.28515625" customWidth="1"/>
    <col min="15878" max="15878" width="28.42578125" customWidth="1"/>
    <col min="15879" max="15879" width="17" customWidth="1"/>
    <col min="15880" max="15880" width="14.140625" customWidth="1"/>
    <col min="15881" max="15881" width="48.85546875" customWidth="1"/>
    <col min="15882" max="15882" width="13.42578125" customWidth="1"/>
    <col min="15883" max="15883" width="14.7109375" bestFit="1" customWidth="1"/>
    <col min="15884" max="15884" width="17.42578125" customWidth="1"/>
    <col min="16132" max="16132" width="28.140625" customWidth="1"/>
    <col min="16133" max="16133" width="40.28515625" customWidth="1"/>
    <col min="16134" max="16134" width="28.42578125" customWidth="1"/>
    <col min="16135" max="16135" width="17" customWidth="1"/>
    <col min="16136" max="16136" width="14.140625" customWidth="1"/>
    <col min="16137" max="16137" width="48.85546875" customWidth="1"/>
    <col min="16138" max="16138" width="13.42578125" customWidth="1"/>
    <col min="16139" max="16139" width="14.7109375" bestFit="1" customWidth="1"/>
    <col min="16140" max="16140" width="17.42578125" customWidth="1"/>
  </cols>
  <sheetData>
    <row r="1" spans="1:9" s="335" customFormat="1" ht="23.25" customHeight="1" thickBot="1">
      <c r="A1" s="1310" t="s">
        <v>1807</v>
      </c>
      <c r="B1" s="1311"/>
      <c r="C1" s="1311"/>
      <c r="D1" s="1311"/>
      <c r="E1" s="1311"/>
      <c r="F1" s="1311"/>
      <c r="G1" s="1311"/>
      <c r="H1" s="1311"/>
      <c r="I1" s="1312"/>
    </row>
    <row r="2" spans="1:9" s="335" customFormat="1" ht="20.25">
      <c r="A2" s="336" t="s">
        <v>1808</v>
      </c>
      <c r="B2" s="337"/>
      <c r="C2" s="1313"/>
      <c r="D2" s="1314"/>
      <c r="E2" s="1314"/>
      <c r="F2" s="1314"/>
      <c r="G2" s="1314"/>
      <c r="H2" s="1314"/>
      <c r="I2" s="338"/>
    </row>
    <row r="3" spans="1:9" s="335" customFormat="1" ht="20.25">
      <c r="A3" s="339" t="s">
        <v>1809</v>
      </c>
      <c r="B3" s="340"/>
      <c r="C3" s="1313"/>
      <c r="D3" s="1314"/>
      <c r="E3" s="1314"/>
      <c r="F3" s="1314"/>
      <c r="G3" s="1314"/>
      <c r="H3" s="1314"/>
      <c r="I3" s="341"/>
    </row>
    <row r="4" spans="1:9" s="335" customFormat="1" ht="24" customHeight="1" thickBot="1">
      <c r="A4" s="1315" t="s">
        <v>2096</v>
      </c>
      <c r="B4" s="1316"/>
      <c r="C4" s="1316"/>
      <c r="D4" s="1316"/>
      <c r="E4" s="1316"/>
      <c r="F4" s="1316"/>
      <c r="G4" s="1316"/>
      <c r="H4" s="1316"/>
      <c r="I4" s="342"/>
    </row>
    <row r="5" spans="1:9" s="335" customFormat="1" ht="10.5" customHeight="1" thickBot="1">
      <c r="A5" s="1317"/>
      <c r="B5" s="1318"/>
      <c r="C5" s="1318"/>
      <c r="D5" s="1318"/>
      <c r="E5" s="1318"/>
      <c r="F5" s="1318"/>
      <c r="G5" s="1318"/>
      <c r="H5" s="1318"/>
      <c r="I5" s="1319"/>
    </row>
    <row r="6" spans="1:9" s="335" customFormat="1" ht="25.5" customHeight="1">
      <c r="A6" s="1198" t="s">
        <v>1811</v>
      </c>
      <c r="B6" s="1199"/>
      <c r="C6" s="1199"/>
      <c r="D6" s="1199"/>
      <c r="E6" s="1199"/>
      <c r="F6" s="1199"/>
      <c r="G6" s="1199"/>
      <c r="H6" s="1199"/>
      <c r="I6" s="1320"/>
    </row>
    <row r="7" spans="1:9" s="335" customFormat="1" ht="22.5" customHeight="1">
      <c r="A7" s="343" t="s">
        <v>1554</v>
      </c>
      <c r="B7" s="1101" t="s">
        <v>1812</v>
      </c>
      <c r="C7" s="1102"/>
      <c r="D7" s="1102"/>
      <c r="E7" s="1102"/>
      <c r="F7" s="1102"/>
      <c r="G7" s="1102"/>
      <c r="H7" s="1128"/>
      <c r="I7" s="344"/>
    </row>
    <row r="8" spans="1:9" s="335" customFormat="1" ht="22.5" customHeight="1">
      <c r="A8" s="343" t="s">
        <v>1556</v>
      </c>
      <c r="B8" s="1101" t="s">
        <v>1557</v>
      </c>
      <c r="C8" s="1102"/>
      <c r="D8" s="1102"/>
      <c r="E8" s="1102"/>
      <c r="F8" s="1102"/>
      <c r="G8" s="1102"/>
      <c r="H8" s="1128"/>
      <c r="I8" s="345" t="s">
        <v>1813</v>
      </c>
    </row>
    <row r="9" spans="1:9" s="335" customFormat="1" ht="23.25" customHeight="1">
      <c r="A9" s="343" t="s">
        <v>1559</v>
      </c>
      <c r="B9" s="1306" t="s">
        <v>1814</v>
      </c>
      <c r="C9" s="1307"/>
      <c r="D9" s="1307"/>
      <c r="E9" s="1307"/>
      <c r="F9" s="1307"/>
      <c r="G9" s="1307"/>
      <c r="H9" s="1308"/>
      <c r="I9" s="346" t="s">
        <v>2148</v>
      </c>
    </row>
    <row r="10" spans="1:9" s="335" customFormat="1" ht="21" customHeight="1">
      <c r="A10" s="343" t="s">
        <v>1562</v>
      </c>
      <c r="B10" s="1101" t="s">
        <v>1816</v>
      </c>
      <c r="C10" s="1102"/>
      <c r="D10" s="1102"/>
      <c r="E10" s="1102"/>
      <c r="F10" s="1102"/>
      <c r="G10" s="1102"/>
      <c r="H10" s="1128"/>
      <c r="I10" s="347">
        <v>12</v>
      </c>
    </row>
    <row r="11" spans="1:9" s="335" customFormat="1" ht="21.75" customHeight="1" thickBot="1">
      <c r="A11" s="348" t="s">
        <v>1581</v>
      </c>
      <c r="B11" s="1309" t="s">
        <v>1817</v>
      </c>
      <c r="C11" s="1309"/>
      <c r="D11" s="1309"/>
      <c r="E11" s="1309"/>
      <c r="F11" s="1309"/>
      <c r="G11" s="1309"/>
      <c r="H11" s="1309"/>
      <c r="I11" s="349">
        <v>22</v>
      </c>
    </row>
    <row r="12" spans="1:9" s="335" customFormat="1" ht="9" customHeight="1" thickBot="1">
      <c r="A12" s="1009"/>
      <c r="B12" s="1010"/>
      <c r="C12" s="1010"/>
      <c r="D12" s="1010"/>
      <c r="E12" s="1010"/>
      <c r="F12" s="1010"/>
      <c r="G12" s="1010"/>
      <c r="H12" s="1010"/>
      <c r="I12" s="1011"/>
    </row>
    <row r="13" spans="1:9" s="335" customFormat="1" ht="27" customHeight="1">
      <c r="A13" s="1198" t="s">
        <v>1818</v>
      </c>
      <c r="B13" s="1199"/>
      <c r="C13" s="1199"/>
      <c r="D13" s="1199"/>
      <c r="E13" s="1199"/>
      <c r="F13" s="1199"/>
      <c r="G13" s="1199"/>
      <c r="H13" s="1199"/>
      <c r="I13" s="1320"/>
    </row>
    <row r="14" spans="1:9" s="335" customFormat="1" ht="36.75" customHeight="1">
      <c r="A14" s="1321" t="s">
        <v>1534</v>
      </c>
      <c r="B14" s="1322"/>
      <c r="C14" s="1323"/>
      <c r="D14" s="1324" t="s">
        <v>1819</v>
      </c>
      <c r="E14" s="1322"/>
      <c r="F14" s="1323"/>
      <c r="G14" s="1325" t="s">
        <v>1820</v>
      </c>
      <c r="H14" s="1326"/>
      <c r="I14" s="1327"/>
    </row>
    <row r="15" spans="1:9" s="335" customFormat="1" ht="30" customHeight="1">
      <c r="A15" s="1301" t="s">
        <v>1806</v>
      </c>
      <c r="B15" s="1302"/>
      <c r="C15" s="1303"/>
      <c r="D15" s="1304" t="s">
        <v>2098</v>
      </c>
      <c r="E15" s="1302"/>
      <c r="F15" s="1303"/>
      <c r="G15" s="1304">
        <v>1</v>
      </c>
      <c r="H15" s="1302"/>
      <c r="I15" s="1305"/>
    </row>
    <row r="16" spans="1:9" s="335" customFormat="1" ht="8.25" customHeight="1">
      <c r="A16" s="1044"/>
      <c r="B16" s="1045"/>
      <c r="C16" s="1045"/>
      <c r="D16" s="1045"/>
      <c r="E16" s="1045"/>
      <c r="F16" s="1045"/>
      <c r="G16" s="1045"/>
      <c r="H16" s="1045"/>
      <c r="I16" s="1046"/>
    </row>
    <row r="17" spans="1:9" s="335" customFormat="1" ht="26.25" customHeight="1">
      <c r="A17" s="1290" t="s">
        <v>1823</v>
      </c>
      <c r="B17" s="1291"/>
      <c r="C17" s="1291"/>
      <c r="D17" s="1291"/>
      <c r="E17" s="1291"/>
      <c r="F17" s="1291"/>
      <c r="G17" s="1292"/>
      <c r="H17" s="1292"/>
      <c r="I17" s="1293"/>
    </row>
    <row r="18" spans="1:9" s="335" customFormat="1" ht="32.25" customHeight="1">
      <c r="A18" s="1294" t="s">
        <v>1824</v>
      </c>
      <c r="B18" s="1295"/>
      <c r="C18" s="1295"/>
      <c r="D18" s="1295"/>
      <c r="E18" s="1295"/>
      <c r="F18" s="1295"/>
      <c r="G18" s="1292"/>
      <c r="H18" s="1292"/>
      <c r="I18" s="1293"/>
    </row>
    <row r="19" spans="1:9" s="335" customFormat="1" ht="27.75" customHeight="1">
      <c r="A19" s="1296" t="s">
        <v>1825</v>
      </c>
      <c r="B19" s="1297"/>
      <c r="C19" s="1297"/>
      <c r="D19" s="1297"/>
      <c r="E19" s="1297"/>
      <c r="F19" s="1297"/>
      <c r="G19" s="1298"/>
      <c r="H19" s="1299"/>
      <c r="I19" s="1300"/>
    </row>
    <row r="20" spans="1:9" s="335" customFormat="1" ht="33.75" customHeight="1">
      <c r="A20" s="343">
        <v>1</v>
      </c>
      <c r="B20" s="1274" t="s">
        <v>1566</v>
      </c>
      <c r="C20" s="1275"/>
      <c r="D20" s="1275"/>
      <c r="E20" s="1275"/>
      <c r="F20" s="1275"/>
      <c r="G20" s="1284" t="s">
        <v>1830</v>
      </c>
      <c r="H20" s="1285"/>
      <c r="I20" s="1286"/>
    </row>
    <row r="21" spans="1:9" s="335" customFormat="1" ht="30.75" customHeight="1">
      <c r="A21" s="343">
        <v>2</v>
      </c>
      <c r="B21" s="1274" t="s">
        <v>1827</v>
      </c>
      <c r="C21" s="1275"/>
      <c r="D21" s="1275"/>
      <c r="E21" s="1275"/>
      <c r="F21" s="1275"/>
      <c r="G21" s="1276" t="s">
        <v>2149</v>
      </c>
      <c r="H21" s="1277"/>
      <c r="I21" s="1278"/>
    </row>
    <row r="22" spans="1:9" s="335" customFormat="1" ht="27" customHeight="1">
      <c r="A22" s="343">
        <v>3</v>
      </c>
      <c r="B22" s="1274" t="s">
        <v>1570</v>
      </c>
      <c r="C22" s="1275"/>
      <c r="D22" s="1275"/>
      <c r="E22" s="1275"/>
      <c r="F22" s="1275"/>
      <c r="G22" s="1287">
        <v>1932.11</v>
      </c>
      <c r="H22" s="1288"/>
      <c r="I22" s="1289"/>
    </row>
    <row r="23" spans="1:9" s="335" customFormat="1" ht="29.25" customHeight="1">
      <c r="A23" s="343">
        <v>4</v>
      </c>
      <c r="B23" s="1274" t="s">
        <v>1829</v>
      </c>
      <c r="C23" s="1275"/>
      <c r="D23" s="1275"/>
      <c r="E23" s="1275"/>
      <c r="F23" s="1275"/>
      <c r="G23" s="1276" t="s">
        <v>1830</v>
      </c>
      <c r="H23" s="1277"/>
      <c r="I23" s="1278"/>
    </row>
    <row r="24" spans="1:9" s="335" customFormat="1" ht="28.5" customHeight="1" thickBot="1">
      <c r="A24" s="343">
        <v>5</v>
      </c>
      <c r="B24" s="1274" t="s">
        <v>1573</v>
      </c>
      <c r="C24" s="1275"/>
      <c r="D24" s="1275"/>
      <c r="E24" s="1275"/>
      <c r="F24" s="1275"/>
      <c r="G24" s="1398">
        <v>45658</v>
      </c>
      <c r="H24" s="1280"/>
      <c r="I24" s="1281"/>
    </row>
    <row r="25" spans="1:9" s="335" customFormat="1" ht="8.25" customHeight="1">
      <c r="A25" s="1044"/>
      <c r="B25" s="1045"/>
      <c r="C25" s="1045"/>
      <c r="D25" s="1045"/>
      <c r="E25" s="1045"/>
      <c r="F25" s="1045"/>
      <c r="G25" s="1045"/>
      <c r="H25" s="1045"/>
      <c r="I25" s="351"/>
    </row>
    <row r="26" spans="1:9" s="335" customFormat="1" ht="30" customHeight="1">
      <c r="A26" s="1282" t="s">
        <v>1832</v>
      </c>
      <c r="B26" s="1283"/>
      <c r="C26" s="1283"/>
      <c r="D26" s="1283"/>
      <c r="E26" s="1283"/>
      <c r="F26" s="1283"/>
      <c r="G26" s="1283"/>
      <c r="H26" s="1283"/>
      <c r="I26" s="352"/>
    </row>
    <row r="27" spans="1:9" s="335" customFormat="1" ht="24" customHeight="1">
      <c r="A27" s="1266" t="s">
        <v>1833</v>
      </c>
      <c r="B27" s="1267"/>
      <c r="C27" s="1267"/>
      <c r="D27" s="1267"/>
      <c r="E27" s="1267"/>
      <c r="F27" s="1267"/>
      <c r="G27" s="1267"/>
      <c r="H27" s="1267"/>
      <c r="I27" s="352"/>
    </row>
    <row r="28" spans="1:9" s="335" customFormat="1" ht="12.75" customHeight="1" thickBot="1">
      <c r="A28" s="1268"/>
      <c r="B28" s="1269"/>
      <c r="C28" s="1269"/>
      <c r="D28" s="1269"/>
      <c r="E28" s="1269"/>
      <c r="F28" s="1269"/>
      <c r="G28" s="1269"/>
      <c r="H28" s="1269"/>
      <c r="I28" s="353"/>
    </row>
    <row r="29" spans="1:9" s="335" customFormat="1" ht="27" thickBot="1">
      <c r="A29" s="1092" t="s">
        <v>1834</v>
      </c>
      <c r="B29" s="1093"/>
      <c r="C29" s="1093"/>
      <c r="D29" s="1093"/>
      <c r="E29" s="1093"/>
      <c r="F29" s="1093"/>
      <c r="G29" s="1093"/>
      <c r="H29" s="1094"/>
      <c r="I29" s="352"/>
    </row>
    <row r="30" spans="1:9" s="335" customFormat="1" ht="28.5" customHeight="1">
      <c r="A30" s="1270" t="s">
        <v>1575</v>
      </c>
      <c r="B30" s="1271"/>
      <c r="C30" s="1271"/>
      <c r="D30" s="1271"/>
      <c r="E30" s="1271"/>
      <c r="F30" s="1271" t="s">
        <v>1576</v>
      </c>
      <c r="G30" s="1271"/>
      <c r="H30" s="1271"/>
      <c r="I30" s="352"/>
    </row>
    <row r="31" spans="1:9" s="335" customFormat="1" ht="25.5" customHeight="1">
      <c r="A31" s="343" t="s">
        <v>1554</v>
      </c>
      <c r="B31" s="1101" t="s">
        <v>1835</v>
      </c>
      <c r="C31" s="1102"/>
      <c r="D31" s="1102"/>
      <c r="E31" s="1128"/>
      <c r="F31" s="1272"/>
      <c r="G31" s="1273"/>
      <c r="H31" s="1273"/>
      <c r="I31" s="352"/>
    </row>
    <row r="32" spans="1:9" s="335" customFormat="1" ht="43.5" customHeight="1">
      <c r="A32" s="343" t="s">
        <v>1556</v>
      </c>
      <c r="B32" s="1201" t="s">
        <v>1836</v>
      </c>
      <c r="C32" s="1202"/>
      <c r="D32" s="1202"/>
      <c r="E32" s="1203"/>
      <c r="F32" s="1262">
        <f>F31*30%</f>
        <v>0</v>
      </c>
      <c r="G32" s="1263"/>
      <c r="H32" s="1263"/>
      <c r="I32" s="354"/>
    </row>
    <row r="33" spans="1:9" s="335" customFormat="1" ht="44.25" customHeight="1">
      <c r="A33" s="343" t="s">
        <v>1559</v>
      </c>
      <c r="B33" s="1101" t="s">
        <v>1579</v>
      </c>
      <c r="C33" s="1102"/>
      <c r="D33" s="1102"/>
      <c r="E33" s="1128"/>
      <c r="F33" s="1264"/>
      <c r="G33" s="1265"/>
      <c r="H33" s="1265"/>
      <c r="I33" s="355"/>
    </row>
    <row r="34" spans="1:9" s="335" customFormat="1" ht="48" customHeight="1">
      <c r="A34" s="343" t="s">
        <v>1562</v>
      </c>
      <c r="B34" s="1201" t="s">
        <v>1837</v>
      </c>
      <c r="C34" s="1202"/>
      <c r="D34" s="1202"/>
      <c r="E34" s="1203"/>
      <c r="F34" s="1262">
        <v>0</v>
      </c>
      <c r="G34" s="1263"/>
      <c r="H34" s="1263"/>
      <c r="I34" s="1251"/>
    </row>
    <row r="35" spans="1:9" s="335" customFormat="1" ht="45" customHeight="1">
      <c r="A35" s="343" t="s">
        <v>1581</v>
      </c>
      <c r="B35" s="1149" t="s">
        <v>1838</v>
      </c>
      <c r="C35" s="1150"/>
      <c r="D35" s="1150"/>
      <c r="E35" s="1151"/>
      <c r="F35" s="1253">
        <v>0</v>
      </c>
      <c r="G35" s="1254"/>
      <c r="H35" s="1254"/>
      <c r="I35" s="1252"/>
    </row>
    <row r="36" spans="1:9" s="335" customFormat="1" ht="30" customHeight="1">
      <c r="A36" s="343" t="s">
        <v>1583</v>
      </c>
      <c r="B36" s="1101" t="s">
        <v>1584</v>
      </c>
      <c r="C36" s="1102"/>
      <c r="D36" s="1102"/>
      <c r="E36" s="1128"/>
      <c r="F36" s="1255"/>
      <c r="G36" s="1256"/>
      <c r="H36" s="1256"/>
      <c r="I36" s="352"/>
    </row>
    <row r="37" spans="1:9" s="335" customFormat="1" ht="24" thickBot="1">
      <c r="A37" s="356"/>
      <c r="B37" s="1257" t="s">
        <v>1839</v>
      </c>
      <c r="C37" s="1258"/>
      <c r="D37" s="1258"/>
      <c r="E37" s="1259"/>
      <c r="F37" s="1260">
        <f>SUM(F31:H36)</f>
        <v>0</v>
      </c>
      <c r="G37" s="1261"/>
      <c r="H37" s="1261"/>
      <c r="I37" s="352"/>
    </row>
    <row r="38" spans="1:9" s="335" customFormat="1" ht="9.75" customHeight="1" thickBot="1">
      <c r="A38" s="1009" t="s">
        <v>1840</v>
      </c>
      <c r="B38" s="1010"/>
      <c r="C38" s="1010"/>
      <c r="D38" s="1010"/>
      <c r="E38" s="1010"/>
      <c r="F38" s="1010"/>
      <c r="G38" s="1010"/>
      <c r="H38" s="1010"/>
      <c r="I38" s="1011"/>
    </row>
    <row r="39" spans="1:9" s="335" customFormat="1" ht="18.75">
      <c r="A39" s="1239" t="s">
        <v>1841</v>
      </c>
      <c r="B39" s="1240"/>
      <c r="C39" s="1240"/>
      <c r="D39" s="1240"/>
      <c r="E39" s="1240"/>
      <c r="F39" s="1240"/>
      <c r="G39" s="1240"/>
      <c r="H39" s="1240"/>
      <c r="I39" s="1241"/>
    </row>
    <row r="40" spans="1:9" s="335" customFormat="1" ht="1.5" customHeight="1" thickBot="1">
      <c r="A40" s="1242"/>
      <c r="B40" s="1243"/>
      <c r="C40" s="1243"/>
      <c r="D40" s="1243"/>
      <c r="E40" s="1243"/>
      <c r="F40" s="1243"/>
      <c r="G40" s="1243"/>
      <c r="H40" s="1243"/>
      <c r="I40" s="1244"/>
    </row>
    <row r="41" spans="1:9" s="335" customFormat="1" ht="9.75" customHeight="1" thickBot="1">
      <c r="A41" s="1245"/>
      <c r="B41" s="1246"/>
      <c r="C41" s="1246"/>
      <c r="D41" s="1246"/>
      <c r="E41" s="1246"/>
      <c r="F41" s="1246"/>
      <c r="G41" s="1246"/>
      <c r="H41" s="1246"/>
      <c r="I41" s="1247"/>
    </row>
    <row r="42" spans="1:9" s="335" customFormat="1" ht="36" customHeight="1" thickBot="1">
      <c r="A42" s="1092" t="s">
        <v>1842</v>
      </c>
      <c r="B42" s="1093"/>
      <c r="C42" s="1093"/>
      <c r="D42" s="1093"/>
      <c r="E42" s="1093"/>
      <c r="F42" s="1093"/>
      <c r="G42" s="1093"/>
      <c r="H42" s="1093"/>
      <c r="I42" s="1094"/>
    </row>
    <row r="43" spans="1:9" s="335" customFormat="1" ht="34.5" customHeight="1">
      <c r="A43" s="1248" t="s">
        <v>1843</v>
      </c>
      <c r="B43" s="1249"/>
      <c r="C43" s="1249"/>
      <c r="D43" s="1249"/>
      <c r="E43" s="1249"/>
      <c r="F43" s="1249"/>
      <c r="G43" s="1249"/>
      <c r="H43" s="1249"/>
      <c r="I43" s="1250"/>
    </row>
    <row r="44" spans="1:9" s="335" customFormat="1" ht="27" customHeight="1">
      <c r="A44" s="343" t="s">
        <v>710</v>
      </c>
      <c r="B44" s="1236" t="s">
        <v>1844</v>
      </c>
      <c r="C44" s="1237"/>
      <c r="D44" s="1237"/>
      <c r="E44" s="1238"/>
      <c r="F44" s="1236" t="s">
        <v>1845</v>
      </c>
      <c r="G44" s="1237"/>
      <c r="H44" s="1238"/>
      <c r="I44" s="357" t="s">
        <v>1576</v>
      </c>
    </row>
    <row r="45" spans="1:9" s="335" customFormat="1" ht="18.75" customHeight="1">
      <c r="A45" s="358" t="s">
        <v>1554</v>
      </c>
      <c r="B45" s="1207" t="s">
        <v>1846</v>
      </c>
      <c r="C45" s="1208"/>
      <c r="D45" s="1208"/>
      <c r="E45" s="1209"/>
      <c r="F45" s="1154">
        <v>8.3299999999999999E-2</v>
      </c>
      <c r="G45" s="1155"/>
      <c r="H45" s="1156"/>
      <c r="I45" s="359">
        <f>F37*F45</f>
        <v>0</v>
      </c>
    </row>
    <row r="46" spans="1:9" s="335" customFormat="1" ht="18">
      <c r="A46" s="358" t="s">
        <v>1556</v>
      </c>
      <c r="B46" s="1207" t="s">
        <v>2150</v>
      </c>
      <c r="C46" s="1208"/>
      <c r="D46" s="1208"/>
      <c r="E46" s="1209"/>
      <c r="F46" s="1154">
        <v>0.121</v>
      </c>
      <c r="G46" s="1155"/>
      <c r="H46" s="1156"/>
      <c r="I46" s="359">
        <f>F46*F37</f>
        <v>0</v>
      </c>
    </row>
    <row r="47" spans="1:9" s="335" customFormat="1" ht="20.25">
      <c r="A47" s="360"/>
      <c r="B47" s="1221" t="s">
        <v>1848</v>
      </c>
      <c r="C47" s="1222"/>
      <c r="D47" s="1222"/>
      <c r="E47" s="1223"/>
      <c r="F47" s="1224">
        <f>F45+F46</f>
        <v>0.20429999999999998</v>
      </c>
      <c r="G47" s="1225"/>
      <c r="H47" s="1226"/>
      <c r="I47" s="361">
        <f>I45+I46</f>
        <v>0</v>
      </c>
    </row>
    <row r="48" spans="1:9" s="335" customFormat="1" ht="33.75" customHeight="1">
      <c r="A48" s="362"/>
      <c r="B48" s="1227" t="s">
        <v>1849</v>
      </c>
      <c r="C48" s="1228"/>
      <c r="D48" s="1228"/>
      <c r="E48" s="1229"/>
      <c r="F48" s="1230">
        <f>F61*F47</f>
        <v>7.5182399999999996E-2</v>
      </c>
      <c r="G48" s="1231"/>
      <c r="H48" s="1232"/>
      <c r="I48" s="363">
        <f>F61*I47</f>
        <v>0</v>
      </c>
    </row>
    <row r="49" spans="1:17" s="335" customFormat="1" ht="30" customHeight="1" thickBot="1">
      <c r="A49" s="364"/>
      <c r="B49" s="1233" t="s">
        <v>15</v>
      </c>
      <c r="C49" s="1234"/>
      <c r="D49" s="1234"/>
      <c r="E49" s="1235"/>
      <c r="F49" s="1146">
        <f>F47+F48</f>
        <v>0.27948239999999996</v>
      </c>
      <c r="G49" s="1147"/>
      <c r="H49" s="1148"/>
      <c r="I49" s="365">
        <f>I47+I48</f>
        <v>0</v>
      </c>
      <c r="J49" s="366"/>
    </row>
    <row r="50" spans="1:17" s="367" customFormat="1" ht="8.25" customHeight="1" thickBot="1">
      <c r="A50" s="1009"/>
      <c r="B50" s="1010"/>
      <c r="C50" s="1010"/>
      <c r="D50" s="1010"/>
      <c r="E50" s="1010"/>
      <c r="F50" s="1010"/>
      <c r="G50" s="1010"/>
      <c r="H50" s="1010"/>
      <c r="I50" s="1011"/>
      <c r="J50" s="335"/>
      <c r="K50" s="335"/>
      <c r="L50" s="335"/>
      <c r="M50" s="335"/>
      <c r="N50" s="335"/>
      <c r="O50" s="335"/>
      <c r="P50" s="335"/>
      <c r="Q50" s="335"/>
    </row>
    <row r="51" spans="1:17" s="335" customFormat="1" ht="41.25" customHeight="1">
      <c r="A51" s="1217" t="s">
        <v>1850</v>
      </c>
      <c r="B51" s="1218"/>
      <c r="C51" s="1218"/>
      <c r="D51" s="1218"/>
      <c r="E51" s="1218"/>
      <c r="F51" s="1218"/>
      <c r="G51" s="1218"/>
      <c r="H51" s="1218"/>
      <c r="I51" s="1219"/>
      <c r="J51" s="366"/>
    </row>
    <row r="52" spans="1:17" s="335" customFormat="1" ht="24" customHeight="1">
      <c r="A52" s="343" t="s">
        <v>782</v>
      </c>
      <c r="B52" s="1153" t="s">
        <v>1594</v>
      </c>
      <c r="C52" s="1064"/>
      <c r="D52" s="1064"/>
      <c r="E52" s="1065"/>
      <c r="F52" s="1153" t="s">
        <v>1845</v>
      </c>
      <c r="G52" s="1065"/>
      <c r="H52" s="1153" t="s">
        <v>1576</v>
      </c>
      <c r="I52" s="1220"/>
    </row>
    <row r="53" spans="1:17" s="335" customFormat="1" ht="20.25">
      <c r="A53" s="343" t="s">
        <v>1554</v>
      </c>
      <c r="B53" s="1207" t="s">
        <v>1595</v>
      </c>
      <c r="C53" s="1208"/>
      <c r="D53" s="1208"/>
      <c r="E53" s="1209"/>
      <c r="F53" s="1074">
        <v>0.2</v>
      </c>
      <c r="G53" s="1075"/>
      <c r="H53" s="1072">
        <f>$F$37*F53</f>
        <v>0</v>
      </c>
      <c r="I53" s="1073"/>
    </row>
    <row r="54" spans="1:17" s="335" customFormat="1" ht="20.25">
      <c r="A54" s="343" t="s">
        <v>1556</v>
      </c>
      <c r="B54" s="1207" t="s">
        <v>1596</v>
      </c>
      <c r="C54" s="1208"/>
      <c r="D54" s="1208"/>
      <c r="E54" s="1209"/>
      <c r="F54" s="1074">
        <v>2.5000000000000001E-2</v>
      </c>
      <c r="G54" s="1075"/>
      <c r="H54" s="1072">
        <f t="shared" ref="H54:H60" si="0">$F$37*F54</f>
        <v>0</v>
      </c>
      <c r="I54" s="1073"/>
    </row>
    <row r="55" spans="1:17" s="335" customFormat="1" ht="20.25">
      <c r="A55" s="343" t="s">
        <v>1559</v>
      </c>
      <c r="B55" s="1216" t="s">
        <v>1851</v>
      </c>
      <c r="C55" s="1208"/>
      <c r="D55" s="1208"/>
      <c r="E55" s="1209"/>
      <c r="F55" s="1074">
        <v>0.03</v>
      </c>
      <c r="G55" s="1075"/>
      <c r="H55" s="1072">
        <f t="shared" si="0"/>
        <v>0</v>
      </c>
      <c r="I55" s="1073"/>
    </row>
    <row r="56" spans="1:17" s="335" customFormat="1" ht="20.25">
      <c r="A56" s="343" t="s">
        <v>1562</v>
      </c>
      <c r="B56" s="1207" t="s">
        <v>1598</v>
      </c>
      <c r="C56" s="1208"/>
      <c r="D56" s="1208"/>
      <c r="E56" s="1209"/>
      <c r="F56" s="1074">
        <v>1.4999999999999999E-2</v>
      </c>
      <c r="G56" s="1075"/>
      <c r="H56" s="1072">
        <f t="shared" si="0"/>
        <v>0</v>
      </c>
      <c r="I56" s="1073"/>
    </row>
    <row r="57" spans="1:17" s="335" customFormat="1" ht="20.25">
      <c r="A57" s="343" t="s">
        <v>1581</v>
      </c>
      <c r="B57" s="1207" t="s">
        <v>1852</v>
      </c>
      <c r="C57" s="1208"/>
      <c r="D57" s="1208"/>
      <c r="E57" s="1209"/>
      <c r="F57" s="1074">
        <v>0.01</v>
      </c>
      <c r="G57" s="1075"/>
      <c r="H57" s="1072">
        <f t="shared" si="0"/>
        <v>0</v>
      </c>
      <c r="I57" s="1073"/>
    </row>
    <row r="58" spans="1:17" s="335" customFormat="1" ht="20.25">
      <c r="A58" s="343" t="s">
        <v>1583</v>
      </c>
      <c r="B58" s="1207" t="s">
        <v>1600</v>
      </c>
      <c r="C58" s="1208"/>
      <c r="D58" s="1208"/>
      <c r="E58" s="1209"/>
      <c r="F58" s="1074">
        <v>6.0000000000000001E-3</v>
      </c>
      <c r="G58" s="1075"/>
      <c r="H58" s="1072">
        <f t="shared" si="0"/>
        <v>0</v>
      </c>
      <c r="I58" s="1073"/>
    </row>
    <row r="59" spans="1:17" s="335" customFormat="1" ht="20.25">
      <c r="A59" s="343" t="s">
        <v>1601</v>
      </c>
      <c r="B59" s="1207" t="s">
        <v>1602</v>
      </c>
      <c r="C59" s="1208"/>
      <c r="D59" s="1208"/>
      <c r="E59" s="1209"/>
      <c r="F59" s="1074">
        <v>2E-3</v>
      </c>
      <c r="G59" s="1075"/>
      <c r="H59" s="1072">
        <f t="shared" si="0"/>
        <v>0</v>
      </c>
      <c r="I59" s="1073"/>
    </row>
    <row r="60" spans="1:17" s="335" customFormat="1" ht="20.25">
      <c r="A60" s="343" t="s">
        <v>1603</v>
      </c>
      <c r="B60" s="1207" t="s">
        <v>1604</v>
      </c>
      <c r="C60" s="1208"/>
      <c r="D60" s="1208"/>
      <c r="E60" s="1209"/>
      <c r="F60" s="1074">
        <v>0.08</v>
      </c>
      <c r="G60" s="1075"/>
      <c r="H60" s="1072">
        <f t="shared" si="0"/>
        <v>0</v>
      </c>
      <c r="I60" s="1073"/>
    </row>
    <row r="61" spans="1:17" s="335" customFormat="1" ht="21" thickBot="1">
      <c r="A61" s="368"/>
      <c r="B61" s="1210" t="s">
        <v>1853</v>
      </c>
      <c r="C61" s="1211"/>
      <c r="D61" s="1211"/>
      <c r="E61" s="1212"/>
      <c r="F61" s="1334">
        <f>SUM(F53:G60)</f>
        <v>0.36800000000000005</v>
      </c>
      <c r="G61" s="1335"/>
      <c r="H61" s="1118">
        <f>SUM(H53:I60)</f>
        <v>0</v>
      </c>
      <c r="I61" s="1215"/>
    </row>
    <row r="62" spans="1:17" s="335" customFormat="1" ht="9.75" customHeight="1" thickBot="1">
      <c r="A62" s="1009"/>
      <c r="B62" s="1010"/>
      <c r="C62" s="1010"/>
      <c r="D62" s="1010"/>
      <c r="E62" s="1010"/>
      <c r="F62" s="1010"/>
      <c r="G62" s="1010"/>
      <c r="H62" s="1010"/>
      <c r="I62" s="1011"/>
    </row>
    <row r="63" spans="1:17" s="335" customFormat="1" ht="31.5" customHeight="1">
      <c r="A63" s="1198" t="s">
        <v>1854</v>
      </c>
      <c r="B63" s="1199"/>
      <c r="C63" s="1199"/>
      <c r="D63" s="1199"/>
      <c r="E63" s="1199"/>
      <c r="F63" s="1199"/>
      <c r="G63" s="1199"/>
      <c r="H63" s="1200"/>
      <c r="I63" s="369"/>
    </row>
    <row r="64" spans="1:17" s="335" customFormat="1" ht="27" customHeight="1">
      <c r="A64" s="370" t="s">
        <v>789</v>
      </c>
      <c r="B64" s="1152" t="s">
        <v>1607</v>
      </c>
      <c r="C64" s="1108"/>
      <c r="D64" s="1108"/>
      <c r="E64" s="1109"/>
      <c r="F64" s="1152" t="s">
        <v>1576</v>
      </c>
      <c r="G64" s="1108"/>
      <c r="H64" s="1109"/>
      <c r="I64" s="369"/>
    </row>
    <row r="65" spans="1:9" s="335" customFormat="1" ht="37.5" customHeight="1">
      <c r="A65" s="343" t="s">
        <v>1554</v>
      </c>
      <c r="B65" s="1201" t="s">
        <v>2154</v>
      </c>
      <c r="C65" s="1202"/>
      <c r="D65" s="1202"/>
      <c r="E65" s="1203"/>
      <c r="F65" s="1204"/>
      <c r="G65" s="1205"/>
      <c r="H65" s="1206"/>
      <c r="I65" s="371"/>
    </row>
    <row r="66" spans="1:9" s="335" customFormat="1" ht="45" customHeight="1">
      <c r="A66" s="343" t="s">
        <v>1556</v>
      </c>
      <c r="B66" s="1429" t="s">
        <v>2155</v>
      </c>
      <c r="C66" s="1430"/>
      <c r="D66" s="1430"/>
      <c r="E66" s="1431"/>
      <c r="F66" s="1084"/>
      <c r="G66" s="1178"/>
      <c r="H66" s="1179"/>
      <c r="I66" s="369"/>
    </row>
    <row r="67" spans="1:9" s="335" customFormat="1" ht="25.5" customHeight="1">
      <c r="A67" s="343" t="s">
        <v>1858</v>
      </c>
      <c r="B67" s="1101" t="s">
        <v>1859</v>
      </c>
      <c r="C67" s="1102"/>
      <c r="D67" s="1102"/>
      <c r="E67" s="1128"/>
      <c r="F67" s="1426">
        <v>0</v>
      </c>
      <c r="G67" s="1427"/>
      <c r="H67" s="1428"/>
      <c r="I67" s="369"/>
    </row>
    <row r="68" spans="1:9" s="335" customFormat="1" ht="23.25" customHeight="1">
      <c r="A68" s="343" t="s">
        <v>1860</v>
      </c>
      <c r="B68" s="1101" t="s">
        <v>1861</v>
      </c>
      <c r="C68" s="1102"/>
      <c r="D68" s="1102"/>
      <c r="E68" s="1128"/>
      <c r="F68" s="1195">
        <f>F66-F67</f>
        <v>0</v>
      </c>
      <c r="G68" s="1196"/>
      <c r="H68" s="1197"/>
      <c r="I68" s="369"/>
    </row>
    <row r="69" spans="1:9" s="335" customFormat="1" ht="24" customHeight="1">
      <c r="A69" s="343" t="s">
        <v>1559</v>
      </c>
      <c r="B69" s="1185" t="s">
        <v>1862</v>
      </c>
      <c r="C69" s="1102"/>
      <c r="D69" s="1102"/>
      <c r="E69" s="1128"/>
      <c r="F69" s="1084"/>
      <c r="G69" s="1178"/>
      <c r="H69" s="1179"/>
      <c r="I69" s="369"/>
    </row>
    <row r="70" spans="1:9" s="335" customFormat="1" ht="24.75" customHeight="1">
      <c r="A70" s="343" t="s">
        <v>1562</v>
      </c>
      <c r="B70" s="1101" t="s">
        <v>1863</v>
      </c>
      <c r="C70" s="1102"/>
      <c r="D70" s="1102"/>
      <c r="E70" s="1128"/>
      <c r="F70" s="1084"/>
      <c r="G70" s="1178"/>
      <c r="H70" s="1179"/>
      <c r="I70" s="369"/>
    </row>
    <row r="71" spans="1:9" s="435" customFormat="1" ht="23.25" customHeight="1">
      <c r="A71" s="436" t="s">
        <v>1581</v>
      </c>
      <c r="B71" s="1186" t="s">
        <v>1864</v>
      </c>
      <c r="C71" s="1187"/>
      <c r="D71" s="1187"/>
      <c r="E71" s="1188"/>
      <c r="F71" s="1189">
        <v>0</v>
      </c>
      <c r="G71" s="1190"/>
      <c r="H71" s="1191"/>
      <c r="I71" s="434"/>
    </row>
    <row r="72" spans="1:9" s="335" customFormat="1" ht="40.5" customHeight="1">
      <c r="A72" s="343"/>
      <c r="B72" s="1101"/>
      <c r="C72" s="1102"/>
      <c r="D72" s="1102"/>
      <c r="E72" s="1128"/>
      <c r="F72" s="1084">
        <v>0</v>
      </c>
      <c r="G72" s="1178"/>
      <c r="H72" s="1179"/>
      <c r="I72" s="373"/>
    </row>
    <row r="73" spans="1:9" s="335" customFormat="1" ht="24.75" customHeight="1">
      <c r="A73" s="374"/>
      <c r="B73" s="1176" t="s">
        <v>1865</v>
      </c>
      <c r="C73" s="1177"/>
      <c r="D73" s="1177"/>
      <c r="E73" s="1180"/>
      <c r="F73" s="1181">
        <f>F65+F68+F69+F70+F71+F72</f>
        <v>0</v>
      </c>
      <c r="G73" s="1182"/>
      <c r="H73" s="1183"/>
      <c r="I73" s="369"/>
    </row>
    <row r="74" spans="1:9" s="335" customFormat="1" ht="7.5" customHeight="1">
      <c r="A74" s="1044"/>
      <c r="B74" s="1045"/>
      <c r="C74" s="1045"/>
      <c r="D74" s="1045"/>
      <c r="E74" s="1045"/>
      <c r="F74" s="1045"/>
      <c r="G74" s="1045"/>
      <c r="H74" s="1184"/>
      <c r="I74" s="369"/>
    </row>
    <row r="75" spans="1:9" s="335" customFormat="1" ht="23.25" customHeight="1">
      <c r="A75" s="375" t="s">
        <v>710</v>
      </c>
      <c r="B75" s="1173" t="str">
        <f>B44</f>
        <v>13º Salário, Férias e Adicional de Férias</v>
      </c>
      <c r="C75" s="1174"/>
      <c r="D75" s="1174"/>
      <c r="E75" s="1174"/>
      <c r="F75" s="1174"/>
      <c r="G75" s="1174"/>
      <c r="H75" s="1175"/>
      <c r="I75" s="376">
        <f>I49</f>
        <v>0</v>
      </c>
    </row>
    <row r="76" spans="1:9" s="335" customFormat="1" ht="24.75" customHeight="1">
      <c r="A76" s="375" t="s">
        <v>782</v>
      </c>
      <c r="B76" s="1170" t="str">
        <f>B52</f>
        <v>GPS, FGTS e outras contribuições</v>
      </c>
      <c r="C76" s="1171"/>
      <c r="D76" s="1171"/>
      <c r="E76" s="1171"/>
      <c r="F76" s="1171"/>
      <c r="G76" s="1171"/>
      <c r="H76" s="1172"/>
      <c r="I76" s="377">
        <f>H61</f>
        <v>0</v>
      </c>
    </row>
    <row r="77" spans="1:9" s="335" customFormat="1" ht="24.75" customHeight="1">
      <c r="A77" s="375" t="s">
        <v>789</v>
      </c>
      <c r="B77" s="1173" t="str">
        <f>B64</f>
        <v>Benefícios Mensais e Diários</v>
      </c>
      <c r="C77" s="1174" t="s">
        <v>1866</v>
      </c>
      <c r="D77" s="1174" t="s">
        <v>1866</v>
      </c>
      <c r="E77" s="1174" t="s">
        <v>1866</v>
      </c>
      <c r="F77" s="1174" t="s">
        <v>1866</v>
      </c>
      <c r="G77" s="1174" t="s">
        <v>1866</v>
      </c>
      <c r="H77" s="1175" t="s">
        <v>1866</v>
      </c>
      <c r="I77" s="376">
        <f>F73</f>
        <v>0</v>
      </c>
    </row>
    <row r="78" spans="1:9" s="335" customFormat="1" ht="21" customHeight="1">
      <c r="A78" s="1063" t="s">
        <v>15</v>
      </c>
      <c r="B78" s="1064"/>
      <c r="C78" s="1064"/>
      <c r="D78" s="1064"/>
      <c r="E78" s="1064"/>
      <c r="F78" s="1064"/>
      <c r="G78" s="1064"/>
      <c r="H78" s="1065"/>
      <c r="I78" s="378">
        <f>SUM(I75:I77)</f>
        <v>0</v>
      </c>
    </row>
    <row r="79" spans="1:9" s="335" customFormat="1" ht="8.25" customHeight="1">
      <c r="A79" s="1044"/>
      <c r="B79" s="1045"/>
      <c r="C79" s="1045"/>
      <c r="D79" s="1045"/>
      <c r="E79" s="1045"/>
      <c r="F79" s="1045"/>
      <c r="G79" s="1045"/>
      <c r="H79" s="1045"/>
      <c r="I79" s="1046"/>
    </row>
    <row r="80" spans="1:9" s="335" customFormat="1" ht="32.25" customHeight="1">
      <c r="A80" s="1160" t="s">
        <v>1867</v>
      </c>
      <c r="B80" s="1161"/>
      <c r="C80" s="1161"/>
      <c r="D80" s="1161"/>
      <c r="E80" s="1161"/>
      <c r="F80" s="1161"/>
      <c r="G80" s="1161"/>
      <c r="H80" s="1161"/>
      <c r="I80" s="1162"/>
    </row>
    <row r="81" spans="1:17" s="381" customFormat="1" ht="33.75" customHeight="1">
      <c r="A81" s="343">
        <v>3</v>
      </c>
      <c r="B81" s="1176" t="s">
        <v>1868</v>
      </c>
      <c r="C81" s="1177"/>
      <c r="D81" s="1177"/>
      <c r="E81" s="1177"/>
      <c r="F81" s="1177"/>
      <c r="G81" s="1177"/>
      <c r="H81" s="379" t="s">
        <v>1845</v>
      </c>
      <c r="I81" s="380" t="s">
        <v>1576</v>
      </c>
      <c r="J81" s="335"/>
      <c r="K81" s="335"/>
      <c r="L81" s="335"/>
      <c r="M81" s="335"/>
      <c r="N81" s="335"/>
      <c r="O81" s="335"/>
      <c r="P81" s="335"/>
      <c r="Q81" s="335"/>
    </row>
    <row r="82" spans="1:17" s="335" customFormat="1" ht="28.5" customHeight="1">
      <c r="A82" s="382" t="s">
        <v>1554</v>
      </c>
      <c r="B82" s="1101" t="s">
        <v>1869</v>
      </c>
      <c r="C82" s="1102"/>
      <c r="D82" s="1102"/>
      <c r="E82" s="1102"/>
      <c r="F82" s="1102"/>
      <c r="G82" s="1102"/>
      <c r="H82" s="383">
        <f>1/12*5%</f>
        <v>4.1666666666666666E-3</v>
      </c>
      <c r="I82" s="384">
        <f>H82*$F$37</f>
        <v>0</v>
      </c>
    </row>
    <row r="83" spans="1:17" s="335" customFormat="1" ht="31.5" customHeight="1">
      <c r="A83" s="382" t="s">
        <v>1556</v>
      </c>
      <c r="B83" s="1101" t="s">
        <v>1870</v>
      </c>
      <c r="C83" s="1102"/>
      <c r="D83" s="1102"/>
      <c r="E83" s="1102"/>
      <c r="F83" s="1102"/>
      <c r="G83" s="1102"/>
      <c r="H83" s="383">
        <f>F60*H82</f>
        <v>3.3333333333333332E-4</v>
      </c>
      <c r="I83" s="384">
        <f>H83*$F$37</f>
        <v>0</v>
      </c>
    </row>
    <row r="84" spans="1:17" s="335" customFormat="1" ht="56.25" customHeight="1">
      <c r="A84" s="382" t="s">
        <v>1559</v>
      </c>
      <c r="B84" s="1169" t="s">
        <v>1871</v>
      </c>
      <c r="C84" s="1169"/>
      <c r="D84" s="1169"/>
      <c r="E84" s="1169"/>
      <c r="F84" s="1169"/>
      <c r="G84" s="1169"/>
      <c r="H84" s="385">
        <v>0.02</v>
      </c>
      <c r="I84" s="384">
        <f>H84*$F$37</f>
        <v>0</v>
      </c>
    </row>
    <row r="85" spans="1:17" s="335" customFormat="1" ht="33" customHeight="1">
      <c r="A85" s="382" t="s">
        <v>1562</v>
      </c>
      <c r="B85" s="1083" t="s">
        <v>1872</v>
      </c>
      <c r="C85" s="1150"/>
      <c r="D85" s="1150"/>
      <c r="E85" s="1150"/>
      <c r="F85" s="1150"/>
      <c r="G85" s="1150"/>
      <c r="H85" s="383">
        <v>2.8999999999999998E-3</v>
      </c>
      <c r="I85" s="384">
        <f>H85*$F$37</f>
        <v>0</v>
      </c>
    </row>
    <row r="86" spans="1:17" s="335" customFormat="1" ht="36.75" customHeight="1">
      <c r="A86" s="382" t="s">
        <v>1581</v>
      </c>
      <c r="B86" s="1101" t="s">
        <v>1873</v>
      </c>
      <c r="C86" s="1102"/>
      <c r="D86" s="1102"/>
      <c r="E86" s="1102"/>
      <c r="F86" s="1102"/>
      <c r="G86" s="1102"/>
      <c r="H86" s="383">
        <f>F61*H85</f>
        <v>1.0672000000000001E-3</v>
      </c>
      <c r="I86" s="384">
        <f>F37*H86</f>
        <v>0</v>
      </c>
    </row>
    <row r="87" spans="1:17" s="335" customFormat="1" ht="39.75" customHeight="1">
      <c r="A87" s="382" t="s">
        <v>1583</v>
      </c>
      <c r="B87" s="1149" t="s">
        <v>1874</v>
      </c>
      <c r="C87" s="1150"/>
      <c r="D87" s="1150"/>
      <c r="E87" s="1150"/>
      <c r="F87" s="1150"/>
      <c r="G87" s="1150"/>
      <c r="H87" s="383">
        <v>0.02</v>
      </c>
      <c r="I87" s="384">
        <f>H87*$F$37</f>
        <v>0</v>
      </c>
    </row>
    <row r="88" spans="1:17" s="335" customFormat="1" ht="33.75" customHeight="1">
      <c r="A88" s="1107" t="s">
        <v>15</v>
      </c>
      <c r="B88" s="1108"/>
      <c r="C88" s="1108"/>
      <c r="D88" s="1108"/>
      <c r="E88" s="1108"/>
      <c r="F88" s="1108"/>
      <c r="G88" s="1108"/>
      <c r="H88" s="386">
        <f>SUM(H82:H87)</f>
        <v>4.8467200000000002E-2</v>
      </c>
      <c r="I88" s="387">
        <f>SUM(I82:I87)</f>
        <v>0</v>
      </c>
    </row>
    <row r="89" spans="1:17" s="335" customFormat="1" ht="10.5" customHeight="1">
      <c r="A89" s="1157"/>
      <c r="B89" s="1158"/>
      <c r="C89" s="1158"/>
      <c r="D89" s="1158"/>
      <c r="E89" s="1158"/>
      <c r="F89" s="1158"/>
      <c r="G89" s="1158"/>
      <c r="H89" s="1158"/>
      <c r="I89" s="1159"/>
    </row>
    <row r="90" spans="1:17" s="335" customFormat="1" ht="29.25" customHeight="1" thickBot="1">
      <c r="A90" s="1160" t="s">
        <v>1875</v>
      </c>
      <c r="B90" s="1161"/>
      <c r="C90" s="1161"/>
      <c r="D90" s="1161"/>
      <c r="E90" s="1161"/>
      <c r="F90" s="1161"/>
      <c r="G90" s="1161"/>
      <c r="H90" s="1161"/>
      <c r="I90" s="1162"/>
    </row>
    <row r="91" spans="1:17" s="335" customFormat="1" ht="9.75" customHeight="1" thickBot="1">
      <c r="A91" s="1009"/>
      <c r="B91" s="1010"/>
      <c r="C91" s="1010"/>
      <c r="D91" s="1010"/>
      <c r="E91" s="1010"/>
      <c r="F91" s="1010"/>
      <c r="G91" s="1010"/>
      <c r="H91" s="1010"/>
      <c r="I91" s="1011"/>
    </row>
    <row r="92" spans="1:17" s="335" customFormat="1" ht="27" customHeight="1">
      <c r="A92" s="391">
        <v>4</v>
      </c>
      <c r="B92" s="1163" t="s">
        <v>1639</v>
      </c>
      <c r="C92" s="1164"/>
      <c r="D92" s="1164"/>
      <c r="E92" s="1164"/>
      <c r="F92" s="1164"/>
      <c r="G92" s="1164"/>
      <c r="H92" s="1164"/>
      <c r="I92" s="1165"/>
    </row>
    <row r="93" spans="1:17" s="335" customFormat="1" ht="28.5" customHeight="1">
      <c r="A93" s="1166" t="s">
        <v>1876</v>
      </c>
      <c r="B93" s="1167"/>
      <c r="C93" s="1167"/>
      <c r="D93" s="1167"/>
      <c r="E93" s="1167"/>
      <c r="F93" s="1167"/>
      <c r="G93" s="1167"/>
      <c r="H93" s="1167"/>
      <c r="I93" s="1168"/>
    </row>
    <row r="94" spans="1:17" s="335" customFormat="1" ht="20.25">
      <c r="A94" s="343" t="s">
        <v>1292</v>
      </c>
      <c r="B94" s="1152" t="s">
        <v>1877</v>
      </c>
      <c r="C94" s="1108"/>
      <c r="D94" s="1108"/>
      <c r="E94" s="1109"/>
      <c r="F94" s="1153" t="s">
        <v>1845</v>
      </c>
      <c r="G94" s="1064"/>
      <c r="H94" s="1065"/>
      <c r="I94" s="392" t="s">
        <v>1576</v>
      </c>
    </row>
    <row r="95" spans="1:17" s="335" customFormat="1" ht="42" customHeight="1">
      <c r="A95" s="393" t="s">
        <v>1554</v>
      </c>
      <c r="B95" s="1036" t="s">
        <v>1878</v>
      </c>
      <c r="C95" s="1037"/>
      <c r="D95" s="1037"/>
      <c r="E95" s="1038"/>
      <c r="F95" s="1138">
        <f>(8.33%+2.78%)/12</f>
        <v>9.2583333333333337E-3</v>
      </c>
      <c r="G95" s="1139"/>
      <c r="H95" s="1140"/>
      <c r="I95" s="394">
        <f>F95*F37</f>
        <v>0</v>
      </c>
    </row>
    <row r="96" spans="1:17" s="335" customFormat="1" ht="31.5" customHeight="1">
      <c r="A96" s="393" t="s">
        <v>1556</v>
      </c>
      <c r="B96" s="1036" t="s">
        <v>1879</v>
      </c>
      <c r="C96" s="1037"/>
      <c r="D96" s="1037"/>
      <c r="E96" s="1038"/>
      <c r="F96" s="1154">
        <f>1/12/30</f>
        <v>2.7777777777777775E-3</v>
      </c>
      <c r="G96" s="1155"/>
      <c r="H96" s="1156"/>
      <c r="I96" s="394">
        <f>F37*F96</f>
        <v>0</v>
      </c>
    </row>
    <row r="97" spans="1:45" s="335" customFormat="1" ht="41.25" customHeight="1">
      <c r="A97" s="393" t="s">
        <v>1559</v>
      </c>
      <c r="B97" s="1036" t="s">
        <v>1880</v>
      </c>
      <c r="C97" s="1037"/>
      <c r="D97" s="1037"/>
      <c r="E97" s="1038"/>
      <c r="F97" s="1138">
        <f>1/12/30*5*1.5%</f>
        <v>2.0833333333333332E-4</v>
      </c>
      <c r="G97" s="1139"/>
      <c r="H97" s="1140"/>
      <c r="I97" s="394">
        <f>F37*F97</f>
        <v>0</v>
      </c>
    </row>
    <row r="98" spans="1:45" s="335" customFormat="1" ht="51.75" customHeight="1">
      <c r="A98" s="393" t="s">
        <v>1562</v>
      </c>
      <c r="B98" s="1036" t="s">
        <v>1881</v>
      </c>
      <c r="C98" s="1037"/>
      <c r="D98" s="1037"/>
      <c r="E98" s="1038"/>
      <c r="F98" s="1138">
        <f>(15/30)/12*0.0078</f>
        <v>3.2499999999999999E-4</v>
      </c>
      <c r="G98" s="1139"/>
      <c r="H98" s="1140"/>
      <c r="I98" s="394">
        <f>F37*F98</f>
        <v>0</v>
      </c>
    </row>
    <row r="99" spans="1:45" s="335" customFormat="1" ht="44.25" customHeight="1">
      <c r="A99" s="393" t="s">
        <v>1581</v>
      </c>
      <c r="B99" s="1149" t="s">
        <v>1882</v>
      </c>
      <c r="C99" s="1150"/>
      <c r="D99" s="1150"/>
      <c r="E99" s="1151"/>
      <c r="F99" s="1138">
        <f>0.0144*0.1*0.44509*6/12</f>
        <v>3.2046480000000002E-4</v>
      </c>
      <c r="G99" s="1139"/>
      <c r="H99" s="1140"/>
      <c r="I99" s="394">
        <f>F37*F99</f>
        <v>0</v>
      </c>
    </row>
    <row r="100" spans="1:45" s="335" customFormat="1" ht="36" customHeight="1">
      <c r="A100" s="393" t="s">
        <v>1583</v>
      </c>
      <c r="B100" s="1036" t="s">
        <v>1883</v>
      </c>
      <c r="C100" s="1037"/>
      <c r="D100" s="1037"/>
      <c r="E100" s="1038"/>
      <c r="F100" s="1138">
        <f>5/30/12</f>
        <v>1.3888888888888888E-2</v>
      </c>
      <c r="G100" s="1139"/>
      <c r="H100" s="1140"/>
      <c r="I100" s="394">
        <f>F37*F100</f>
        <v>0</v>
      </c>
    </row>
    <row r="101" spans="1:45" s="335" customFormat="1" ht="21.75" customHeight="1">
      <c r="A101" s="393" t="s">
        <v>1601</v>
      </c>
      <c r="B101" s="1036" t="s">
        <v>1584</v>
      </c>
      <c r="C101" s="1037"/>
      <c r="D101" s="1037"/>
      <c r="E101" s="1038"/>
      <c r="F101" s="1141"/>
      <c r="G101" s="1142"/>
      <c r="H101" s="1143"/>
      <c r="I101" s="394"/>
    </row>
    <row r="102" spans="1:45" s="335" customFormat="1" ht="30" customHeight="1" thickBot="1">
      <c r="A102" s="395"/>
      <c r="B102" s="1144" t="s">
        <v>15</v>
      </c>
      <c r="C102" s="1087"/>
      <c r="D102" s="1087"/>
      <c r="E102" s="1145"/>
      <c r="F102" s="1146">
        <f>SUM(F95:H101)</f>
        <v>2.6778798133333333E-2</v>
      </c>
      <c r="G102" s="1147"/>
      <c r="H102" s="1148"/>
      <c r="I102" s="396">
        <f>SUM(I95:I101)</f>
        <v>0</v>
      </c>
    </row>
    <row r="103" spans="1:45" s="335" customFormat="1" ht="10.5" customHeight="1" thickBot="1">
      <c r="A103" s="1009"/>
      <c r="B103" s="1010"/>
      <c r="C103" s="1010"/>
      <c r="D103" s="1010"/>
      <c r="E103" s="1010"/>
      <c r="F103" s="1010"/>
      <c r="G103" s="1010"/>
      <c r="H103" s="1010"/>
      <c r="I103" s="1011"/>
    </row>
    <row r="104" spans="1:45" s="335" customFormat="1" ht="27" customHeight="1">
      <c r="A104" s="1129" t="s">
        <v>1635</v>
      </c>
      <c r="B104" s="1130"/>
      <c r="C104" s="1130"/>
      <c r="D104" s="1130"/>
      <c r="E104" s="1130"/>
      <c r="F104" s="1130"/>
      <c r="G104" s="1130"/>
      <c r="H104" s="1131"/>
      <c r="I104" s="397"/>
    </row>
    <row r="105" spans="1:45" s="399" customFormat="1" ht="20.25">
      <c r="A105" s="391" t="s">
        <v>1884</v>
      </c>
      <c r="B105" s="1132" t="s">
        <v>1636</v>
      </c>
      <c r="C105" s="1133"/>
      <c r="D105" s="1133"/>
      <c r="E105" s="1134"/>
      <c r="F105" s="1132" t="s">
        <v>1576</v>
      </c>
      <c r="G105" s="1133"/>
      <c r="H105" s="1134"/>
      <c r="I105" s="398"/>
      <c r="J105" s="335"/>
      <c r="K105" s="335"/>
      <c r="L105" s="335"/>
      <c r="M105" s="335"/>
      <c r="N105" s="335"/>
      <c r="O105" s="335"/>
      <c r="P105" s="335"/>
      <c r="Q105" s="335"/>
      <c r="R105" s="335"/>
      <c r="S105" s="335"/>
      <c r="T105" s="335"/>
      <c r="U105" s="335"/>
      <c r="V105" s="335"/>
      <c r="W105" s="335"/>
      <c r="X105" s="335"/>
      <c r="Y105" s="335"/>
      <c r="Z105" s="335"/>
      <c r="AA105" s="335"/>
      <c r="AB105" s="335"/>
      <c r="AC105" s="335"/>
      <c r="AD105" s="335"/>
      <c r="AE105" s="335"/>
      <c r="AF105" s="335"/>
      <c r="AG105" s="335"/>
      <c r="AH105" s="335"/>
      <c r="AI105" s="335"/>
      <c r="AJ105" s="335"/>
      <c r="AK105" s="335"/>
      <c r="AL105" s="335"/>
      <c r="AM105" s="335"/>
      <c r="AN105" s="335"/>
      <c r="AO105" s="335"/>
      <c r="AP105" s="335"/>
      <c r="AQ105" s="335"/>
      <c r="AR105" s="335"/>
      <c r="AS105" s="335"/>
    </row>
    <row r="106" spans="1:45" s="335" customFormat="1" ht="35.25" customHeight="1">
      <c r="A106" s="382" t="s">
        <v>1554</v>
      </c>
      <c r="B106" s="1101" t="s">
        <v>1885</v>
      </c>
      <c r="C106" s="1102"/>
      <c r="D106" s="1102"/>
      <c r="E106" s="1128"/>
      <c r="F106" s="1135">
        <v>0</v>
      </c>
      <c r="G106" s="1136"/>
      <c r="H106" s="1137"/>
      <c r="I106" s="400"/>
    </row>
    <row r="107" spans="1:45" s="335" customFormat="1" ht="21" thickBot="1">
      <c r="A107" s="401"/>
      <c r="B107" s="1115" t="s">
        <v>15</v>
      </c>
      <c r="C107" s="1116"/>
      <c r="D107" s="1116"/>
      <c r="E107" s="1117"/>
      <c r="F107" s="1118">
        <v>0</v>
      </c>
      <c r="G107" s="1119"/>
      <c r="H107" s="1120"/>
      <c r="I107" s="398"/>
    </row>
    <row r="108" spans="1:45" s="335" customFormat="1" ht="10.5" customHeight="1" thickBot="1">
      <c r="A108" s="1009"/>
      <c r="B108" s="1010"/>
      <c r="C108" s="1010"/>
      <c r="D108" s="1010"/>
      <c r="E108" s="1010"/>
      <c r="F108" s="1010"/>
      <c r="G108" s="1010"/>
      <c r="H108" s="1010"/>
      <c r="I108" s="1011"/>
      <c r="J108" s="402"/>
      <c r="K108" s="402"/>
      <c r="L108" s="402"/>
    </row>
    <row r="109" spans="1:45" s="335" customFormat="1" ht="36" customHeight="1">
      <c r="A109" s="1121" t="s">
        <v>1886</v>
      </c>
      <c r="B109" s="1122"/>
      <c r="C109" s="1122"/>
      <c r="D109" s="1122"/>
      <c r="E109" s="1122"/>
      <c r="F109" s="1122"/>
      <c r="G109" s="1122"/>
      <c r="H109" s="1122"/>
      <c r="I109" s="1123"/>
      <c r="J109" s="402"/>
      <c r="K109" s="402"/>
      <c r="L109" s="402"/>
      <c r="P109" s="1124"/>
      <c r="Q109" s="1124"/>
      <c r="R109" s="1124"/>
      <c r="S109" s="1124"/>
      <c r="T109" s="1124"/>
      <c r="U109" s="1124"/>
      <c r="V109" s="1124"/>
      <c r="W109" s="1124"/>
      <c r="X109" s="1124"/>
      <c r="Y109" s="1124"/>
      <c r="Z109" s="1124"/>
    </row>
    <row r="110" spans="1:45" s="335" customFormat="1" ht="30.75" customHeight="1">
      <c r="A110" s="382" t="s">
        <v>1887</v>
      </c>
      <c r="B110" s="1125" t="s">
        <v>1639</v>
      </c>
      <c r="C110" s="1126"/>
      <c r="D110" s="1126"/>
      <c r="E110" s="1126"/>
      <c r="F110" s="1126"/>
      <c r="G110" s="1126"/>
      <c r="H110" s="1127"/>
      <c r="I110" s="380" t="s">
        <v>1576</v>
      </c>
      <c r="J110" s="402"/>
      <c r="K110" s="402"/>
      <c r="L110" s="402"/>
      <c r="P110" s="1124"/>
      <c r="Q110" s="1124"/>
      <c r="R110" s="1124"/>
      <c r="S110" s="1124"/>
      <c r="T110" s="1124"/>
      <c r="U110" s="1124"/>
      <c r="V110" s="1124"/>
      <c r="W110" s="1124"/>
      <c r="X110" s="1124"/>
      <c r="Y110" s="1124"/>
      <c r="Z110" s="1124"/>
    </row>
    <row r="111" spans="1:45" s="335" customFormat="1" ht="27.75" customHeight="1">
      <c r="A111" s="382" t="s">
        <v>1292</v>
      </c>
      <c r="B111" s="1036" t="s">
        <v>1888</v>
      </c>
      <c r="C111" s="1037" t="s">
        <v>1889</v>
      </c>
      <c r="D111" s="1037" t="s">
        <v>1889</v>
      </c>
      <c r="E111" s="1037" t="s">
        <v>1889</v>
      </c>
      <c r="F111" s="1037" t="s">
        <v>1889</v>
      </c>
      <c r="G111" s="1037" t="s">
        <v>1889</v>
      </c>
      <c r="H111" s="1038" t="s">
        <v>1889</v>
      </c>
      <c r="I111" s="403">
        <f>I102</f>
        <v>0</v>
      </c>
      <c r="J111" s="402"/>
      <c r="K111" s="402"/>
      <c r="L111" s="402"/>
      <c r="P111" s="1124"/>
      <c r="Q111" s="1124"/>
      <c r="R111" s="1124"/>
      <c r="S111" s="1124"/>
      <c r="T111" s="1124"/>
      <c r="U111" s="1124"/>
      <c r="V111" s="1124"/>
      <c r="W111" s="1124"/>
      <c r="X111" s="1124"/>
      <c r="Y111" s="1124"/>
      <c r="Z111" s="1124"/>
    </row>
    <row r="112" spans="1:45" s="335" customFormat="1" ht="29.25" customHeight="1">
      <c r="A112" s="382" t="s">
        <v>1884</v>
      </c>
      <c r="B112" s="1101" t="s">
        <v>1890</v>
      </c>
      <c r="C112" s="1102"/>
      <c r="D112" s="1102"/>
      <c r="E112" s="1102"/>
      <c r="F112" s="1102"/>
      <c r="G112" s="1102"/>
      <c r="H112" s="1128"/>
      <c r="I112" s="384">
        <f>F107</f>
        <v>0</v>
      </c>
      <c r="J112" s="402"/>
      <c r="K112" s="402"/>
      <c r="L112" s="402"/>
      <c r="P112" s="1124"/>
      <c r="Q112" s="1124"/>
      <c r="R112" s="1124"/>
      <c r="S112" s="1124"/>
      <c r="T112" s="1124"/>
      <c r="U112" s="1124"/>
      <c r="V112" s="1124"/>
      <c r="W112" s="1124"/>
      <c r="X112" s="1124"/>
      <c r="Y112" s="1124"/>
      <c r="Z112" s="1124"/>
    </row>
    <row r="113" spans="1:12" s="335" customFormat="1" ht="27.75" customHeight="1">
      <c r="A113" s="1107" t="s">
        <v>15</v>
      </c>
      <c r="B113" s="1108"/>
      <c r="C113" s="1108"/>
      <c r="D113" s="1108"/>
      <c r="E113" s="1108"/>
      <c r="F113" s="1108"/>
      <c r="G113" s="1108"/>
      <c r="H113" s="1109"/>
      <c r="I113" s="404">
        <f>I111+I112</f>
        <v>0</v>
      </c>
      <c r="J113" s="402"/>
      <c r="K113" s="402"/>
      <c r="L113" s="402"/>
    </row>
    <row r="114" spans="1:12" s="335" customFormat="1" ht="10.5" customHeight="1" thickBot="1">
      <c r="A114" s="1110"/>
      <c r="B114" s="1111"/>
      <c r="C114" s="1111"/>
      <c r="D114" s="1111"/>
      <c r="E114" s="1111"/>
      <c r="F114" s="1111"/>
      <c r="G114" s="1111"/>
      <c r="H114" s="1045"/>
      <c r="I114" s="1046"/>
      <c r="J114" s="402"/>
    </row>
    <row r="115" spans="1:12" s="335" customFormat="1" ht="32.25" customHeight="1" thickBot="1">
      <c r="A115" s="1092" t="s">
        <v>1891</v>
      </c>
      <c r="B115" s="1093"/>
      <c r="C115" s="1093"/>
      <c r="D115" s="1093"/>
      <c r="E115" s="1093"/>
      <c r="F115" s="1093"/>
      <c r="G115" s="1094"/>
      <c r="I115" s="405"/>
      <c r="J115" s="402"/>
    </row>
    <row r="116" spans="1:12" s="335" customFormat="1" ht="24.75" customHeight="1">
      <c r="A116" s="406" t="s">
        <v>1892</v>
      </c>
      <c r="B116" s="1112" t="s">
        <v>1641</v>
      </c>
      <c r="C116" s="1113"/>
      <c r="D116" s="1113"/>
      <c r="E116" s="1114" t="s">
        <v>1576</v>
      </c>
      <c r="F116" s="1114"/>
      <c r="G116" s="1114"/>
      <c r="I116" s="405"/>
      <c r="J116" s="402"/>
    </row>
    <row r="117" spans="1:12" s="335" customFormat="1" ht="27.75" customHeight="1">
      <c r="A117" s="407" t="s">
        <v>1554</v>
      </c>
      <c r="B117" s="1101" t="s">
        <v>1893</v>
      </c>
      <c r="C117" s="1102"/>
      <c r="D117" s="1102"/>
      <c r="E117" s="1103"/>
      <c r="F117" s="1103"/>
      <c r="G117" s="1103"/>
      <c r="I117" s="405"/>
      <c r="J117" s="402"/>
    </row>
    <row r="118" spans="1:12" s="335" customFormat="1" ht="38.25" customHeight="1">
      <c r="A118" s="408" t="s">
        <v>1556</v>
      </c>
      <c r="B118" s="1101" t="s">
        <v>1643</v>
      </c>
      <c r="C118" s="1102"/>
      <c r="D118" s="1102"/>
      <c r="E118" s="1103">
        <v>0</v>
      </c>
      <c r="F118" s="1103"/>
      <c r="G118" s="1103"/>
      <c r="H118" s="1104"/>
      <c r="I118" s="1105"/>
      <c r="J118" s="402"/>
    </row>
    <row r="119" spans="1:12" s="335" customFormat="1" ht="30" customHeight="1">
      <c r="A119" s="408" t="s">
        <v>1559</v>
      </c>
      <c r="B119" s="1101" t="s">
        <v>1894</v>
      </c>
      <c r="C119" s="1102"/>
      <c r="D119" s="1102"/>
      <c r="E119" s="1103"/>
      <c r="F119" s="1103"/>
      <c r="G119" s="1103"/>
      <c r="I119" s="405"/>
      <c r="J119" s="402"/>
    </row>
    <row r="120" spans="1:12" s="335" customFormat="1" ht="27" customHeight="1">
      <c r="A120" s="408" t="s">
        <v>1562</v>
      </c>
      <c r="B120" s="1101" t="s">
        <v>1584</v>
      </c>
      <c r="C120" s="1102"/>
      <c r="D120" s="1102"/>
      <c r="E120" s="1106"/>
      <c r="F120" s="1106"/>
      <c r="G120" s="1106"/>
      <c r="I120" s="405"/>
      <c r="J120" s="402"/>
    </row>
    <row r="121" spans="1:12" s="335" customFormat="1" ht="22.5" customHeight="1">
      <c r="A121" s="1086" t="s">
        <v>15</v>
      </c>
      <c r="B121" s="1087"/>
      <c r="C121" s="1087"/>
      <c r="D121" s="1087"/>
      <c r="E121" s="1088">
        <f>SUM(E117:G120)</f>
        <v>0</v>
      </c>
      <c r="F121" s="1088"/>
      <c r="G121" s="1088"/>
      <c r="I121" s="405"/>
      <c r="J121" s="402"/>
    </row>
    <row r="122" spans="1:12" s="335" customFormat="1" ht="19.5" thickBot="1">
      <c r="A122" s="1089" t="s">
        <v>1895</v>
      </c>
      <c r="B122" s="1090"/>
      <c r="C122" s="1090"/>
      <c r="D122" s="1090"/>
      <c r="E122" s="1090"/>
      <c r="F122" s="1090"/>
      <c r="G122" s="1091"/>
      <c r="I122" s="405"/>
      <c r="J122" s="402"/>
    </row>
    <row r="123" spans="1:12" s="335" customFormat="1" ht="10.5" customHeight="1" thickBot="1">
      <c r="A123" s="1009"/>
      <c r="B123" s="1010"/>
      <c r="C123" s="1010"/>
      <c r="D123" s="1010"/>
      <c r="E123" s="1010"/>
      <c r="F123" s="1010"/>
      <c r="G123" s="1010"/>
      <c r="H123" s="1010"/>
      <c r="I123" s="1011"/>
      <c r="J123" s="402"/>
    </row>
    <row r="124" spans="1:12" s="335" customFormat="1" ht="31.5" customHeight="1" thickBot="1">
      <c r="A124" s="1092" t="s">
        <v>1896</v>
      </c>
      <c r="B124" s="1093"/>
      <c r="C124" s="1093"/>
      <c r="D124" s="1093"/>
      <c r="E124" s="1093"/>
      <c r="F124" s="1093"/>
      <c r="G124" s="1093"/>
      <c r="H124" s="1093"/>
      <c r="I124" s="1094"/>
      <c r="J124" s="402"/>
    </row>
    <row r="125" spans="1:12" s="335" customFormat="1" ht="18">
      <c r="A125" s="406" t="s">
        <v>1897</v>
      </c>
      <c r="B125" s="1095" t="s">
        <v>1646</v>
      </c>
      <c r="C125" s="1096"/>
      <c r="D125" s="1096"/>
      <c r="E125" s="1097"/>
      <c r="F125" s="1095" t="s">
        <v>1588</v>
      </c>
      <c r="G125" s="1097"/>
      <c r="H125" s="1095" t="s">
        <v>1576</v>
      </c>
      <c r="I125" s="1100"/>
      <c r="J125" s="402"/>
    </row>
    <row r="126" spans="1:12" s="335" customFormat="1" ht="18">
      <c r="A126" s="382" t="s">
        <v>1554</v>
      </c>
      <c r="B126" s="1083" t="s">
        <v>1647</v>
      </c>
      <c r="C126" s="1037"/>
      <c r="D126" s="1037"/>
      <c r="E126" s="1038"/>
      <c r="F126" s="1070">
        <f>'[4]SERVENTE 44 HORAS SEMANAIS'!F126:G126</f>
        <v>5.7500000000000002E-2</v>
      </c>
      <c r="G126" s="1071"/>
      <c r="H126" s="1084">
        <f>I140*F126</f>
        <v>0</v>
      </c>
      <c r="I126" s="1085"/>
      <c r="J126" s="402"/>
      <c r="K126" s="570"/>
    </row>
    <row r="127" spans="1:12" s="335" customFormat="1" ht="18">
      <c r="A127" s="382" t="s">
        <v>1556</v>
      </c>
      <c r="B127" s="1083" t="s">
        <v>1648</v>
      </c>
      <c r="C127" s="1037"/>
      <c r="D127" s="1037"/>
      <c r="E127" s="1038"/>
      <c r="F127" s="1070">
        <f>'[4]SERVENTE 44 HORAS SEMANAIS'!F127:G127</f>
        <v>2.5000000000000001E-2</v>
      </c>
      <c r="G127" s="1071"/>
      <c r="H127" s="1084">
        <f>SUM(I140+H126)*F127</f>
        <v>0</v>
      </c>
      <c r="I127" s="1085"/>
      <c r="J127" s="402"/>
    </row>
    <row r="128" spans="1:12" s="335" customFormat="1" ht="18">
      <c r="A128" s="382" t="s">
        <v>1559</v>
      </c>
      <c r="B128" s="1076" t="s">
        <v>1649</v>
      </c>
      <c r="C128" s="1077"/>
      <c r="D128" s="1077"/>
      <c r="E128" s="1078"/>
      <c r="F128" s="1390">
        <f>SUM(F129:G131)</f>
        <v>8.6499999999999994E-2</v>
      </c>
      <c r="G128" s="1391"/>
      <c r="H128" s="1081">
        <f>SUM(H129:I132)</f>
        <v>0</v>
      </c>
      <c r="I128" s="1082"/>
      <c r="J128" s="402"/>
    </row>
    <row r="129" spans="1:10" s="335" customFormat="1" ht="18">
      <c r="A129" s="339"/>
      <c r="B129" s="409" t="s">
        <v>1900</v>
      </c>
      <c r="C129" s="1056" t="s">
        <v>1901</v>
      </c>
      <c r="D129" s="1057"/>
      <c r="E129" s="1058"/>
      <c r="F129" s="1074">
        <v>6.4999999999999997E-3</v>
      </c>
      <c r="G129" s="1075"/>
      <c r="H129" s="1072">
        <f>I142*F129</f>
        <v>0</v>
      </c>
      <c r="I129" s="1073"/>
      <c r="J129" s="402"/>
    </row>
    <row r="130" spans="1:10" s="335" customFormat="1" ht="16.5" customHeight="1">
      <c r="A130" s="339"/>
      <c r="B130" s="409" t="s">
        <v>1902</v>
      </c>
      <c r="C130" s="1036" t="s">
        <v>1903</v>
      </c>
      <c r="D130" s="1037"/>
      <c r="E130" s="1038"/>
      <c r="F130" s="1074">
        <v>0.03</v>
      </c>
      <c r="G130" s="1075"/>
      <c r="H130" s="1072">
        <f>F130*$I$142</f>
        <v>0</v>
      </c>
      <c r="I130" s="1073"/>
      <c r="J130" s="402"/>
    </row>
    <row r="131" spans="1:10" s="335" customFormat="1" ht="16.5" customHeight="1">
      <c r="A131" s="339"/>
      <c r="B131" s="409" t="s">
        <v>1904</v>
      </c>
      <c r="C131" s="1036" t="s">
        <v>1905</v>
      </c>
      <c r="D131" s="1037"/>
      <c r="E131" s="1038"/>
      <c r="F131" s="1074">
        <v>0.05</v>
      </c>
      <c r="G131" s="1075"/>
      <c r="H131" s="1072">
        <f>F131*$I$142</f>
        <v>0</v>
      </c>
      <c r="I131" s="1073"/>
      <c r="J131" s="402"/>
    </row>
    <row r="132" spans="1:10" s="335" customFormat="1" ht="19.5" customHeight="1">
      <c r="A132" s="410"/>
      <c r="B132" s="409" t="s">
        <v>1906</v>
      </c>
      <c r="C132" s="1056" t="s">
        <v>1907</v>
      </c>
      <c r="D132" s="1057"/>
      <c r="E132" s="1058"/>
      <c r="F132" s="1059"/>
      <c r="G132" s="1060"/>
      <c r="H132" s="1061">
        <f>F132*$I$142</f>
        <v>0</v>
      </c>
      <c r="I132" s="1062"/>
      <c r="J132" s="402"/>
    </row>
    <row r="133" spans="1:10" s="335" customFormat="1" ht="20.25">
      <c r="A133" s="1063" t="s">
        <v>1908</v>
      </c>
      <c r="B133" s="1064"/>
      <c r="C133" s="1064"/>
      <c r="D133" s="1064"/>
      <c r="E133" s="1065"/>
      <c r="F133" s="1066">
        <f>(((1+F126)*(1+F127))/(1-F128))-1</f>
        <v>0.18657635467980294</v>
      </c>
      <c r="G133" s="1067"/>
      <c r="H133" s="1068">
        <f>H126+H127+H128</f>
        <v>0</v>
      </c>
      <c r="I133" s="1069"/>
      <c r="J133" s="402"/>
    </row>
    <row r="134" spans="1:10" s="335" customFormat="1" ht="9.75" customHeight="1">
      <c r="A134" s="1044"/>
      <c r="B134" s="1045"/>
      <c r="C134" s="1045"/>
      <c r="D134" s="1045"/>
      <c r="E134" s="1045"/>
      <c r="F134" s="1045"/>
      <c r="G134" s="1045"/>
      <c r="H134" s="1045"/>
      <c r="I134" s="1046"/>
      <c r="J134" s="402"/>
    </row>
    <row r="135" spans="1:10" s="335" customFormat="1" ht="30" customHeight="1">
      <c r="A135" s="412" t="s">
        <v>1554</v>
      </c>
      <c r="B135" s="1053" t="s">
        <v>1910</v>
      </c>
      <c r="C135" s="1054" t="s">
        <v>1889</v>
      </c>
      <c r="D135" s="1054" t="s">
        <v>1889</v>
      </c>
      <c r="E135" s="1054" t="s">
        <v>1889</v>
      </c>
      <c r="F135" s="1054" t="s">
        <v>1889</v>
      </c>
      <c r="G135" s="1054" t="s">
        <v>1889</v>
      </c>
      <c r="H135" s="1055" t="s">
        <v>1889</v>
      </c>
      <c r="I135" s="413">
        <f>F37</f>
        <v>0</v>
      </c>
      <c r="J135" s="414"/>
    </row>
    <row r="136" spans="1:10" s="335" customFormat="1" ht="21" customHeight="1">
      <c r="A136" s="382" t="s">
        <v>1556</v>
      </c>
      <c r="B136" s="1036" t="s">
        <v>1911</v>
      </c>
      <c r="C136" s="1037" t="s">
        <v>1889</v>
      </c>
      <c r="D136" s="1037" t="s">
        <v>1889</v>
      </c>
      <c r="E136" s="1037" t="s">
        <v>1889</v>
      </c>
      <c r="F136" s="1037" t="s">
        <v>1889</v>
      </c>
      <c r="G136" s="1037" t="s">
        <v>1889</v>
      </c>
      <c r="H136" s="1038" t="s">
        <v>1889</v>
      </c>
      <c r="I136" s="403">
        <f>I78</f>
        <v>0</v>
      </c>
      <c r="J136" s="402"/>
    </row>
    <row r="137" spans="1:10" s="335" customFormat="1" ht="20.25" customHeight="1">
      <c r="A137" s="382" t="s">
        <v>1559</v>
      </c>
      <c r="B137" s="1036" t="s">
        <v>1912</v>
      </c>
      <c r="C137" s="1037" t="s">
        <v>1866</v>
      </c>
      <c r="D137" s="1037" t="s">
        <v>1866</v>
      </c>
      <c r="E137" s="1037" t="s">
        <v>1866</v>
      </c>
      <c r="F137" s="1037" t="s">
        <v>1866</v>
      </c>
      <c r="G137" s="1037" t="s">
        <v>1866</v>
      </c>
      <c r="H137" s="1038" t="s">
        <v>1866</v>
      </c>
      <c r="I137" s="384">
        <f>I88</f>
        <v>0</v>
      </c>
      <c r="J137" s="402"/>
    </row>
    <row r="138" spans="1:10" s="335" customFormat="1" ht="18" customHeight="1">
      <c r="A138" s="382" t="s">
        <v>1562</v>
      </c>
      <c r="B138" s="1036" t="s">
        <v>1913</v>
      </c>
      <c r="C138" s="1037"/>
      <c r="D138" s="1037"/>
      <c r="E138" s="1037"/>
      <c r="F138" s="1037"/>
      <c r="G138" s="1037"/>
      <c r="H138" s="1038"/>
      <c r="I138" s="384">
        <f>I113</f>
        <v>0</v>
      </c>
      <c r="J138" s="402"/>
    </row>
    <row r="139" spans="1:10" s="335" customFormat="1" ht="22.5" customHeight="1">
      <c r="A139" s="382" t="s">
        <v>1581</v>
      </c>
      <c r="B139" s="1036" t="s">
        <v>1914</v>
      </c>
      <c r="C139" s="1037"/>
      <c r="D139" s="1037"/>
      <c r="E139" s="1037"/>
      <c r="F139" s="1037"/>
      <c r="G139" s="1037"/>
      <c r="H139" s="1038"/>
      <c r="I139" s="403">
        <f>E121</f>
        <v>0</v>
      </c>
      <c r="J139" s="402"/>
    </row>
    <row r="140" spans="1:10" s="335" customFormat="1" ht="22.5" customHeight="1">
      <c r="A140" s="408"/>
      <c r="B140" s="1039" t="s">
        <v>1915</v>
      </c>
      <c r="C140" s="1040"/>
      <c r="D140" s="1040"/>
      <c r="E140" s="1040"/>
      <c r="F140" s="1040"/>
      <c r="G140" s="1040"/>
      <c r="H140" s="1023"/>
      <c r="I140" s="404">
        <f>SUM(I135:I139)</f>
        <v>0</v>
      </c>
      <c r="J140" s="402"/>
    </row>
    <row r="141" spans="1:10" s="335" customFormat="1" ht="24.75" customHeight="1">
      <c r="A141" s="382" t="s">
        <v>1583</v>
      </c>
      <c r="B141" s="1036" t="s">
        <v>1656</v>
      </c>
      <c r="C141" s="1037"/>
      <c r="D141" s="1037"/>
      <c r="E141" s="1037"/>
      <c r="F141" s="1037"/>
      <c r="G141" s="1037"/>
      <c r="H141" s="1038"/>
      <c r="I141" s="384">
        <f>H133</f>
        <v>0</v>
      </c>
      <c r="J141" s="402"/>
    </row>
    <row r="142" spans="1:10" s="335" customFormat="1" ht="23.25" customHeight="1">
      <c r="A142" s="1041" t="s">
        <v>1916</v>
      </c>
      <c r="B142" s="1042"/>
      <c r="C142" s="1042"/>
      <c r="D142" s="1042"/>
      <c r="E142" s="1042"/>
      <c r="F142" s="1042"/>
      <c r="G142" s="1042"/>
      <c r="H142" s="1043"/>
      <c r="I142" s="415">
        <f>(I140+H126+H127)/(1-F128)</f>
        <v>0</v>
      </c>
      <c r="J142" s="402"/>
    </row>
    <row r="143" spans="1:10" s="335" customFormat="1" ht="7.5" customHeight="1">
      <c r="A143" s="1044"/>
      <c r="B143" s="1045"/>
      <c r="C143" s="1045"/>
      <c r="D143" s="1045"/>
      <c r="E143" s="1045"/>
      <c r="F143" s="1045"/>
      <c r="G143" s="1045"/>
      <c r="H143" s="1045"/>
      <c r="I143" s="1046"/>
      <c r="J143" s="402"/>
    </row>
  </sheetData>
  <mergeCells count="238">
    <mergeCell ref="A1:I1"/>
    <mergeCell ref="C2:H2"/>
    <mergeCell ref="C3:H3"/>
    <mergeCell ref="A4:H4"/>
    <mergeCell ref="A5:I5"/>
    <mergeCell ref="A6:I6"/>
    <mergeCell ref="A13:I13"/>
    <mergeCell ref="A14:C14"/>
    <mergeCell ref="D14:F14"/>
    <mergeCell ref="G14:I14"/>
    <mergeCell ref="A15:C15"/>
    <mergeCell ref="D15:F15"/>
    <mergeCell ref="G15:I15"/>
    <mergeCell ref="B7:H7"/>
    <mergeCell ref="B8:H8"/>
    <mergeCell ref="B9:H9"/>
    <mergeCell ref="B10:H10"/>
    <mergeCell ref="B11:H11"/>
    <mergeCell ref="A12:I12"/>
    <mergeCell ref="B20:F20"/>
    <mergeCell ref="G20:I20"/>
    <mergeCell ref="B21:F21"/>
    <mergeCell ref="G21:I21"/>
    <mergeCell ref="B22:F22"/>
    <mergeCell ref="G22:I22"/>
    <mergeCell ref="A16:I16"/>
    <mergeCell ref="A17:F17"/>
    <mergeCell ref="G17:I17"/>
    <mergeCell ref="A18:F18"/>
    <mergeCell ref="G18:I18"/>
    <mergeCell ref="A19:F19"/>
    <mergeCell ref="G19:I19"/>
    <mergeCell ref="A27:H27"/>
    <mergeCell ref="A28:H28"/>
    <mergeCell ref="A29:H29"/>
    <mergeCell ref="A30:E30"/>
    <mergeCell ref="F30:H30"/>
    <mergeCell ref="B31:E31"/>
    <mergeCell ref="F31:H31"/>
    <mergeCell ref="B23:F23"/>
    <mergeCell ref="G23:I23"/>
    <mergeCell ref="B24:F24"/>
    <mergeCell ref="G24:I24"/>
    <mergeCell ref="A25:H25"/>
    <mergeCell ref="A26:H26"/>
    <mergeCell ref="I34:I35"/>
    <mergeCell ref="B35:E35"/>
    <mergeCell ref="F35:H35"/>
    <mergeCell ref="B36:E36"/>
    <mergeCell ref="F36:H36"/>
    <mergeCell ref="B37:E37"/>
    <mergeCell ref="F37:H37"/>
    <mergeCell ref="B32:E32"/>
    <mergeCell ref="F32:H32"/>
    <mergeCell ref="B33:E33"/>
    <mergeCell ref="F33:H33"/>
    <mergeCell ref="B34:E34"/>
    <mergeCell ref="F34:H34"/>
    <mergeCell ref="B44:E44"/>
    <mergeCell ref="F44:H44"/>
    <mergeCell ref="B45:E45"/>
    <mergeCell ref="F45:H45"/>
    <mergeCell ref="B46:E46"/>
    <mergeCell ref="F46:H46"/>
    <mergeCell ref="A38:I38"/>
    <mergeCell ref="A39:I39"/>
    <mergeCell ref="A40:I40"/>
    <mergeCell ref="A41:I41"/>
    <mergeCell ref="A42:I42"/>
    <mergeCell ref="A43:I43"/>
    <mergeCell ref="A50:I50"/>
    <mergeCell ref="A51:I51"/>
    <mergeCell ref="B52:E52"/>
    <mergeCell ref="F52:G52"/>
    <mergeCell ref="H52:I52"/>
    <mergeCell ref="B53:E53"/>
    <mergeCell ref="F53:G53"/>
    <mergeCell ref="H53:I53"/>
    <mergeCell ref="B47:E47"/>
    <mergeCell ref="F47:H47"/>
    <mergeCell ref="B48:E48"/>
    <mergeCell ref="F48:H48"/>
    <mergeCell ref="B49:E49"/>
    <mergeCell ref="F49:H49"/>
    <mergeCell ref="B56:E56"/>
    <mergeCell ref="F56:G56"/>
    <mergeCell ref="H56:I56"/>
    <mergeCell ref="B57:E57"/>
    <mergeCell ref="F57:G57"/>
    <mergeCell ref="H57:I57"/>
    <mergeCell ref="B54:E54"/>
    <mergeCell ref="F54:G54"/>
    <mergeCell ref="H54:I54"/>
    <mergeCell ref="B55:E55"/>
    <mergeCell ref="F55:G55"/>
    <mergeCell ref="H55:I55"/>
    <mergeCell ref="B60:E60"/>
    <mergeCell ref="F60:G60"/>
    <mergeCell ref="H60:I60"/>
    <mergeCell ref="B61:E61"/>
    <mergeCell ref="F61:G61"/>
    <mergeCell ref="H61:I61"/>
    <mergeCell ref="B58:E58"/>
    <mergeCell ref="F58:G58"/>
    <mergeCell ref="H58:I58"/>
    <mergeCell ref="B59:E59"/>
    <mergeCell ref="F59:G59"/>
    <mergeCell ref="H59:I59"/>
    <mergeCell ref="B66:E66"/>
    <mergeCell ref="F66:H66"/>
    <mergeCell ref="B67:E67"/>
    <mergeCell ref="F67:H67"/>
    <mergeCell ref="B68:E68"/>
    <mergeCell ref="F68:H68"/>
    <mergeCell ref="A62:I62"/>
    <mergeCell ref="A63:H63"/>
    <mergeCell ref="B64:E64"/>
    <mergeCell ref="F64:H64"/>
    <mergeCell ref="B65:E65"/>
    <mergeCell ref="F65:H65"/>
    <mergeCell ref="B72:E72"/>
    <mergeCell ref="F72:H72"/>
    <mergeCell ref="B73:E73"/>
    <mergeCell ref="F73:H73"/>
    <mergeCell ref="A74:H74"/>
    <mergeCell ref="B75:H75"/>
    <mergeCell ref="B69:E69"/>
    <mergeCell ref="F69:H69"/>
    <mergeCell ref="B70:E70"/>
    <mergeCell ref="F70:H70"/>
    <mergeCell ref="B71:E71"/>
    <mergeCell ref="F71:H71"/>
    <mergeCell ref="B82:G82"/>
    <mergeCell ref="B83:G83"/>
    <mergeCell ref="B84:G84"/>
    <mergeCell ref="B85:G85"/>
    <mergeCell ref="B86:G86"/>
    <mergeCell ref="B87:G87"/>
    <mergeCell ref="B76:H76"/>
    <mergeCell ref="B77:H77"/>
    <mergeCell ref="A78:H78"/>
    <mergeCell ref="A79:I79"/>
    <mergeCell ref="A80:I80"/>
    <mergeCell ref="B81:G81"/>
    <mergeCell ref="B94:E94"/>
    <mergeCell ref="F94:H94"/>
    <mergeCell ref="B95:E95"/>
    <mergeCell ref="F95:H95"/>
    <mergeCell ref="B96:E96"/>
    <mergeCell ref="F96:H96"/>
    <mergeCell ref="A88:G88"/>
    <mergeCell ref="A89:I89"/>
    <mergeCell ref="A90:I90"/>
    <mergeCell ref="A91:I91"/>
    <mergeCell ref="B92:I92"/>
    <mergeCell ref="A93:I93"/>
    <mergeCell ref="B100:E100"/>
    <mergeCell ref="F100:H100"/>
    <mergeCell ref="B101:E101"/>
    <mergeCell ref="F101:H101"/>
    <mergeCell ref="B102:E102"/>
    <mergeCell ref="F102:H102"/>
    <mergeCell ref="B97:E97"/>
    <mergeCell ref="F97:H97"/>
    <mergeCell ref="B98:E98"/>
    <mergeCell ref="F98:H98"/>
    <mergeCell ref="B99:E99"/>
    <mergeCell ref="F99:H99"/>
    <mergeCell ref="P109:Z112"/>
    <mergeCell ref="B110:H110"/>
    <mergeCell ref="B111:H111"/>
    <mergeCell ref="B112:H112"/>
    <mergeCell ref="A103:I103"/>
    <mergeCell ref="A104:H104"/>
    <mergeCell ref="B105:E105"/>
    <mergeCell ref="F105:H105"/>
    <mergeCell ref="B106:E106"/>
    <mergeCell ref="F106:H106"/>
    <mergeCell ref="A113:H113"/>
    <mergeCell ref="A114:I114"/>
    <mergeCell ref="A115:G115"/>
    <mergeCell ref="B116:D116"/>
    <mergeCell ref="E116:G116"/>
    <mergeCell ref="B117:D117"/>
    <mergeCell ref="E117:G117"/>
    <mergeCell ref="B107:E107"/>
    <mergeCell ref="F107:H107"/>
    <mergeCell ref="A108:I108"/>
    <mergeCell ref="A109:I109"/>
    <mergeCell ref="A121:D121"/>
    <mergeCell ref="E121:G121"/>
    <mergeCell ref="A122:G122"/>
    <mergeCell ref="A123:I123"/>
    <mergeCell ref="A124:I124"/>
    <mergeCell ref="B125:E125"/>
    <mergeCell ref="F125:G125"/>
    <mergeCell ref="H125:I125"/>
    <mergeCell ref="B118:D118"/>
    <mergeCell ref="E118:G118"/>
    <mergeCell ref="H118:I118"/>
    <mergeCell ref="B119:D119"/>
    <mergeCell ref="E119:G119"/>
    <mergeCell ref="B120:D120"/>
    <mergeCell ref="E120:G120"/>
    <mergeCell ref="B128:E128"/>
    <mergeCell ref="F128:G128"/>
    <mergeCell ref="H128:I128"/>
    <mergeCell ref="C129:E129"/>
    <mergeCell ref="F129:G129"/>
    <mergeCell ref="H129:I129"/>
    <mergeCell ref="B126:E126"/>
    <mergeCell ref="F126:G126"/>
    <mergeCell ref="H126:I126"/>
    <mergeCell ref="B127:E127"/>
    <mergeCell ref="F127:G127"/>
    <mergeCell ref="H127:I127"/>
    <mergeCell ref="C132:E132"/>
    <mergeCell ref="F132:G132"/>
    <mergeCell ref="H132:I132"/>
    <mergeCell ref="A133:E133"/>
    <mergeCell ref="F133:G133"/>
    <mergeCell ref="H133:I133"/>
    <mergeCell ref="C130:E130"/>
    <mergeCell ref="F130:G130"/>
    <mergeCell ref="H130:I130"/>
    <mergeCell ref="C131:E131"/>
    <mergeCell ref="F131:G131"/>
    <mergeCell ref="H131:I131"/>
    <mergeCell ref="B140:H140"/>
    <mergeCell ref="B141:H141"/>
    <mergeCell ref="A142:H142"/>
    <mergeCell ref="A143:I143"/>
    <mergeCell ref="A134:I134"/>
    <mergeCell ref="B135:H135"/>
    <mergeCell ref="B136:H136"/>
    <mergeCell ref="B137:H137"/>
    <mergeCell ref="B138:H138"/>
    <mergeCell ref="B139:H139"/>
  </mergeCells>
  <printOptions horizontalCentered="1"/>
  <pageMargins left="0.19685039370078741" right="0.19685039370078741" top="1.1429166666666666" bottom="0.78740157480314965" header="0.31496062992125984" footer="0.31496062992125984"/>
  <pageSetup paperSize="9" scale="48" fitToHeight="0" orientation="portrait" r:id="rId1"/>
  <rowBreaks count="2" manualBreakCount="2">
    <brk id="62" max="8" man="1"/>
    <brk id="114" max="8" man="1"/>
  </rowBreaks>
  <legacyDrawingHF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D0C9B4-B462-4F44-A0B2-B7D612B8E12D}">
  <sheetPr>
    <tabColor rgb="FF92D050"/>
  </sheetPr>
  <dimension ref="A1:M40"/>
  <sheetViews>
    <sheetView view="pageBreakPreview" topLeftCell="D1" zoomScale="60" zoomScaleNormal="70" workbookViewId="0">
      <selection activeCell="I4" sqref="I4:I9"/>
    </sheetView>
  </sheetViews>
  <sheetFormatPr defaultRowHeight="15"/>
  <cols>
    <col min="1" max="1" width="18.28515625" style="603" hidden="1" customWidth="1"/>
    <col min="2" max="2" width="10.42578125" style="610" hidden="1" customWidth="1"/>
    <col min="3" max="3" width="5.28515625" style="606" hidden="1" customWidth="1"/>
    <col min="4" max="4" width="77" style="603" customWidth="1"/>
    <col min="5" max="5" width="28.85546875" style="606" customWidth="1"/>
    <col min="6" max="6" width="37" style="603" customWidth="1"/>
    <col min="7" max="7" width="29.85546875" style="603" customWidth="1"/>
    <col min="8" max="8" width="39.5703125" style="603" customWidth="1"/>
    <col min="9" max="9" width="31.85546875" style="603" customWidth="1"/>
    <col min="10" max="10" width="9.28515625" style="603" bestFit="1" customWidth="1"/>
    <col min="11" max="11" width="29.28515625" style="603" customWidth="1"/>
    <col min="12" max="12" width="31.140625" style="603" customWidth="1"/>
    <col min="13" max="17" width="9.140625" style="603"/>
    <col min="18" max="18" width="8.28515625" style="603" customWidth="1"/>
    <col min="19" max="256" width="9.140625" style="603"/>
    <col min="257" max="259" width="0" style="603" hidden="1" customWidth="1"/>
    <col min="260" max="260" width="77" style="603" customWidth="1"/>
    <col min="261" max="261" width="28.85546875" style="603" customWidth="1"/>
    <col min="262" max="262" width="37" style="603" customWidth="1"/>
    <col min="263" max="263" width="29.85546875" style="603" customWidth="1"/>
    <col min="264" max="264" width="39.5703125" style="603" customWidth="1"/>
    <col min="265" max="265" width="31.85546875" style="603" customWidth="1"/>
    <col min="266" max="266" width="9.28515625" style="603" bestFit="1" customWidth="1"/>
    <col min="267" max="267" width="29.28515625" style="603" customWidth="1"/>
    <col min="268" max="268" width="31.140625" style="603" customWidth="1"/>
    <col min="269" max="273" width="9.140625" style="603"/>
    <col min="274" max="274" width="8.28515625" style="603" customWidth="1"/>
    <col min="275" max="512" width="9.140625" style="603"/>
    <col min="513" max="515" width="0" style="603" hidden="1" customWidth="1"/>
    <col min="516" max="516" width="77" style="603" customWidth="1"/>
    <col min="517" max="517" width="28.85546875" style="603" customWidth="1"/>
    <col min="518" max="518" width="37" style="603" customWidth="1"/>
    <col min="519" max="519" width="29.85546875" style="603" customWidth="1"/>
    <col min="520" max="520" width="39.5703125" style="603" customWidth="1"/>
    <col min="521" max="521" width="31.85546875" style="603" customWidth="1"/>
    <col min="522" max="522" width="9.28515625" style="603" bestFit="1" customWidth="1"/>
    <col min="523" max="523" width="29.28515625" style="603" customWidth="1"/>
    <col min="524" max="524" width="31.140625" style="603" customWidth="1"/>
    <col min="525" max="529" width="9.140625" style="603"/>
    <col min="530" max="530" width="8.28515625" style="603" customWidth="1"/>
    <col min="531" max="768" width="9.140625" style="603"/>
    <col min="769" max="771" width="0" style="603" hidden="1" customWidth="1"/>
    <col min="772" max="772" width="77" style="603" customWidth="1"/>
    <col min="773" max="773" width="28.85546875" style="603" customWidth="1"/>
    <col min="774" max="774" width="37" style="603" customWidth="1"/>
    <col min="775" max="775" width="29.85546875" style="603" customWidth="1"/>
    <col min="776" max="776" width="39.5703125" style="603" customWidth="1"/>
    <col min="777" max="777" width="31.85546875" style="603" customWidth="1"/>
    <col min="778" max="778" width="9.28515625" style="603" bestFit="1" customWidth="1"/>
    <col min="779" max="779" width="29.28515625" style="603" customWidth="1"/>
    <col min="780" max="780" width="31.140625" style="603" customWidth="1"/>
    <col min="781" max="785" width="9.140625" style="603"/>
    <col min="786" max="786" width="8.28515625" style="603" customWidth="1"/>
    <col min="787" max="1024" width="9.140625" style="603"/>
    <col min="1025" max="1027" width="0" style="603" hidden="1" customWidth="1"/>
    <col min="1028" max="1028" width="77" style="603" customWidth="1"/>
    <col min="1029" max="1029" width="28.85546875" style="603" customWidth="1"/>
    <col min="1030" max="1030" width="37" style="603" customWidth="1"/>
    <col min="1031" max="1031" width="29.85546875" style="603" customWidth="1"/>
    <col min="1032" max="1032" width="39.5703125" style="603" customWidth="1"/>
    <col min="1033" max="1033" width="31.85546875" style="603" customWidth="1"/>
    <col min="1034" max="1034" width="9.28515625" style="603" bestFit="1" customWidth="1"/>
    <col min="1035" max="1035" width="29.28515625" style="603" customWidth="1"/>
    <col min="1036" max="1036" width="31.140625" style="603" customWidth="1"/>
    <col min="1037" max="1041" width="9.140625" style="603"/>
    <col min="1042" max="1042" width="8.28515625" style="603" customWidth="1"/>
    <col min="1043" max="1280" width="9.140625" style="603"/>
    <col min="1281" max="1283" width="0" style="603" hidden="1" customWidth="1"/>
    <col min="1284" max="1284" width="77" style="603" customWidth="1"/>
    <col min="1285" max="1285" width="28.85546875" style="603" customWidth="1"/>
    <col min="1286" max="1286" width="37" style="603" customWidth="1"/>
    <col min="1287" max="1287" width="29.85546875" style="603" customWidth="1"/>
    <col min="1288" max="1288" width="39.5703125" style="603" customWidth="1"/>
    <col min="1289" max="1289" width="31.85546875" style="603" customWidth="1"/>
    <col min="1290" max="1290" width="9.28515625" style="603" bestFit="1" customWidth="1"/>
    <col min="1291" max="1291" width="29.28515625" style="603" customWidth="1"/>
    <col min="1292" max="1292" width="31.140625" style="603" customWidth="1"/>
    <col min="1293" max="1297" width="9.140625" style="603"/>
    <col min="1298" max="1298" width="8.28515625" style="603" customWidth="1"/>
    <col min="1299" max="1536" width="9.140625" style="603"/>
    <col min="1537" max="1539" width="0" style="603" hidden="1" customWidth="1"/>
    <col min="1540" max="1540" width="77" style="603" customWidth="1"/>
    <col min="1541" max="1541" width="28.85546875" style="603" customWidth="1"/>
    <col min="1542" max="1542" width="37" style="603" customWidth="1"/>
    <col min="1543" max="1543" width="29.85546875" style="603" customWidth="1"/>
    <col min="1544" max="1544" width="39.5703125" style="603" customWidth="1"/>
    <col min="1545" max="1545" width="31.85546875" style="603" customWidth="1"/>
    <col min="1546" max="1546" width="9.28515625" style="603" bestFit="1" customWidth="1"/>
    <col min="1547" max="1547" width="29.28515625" style="603" customWidth="1"/>
    <col min="1548" max="1548" width="31.140625" style="603" customWidth="1"/>
    <col min="1549" max="1553" width="9.140625" style="603"/>
    <col min="1554" max="1554" width="8.28515625" style="603" customWidth="1"/>
    <col min="1555" max="1792" width="9.140625" style="603"/>
    <col min="1793" max="1795" width="0" style="603" hidden="1" customWidth="1"/>
    <col min="1796" max="1796" width="77" style="603" customWidth="1"/>
    <col min="1797" max="1797" width="28.85546875" style="603" customWidth="1"/>
    <col min="1798" max="1798" width="37" style="603" customWidth="1"/>
    <col min="1799" max="1799" width="29.85546875" style="603" customWidth="1"/>
    <col min="1800" max="1800" width="39.5703125" style="603" customWidth="1"/>
    <col min="1801" max="1801" width="31.85546875" style="603" customWidth="1"/>
    <col min="1802" max="1802" width="9.28515625" style="603" bestFit="1" customWidth="1"/>
    <col min="1803" max="1803" width="29.28515625" style="603" customWidth="1"/>
    <col min="1804" max="1804" width="31.140625" style="603" customWidth="1"/>
    <col min="1805" max="1809" width="9.140625" style="603"/>
    <col min="1810" max="1810" width="8.28515625" style="603" customWidth="1"/>
    <col min="1811" max="2048" width="9.140625" style="603"/>
    <col min="2049" max="2051" width="0" style="603" hidden="1" customWidth="1"/>
    <col min="2052" max="2052" width="77" style="603" customWidth="1"/>
    <col min="2053" max="2053" width="28.85546875" style="603" customWidth="1"/>
    <col min="2054" max="2054" width="37" style="603" customWidth="1"/>
    <col min="2055" max="2055" width="29.85546875" style="603" customWidth="1"/>
    <col min="2056" max="2056" width="39.5703125" style="603" customWidth="1"/>
    <col min="2057" max="2057" width="31.85546875" style="603" customWidth="1"/>
    <col min="2058" max="2058" width="9.28515625" style="603" bestFit="1" customWidth="1"/>
    <col min="2059" max="2059" width="29.28515625" style="603" customWidth="1"/>
    <col min="2060" max="2060" width="31.140625" style="603" customWidth="1"/>
    <col min="2061" max="2065" width="9.140625" style="603"/>
    <col min="2066" max="2066" width="8.28515625" style="603" customWidth="1"/>
    <col min="2067" max="2304" width="9.140625" style="603"/>
    <col min="2305" max="2307" width="0" style="603" hidden="1" customWidth="1"/>
    <col min="2308" max="2308" width="77" style="603" customWidth="1"/>
    <col min="2309" max="2309" width="28.85546875" style="603" customWidth="1"/>
    <col min="2310" max="2310" width="37" style="603" customWidth="1"/>
    <col min="2311" max="2311" width="29.85546875" style="603" customWidth="1"/>
    <col min="2312" max="2312" width="39.5703125" style="603" customWidth="1"/>
    <col min="2313" max="2313" width="31.85546875" style="603" customWidth="1"/>
    <col min="2314" max="2314" width="9.28515625" style="603" bestFit="1" customWidth="1"/>
    <col min="2315" max="2315" width="29.28515625" style="603" customWidth="1"/>
    <col min="2316" max="2316" width="31.140625" style="603" customWidth="1"/>
    <col min="2317" max="2321" width="9.140625" style="603"/>
    <col min="2322" max="2322" width="8.28515625" style="603" customWidth="1"/>
    <col min="2323" max="2560" width="9.140625" style="603"/>
    <col min="2561" max="2563" width="0" style="603" hidden="1" customWidth="1"/>
    <col min="2564" max="2564" width="77" style="603" customWidth="1"/>
    <col min="2565" max="2565" width="28.85546875" style="603" customWidth="1"/>
    <col min="2566" max="2566" width="37" style="603" customWidth="1"/>
    <col min="2567" max="2567" width="29.85546875" style="603" customWidth="1"/>
    <col min="2568" max="2568" width="39.5703125" style="603" customWidth="1"/>
    <col min="2569" max="2569" width="31.85546875" style="603" customWidth="1"/>
    <col min="2570" max="2570" width="9.28515625" style="603" bestFit="1" customWidth="1"/>
    <col min="2571" max="2571" width="29.28515625" style="603" customWidth="1"/>
    <col min="2572" max="2572" width="31.140625" style="603" customWidth="1"/>
    <col min="2573" max="2577" width="9.140625" style="603"/>
    <col min="2578" max="2578" width="8.28515625" style="603" customWidth="1"/>
    <col min="2579" max="2816" width="9.140625" style="603"/>
    <col min="2817" max="2819" width="0" style="603" hidden="1" customWidth="1"/>
    <col min="2820" max="2820" width="77" style="603" customWidth="1"/>
    <col min="2821" max="2821" width="28.85546875" style="603" customWidth="1"/>
    <col min="2822" max="2822" width="37" style="603" customWidth="1"/>
    <col min="2823" max="2823" width="29.85546875" style="603" customWidth="1"/>
    <col min="2824" max="2824" width="39.5703125" style="603" customWidth="1"/>
    <col min="2825" max="2825" width="31.85546875" style="603" customWidth="1"/>
    <col min="2826" max="2826" width="9.28515625" style="603" bestFit="1" customWidth="1"/>
    <col min="2827" max="2827" width="29.28515625" style="603" customWidth="1"/>
    <col min="2828" max="2828" width="31.140625" style="603" customWidth="1"/>
    <col min="2829" max="2833" width="9.140625" style="603"/>
    <col min="2834" max="2834" width="8.28515625" style="603" customWidth="1"/>
    <col min="2835" max="3072" width="9.140625" style="603"/>
    <col min="3073" max="3075" width="0" style="603" hidden="1" customWidth="1"/>
    <col min="3076" max="3076" width="77" style="603" customWidth="1"/>
    <col min="3077" max="3077" width="28.85546875" style="603" customWidth="1"/>
    <col min="3078" max="3078" width="37" style="603" customWidth="1"/>
    <col min="3079" max="3079" width="29.85546875" style="603" customWidth="1"/>
    <col min="3080" max="3080" width="39.5703125" style="603" customWidth="1"/>
    <col min="3081" max="3081" width="31.85546875" style="603" customWidth="1"/>
    <col min="3082" max="3082" width="9.28515625" style="603" bestFit="1" customWidth="1"/>
    <col min="3083" max="3083" width="29.28515625" style="603" customWidth="1"/>
    <col min="3084" max="3084" width="31.140625" style="603" customWidth="1"/>
    <col min="3085" max="3089" width="9.140625" style="603"/>
    <col min="3090" max="3090" width="8.28515625" style="603" customWidth="1"/>
    <col min="3091" max="3328" width="9.140625" style="603"/>
    <col min="3329" max="3331" width="0" style="603" hidden="1" customWidth="1"/>
    <col min="3332" max="3332" width="77" style="603" customWidth="1"/>
    <col min="3333" max="3333" width="28.85546875" style="603" customWidth="1"/>
    <col min="3334" max="3334" width="37" style="603" customWidth="1"/>
    <col min="3335" max="3335" width="29.85546875" style="603" customWidth="1"/>
    <col min="3336" max="3336" width="39.5703125" style="603" customWidth="1"/>
    <col min="3337" max="3337" width="31.85546875" style="603" customWidth="1"/>
    <col min="3338" max="3338" width="9.28515625" style="603" bestFit="1" customWidth="1"/>
    <col min="3339" max="3339" width="29.28515625" style="603" customWidth="1"/>
    <col min="3340" max="3340" width="31.140625" style="603" customWidth="1"/>
    <col min="3341" max="3345" width="9.140625" style="603"/>
    <col min="3346" max="3346" width="8.28515625" style="603" customWidth="1"/>
    <col min="3347" max="3584" width="9.140625" style="603"/>
    <col min="3585" max="3587" width="0" style="603" hidden="1" customWidth="1"/>
    <col min="3588" max="3588" width="77" style="603" customWidth="1"/>
    <col min="3589" max="3589" width="28.85546875" style="603" customWidth="1"/>
    <col min="3590" max="3590" width="37" style="603" customWidth="1"/>
    <col min="3591" max="3591" width="29.85546875" style="603" customWidth="1"/>
    <col min="3592" max="3592" width="39.5703125" style="603" customWidth="1"/>
    <col min="3593" max="3593" width="31.85546875" style="603" customWidth="1"/>
    <col min="3594" max="3594" width="9.28515625" style="603" bestFit="1" customWidth="1"/>
    <col min="3595" max="3595" width="29.28515625" style="603" customWidth="1"/>
    <col min="3596" max="3596" width="31.140625" style="603" customWidth="1"/>
    <col min="3597" max="3601" width="9.140625" style="603"/>
    <col min="3602" max="3602" width="8.28515625" style="603" customWidth="1"/>
    <col min="3603" max="3840" width="9.140625" style="603"/>
    <col min="3841" max="3843" width="0" style="603" hidden="1" customWidth="1"/>
    <col min="3844" max="3844" width="77" style="603" customWidth="1"/>
    <col min="3845" max="3845" width="28.85546875" style="603" customWidth="1"/>
    <col min="3846" max="3846" width="37" style="603" customWidth="1"/>
    <col min="3847" max="3847" width="29.85546875" style="603" customWidth="1"/>
    <col min="3848" max="3848" width="39.5703125" style="603" customWidth="1"/>
    <col min="3849" max="3849" width="31.85546875" style="603" customWidth="1"/>
    <col min="3850" max="3850" width="9.28515625" style="603" bestFit="1" customWidth="1"/>
    <col min="3851" max="3851" width="29.28515625" style="603" customWidth="1"/>
    <col min="3852" max="3852" width="31.140625" style="603" customWidth="1"/>
    <col min="3853" max="3857" width="9.140625" style="603"/>
    <col min="3858" max="3858" width="8.28515625" style="603" customWidth="1"/>
    <col min="3859" max="4096" width="9.140625" style="603"/>
    <col min="4097" max="4099" width="0" style="603" hidden="1" customWidth="1"/>
    <col min="4100" max="4100" width="77" style="603" customWidth="1"/>
    <col min="4101" max="4101" width="28.85546875" style="603" customWidth="1"/>
    <col min="4102" max="4102" width="37" style="603" customWidth="1"/>
    <col min="4103" max="4103" width="29.85546875" style="603" customWidth="1"/>
    <col min="4104" max="4104" width="39.5703125" style="603" customWidth="1"/>
    <col min="4105" max="4105" width="31.85546875" style="603" customWidth="1"/>
    <col min="4106" max="4106" width="9.28515625" style="603" bestFit="1" customWidth="1"/>
    <col min="4107" max="4107" width="29.28515625" style="603" customWidth="1"/>
    <col min="4108" max="4108" width="31.140625" style="603" customWidth="1"/>
    <col min="4109" max="4113" width="9.140625" style="603"/>
    <col min="4114" max="4114" width="8.28515625" style="603" customWidth="1"/>
    <col min="4115" max="4352" width="9.140625" style="603"/>
    <col min="4353" max="4355" width="0" style="603" hidden="1" customWidth="1"/>
    <col min="4356" max="4356" width="77" style="603" customWidth="1"/>
    <col min="4357" max="4357" width="28.85546875" style="603" customWidth="1"/>
    <col min="4358" max="4358" width="37" style="603" customWidth="1"/>
    <col min="4359" max="4359" width="29.85546875" style="603" customWidth="1"/>
    <col min="4360" max="4360" width="39.5703125" style="603" customWidth="1"/>
    <col min="4361" max="4361" width="31.85546875" style="603" customWidth="1"/>
    <col min="4362" max="4362" width="9.28515625" style="603" bestFit="1" customWidth="1"/>
    <col min="4363" max="4363" width="29.28515625" style="603" customWidth="1"/>
    <col min="4364" max="4364" width="31.140625" style="603" customWidth="1"/>
    <col min="4365" max="4369" width="9.140625" style="603"/>
    <col min="4370" max="4370" width="8.28515625" style="603" customWidth="1"/>
    <col min="4371" max="4608" width="9.140625" style="603"/>
    <col min="4609" max="4611" width="0" style="603" hidden="1" customWidth="1"/>
    <col min="4612" max="4612" width="77" style="603" customWidth="1"/>
    <col min="4613" max="4613" width="28.85546875" style="603" customWidth="1"/>
    <col min="4614" max="4614" width="37" style="603" customWidth="1"/>
    <col min="4615" max="4615" width="29.85546875" style="603" customWidth="1"/>
    <col min="4616" max="4616" width="39.5703125" style="603" customWidth="1"/>
    <col min="4617" max="4617" width="31.85546875" style="603" customWidth="1"/>
    <col min="4618" max="4618" width="9.28515625" style="603" bestFit="1" customWidth="1"/>
    <col min="4619" max="4619" width="29.28515625" style="603" customWidth="1"/>
    <col min="4620" max="4620" width="31.140625" style="603" customWidth="1"/>
    <col min="4621" max="4625" width="9.140625" style="603"/>
    <col min="4626" max="4626" width="8.28515625" style="603" customWidth="1"/>
    <col min="4627" max="4864" width="9.140625" style="603"/>
    <col min="4865" max="4867" width="0" style="603" hidden="1" customWidth="1"/>
    <col min="4868" max="4868" width="77" style="603" customWidth="1"/>
    <col min="4869" max="4869" width="28.85546875" style="603" customWidth="1"/>
    <col min="4870" max="4870" width="37" style="603" customWidth="1"/>
    <col min="4871" max="4871" width="29.85546875" style="603" customWidth="1"/>
    <col min="4872" max="4872" width="39.5703125" style="603" customWidth="1"/>
    <col min="4873" max="4873" width="31.85546875" style="603" customWidth="1"/>
    <col min="4874" max="4874" width="9.28515625" style="603" bestFit="1" customWidth="1"/>
    <col min="4875" max="4875" width="29.28515625" style="603" customWidth="1"/>
    <col min="4876" max="4876" width="31.140625" style="603" customWidth="1"/>
    <col min="4877" max="4881" width="9.140625" style="603"/>
    <col min="4882" max="4882" width="8.28515625" style="603" customWidth="1"/>
    <col min="4883" max="5120" width="9.140625" style="603"/>
    <col min="5121" max="5123" width="0" style="603" hidden="1" customWidth="1"/>
    <col min="5124" max="5124" width="77" style="603" customWidth="1"/>
    <col min="5125" max="5125" width="28.85546875" style="603" customWidth="1"/>
    <col min="5126" max="5126" width="37" style="603" customWidth="1"/>
    <col min="5127" max="5127" width="29.85546875" style="603" customWidth="1"/>
    <col min="5128" max="5128" width="39.5703125" style="603" customWidth="1"/>
    <col min="5129" max="5129" width="31.85546875" style="603" customWidth="1"/>
    <col min="5130" max="5130" width="9.28515625" style="603" bestFit="1" customWidth="1"/>
    <col min="5131" max="5131" width="29.28515625" style="603" customWidth="1"/>
    <col min="5132" max="5132" width="31.140625" style="603" customWidth="1"/>
    <col min="5133" max="5137" width="9.140625" style="603"/>
    <col min="5138" max="5138" width="8.28515625" style="603" customWidth="1"/>
    <col min="5139" max="5376" width="9.140625" style="603"/>
    <col min="5377" max="5379" width="0" style="603" hidden="1" customWidth="1"/>
    <col min="5380" max="5380" width="77" style="603" customWidth="1"/>
    <col min="5381" max="5381" width="28.85546875" style="603" customWidth="1"/>
    <col min="5382" max="5382" width="37" style="603" customWidth="1"/>
    <col min="5383" max="5383" width="29.85546875" style="603" customWidth="1"/>
    <col min="5384" max="5384" width="39.5703125" style="603" customWidth="1"/>
    <col min="5385" max="5385" width="31.85546875" style="603" customWidth="1"/>
    <col min="5386" max="5386" width="9.28515625" style="603" bestFit="1" customWidth="1"/>
    <col min="5387" max="5387" width="29.28515625" style="603" customWidth="1"/>
    <col min="5388" max="5388" width="31.140625" style="603" customWidth="1"/>
    <col min="5389" max="5393" width="9.140625" style="603"/>
    <col min="5394" max="5394" width="8.28515625" style="603" customWidth="1"/>
    <col min="5395" max="5632" width="9.140625" style="603"/>
    <col min="5633" max="5635" width="0" style="603" hidden="1" customWidth="1"/>
    <col min="5636" max="5636" width="77" style="603" customWidth="1"/>
    <col min="5637" max="5637" width="28.85546875" style="603" customWidth="1"/>
    <col min="5638" max="5638" width="37" style="603" customWidth="1"/>
    <col min="5639" max="5639" width="29.85546875" style="603" customWidth="1"/>
    <col min="5640" max="5640" width="39.5703125" style="603" customWidth="1"/>
    <col min="5641" max="5641" width="31.85546875" style="603" customWidth="1"/>
    <col min="5642" max="5642" width="9.28515625" style="603" bestFit="1" customWidth="1"/>
    <col min="5643" max="5643" width="29.28515625" style="603" customWidth="1"/>
    <col min="5644" max="5644" width="31.140625" style="603" customWidth="1"/>
    <col min="5645" max="5649" width="9.140625" style="603"/>
    <col min="5650" max="5650" width="8.28515625" style="603" customWidth="1"/>
    <col min="5651" max="5888" width="9.140625" style="603"/>
    <col min="5889" max="5891" width="0" style="603" hidden="1" customWidth="1"/>
    <col min="5892" max="5892" width="77" style="603" customWidth="1"/>
    <col min="5893" max="5893" width="28.85546875" style="603" customWidth="1"/>
    <col min="5894" max="5894" width="37" style="603" customWidth="1"/>
    <col min="5895" max="5895" width="29.85546875" style="603" customWidth="1"/>
    <col min="5896" max="5896" width="39.5703125" style="603" customWidth="1"/>
    <col min="5897" max="5897" width="31.85546875" style="603" customWidth="1"/>
    <col min="5898" max="5898" width="9.28515625" style="603" bestFit="1" customWidth="1"/>
    <col min="5899" max="5899" width="29.28515625" style="603" customWidth="1"/>
    <col min="5900" max="5900" width="31.140625" style="603" customWidth="1"/>
    <col min="5901" max="5905" width="9.140625" style="603"/>
    <col min="5906" max="5906" width="8.28515625" style="603" customWidth="1"/>
    <col min="5907" max="6144" width="9.140625" style="603"/>
    <col min="6145" max="6147" width="0" style="603" hidden="1" customWidth="1"/>
    <col min="6148" max="6148" width="77" style="603" customWidth="1"/>
    <col min="6149" max="6149" width="28.85546875" style="603" customWidth="1"/>
    <col min="6150" max="6150" width="37" style="603" customWidth="1"/>
    <col min="6151" max="6151" width="29.85546875" style="603" customWidth="1"/>
    <col min="6152" max="6152" width="39.5703125" style="603" customWidth="1"/>
    <col min="6153" max="6153" width="31.85546875" style="603" customWidth="1"/>
    <col min="6154" max="6154" width="9.28515625" style="603" bestFit="1" customWidth="1"/>
    <col min="6155" max="6155" width="29.28515625" style="603" customWidth="1"/>
    <col min="6156" max="6156" width="31.140625" style="603" customWidth="1"/>
    <col min="6157" max="6161" width="9.140625" style="603"/>
    <col min="6162" max="6162" width="8.28515625" style="603" customWidth="1"/>
    <col min="6163" max="6400" width="9.140625" style="603"/>
    <col min="6401" max="6403" width="0" style="603" hidden="1" customWidth="1"/>
    <col min="6404" max="6404" width="77" style="603" customWidth="1"/>
    <col min="6405" max="6405" width="28.85546875" style="603" customWidth="1"/>
    <col min="6406" max="6406" width="37" style="603" customWidth="1"/>
    <col min="6407" max="6407" width="29.85546875" style="603" customWidth="1"/>
    <col min="6408" max="6408" width="39.5703125" style="603" customWidth="1"/>
    <col min="6409" max="6409" width="31.85546875" style="603" customWidth="1"/>
    <col min="6410" max="6410" width="9.28515625" style="603" bestFit="1" customWidth="1"/>
    <col min="6411" max="6411" width="29.28515625" style="603" customWidth="1"/>
    <col min="6412" max="6412" width="31.140625" style="603" customWidth="1"/>
    <col min="6413" max="6417" width="9.140625" style="603"/>
    <col min="6418" max="6418" width="8.28515625" style="603" customWidth="1"/>
    <col min="6419" max="6656" width="9.140625" style="603"/>
    <col min="6657" max="6659" width="0" style="603" hidden="1" customWidth="1"/>
    <col min="6660" max="6660" width="77" style="603" customWidth="1"/>
    <col min="6661" max="6661" width="28.85546875" style="603" customWidth="1"/>
    <col min="6662" max="6662" width="37" style="603" customWidth="1"/>
    <col min="6663" max="6663" width="29.85546875" style="603" customWidth="1"/>
    <col min="6664" max="6664" width="39.5703125" style="603" customWidth="1"/>
    <col min="6665" max="6665" width="31.85546875" style="603" customWidth="1"/>
    <col min="6666" max="6666" width="9.28515625" style="603" bestFit="1" customWidth="1"/>
    <col min="6667" max="6667" width="29.28515625" style="603" customWidth="1"/>
    <col min="6668" max="6668" width="31.140625" style="603" customWidth="1"/>
    <col min="6669" max="6673" width="9.140625" style="603"/>
    <col min="6674" max="6674" width="8.28515625" style="603" customWidth="1"/>
    <col min="6675" max="6912" width="9.140625" style="603"/>
    <col min="6913" max="6915" width="0" style="603" hidden="1" customWidth="1"/>
    <col min="6916" max="6916" width="77" style="603" customWidth="1"/>
    <col min="6917" max="6917" width="28.85546875" style="603" customWidth="1"/>
    <col min="6918" max="6918" width="37" style="603" customWidth="1"/>
    <col min="6919" max="6919" width="29.85546875" style="603" customWidth="1"/>
    <col min="6920" max="6920" width="39.5703125" style="603" customWidth="1"/>
    <col min="6921" max="6921" width="31.85546875" style="603" customWidth="1"/>
    <col min="6922" max="6922" width="9.28515625" style="603" bestFit="1" customWidth="1"/>
    <col min="6923" max="6923" width="29.28515625" style="603" customWidth="1"/>
    <col min="6924" max="6924" width="31.140625" style="603" customWidth="1"/>
    <col min="6925" max="6929" width="9.140625" style="603"/>
    <col min="6930" max="6930" width="8.28515625" style="603" customWidth="1"/>
    <col min="6931" max="7168" width="9.140625" style="603"/>
    <col min="7169" max="7171" width="0" style="603" hidden="1" customWidth="1"/>
    <col min="7172" max="7172" width="77" style="603" customWidth="1"/>
    <col min="7173" max="7173" width="28.85546875" style="603" customWidth="1"/>
    <col min="7174" max="7174" width="37" style="603" customWidth="1"/>
    <col min="7175" max="7175" width="29.85546875" style="603" customWidth="1"/>
    <col min="7176" max="7176" width="39.5703125" style="603" customWidth="1"/>
    <col min="7177" max="7177" width="31.85546875" style="603" customWidth="1"/>
    <col min="7178" max="7178" width="9.28515625" style="603" bestFit="1" customWidth="1"/>
    <col min="7179" max="7179" width="29.28515625" style="603" customWidth="1"/>
    <col min="7180" max="7180" width="31.140625" style="603" customWidth="1"/>
    <col min="7181" max="7185" width="9.140625" style="603"/>
    <col min="7186" max="7186" width="8.28515625" style="603" customWidth="1"/>
    <col min="7187" max="7424" width="9.140625" style="603"/>
    <col min="7425" max="7427" width="0" style="603" hidden="1" customWidth="1"/>
    <col min="7428" max="7428" width="77" style="603" customWidth="1"/>
    <col min="7429" max="7429" width="28.85546875" style="603" customWidth="1"/>
    <col min="7430" max="7430" width="37" style="603" customWidth="1"/>
    <col min="7431" max="7431" width="29.85546875" style="603" customWidth="1"/>
    <col min="7432" max="7432" width="39.5703125" style="603" customWidth="1"/>
    <col min="7433" max="7433" width="31.85546875" style="603" customWidth="1"/>
    <col min="7434" max="7434" width="9.28515625" style="603" bestFit="1" customWidth="1"/>
    <col min="7435" max="7435" width="29.28515625" style="603" customWidth="1"/>
    <col min="7436" max="7436" width="31.140625" style="603" customWidth="1"/>
    <col min="7437" max="7441" width="9.140625" style="603"/>
    <col min="7442" max="7442" width="8.28515625" style="603" customWidth="1"/>
    <col min="7443" max="7680" width="9.140625" style="603"/>
    <col min="7681" max="7683" width="0" style="603" hidden="1" customWidth="1"/>
    <col min="7684" max="7684" width="77" style="603" customWidth="1"/>
    <col min="7685" max="7685" width="28.85546875" style="603" customWidth="1"/>
    <col min="7686" max="7686" width="37" style="603" customWidth="1"/>
    <col min="7687" max="7687" width="29.85546875" style="603" customWidth="1"/>
    <col min="7688" max="7688" width="39.5703125" style="603" customWidth="1"/>
    <col min="7689" max="7689" width="31.85546875" style="603" customWidth="1"/>
    <col min="7690" max="7690" width="9.28515625" style="603" bestFit="1" customWidth="1"/>
    <col min="7691" max="7691" width="29.28515625" style="603" customWidth="1"/>
    <col min="7692" max="7692" width="31.140625" style="603" customWidth="1"/>
    <col min="7693" max="7697" width="9.140625" style="603"/>
    <col min="7698" max="7698" width="8.28515625" style="603" customWidth="1"/>
    <col min="7699" max="7936" width="9.140625" style="603"/>
    <col min="7937" max="7939" width="0" style="603" hidden="1" customWidth="1"/>
    <col min="7940" max="7940" width="77" style="603" customWidth="1"/>
    <col min="7941" max="7941" width="28.85546875" style="603" customWidth="1"/>
    <col min="7942" max="7942" width="37" style="603" customWidth="1"/>
    <col min="7943" max="7943" width="29.85546875" style="603" customWidth="1"/>
    <col min="7944" max="7944" width="39.5703125" style="603" customWidth="1"/>
    <col min="7945" max="7945" width="31.85546875" style="603" customWidth="1"/>
    <col min="7946" max="7946" width="9.28515625" style="603" bestFit="1" customWidth="1"/>
    <col min="7947" max="7947" width="29.28515625" style="603" customWidth="1"/>
    <col min="7948" max="7948" width="31.140625" style="603" customWidth="1"/>
    <col min="7949" max="7953" width="9.140625" style="603"/>
    <col min="7954" max="7954" width="8.28515625" style="603" customWidth="1"/>
    <col min="7955" max="8192" width="9.140625" style="603"/>
    <col min="8193" max="8195" width="0" style="603" hidden="1" customWidth="1"/>
    <col min="8196" max="8196" width="77" style="603" customWidth="1"/>
    <col min="8197" max="8197" width="28.85546875" style="603" customWidth="1"/>
    <col min="8198" max="8198" width="37" style="603" customWidth="1"/>
    <col min="8199" max="8199" width="29.85546875" style="603" customWidth="1"/>
    <col min="8200" max="8200" width="39.5703125" style="603" customWidth="1"/>
    <col min="8201" max="8201" width="31.85546875" style="603" customWidth="1"/>
    <col min="8202" max="8202" width="9.28515625" style="603" bestFit="1" customWidth="1"/>
    <col min="8203" max="8203" width="29.28515625" style="603" customWidth="1"/>
    <col min="8204" max="8204" width="31.140625" style="603" customWidth="1"/>
    <col min="8205" max="8209" width="9.140625" style="603"/>
    <col min="8210" max="8210" width="8.28515625" style="603" customWidth="1"/>
    <col min="8211" max="8448" width="9.140625" style="603"/>
    <col min="8449" max="8451" width="0" style="603" hidden="1" customWidth="1"/>
    <col min="8452" max="8452" width="77" style="603" customWidth="1"/>
    <col min="8453" max="8453" width="28.85546875" style="603" customWidth="1"/>
    <col min="8454" max="8454" width="37" style="603" customWidth="1"/>
    <col min="8455" max="8455" width="29.85546875" style="603" customWidth="1"/>
    <col min="8456" max="8456" width="39.5703125" style="603" customWidth="1"/>
    <col min="8457" max="8457" width="31.85546875" style="603" customWidth="1"/>
    <col min="8458" max="8458" width="9.28515625" style="603" bestFit="1" customWidth="1"/>
    <col min="8459" max="8459" width="29.28515625" style="603" customWidth="1"/>
    <col min="8460" max="8460" width="31.140625" style="603" customWidth="1"/>
    <col min="8461" max="8465" width="9.140625" style="603"/>
    <col min="8466" max="8466" width="8.28515625" style="603" customWidth="1"/>
    <col min="8467" max="8704" width="9.140625" style="603"/>
    <col min="8705" max="8707" width="0" style="603" hidden="1" customWidth="1"/>
    <col min="8708" max="8708" width="77" style="603" customWidth="1"/>
    <col min="8709" max="8709" width="28.85546875" style="603" customWidth="1"/>
    <col min="8710" max="8710" width="37" style="603" customWidth="1"/>
    <col min="8711" max="8711" width="29.85546875" style="603" customWidth="1"/>
    <col min="8712" max="8712" width="39.5703125" style="603" customWidth="1"/>
    <col min="8713" max="8713" width="31.85546875" style="603" customWidth="1"/>
    <col min="8714" max="8714" width="9.28515625" style="603" bestFit="1" customWidth="1"/>
    <col min="8715" max="8715" width="29.28515625" style="603" customWidth="1"/>
    <col min="8716" max="8716" width="31.140625" style="603" customWidth="1"/>
    <col min="8717" max="8721" width="9.140625" style="603"/>
    <col min="8722" max="8722" width="8.28515625" style="603" customWidth="1"/>
    <col min="8723" max="8960" width="9.140625" style="603"/>
    <col min="8961" max="8963" width="0" style="603" hidden="1" customWidth="1"/>
    <col min="8964" max="8964" width="77" style="603" customWidth="1"/>
    <col min="8965" max="8965" width="28.85546875" style="603" customWidth="1"/>
    <col min="8966" max="8966" width="37" style="603" customWidth="1"/>
    <col min="8967" max="8967" width="29.85546875" style="603" customWidth="1"/>
    <col min="8968" max="8968" width="39.5703125" style="603" customWidth="1"/>
    <col min="8969" max="8969" width="31.85546875" style="603" customWidth="1"/>
    <col min="8970" max="8970" width="9.28515625" style="603" bestFit="1" customWidth="1"/>
    <col min="8971" max="8971" width="29.28515625" style="603" customWidth="1"/>
    <col min="8972" max="8972" width="31.140625" style="603" customWidth="1"/>
    <col min="8973" max="8977" width="9.140625" style="603"/>
    <col min="8978" max="8978" width="8.28515625" style="603" customWidth="1"/>
    <col min="8979" max="9216" width="9.140625" style="603"/>
    <col min="9217" max="9219" width="0" style="603" hidden="1" customWidth="1"/>
    <col min="9220" max="9220" width="77" style="603" customWidth="1"/>
    <col min="9221" max="9221" width="28.85546875" style="603" customWidth="1"/>
    <col min="9222" max="9222" width="37" style="603" customWidth="1"/>
    <col min="9223" max="9223" width="29.85546875" style="603" customWidth="1"/>
    <col min="9224" max="9224" width="39.5703125" style="603" customWidth="1"/>
    <col min="9225" max="9225" width="31.85546875" style="603" customWidth="1"/>
    <col min="9226" max="9226" width="9.28515625" style="603" bestFit="1" customWidth="1"/>
    <col min="9227" max="9227" width="29.28515625" style="603" customWidth="1"/>
    <col min="9228" max="9228" width="31.140625" style="603" customWidth="1"/>
    <col min="9229" max="9233" width="9.140625" style="603"/>
    <col min="9234" max="9234" width="8.28515625" style="603" customWidth="1"/>
    <col min="9235" max="9472" width="9.140625" style="603"/>
    <col min="9473" max="9475" width="0" style="603" hidden="1" customWidth="1"/>
    <col min="9476" max="9476" width="77" style="603" customWidth="1"/>
    <col min="9477" max="9477" width="28.85546875" style="603" customWidth="1"/>
    <col min="9478" max="9478" width="37" style="603" customWidth="1"/>
    <col min="9479" max="9479" width="29.85546875" style="603" customWidth="1"/>
    <col min="9480" max="9480" width="39.5703125" style="603" customWidth="1"/>
    <col min="9481" max="9481" width="31.85546875" style="603" customWidth="1"/>
    <col min="9482" max="9482" width="9.28515625" style="603" bestFit="1" customWidth="1"/>
    <col min="9483" max="9483" width="29.28515625" style="603" customWidth="1"/>
    <col min="9484" max="9484" width="31.140625" style="603" customWidth="1"/>
    <col min="9485" max="9489" width="9.140625" style="603"/>
    <col min="9490" max="9490" width="8.28515625" style="603" customWidth="1"/>
    <col min="9491" max="9728" width="9.140625" style="603"/>
    <col min="9729" max="9731" width="0" style="603" hidden="1" customWidth="1"/>
    <col min="9732" max="9732" width="77" style="603" customWidth="1"/>
    <col min="9733" max="9733" width="28.85546875" style="603" customWidth="1"/>
    <col min="9734" max="9734" width="37" style="603" customWidth="1"/>
    <col min="9735" max="9735" width="29.85546875" style="603" customWidth="1"/>
    <col min="9736" max="9736" width="39.5703125" style="603" customWidth="1"/>
    <col min="9737" max="9737" width="31.85546875" style="603" customWidth="1"/>
    <col min="9738" max="9738" width="9.28515625" style="603" bestFit="1" customWidth="1"/>
    <col min="9739" max="9739" width="29.28515625" style="603" customWidth="1"/>
    <col min="9740" max="9740" width="31.140625" style="603" customWidth="1"/>
    <col min="9741" max="9745" width="9.140625" style="603"/>
    <col min="9746" max="9746" width="8.28515625" style="603" customWidth="1"/>
    <col min="9747" max="9984" width="9.140625" style="603"/>
    <col min="9985" max="9987" width="0" style="603" hidden="1" customWidth="1"/>
    <col min="9988" max="9988" width="77" style="603" customWidth="1"/>
    <col min="9989" max="9989" width="28.85546875" style="603" customWidth="1"/>
    <col min="9990" max="9990" width="37" style="603" customWidth="1"/>
    <col min="9991" max="9991" width="29.85546875" style="603" customWidth="1"/>
    <col min="9992" max="9992" width="39.5703125" style="603" customWidth="1"/>
    <col min="9993" max="9993" width="31.85546875" style="603" customWidth="1"/>
    <col min="9994" max="9994" width="9.28515625" style="603" bestFit="1" customWidth="1"/>
    <col min="9995" max="9995" width="29.28515625" style="603" customWidth="1"/>
    <col min="9996" max="9996" width="31.140625" style="603" customWidth="1"/>
    <col min="9997" max="10001" width="9.140625" style="603"/>
    <col min="10002" max="10002" width="8.28515625" style="603" customWidth="1"/>
    <col min="10003" max="10240" width="9.140625" style="603"/>
    <col min="10241" max="10243" width="0" style="603" hidden="1" customWidth="1"/>
    <col min="10244" max="10244" width="77" style="603" customWidth="1"/>
    <col min="10245" max="10245" width="28.85546875" style="603" customWidth="1"/>
    <col min="10246" max="10246" width="37" style="603" customWidth="1"/>
    <col min="10247" max="10247" width="29.85546875" style="603" customWidth="1"/>
    <col min="10248" max="10248" width="39.5703125" style="603" customWidth="1"/>
    <col min="10249" max="10249" width="31.85546875" style="603" customWidth="1"/>
    <col min="10250" max="10250" width="9.28515625" style="603" bestFit="1" customWidth="1"/>
    <col min="10251" max="10251" width="29.28515625" style="603" customWidth="1"/>
    <col min="10252" max="10252" width="31.140625" style="603" customWidth="1"/>
    <col min="10253" max="10257" width="9.140625" style="603"/>
    <col min="10258" max="10258" width="8.28515625" style="603" customWidth="1"/>
    <col min="10259" max="10496" width="9.140625" style="603"/>
    <col min="10497" max="10499" width="0" style="603" hidden="1" customWidth="1"/>
    <col min="10500" max="10500" width="77" style="603" customWidth="1"/>
    <col min="10501" max="10501" width="28.85546875" style="603" customWidth="1"/>
    <col min="10502" max="10502" width="37" style="603" customWidth="1"/>
    <col min="10503" max="10503" width="29.85546875" style="603" customWidth="1"/>
    <col min="10504" max="10504" width="39.5703125" style="603" customWidth="1"/>
    <col min="10505" max="10505" width="31.85546875" style="603" customWidth="1"/>
    <col min="10506" max="10506" width="9.28515625" style="603" bestFit="1" customWidth="1"/>
    <col min="10507" max="10507" width="29.28515625" style="603" customWidth="1"/>
    <col min="10508" max="10508" width="31.140625" style="603" customWidth="1"/>
    <col min="10509" max="10513" width="9.140625" style="603"/>
    <col min="10514" max="10514" width="8.28515625" style="603" customWidth="1"/>
    <col min="10515" max="10752" width="9.140625" style="603"/>
    <col min="10753" max="10755" width="0" style="603" hidden="1" customWidth="1"/>
    <col min="10756" max="10756" width="77" style="603" customWidth="1"/>
    <col min="10757" max="10757" width="28.85546875" style="603" customWidth="1"/>
    <col min="10758" max="10758" width="37" style="603" customWidth="1"/>
    <col min="10759" max="10759" width="29.85546875" style="603" customWidth="1"/>
    <col min="10760" max="10760" width="39.5703125" style="603" customWidth="1"/>
    <col min="10761" max="10761" width="31.85546875" style="603" customWidth="1"/>
    <col min="10762" max="10762" width="9.28515625" style="603" bestFit="1" customWidth="1"/>
    <col min="10763" max="10763" width="29.28515625" style="603" customWidth="1"/>
    <col min="10764" max="10764" width="31.140625" style="603" customWidth="1"/>
    <col min="10765" max="10769" width="9.140625" style="603"/>
    <col min="10770" max="10770" width="8.28515625" style="603" customWidth="1"/>
    <col min="10771" max="11008" width="9.140625" style="603"/>
    <col min="11009" max="11011" width="0" style="603" hidden="1" customWidth="1"/>
    <col min="11012" max="11012" width="77" style="603" customWidth="1"/>
    <col min="11013" max="11013" width="28.85546875" style="603" customWidth="1"/>
    <col min="11014" max="11014" width="37" style="603" customWidth="1"/>
    <col min="11015" max="11015" width="29.85546875" style="603" customWidth="1"/>
    <col min="11016" max="11016" width="39.5703125" style="603" customWidth="1"/>
    <col min="11017" max="11017" width="31.85546875" style="603" customWidth="1"/>
    <col min="11018" max="11018" width="9.28515625" style="603" bestFit="1" customWidth="1"/>
    <col min="11019" max="11019" width="29.28515625" style="603" customWidth="1"/>
    <col min="11020" max="11020" width="31.140625" style="603" customWidth="1"/>
    <col min="11021" max="11025" width="9.140625" style="603"/>
    <col min="11026" max="11026" width="8.28515625" style="603" customWidth="1"/>
    <col min="11027" max="11264" width="9.140625" style="603"/>
    <col min="11265" max="11267" width="0" style="603" hidden="1" customWidth="1"/>
    <col min="11268" max="11268" width="77" style="603" customWidth="1"/>
    <col min="11269" max="11269" width="28.85546875" style="603" customWidth="1"/>
    <col min="11270" max="11270" width="37" style="603" customWidth="1"/>
    <col min="11271" max="11271" width="29.85546875" style="603" customWidth="1"/>
    <col min="11272" max="11272" width="39.5703125" style="603" customWidth="1"/>
    <col min="11273" max="11273" width="31.85546875" style="603" customWidth="1"/>
    <col min="11274" max="11274" width="9.28515625" style="603" bestFit="1" customWidth="1"/>
    <col min="11275" max="11275" width="29.28515625" style="603" customWidth="1"/>
    <col min="11276" max="11276" width="31.140625" style="603" customWidth="1"/>
    <col min="11277" max="11281" width="9.140625" style="603"/>
    <col min="11282" max="11282" width="8.28515625" style="603" customWidth="1"/>
    <col min="11283" max="11520" width="9.140625" style="603"/>
    <col min="11521" max="11523" width="0" style="603" hidden="1" customWidth="1"/>
    <col min="11524" max="11524" width="77" style="603" customWidth="1"/>
    <col min="11525" max="11525" width="28.85546875" style="603" customWidth="1"/>
    <col min="11526" max="11526" width="37" style="603" customWidth="1"/>
    <col min="11527" max="11527" width="29.85546875" style="603" customWidth="1"/>
    <col min="11528" max="11528" width="39.5703125" style="603" customWidth="1"/>
    <col min="11529" max="11529" width="31.85546875" style="603" customWidth="1"/>
    <col min="11530" max="11530" width="9.28515625" style="603" bestFit="1" customWidth="1"/>
    <col min="11531" max="11531" width="29.28515625" style="603" customWidth="1"/>
    <col min="11532" max="11532" width="31.140625" style="603" customWidth="1"/>
    <col min="11533" max="11537" width="9.140625" style="603"/>
    <col min="11538" max="11538" width="8.28515625" style="603" customWidth="1"/>
    <col min="11539" max="11776" width="9.140625" style="603"/>
    <col min="11777" max="11779" width="0" style="603" hidden="1" customWidth="1"/>
    <col min="11780" max="11780" width="77" style="603" customWidth="1"/>
    <col min="11781" max="11781" width="28.85546875" style="603" customWidth="1"/>
    <col min="11782" max="11782" width="37" style="603" customWidth="1"/>
    <col min="11783" max="11783" width="29.85546875" style="603" customWidth="1"/>
    <col min="11784" max="11784" width="39.5703125" style="603" customWidth="1"/>
    <col min="11785" max="11785" width="31.85546875" style="603" customWidth="1"/>
    <col min="11786" max="11786" width="9.28515625" style="603" bestFit="1" customWidth="1"/>
    <col min="11787" max="11787" width="29.28515625" style="603" customWidth="1"/>
    <col min="11788" max="11788" width="31.140625" style="603" customWidth="1"/>
    <col min="11789" max="11793" width="9.140625" style="603"/>
    <col min="11794" max="11794" width="8.28515625" style="603" customWidth="1"/>
    <col min="11795" max="12032" width="9.140625" style="603"/>
    <col min="12033" max="12035" width="0" style="603" hidden="1" customWidth="1"/>
    <col min="12036" max="12036" width="77" style="603" customWidth="1"/>
    <col min="12037" max="12037" width="28.85546875" style="603" customWidth="1"/>
    <col min="12038" max="12038" width="37" style="603" customWidth="1"/>
    <col min="12039" max="12039" width="29.85546875" style="603" customWidth="1"/>
    <col min="12040" max="12040" width="39.5703125" style="603" customWidth="1"/>
    <col min="12041" max="12041" width="31.85546875" style="603" customWidth="1"/>
    <col min="12042" max="12042" width="9.28515625" style="603" bestFit="1" customWidth="1"/>
    <col min="12043" max="12043" width="29.28515625" style="603" customWidth="1"/>
    <col min="12044" max="12044" width="31.140625" style="603" customWidth="1"/>
    <col min="12045" max="12049" width="9.140625" style="603"/>
    <col min="12050" max="12050" width="8.28515625" style="603" customWidth="1"/>
    <col min="12051" max="12288" width="9.140625" style="603"/>
    <col min="12289" max="12291" width="0" style="603" hidden="1" customWidth="1"/>
    <col min="12292" max="12292" width="77" style="603" customWidth="1"/>
    <col min="12293" max="12293" width="28.85546875" style="603" customWidth="1"/>
    <col min="12294" max="12294" width="37" style="603" customWidth="1"/>
    <col min="12295" max="12295" width="29.85546875" style="603" customWidth="1"/>
    <col min="12296" max="12296" width="39.5703125" style="603" customWidth="1"/>
    <col min="12297" max="12297" width="31.85546875" style="603" customWidth="1"/>
    <col min="12298" max="12298" width="9.28515625" style="603" bestFit="1" customWidth="1"/>
    <col min="12299" max="12299" width="29.28515625" style="603" customWidth="1"/>
    <col min="12300" max="12300" width="31.140625" style="603" customWidth="1"/>
    <col min="12301" max="12305" width="9.140625" style="603"/>
    <col min="12306" max="12306" width="8.28515625" style="603" customWidth="1"/>
    <col min="12307" max="12544" width="9.140625" style="603"/>
    <col min="12545" max="12547" width="0" style="603" hidden="1" customWidth="1"/>
    <col min="12548" max="12548" width="77" style="603" customWidth="1"/>
    <col min="12549" max="12549" width="28.85546875" style="603" customWidth="1"/>
    <col min="12550" max="12550" width="37" style="603" customWidth="1"/>
    <col min="12551" max="12551" width="29.85546875" style="603" customWidth="1"/>
    <col min="12552" max="12552" width="39.5703125" style="603" customWidth="1"/>
    <col min="12553" max="12553" width="31.85546875" style="603" customWidth="1"/>
    <col min="12554" max="12554" width="9.28515625" style="603" bestFit="1" customWidth="1"/>
    <col min="12555" max="12555" width="29.28515625" style="603" customWidth="1"/>
    <col min="12556" max="12556" width="31.140625" style="603" customWidth="1"/>
    <col min="12557" max="12561" width="9.140625" style="603"/>
    <col min="12562" max="12562" width="8.28515625" style="603" customWidth="1"/>
    <col min="12563" max="12800" width="9.140625" style="603"/>
    <col min="12801" max="12803" width="0" style="603" hidden="1" customWidth="1"/>
    <col min="12804" max="12804" width="77" style="603" customWidth="1"/>
    <col min="12805" max="12805" width="28.85546875" style="603" customWidth="1"/>
    <col min="12806" max="12806" width="37" style="603" customWidth="1"/>
    <col min="12807" max="12807" width="29.85546875" style="603" customWidth="1"/>
    <col min="12808" max="12808" width="39.5703125" style="603" customWidth="1"/>
    <col min="12809" max="12809" width="31.85546875" style="603" customWidth="1"/>
    <col min="12810" max="12810" width="9.28515625" style="603" bestFit="1" customWidth="1"/>
    <col min="12811" max="12811" width="29.28515625" style="603" customWidth="1"/>
    <col min="12812" max="12812" width="31.140625" style="603" customWidth="1"/>
    <col min="12813" max="12817" width="9.140625" style="603"/>
    <col min="12818" max="12818" width="8.28515625" style="603" customWidth="1"/>
    <col min="12819" max="13056" width="9.140625" style="603"/>
    <col min="13057" max="13059" width="0" style="603" hidden="1" customWidth="1"/>
    <col min="13060" max="13060" width="77" style="603" customWidth="1"/>
    <col min="13061" max="13061" width="28.85546875" style="603" customWidth="1"/>
    <col min="13062" max="13062" width="37" style="603" customWidth="1"/>
    <col min="13063" max="13063" width="29.85546875" style="603" customWidth="1"/>
    <col min="13064" max="13064" width="39.5703125" style="603" customWidth="1"/>
    <col min="13065" max="13065" width="31.85546875" style="603" customWidth="1"/>
    <col min="13066" max="13066" width="9.28515625" style="603" bestFit="1" customWidth="1"/>
    <col min="13067" max="13067" width="29.28515625" style="603" customWidth="1"/>
    <col min="13068" max="13068" width="31.140625" style="603" customWidth="1"/>
    <col min="13069" max="13073" width="9.140625" style="603"/>
    <col min="13074" max="13074" width="8.28515625" style="603" customWidth="1"/>
    <col min="13075" max="13312" width="9.140625" style="603"/>
    <col min="13313" max="13315" width="0" style="603" hidden="1" customWidth="1"/>
    <col min="13316" max="13316" width="77" style="603" customWidth="1"/>
    <col min="13317" max="13317" width="28.85546875" style="603" customWidth="1"/>
    <col min="13318" max="13318" width="37" style="603" customWidth="1"/>
    <col min="13319" max="13319" width="29.85546875" style="603" customWidth="1"/>
    <col min="13320" max="13320" width="39.5703125" style="603" customWidth="1"/>
    <col min="13321" max="13321" width="31.85546875" style="603" customWidth="1"/>
    <col min="13322" max="13322" width="9.28515625" style="603" bestFit="1" customWidth="1"/>
    <col min="13323" max="13323" width="29.28515625" style="603" customWidth="1"/>
    <col min="13324" max="13324" width="31.140625" style="603" customWidth="1"/>
    <col min="13325" max="13329" width="9.140625" style="603"/>
    <col min="13330" max="13330" width="8.28515625" style="603" customWidth="1"/>
    <col min="13331" max="13568" width="9.140625" style="603"/>
    <col min="13569" max="13571" width="0" style="603" hidden="1" customWidth="1"/>
    <col min="13572" max="13572" width="77" style="603" customWidth="1"/>
    <col min="13573" max="13573" width="28.85546875" style="603" customWidth="1"/>
    <col min="13574" max="13574" width="37" style="603" customWidth="1"/>
    <col min="13575" max="13575" width="29.85546875" style="603" customWidth="1"/>
    <col min="13576" max="13576" width="39.5703125" style="603" customWidth="1"/>
    <col min="13577" max="13577" width="31.85546875" style="603" customWidth="1"/>
    <col min="13578" max="13578" width="9.28515625" style="603" bestFit="1" customWidth="1"/>
    <col min="13579" max="13579" width="29.28515625" style="603" customWidth="1"/>
    <col min="13580" max="13580" width="31.140625" style="603" customWidth="1"/>
    <col min="13581" max="13585" width="9.140625" style="603"/>
    <col min="13586" max="13586" width="8.28515625" style="603" customWidth="1"/>
    <col min="13587" max="13824" width="9.140625" style="603"/>
    <col min="13825" max="13827" width="0" style="603" hidden="1" customWidth="1"/>
    <col min="13828" max="13828" width="77" style="603" customWidth="1"/>
    <col min="13829" max="13829" width="28.85546875" style="603" customWidth="1"/>
    <col min="13830" max="13830" width="37" style="603" customWidth="1"/>
    <col min="13831" max="13831" width="29.85546875" style="603" customWidth="1"/>
    <col min="13832" max="13832" width="39.5703125" style="603" customWidth="1"/>
    <col min="13833" max="13833" width="31.85546875" style="603" customWidth="1"/>
    <col min="13834" max="13834" width="9.28515625" style="603" bestFit="1" customWidth="1"/>
    <col min="13835" max="13835" width="29.28515625" style="603" customWidth="1"/>
    <col min="13836" max="13836" width="31.140625" style="603" customWidth="1"/>
    <col min="13837" max="13841" width="9.140625" style="603"/>
    <col min="13842" max="13842" width="8.28515625" style="603" customWidth="1"/>
    <col min="13843" max="14080" width="9.140625" style="603"/>
    <col min="14081" max="14083" width="0" style="603" hidden="1" customWidth="1"/>
    <col min="14084" max="14084" width="77" style="603" customWidth="1"/>
    <col min="14085" max="14085" width="28.85546875" style="603" customWidth="1"/>
    <col min="14086" max="14086" width="37" style="603" customWidth="1"/>
    <col min="14087" max="14087" width="29.85546875" style="603" customWidth="1"/>
    <col min="14088" max="14088" width="39.5703125" style="603" customWidth="1"/>
    <col min="14089" max="14089" width="31.85546875" style="603" customWidth="1"/>
    <col min="14090" max="14090" width="9.28515625" style="603" bestFit="1" customWidth="1"/>
    <col min="14091" max="14091" width="29.28515625" style="603" customWidth="1"/>
    <col min="14092" max="14092" width="31.140625" style="603" customWidth="1"/>
    <col min="14093" max="14097" width="9.140625" style="603"/>
    <col min="14098" max="14098" width="8.28515625" style="603" customWidth="1"/>
    <col min="14099" max="14336" width="9.140625" style="603"/>
    <col min="14337" max="14339" width="0" style="603" hidden="1" customWidth="1"/>
    <col min="14340" max="14340" width="77" style="603" customWidth="1"/>
    <col min="14341" max="14341" width="28.85546875" style="603" customWidth="1"/>
    <col min="14342" max="14342" width="37" style="603" customWidth="1"/>
    <col min="14343" max="14343" width="29.85546875" style="603" customWidth="1"/>
    <col min="14344" max="14344" width="39.5703125" style="603" customWidth="1"/>
    <col min="14345" max="14345" width="31.85546875" style="603" customWidth="1"/>
    <col min="14346" max="14346" width="9.28515625" style="603" bestFit="1" customWidth="1"/>
    <col min="14347" max="14347" width="29.28515625" style="603" customWidth="1"/>
    <col min="14348" max="14348" width="31.140625" style="603" customWidth="1"/>
    <col min="14349" max="14353" width="9.140625" style="603"/>
    <col min="14354" max="14354" width="8.28515625" style="603" customWidth="1"/>
    <col min="14355" max="14592" width="9.140625" style="603"/>
    <col min="14593" max="14595" width="0" style="603" hidden="1" customWidth="1"/>
    <col min="14596" max="14596" width="77" style="603" customWidth="1"/>
    <col min="14597" max="14597" width="28.85546875" style="603" customWidth="1"/>
    <col min="14598" max="14598" width="37" style="603" customWidth="1"/>
    <col min="14599" max="14599" width="29.85546875" style="603" customWidth="1"/>
    <col min="14600" max="14600" width="39.5703125" style="603" customWidth="1"/>
    <col min="14601" max="14601" width="31.85546875" style="603" customWidth="1"/>
    <col min="14602" max="14602" width="9.28515625" style="603" bestFit="1" customWidth="1"/>
    <col min="14603" max="14603" width="29.28515625" style="603" customWidth="1"/>
    <col min="14604" max="14604" width="31.140625" style="603" customWidth="1"/>
    <col min="14605" max="14609" width="9.140625" style="603"/>
    <col min="14610" max="14610" width="8.28515625" style="603" customWidth="1"/>
    <col min="14611" max="14848" width="9.140625" style="603"/>
    <col min="14849" max="14851" width="0" style="603" hidden="1" customWidth="1"/>
    <col min="14852" max="14852" width="77" style="603" customWidth="1"/>
    <col min="14853" max="14853" width="28.85546875" style="603" customWidth="1"/>
    <col min="14854" max="14854" width="37" style="603" customWidth="1"/>
    <col min="14855" max="14855" width="29.85546875" style="603" customWidth="1"/>
    <col min="14856" max="14856" width="39.5703125" style="603" customWidth="1"/>
    <col min="14857" max="14857" width="31.85546875" style="603" customWidth="1"/>
    <col min="14858" max="14858" width="9.28515625" style="603" bestFit="1" customWidth="1"/>
    <col min="14859" max="14859" width="29.28515625" style="603" customWidth="1"/>
    <col min="14860" max="14860" width="31.140625" style="603" customWidth="1"/>
    <col min="14861" max="14865" width="9.140625" style="603"/>
    <col min="14866" max="14866" width="8.28515625" style="603" customWidth="1"/>
    <col min="14867" max="15104" width="9.140625" style="603"/>
    <col min="15105" max="15107" width="0" style="603" hidden="1" customWidth="1"/>
    <col min="15108" max="15108" width="77" style="603" customWidth="1"/>
    <col min="15109" max="15109" width="28.85546875" style="603" customWidth="1"/>
    <col min="15110" max="15110" width="37" style="603" customWidth="1"/>
    <col min="15111" max="15111" width="29.85546875" style="603" customWidth="1"/>
    <col min="15112" max="15112" width="39.5703125" style="603" customWidth="1"/>
    <col min="15113" max="15113" width="31.85546875" style="603" customWidth="1"/>
    <col min="15114" max="15114" width="9.28515625" style="603" bestFit="1" customWidth="1"/>
    <col min="15115" max="15115" width="29.28515625" style="603" customWidth="1"/>
    <col min="15116" max="15116" width="31.140625" style="603" customWidth="1"/>
    <col min="15117" max="15121" width="9.140625" style="603"/>
    <col min="15122" max="15122" width="8.28515625" style="603" customWidth="1"/>
    <col min="15123" max="15360" width="9.140625" style="603"/>
    <col min="15361" max="15363" width="0" style="603" hidden="1" customWidth="1"/>
    <col min="15364" max="15364" width="77" style="603" customWidth="1"/>
    <col min="15365" max="15365" width="28.85546875" style="603" customWidth="1"/>
    <col min="15366" max="15366" width="37" style="603" customWidth="1"/>
    <col min="15367" max="15367" width="29.85546875" style="603" customWidth="1"/>
    <col min="15368" max="15368" width="39.5703125" style="603" customWidth="1"/>
    <col min="15369" max="15369" width="31.85546875" style="603" customWidth="1"/>
    <col min="15370" max="15370" width="9.28515625" style="603" bestFit="1" customWidth="1"/>
    <col min="15371" max="15371" width="29.28515625" style="603" customWidth="1"/>
    <col min="15372" max="15372" width="31.140625" style="603" customWidth="1"/>
    <col min="15373" max="15377" width="9.140625" style="603"/>
    <col min="15378" max="15378" width="8.28515625" style="603" customWidth="1"/>
    <col min="15379" max="15616" width="9.140625" style="603"/>
    <col min="15617" max="15619" width="0" style="603" hidden="1" customWidth="1"/>
    <col min="15620" max="15620" width="77" style="603" customWidth="1"/>
    <col min="15621" max="15621" width="28.85546875" style="603" customWidth="1"/>
    <col min="15622" max="15622" width="37" style="603" customWidth="1"/>
    <col min="15623" max="15623" width="29.85546875" style="603" customWidth="1"/>
    <col min="15624" max="15624" width="39.5703125" style="603" customWidth="1"/>
    <col min="15625" max="15625" width="31.85546875" style="603" customWidth="1"/>
    <col min="15626" max="15626" width="9.28515625" style="603" bestFit="1" customWidth="1"/>
    <col min="15627" max="15627" width="29.28515625" style="603" customWidth="1"/>
    <col min="15628" max="15628" width="31.140625" style="603" customWidth="1"/>
    <col min="15629" max="15633" width="9.140625" style="603"/>
    <col min="15634" max="15634" width="8.28515625" style="603" customWidth="1"/>
    <col min="15635" max="15872" width="9.140625" style="603"/>
    <col min="15873" max="15875" width="0" style="603" hidden="1" customWidth="1"/>
    <col min="15876" max="15876" width="77" style="603" customWidth="1"/>
    <col min="15877" max="15877" width="28.85546875" style="603" customWidth="1"/>
    <col min="15878" max="15878" width="37" style="603" customWidth="1"/>
    <col min="15879" max="15879" width="29.85546875" style="603" customWidth="1"/>
    <col min="15880" max="15880" width="39.5703125" style="603" customWidth="1"/>
    <col min="15881" max="15881" width="31.85546875" style="603" customWidth="1"/>
    <col min="15882" max="15882" width="9.28515625" style="603" bestFit="1" customWidth="1"/>
    <col min="15883" max="15883" width="29.28515625" style="603" customWidth="1"/>
    <col min="15884" max="15884" width="31.140625" style="603" customWidth="1"/>
    <col min="15885" max="15889" width="9.140625" style="603"/>
    <col min="15890" max="15890" width="8.28515625" style="603" customWidth="1"/>
    <col min="15891" max="16128" width="9.140625" style="603"/>
    <col min="16129" max="16131" width="0" style="603" hidden="1" customWidth="1"/>
    <col min="16132" max="16132" width="77" style="603" customWidth="1"/>
    <col min="16133" max="16133" width="28.85546875" style="603" customWidth="1"/>
    <col min="16134" max="16134" width="37" style="603" customWidth="1"/>
    <col min="16135" max="16135" width="29.85546875" style="603" customWidth="1"/>
    <col min="16136" max="16136" width="39.5703125" style="603" customWidth="1"/>
    <col min="16137" max="16137" width="31.85546875" style="603" customWidth="1"/>
    <col min="16138" max="16138" width="9.28515625" style="603" bestFit="1" customWidth="1"/>
    <col min="16139" max="16139" width="29.28515625" style="603" customWidth="1"/>
    <col min="16140" max="16140" width="31.140625" style="603" customWidth="1"/>
    <col min="16141" max="16145" width="9.140625" style="603"/>
    <col min="16146" max="16146" width="8.28515625" style="603" customWidth="1"/>
    <col min="16147" max="16384" width="9.140625" style="603"/>
  </cols>
  <sheetData>
    <row r="1" spans="1:13" ht="15.75" thickBot="1"/>
    <row r="2" spans="1:13" s="614" customFormat="1" ht="32.25" customHeight="1">
      <c r="A2" s="611" t="s">
        <v>2156</v>
      </c>
      <c r="B2" s="612">
        <v>17.75</v>
      </c>
      <c r="C2" s="613">
        <v>2</v>
      </c>
      <c r="D2" s="1379" t="s">
        <v>2157</v>
      </c>
      <c r="E2" s="1380"/>
      <c r="F2" s="1380"/>
      <c r="G2" s="1380"/>
      <c r="H2" s="1380"/>
      <c r="I2" s="1381"/>
    </row>
    <row r="3" spans="1:13" s="616" customFormat="1" ht="78" customHeight="1">
      <c r="A3" s="611" t="s">
        <v>2158</v>
      </c>
      <c r="B3" s="612">
        <v>9.83</v>
      </c>
      <c r="C3" s="613">
        <v>1</v>
      </c>
      <c r="D3" s="483" t="s">
        <v>2159</v>
      </c>
      <c r="E3" s="615" t="s">
        <v>2160</v>
      </c>
      <c r="F3" s="484" t="s">
        <v>2161</v>
      </c>
      <c r="G3" s="484" t="s">
        <v>2162</v>
      </c>
      <c r="H3" s="484" t="s">
        <v>2163</v>
      </c>
      <c r="I3" s="485" t="s">
        <v>2164</v>
      </c>
    </row>
    <row r="4" spans="1:13" s="616" customFormat="1" ht="44.25" customHeight="1">
      <c r="A4" s="611" t="s">
        <v>2165</v>
      </c>
      <c r="B4" s="612">
        <v>4</v>
      </c>
      <c r="C4" s="613">
        <v>1</v>
      </c>
      <c r="D4" s="617" t="s">
        <v>2166</v>
      </c>
      <c r="E4" s="618">
        <v>250</v>
      </c>
      <c r="F4" s="619">
        <v>1</v>
      </c>
      <c r="G4" s="619">
        <v>250</v>
      </c>
      <c r="H4" s="620">
        <f t="shared" ref="H4:H9" si="0">(E4/F4/G4)</f>
        <v>1</v>
      </c>
      <c r="I4" s="621"/>
      <c r="K4" s="622"/>
    </row>
    <row r="5" spans="1:13" s="616" customFormat="1" ht="44.25" customHeight="1">
      <c r="A5" s="611" t="s">
        <v>2165</v>
      </c>
      <c r="B5" s="612">
        <v>4</v>
      </c>
      <c r="C5" s="613">
        <v>1</v>
      </c>
      <c r="D5" s="617" t="s">
        <v>2167</v>
      </c>
      <c r="E5" s="623">
        <v>10092</v>
      </c>
      <c r="F5" s="619">
        <v>1</v>
      </c>
      <c r="G5" s="619">
        <v>800</v>
      </c>
      <c r="H5" s="620">
        <f t="shared" si="0"/>
        <v>12.615</v>
      </c>
      <c r="I5" s="621"/>
      <c r="K5" s="622"/>
    </row>
    <row r="6" spans="1:13" s="616" customFormat="1" ht="44.25" customHeight="1">
      <c r="A6" s="611" t="s">
        <v>2165</v>
      </c>
      <c r="B6" s="612">
        <v>4</v>
      </c>
      <c r="C6" s="613">
        <v>1</v>
      </c>
      <c r="D6" s="617" t="s">
        <v>2168</v>
      </c>
      <c r="E6" s="618">
        <v>600</v>
      </c>
      <c r="F6" s="619">
        <v>1</v>
      </c>
      <c r="G6" s="619">
        <v>200</v>
      </c>
      <c r="H6" s="620">
        <f t="shared" si="0"/>
        <v>3</v>
      </c>
      <c r="I6" s="621"/>
      <c r="K6" s="622"/>
    </row>
    <row r="7" spans="1:13" s="616" customFormat="1" ht="63.75" customHeight="1">
      <c r="A7" s="611" t="s">
        <v>2169</v>
      </c>
      <c r="B7" s="612">
        <v>38.950000000000003</v>
      </c>
      <c r="C7" s="613">
        <v>1</v>
      </c>
      <c r="D7" s="624" t="s">
        <v>2170</v>
      </c>
      <c r="E7" s="625">
        <v>200</v>
      </c>
      <c r="F7" s="626">
        <v>1</v>
      </c>
      <c r="G7" s="625">
        <v>200</v>
      </c>
      <c r="H7" s="620">
        <f t="shared" si="0"/>
        <v>1</v>
      </c>
      <c r="I7" s="627"/>
      <c r="J7" s="628"/>
      <c r="K7" s="622"/>
      <c r="L7" s="628"/>
      <c r="M7" s="628"/>
    </row>
    <row r="8" spans="1:13" s="616" customFormat="1" ht="51.75">
      <c r="A8" s="611" t="s">
        <v>2171</v>
      </c>
      <c r="B8" s="612">
        <v>139.75</v>
      </c>
      <c r="C8" s="613"/>
      <c r="D8" s="629" t="s">
        <v>2172</v>
      </c>
      <c r="E8" s="630">
        <v>14000</v>
      </c>
      <c r="F8" s="631">
        <v>15</v>
      </c>
      <c r="G8" s="631">
        <v>300</v>
      </c>
      <c r="H8" s="620">
        <f t="shared" si="0"/>
        <v>3.1111111111111112</v>
      </c>
      <c r="I8" s="632"/>
      <c r="K8" s="622"/>
    </row>
    <row r="9" spans="1:13" s="616" customFormat="1" ht="41.25" thickBot="1">
      <c r="A9" s="1432" t="s">
        <v>2026</v>
      </c>
      <c r="B9" s="1433"/>
      <c r="C9" s="1433"/>
      <c r="D9" s="617" t="s">
        <v>2173</v>
      </c>
      <c r="E9" s="633">
        <v>6000</v>
      </c>
      <c r="F9" s="619">
        <v>30</v>
      </c>
      <c r="G9" s="619">
        <v>130</v>
      </c>
      <c r="H9" s="620">
        <f t="shared" si="0"/>
        <v>1.5384615384615385</v>
      </c>
      <c r="I9" s="621"/>
      <c r="K9" s="622"/>
      <c r="L9" s="634"/>
    </row>
    <row r="10" spans="1:13" s="616" customFormat="1" ht="12" customHeight="1" thickBot="1">
      <c r="A10" s="635"/>
      <c r="B10" s="635"/>
      <c r="C10" s="635"/>
      <c r="D10" s="1434"/>
      <c r="E10" s="1435"/>
      <c r="F10" s="1435"/>
      <c r="G10" s="1435"/>
      <c r="H10" s="1435"/>
      <c r="I10" s="1436"/>
      <c r="K10" s="636"/>
      <c r="L10" s="634"/>
    </row>
    <row r="11" spans="1:13" s="616" customFormat="1" ht="24.75" customHeight="1">
      <c r="A11" s="635"/>
      <c r="B11" s="635"/>
      <c r="C11" s="635"/>
      <c r="D11" s="637" t="s">
        <v>2174</v>
      </c>
      <c r="E11" s="638">
        <f>SUM(E5:E9)</f>
        <v>30892</v>
      </c>
      <c r="F11" s="639"/>
      <c r="G11" s="639"/>
      <c r="H11" s="640">
        <f>H4+H5+H6+H7+H8+H9</f>
        <v>22.264572649572653</v>
      </c>
      <c r="I11" s="641"/>
      <c r="K11" s="642"/>
      <c r="L11" s="634"/>
    </row>
    <row r="12" spans="1:13" customFormat="1" ht="29.25" customHeight="1" thickBot="1">
      <c r="D12" s="1437" t="s">
        <v>2175</v>
      </c>
      <c r="E12" s="1438"/>
      <c r="F12" s="1438"/>
      <c r="G12" s="1438"/>
      <c r="H12" s="643">
        <f>H11</f>
        <v>22.264572649572653</v>
      </c>
      <c r="I12" s="641"/>
      <c r="K12" s="642"/>
      <c r="L12" s="634"/>
    </row>
    <row r="13" spans="1:13" customFormat="1" ht="29.25" customHeight="1" thickBot="1">
      <c r="D13" s="1437" t="s">
        <v>2176</v>
      </c>
      <c r="E13" s="1438"/>
      <c r="F13" s="1438"/>
      <c r="G13" s="1438"/>
      <c r="H13" s="643">
        <v>1</v>
      </c>
      <c r="I13" s="641"/>
      <c r="K13" s="642"/>
      <c r="L13" s="634"/>
    </row>
    <row r="39" spans="5:5">
      <c r="E39" s="605"/>
    </row>
    <row r="40" spans="5:5">
      <c r="E40" s="605"/>
    </row>
  </sheetData>
  <mergeCells count="5">
    <mergeCell ref="D2:I2"/>
    <mergeCell ref="A9:C9"/>
    <mergeCell ref="D10:I10"/>
    <mergeCell ref="D12:G12"/>
    <mergeCell ref="D13:G13"/>
  </mergeCells>
  <conditionalFormatting sqref="A2:C3 A5:C5 A8:C8">
    <cfRule type="expression" dxfId="10" priority="7" stopIfTrue="1">
      <formula>#REF!=TRUE</formula>
    </cfRule>
  </conditionalFormatting>
  <conditionalFormatting sqref="A6:C6">
    <cfRule type="expression" dxfId="9" priority="5" stopIfTrue="1">
      <formula>#REF!=TRUE</formula>
    </cfRule>
  </conditionalFormatting>
  <conditionalFormatting sqref="A7:C7">
    <cfRule type="expression" dxfId="8" priority="3" stopIfTrue="1">
      <formula>#REF!=TRUE</formula>
    </cfRule>
  </conditionalFormatting>
  <conditionalFormatting sqref="A4:G4">
    <cfRule type="expression" dxfId="7" priority="1" stopIfTrue="1">
      <formula>#REF!=TRUE</formula>
    </cfRule>
  </conditionalFormatting>
  <conditionalFormatting sqref="D10 D11:G11">
    <cfRule type="expression" dxfId="6" priority="8" stopIfTrue="1">
      <formula>#REF!=TRUE</formula>
    </cfRule>
  </conditionalFormatting>
  <conditionalFormatting sqref="D5:G9">
    <cfRule type="expression" dxfId="5" priority="4" stopIfTrue="1">
      <formula>#REF!=TRUE</formula>
    </cfRule>
  </conditionalFormatting>
  <printOptions horizontalCentered="1"/>
  <pageMargins left="0.19685039370078741" right="0.19685039370078741" top="1.1429166666666666" bottom="0.78740157480314965" header="0.31496062992125984" footer="0.31496062992125984"/>
  <pageSetup paperSize="9" scale="41" fitToHeight="0" orientation="portrait" r:id="rId1"/>
  <legacyDrawing r:id="rId2"/>
  <legacyDrawingHF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2638A-CED3-4BC6-9274-FBD57FFA7FA3}">
  <sheetPr>
    <tabColor rgb="FF92D050"/>
  </sheetPr>
  <dimension ref="A1:I12"/>
  <sheetViews>
    <sheetView view="pageBreakPreview" zoomScale="60" zoomScaleNormal="100" workbookViewId="0">
      <selection activeCell="D3" sqref="D3:D10"/>
    </sheetView>
  </sheetViews>
  <sheetFormatPr defaultRowHeight="15"/>
  <cols>
    <col min="1" max="1" width="7" customWidth="1"/>
    <col min="2" max="2" width="84" customWidth="1"/>
    <col min="3" max="3" width="15.140625" customWidth="1"/>
    <col min="4" max="4" width="20.85546875" bestFit="1" customWidth="1"/>
    <col min="5" max="5" width="21.140625" bestFit="1" customWidth="1"/>
    <col min="6" max="6" width="28.28515625" customWidth="1"/>
    <col min="7" max="7" width="22" customWidth="1"/>
    <col min="8" max="8" width="31.85546875" customWidth="1"/>
    <col min="9" max="9" width="19.5703125" customWidth="1"/>
    <col min="10" max="10" width="23.140625" customWidth="1"/>
    <col min="11" max="11" width="15.7109375" customWidth="1"/>
    <col min="257" max="257" width="7" customWidth="1"/>
    <col min="258" max="258" width="84" customWidth="1"/>
    <col min="259" max="259" width="15.140625" customWidth="1"/>
    <col min="260" max="260" width="20.85546875" bestFit="1" customWidth="1"/>
    <col min="261" max="261" width="21.140625" bestFit="1" customWidth="1"/>
    <col min="262" max="262" width="28.28515625" customWidth="1"/>
    <col min="263" max="263" width="22" customWidth="1"/>
    <col min="264" max="264" width="31.85546875" customWidth="1"/>
    <col min="265" max="265" width="19.5703125" customWidth="1"/>
    <col min="266" max="266" width="23.140625" customWidth="1"/>
    <col min="267" max="267" width="15.7109375" customWidth="1"/>
    <col min="513" max="513" width="7" customWidth="1"/>
    <col min="514" max="514" width="84" customWidth="1"/>
    <col min="515" max="515" width="15.140625" customWidth="1"/>
    <col min="516" max="516" width="20.85546875" bestFit="1" customWidth="1"/>
    <col min="517" max="517" width="21.140625" bestFit="1" customWidth="1"/>
    <col min="518" max="518" width="28.28515625" customWidth="1"/>
    <col min="519" max="519" width="22" customWidth="1"/>
    <col min="520" max="520" width="31.85546875" customWidth="1"/>
    <col min="521" max="521" width="19.5703125" customWidth="1"/>
    <col min="522" max="522" width="23.140625" customWidth="1"/>
    <col min="523" max="523" width="15.7109375" customWidth="1"/>
    <col min="769" max="769" width="7" customWidth="1"/>
    <col min="770" max="770" width="84" customWidth="1"/>
    <col min="771" max="771" width="15.140625" customWidth="1"/>
    <col min="772" max="772" width="20.85546875" bestFit="1" customWidth="1"/>
    <col min="773" max="773" width="21.140625" bestFit="1" customWidth="1"/>
    <col min="774" max="774" width="28.28515625" customWidth="1"/>
    <col min="775" max="775" width="22" customWidth="1"/>
    <col min="776" max="776" width="31.85546875" customWidth="1"/>
    <col min="777" max="777" width="19.5703125" customWidth="1"/>
    <col min="778" max="778" width="23.140625" customWidth="1"/>
    <col min="779" max="779" width="15.7109375" customWidth="1"/>
    <col min="1025" max="1025" width="7" customWidth="1"/>
    <col min="1026" max="1026" width="84" customWidth="1"/>
    <col min="1027" max="1027" width="15.140625" customWidth="1"/>
    <col min="1028" max="1028" width="20.85546875" bestFit="1" customWidth="1"/>
    <col min="1029" max="1029" width="21.140625" bestFit="1" customWidth="1"/>
    <col min="1030" max="1030" width="28.28515625" customWidth="1"/>
    <col min="1031" max="1031" width="22" customWidth="1"/>
    <col min="1032" max="1032" width="31.85546875" customWidth="1"/>
    <col min="1033" max="1033" width="19.5703125" customWidth="1"/>
    <col min="1034" max="1034" width="23.140625" customWidth="1"/>
    <col min="1035" max="1035" width="15.7109375" customWidth="1"/>
    <col min="1281" max="1281" width="7" customWidth="1"/>
    <col min="1282" max="1282" width="84" customWidth="1"/>
    <col min="1283" max="1283" width="15.140625" customWidth="1"/>
    <col min="1284" max="1284" width="20.85546875" bestFit="1" customWidth="1"/>
    <col min="1285" max="1285" width="21.140625" bestFit="1" customWidth="1"/>
    <col min="1286" max="1286" width="28.28515625" customWidth="1"/>
    <col min="1287" max="1287" width="22" customWidth="1"/>
    <col min="1288" max="1288" width="31.85546875" customWidth="1"/>
    <col min="1289" max="1289" width="19.5703125" customWidth="1"/>
    <col min="1290" max="1290" width="23.140625" customWidth="1"/>
    <col min="1291" max="1291" width="15.7109375" customWidth="1"/>
    <col min="1537" max="1537" width="7" customWidth="1"/>
    <col min="1538" max="1538" width="84" customWidth="1"/>
    <col min="1539" max="1539" width="15.140625" customWidth="1"/>
    <col min="1540" max="1540" width="20.85546875" bestFit="1" customWidth="1"/>
    <col min="1541" max="1541" width="21.140625" bestFit="1" customWidth="1"/>
    <col min="1542" max="1542" width="28.28515625" customWidth="1"/>
    <col min="1543" max="1543" width="22" customWidth="1"/>
    <col min="1544" max="1544" width="31.85546875" customWidth="1"/>
    <col min="1545" max="1545" width="19.5703125" customWidth="1"/>
    <col min="1546" max="1546" width="23.140625" customWidth="1"/>
    <col min="1547" max="1547" width="15.7109375" customWidth="1"/>
    <col min="1793" max="1793" width="7" customWidth="1"/>
    <col min="1794" max="1794" width="84" customWidth="1"/>
    <col min="1795" max="1795" width="15.140625" customWidth="1"/>
    <col min="1796" max="1796" width="20.85546875" bestFit="1" customWidth="1"/>
    <col min="1797" max="1797" width="21.140625" bestFit="1" customWidth="1"/>
    <col min="1798" max="1798" width="28.28515625" customWidth="1"/>
    <col min="1799" max="1799" width="22" customWidth="1"/>
    <col min="1800" max="1800" width="31.85546875" customWidth="1"/>
    <col min="1801" max="1801" width="19.5703125" customWidth="1"/>
    <col min="1802" max="1802" width="23.140625" customWidth="1"/>
    <col min="1803" max="1803" width="15.7109375" customWidth="1"/>
    <col min="2049" max="2049" width="7" customWidth="1"/>
    <col min="2050" max="2050" width="84" customWidth="1"/>
    <col min="2051" max="2051" width="15.140625" customWidth="1"/>
    <col min="2052" max="2052" width="20.85546875" bestFit="1" customWidth="1"/>
    <col min="2053" max="2053" width="21.140625" bestFit="1" customWidth="1"/>
    <col min="2054" max="2054" width="28.28515625" customWidth="1"/>
    <col min="2055" max="2055" width="22" customWidth="1"/>
    <col min="2056" max="2056" width="31.85546875" customWidth="1"/>
    <col min="2057" max="2057" width="19.5703125" customWidth="1"/>
    <col min="2058" max="2058" width="23.140625" customWidth="1"/>
    <col min="2059" max="2059" width="15.7109375" customWidth="1"/>
    <col min="2305" max="2305" width="7" customWidth="1"/>
    <col min="2306" max="2306" width="84" customWidth="1"/>
    <col min="2307" max="2307" width="15.140625" customWidth="1"/>
    <col min="2308" max="2308" width="20.85546875" bestFit="1" customWidth="1"/>
    <col min="2309" max="2309" width="21.140625" bestFit="1" customWidth="1"/>
    <col min="2310" max="2310" width="28.28515625" customWidth="1"/>
    <col min="2311" max="2311" width="22" customWidth="1"/>
    <col min="2312" max="2312" width="31.85546875" customWidth="1"/>
    <col min="2313" max="2313" width="19.5703125" customWidth="1"/>
    <col min="2314" max="2314" width="23.140625" customWidth="1"/>
    <col min="2315" max="2315" width="15.7109375" customWidth="1"/>
    <col min="2561" max="2561" width="7" customWidth="1"/>
    <col min="2562" max="2562" width="84" customWidth="1"/>
    <col min="2563" max="2563" width="15.140625" customWidth="1"/>
    <col min="2564" max="2564" width="20.85546875" bestFit="1" customWidth="1"/>
    <col min="2565" max="2565" width="21.140625" bestFit="1" customWidth="1"/>
    <col min="2566" max="2566" width="28.28515625" customWidth="1"/>
    <col min="2567" max="2567" width="22" customWidth="1"/>
    <col min="2568" max="2568" width="31.85546875" customWidth="1"/>
    <col min="2569" max="2569" width="19.5703125" customWidth="1"/>
    <col min="2570" max="2570" width="23.140625" customWidth="1"/>
    <col min="2571" max="2571" width="15.7109375" customWidth="1"/>
    <col min="2817" max="2817" width="7" customWidth="1"/>
    <col min="2818" max="2818" width="84" customWidth="1"/>
    <col min="2819" max="2819" width="15.140625" customWidth="1"/>
    <col min="2820" max="2820" width="20.85546875" bestFit="1" customWidth="1"/>
    <col min="2821" max="2821" width="21.140625" bestFit="1" customWidth="1"/>
    <col min="2822" max="2822" width="28.28515625" customWidth="1"/>
    <col min="2823" max="2823" width="22" customWidth="1"/>
    <col min="2824" max="2824" width="31.85546875" customWidth="1"/>
    <col min="2825" max="2825" width="19.5703125" customWidth="1"/>
    <col min="2826" max="2826" width="23.140625" customWidth="1"/>
    <col min="2827" max="2827" width="15.7109375" customWidth="1"/>
    <col min="3073" max="3073" width="7" customWidth="1"/>
    <col min="3074" max="3074" width="84" customWidth="1"/>
    <col min="3075" max="3075" width="15.140625" customWidth="1"/>
    <col min="3076" max="3076" width="20.85546875" bestFit="1" customWidth="1"/>
    <col min="3077" max="3077" width="21.140625" bestFit="1" customWidth="1"/>
    <col min="3078" max="3078" width="28.28515625" customWidth="1"/>
    <col min="3079" max="3079" width="22" customWidth="1"/>
    <col min="3080" max="3080" width="31.85546875" customWidth="1"/>
    <col min="3081" max="3081" width="19.5703125" customWidth="1"/>
    <col min="3082" max="3082" width="23.140625" customWidth="1"/>
    <col min="3083" max="3083" width="15.7109375" customWidth="1"/>
    <col min="3329" max="3329" width="7" customWidth="1"/>
    <col min="3330" max="3330" width="84" customWidth="1"/>
    <col min="3331" max="3331" width="15.140625" customWidth="1"/>
    <col min="3332" max="3332" width="20.85546875" bestFit="1" customWidth="1"/>
    <col min="3333" max="3333" width="21.140625" bestFit="1" customWidth="1"/>
    <col min="3334" max="3334" width="28.28515625" customWidth="1"/>
    <col min="3335" max="3335" width="22" customWidth="1"/>
    <col min="3336" max="3336" width="31.85546875" customWidth="1"/>
    <col min="3337" max="3337" width="19.5703125" customWidth="1"/>
    <col min="3338" max="3338" width="23.140625" customWidth="1"/>
    <col min="3339" max="3339" width="15.7109375" customWidth="1"/>
    <col min="3585" max="3585" width="7" customWidth="1"/>
    <col min="3586" max="3586" width="84" customWidth="1"/>
    <col min="3587" max="3587" width="15.140625" customWidth="1"/>
    <col min="3588" max="3588" width="20.85546875" bestFit="1" customWidth="1"/>
    <col min="3589" max="3589" width="21.140625" bestFit="1" customWidth="1"/>
    <col min="3590" max="3590" width="28.28515625" customWidth="1"/>
    <col min="3591" max="3591" width="22" customWidth="1"/>
    <col min="3592" max="3592" width="31.85546875" customWidth="1"/>
    <col min="3593" max="3593" width="19.5703125" customWidth="1"/>
    <col min="3594" max="3594" width="23.140625" customWidth="1"/>
    <col min="3595" max="3595" width="15.7109375" customWidth="1"/>
    <col min="3841" max="3841" width="7" customWidth="1"/>
    <col min="3842" max="3842" width="84" customWidth="1"/>
    <col min="3843" max="3843" width="15.140625" customWidth="1"/>
    <col min="3844" max="3844" width="20.85546875" bestFit="1" customWidth="1"/>
    <col min="3845" max="3845" width="21.140625" bestFit="1" customWidth="1"/>
    <col min="3846" max="3846" width="28.28515625" customWidth="1"/>
    <col min="3847" max="3847" width="22" customWidth="1"/>
    <col min="3848" max="3848" width="31.85546875" customWidth="1"/>
    <col min="3849" max="3849" width="19.5703125" customWidth="1"/>
    <col min="3850" max="3850" width="23.140625" customWidth="1"/>
    <col min="3851" max="3851" width="15.7109375" customWidth="1"/>
    <col min="4097" max="4097" width="7" customWidth="1"/>
    <col min="4098" max="4098" width="84" customWidth="1"/>
    <col min="4099" max="4099" width="15.140625" customWidth="1"/>
    <col min="4100" max="4100" width="20.85546875" bestFit="1" customWidth="1"/>
    <col min="4101" max="4101" width="21.140625" bestFit="1" customWidth="1"/>
    <col min="4102" max="4102" width="28.28515625" customWidth="1"/>
    <col min="4103" max="4103" width="22" customWidth="1"/>
    <col min="4104" max="4104" width="31.85546875" customWidth="1"/>
    <col min="4105" max="4105" width="19.5703125" customWidth="1"/>
    <col min="4106" max="4106" width="23.140625" customWidth="1"/>
    <col min="4107" max="4107" width="15.7109375" customWidth="1"/>
    <col min="4353" max="4353" width="7" customWidth="1"/>
    <col min="4354" max="4354" width="84" customWidth="1"/>
    <col min="4355" max="4355" width="15.140625" customWidth="1"/>
    <col min="4356" max="4356" width="20.85546875" bestFit="1" customWidth="1"/>
    <col min="4357" max="4357" width="21.140625" bestFit="1" customWidth="1"/>
    <col min="4358" max="4358" width="28.28515625" customWidth="1"/>
    <col min="4359" max="4359" width="22" customWidth="1"/>
    <col min="4360" max="4360" width="31.85546875" customWidth="1"/>
    <col min="4361" max="4361" width="19.5703125" customWidth="1"/>
    <col min="4362" max="4362" width="23.140625" customWidth="1"/>
    <col min="4363" max="4363" width="15.7109375" customWidth="1"/>
    <col min="4609" max="4609" width="7" customWidth="1"/>
    <col min="4610" max="4610" width="84" customWidth="1"/>
    <col min="4611" max="4611" width="15.140625" customWidth="1"/>
    <col min="4612" max="4612" width="20.85546875" bestFit="1" customWidth="1"/>
    <col min="4613" max="4613" width="21.140625" bestFit="1" customWidth="1"/>
    <col min="4614" max="4614" width="28.28515625" customWidth="1"/>
    <col min="4615" max="4615" width="22" customWidth="1"/>
    <col min="4616" max="4616" width="31.85546875" customWidth="1"/>
    <col min="4617" max="4617" width="19.5703125" customWidth="1"/>
    <col min="4618" max="4618" width="23.140625" customWidth="1"/>
    <col min="4619" max="4619" width="15.7109375" customWidth="1"/>
    <col min="4865" max="4865" width="7" customWidth="1"/>
    <col min="4866" max="4866" width="84" customWidth="1"/>
    <col min="4867" max="4867" width="15.140625" customWidth="1"/>
    <col min="4868" max="4868" width="20.85546875" bestFit="1" customWidth="1"/>
    <col min="4869" max="4869" width="21.140625" bestFit="1" customWidth="1"/>
    <col min="4870" max="4870" width="28.28515625" customWidth="1"/>
    <col min="4871" max="4871" width="22" customWidth="1"/>
    <col min="4872" max="4872" width="31.85546875" customWidth="1"/>
    <col min="4873" max="4873" width="19.5703125" customWidth="1"/>
    <col min="4874" max="4874" width="23.140625" customWidth="1"/>
    <col min="4875" max="4875" width="15.7109375" customWidth="1"/>
    <col min="5121" max="5121" width="7" customWidth="1"/>
    <col min="5122" max="5122" width="84" customWidth="1"/>
    <col min="5123" max="5123" width="15.140625" customWidth="1"/>
    <col min="5124" max="5124" width="20.85546875" bestFit="1" customWidth="1"/>
    <col min="5125" max="5125" width="21.140625" bestFit="1" customWidth="1"/>
    <col min="5126" max="5126" width="28.28515625" customWidth="1"/>
    <col min="5127" max="5127" width="22" customWidth="1"/>
    <col min="5128" max="5128" width="31.85546875" customWidth="1"/>
    <col min="5129" max="5129" width="19.5703125" customWidth="1"/>
    <col min="5130" max="5130" width="23.140625" customWidth="1"/>
    <col min="5131" max="5131" width="15.7109375" customWidth="1"/>
    <col min="5377" max="5377" width="7" customWidth="1"/>
    <col min="5378" max="5378" width="84" customWidth="1"/>
    <col min="5379" max="5379" width="15.140625" customWidth="1"/>
    <col min="5380" max="5380" width="20.85546875" bestFit="1" customWidth="1"/>
    <col min="5381" max="5381" width="21.140625" bestFit="1" customWidth="1"/>
    <col min="5382" max="5382" width="28.28515625" customWidth="1"/>
    <col min="5383" max="5383" width="22" customWidth="1"/>
    <col min="5384" max="5384" width="31.85546875" customWidth="1"/>
    <col min="5385" max="5385" width="19.5703125" customWidth="1"/>
    <col min="5386" max="5386" width="23.140625" customWidth="1"/>
    <col min="5387" max="5387" width="15.7109375" customWidth="1"/>
    <col min="5633" max="5633" width="7" customWidth="1"/>
    <col min="5634" max="5634" width="84" customWidth="1"/>
    <col min="5635" max="5635" width="15.140625" customWidth="1"/>
    <col min="5636" max="5636" width="20.85546875" bestFit="1" customWidth="1"/>
    <col min="5637" max="5637" width="21.140625" bestFit="1" customWidth="1"/>
    <col min="5638" max="5638" width="28.28515625" customWidth="1"/>
    <col min="5639" max="5639" width="22" customWidth="1"/>
    <col min="5640" max="5640" width="31.85546875" customWidth="1"/>
    <col min="5641" max="5641" width="19.5703125" customWidth="1"/>
    <col min="5642" max="5642" width="23.140625" customWidth="1"/>
    <col min="5643" max="5643" width="15.7109375" customWidth="1"/>
    <col min="5889" max="5889" width="7" customWidth="1"/>
    <col min="5890" max="5890" width="84" customWidth="1"/>
    <col min="5891" max="5891" width="15.140625" customWidth="1"/>
    <col min="5892" max="5892" width="20.85546875" bestFit="1" customWidth="1"/>
    <col min="5893" max="5893" width="21.140625" bestFit="1" customWidth="1"/>
    <col min="5894" max="5894" width="28.28515625" customWidth="1"/>
    <col min="5895" max="5895" width="22" customWidth="1"/>
    <col min="5896" max="5896" width="31.85546875" customWidth="1"/>
    <col min="5897" max="5897" width="19.5703125" customWidth="1"/>
    <col min="5898" max="5898" width="23.140625" customWidth="1"/>
    <col min="5899" max="5899" width="15.7109375" customWidth="1"/>
    <col min="6145" max="6145" width="7" customWidth="1"/>
    <col min="6146" max="6146" width="84" customWidth="1"/>
    <col min="6147" max="6147" width="15.140625" customWidth="1"/>
    <col min="6148" max="6148" width="20.85546875" bestFit="1" customWidth="1"/>
    <col min="6149" max="6149" width="21.140625" bestFit="1" customWidth="1"/>
    <col min="6150" max="6150" width="28.28515625" customWidth="1"/>
    <col min="6151" max="6151" width="22" customWidth="1"/>
    <col min="6152" max="6152" width="31.85546875" customWidth="1"/>
    <col min="6153" max="6153" width="19.5703125" customWidth="1"/>
    <col min="6154" max="6154" width="23.140625" customWidth="1"/>
    <col min="6155" max="6155" width="15.7109375" customWidth="1"/>
    <col min="6401" max="6401" width="7" customWidth="1"/>
    <col min="6402" max="6402" width="84" customWidth="1"/>
    <col min="6403" max="6403" width="15.140625" customWidth="1"/>
    <col min="6404" max="6404" width="20.85546875" bestFit="1" customWidth="1"/>
    <col min="6405" max="6405" width="21.140625" bestFit="1" customWidth="1"/>
    <col min="6406" max="6406" width="28.28515625" customWidth="1"/>
    <col min="6407" max="6407" width="22" customWidth="1"/>
    <col min="6408" max="6408" width="31.85546875" customWidth="1"/>
    <col min="6409" max="6409" width="19.5703125" customWidth="1"/>
    <col min="6410" max="6410" width="23.140625" customWidth="1"/>
    <col min="6411" max="6411" width="15.7109375" customWidth="1"/>
    <col min="6657" max="6657" width="7" customWidth="1"/>
    <col min="6658" max="6658" width="84" customWidth="1"/>
    <col min="6659" max="6659" width="15.140625" customWidth="1"/>
    <col min="6660" max="6660" width="20.85546875" bestFit="1" customWidth="1"/>
    <col min="6661" max="6661" width="21.140625" bestFit="1" customWidth="1"/>
    <col min="6662" max="6662" width="28.28515625" customWidth="1"/>
    <col min="6663" max="6663" width="22" customWidth="1"/>
    <col min="6664" max="6664" width="31.85546875" customWidth="1"/>
    <col min="6665" max="6665" width="19.5703125" customWidth="1"/>
    <col min="6666" max="6666" width="23.140625" customWidth="1"/>
    <col min="6667" max="6667" width="15.7109375" customWidth="1"/>
    <col min="6913" max="6913" width="7" customWidth="1"/>
    <col min="6914" max="6914" width="84" customWidth="1"/>
    <col min="6915" max="6915" width="15.140625" customWidth="1"/>
    <col min="6916" max="6916" width="20.85546875" bestFit="1" customWidth="1"/>
    <col min="6917" max="6917" width="21.140625" bestFit="1" customWidth="1"/>
    <col min="6918" max="6918" width="28.28515625" customWidth="1"/>
    <col min="6919" max="6919" width="22" customWidth="1"/>
    <col min="6920" max="6920" width="31.85546875" customWidth="1"/>
    <col min="6921" max="6921" width="19.5703125" customWidth="1"/>
    <col min="6922" max="6922" width="23.140625" customWidth="1"/>
    <col min="6923" max="6923" width="15.7109375" customWidth="1"/>
    <col min="7169" max="7169" width="7" customWidth="1"/>
    <col min="7170" max="7170" width="84" customWidth="1"/>
    <col min="7171" max="7171" width="15.140625" customWidth="1"/>
    <col min="7172" max="7172" width="20.85546875" bestFit="1" customWidth="1"/>
    <col min="7173" max="7173" width="21.140625" bestFit="1" customWidth="1"/>
    <col min="7174" max="7174" width="28.28515625" customWidth="1"/>
    <col min="7175" max="7175" width="22" customWidth="1"/>
    <col min="7176" max="7176" width="31.85546875" customWidth="1"/>
    <col min="7177" max="7177" width="19.5703125" customWidth="1"/>
    <col min="7178" max="7178" width="23.140625" customWidth="1"/>
    <col min="7179" max="7179" width="15.7109375" customWidth="1"/>
    <col min="7425" max="7425" width="7" customWidth="1"/>
    <col min="7426" max="7426" width="84" customWidth="1"/>
    <col min="7427" max="7427" width="15.140625" customWidth="1"/>
    <col min="7428" max="7428" width="20.85546875" bestFit="1" customWidth="1"/>
    <col min="7429" max="7429" width="21.140625" bestFit="1" customWidth="1"/>
    <col min="7430" max="7430" width="28.28515625" customWidth="1"/>
    <col min="7431" max="7431" width="22" customWidth="1"/>
    <col min="7432" max="7432" width="31.85546875" customWidth="1"/>
    <col min="7433" max="7433" width="19.5703125" customWidth="1"/>
    <col min="7434" max="7434" width="23.140625" customWidth="1"/>
    <col min="7435" max="7435" width="15.7109375" customWidth="1"/>
    <col min="7681" max="7681" width="7" customWidth="1"/>
    <col min="7682" max="7682" width="84" customWidth="1"/>
    <col min="7683" max="7683" width="15.140625" customWidth="1"/>
    <col min="7684" max="7684" width="20.85546875" bestFit="1" customWidth="1"/>
    <col min="7685" max="7685" width="21.140625" bestFit="1" customWidth="1"/>
    <col min="7686" max="7686" width="28.28515625" customWidth="1"/>
    <col min="7687" max="7687" width="22" customWidth="1"/>
    <col min="7688" max="7688" width="31.85546875" customWidth="1"/>
    <col min="7689" max="7689" width="19.5703125" customWidth="1"/>
    <col min="7690" max="7690" width="23.140625" customWidth="1"/>
    <col min="7691" max="7691" width="15.7109375" customWidth="1"/>
    <col min="7937" max="7937" width="7" customWidth="1"/>
    <col min="7938" max="7938" width="84" customWidth="1"/>
    <col min="7939" max="7939" width="15.140625" customWidth="1"/>
    <col min="7940" max="7940" width="20.85546875" bestFit="1" customWidth="1"/>
    <col min="7941" max="7941" width="21.140625" bestFit="1" customWidth="1"/>
    <col min="7942" max="7942" width="28.28515625" customWidth="1"/>
    <col min="7943" max="7943" width="22" customWidth="1"/>
    <col min="7944" max="7944" width="31.85546875" customWidth="1"/>
    <col min="7945" max="7945" width="19.5703125" customWidth="1"/>
    <col min="7946" max="7946" width="23.140625" customWidth="1"/>
    <col min="7947" max="7947" width="15.7109375" customWidth="1"/>
    <col min="8193" max="8193" width="7" customWidth="1"/>
    <col min="8194" max="8194" width="84" customWidth="1"/>
    <col min="8195" max="8195" width="15.140625" customWidth="1"/>
    <col min="8196" max="8196" width="20.85546875" bestFit="1" customWidth="1"/>
    <col min="8197" max="8197" width="21.140625" bestFit="1" customWidth="1"/>
    <col min="8198" max="8198" width="28.28515625" customWidth="1"/>
    <col min="8199" max="8199" width="22" customWidth="1"/>
    <col min="8200" max="8200" width="31.85546875" customWidth="1"/>
    <col min="8201" max="8201" width="19.5703125" customWidth="1"/>
    <col min="8202" max="8202" width="23.140625" customWidth="1"/>
    <col min="8203" max="8203" width="15.7109375" customWidth="1"/>
    <col min="8449" max="8449" width="7" customWidth="1"/>
    <col min="8450" max="8450" width="84" customWidth="1"/>
    <col min="8451" max="8451" width="15.140625" customWidth="1"/>
    <col min="8452" max="8452" width="20.85546875" bestFit="1" customWidth="1"/>
    <col min="8453" max="8453" width="21.140625" bestFit="1" customWidth="1"/>
    <col min="8454" max="8454" width="28.28515625" customWidth="1"/>
    <col min="8455" max="8455" width="22" customWidth="1"/>
    <col min="8456" max="8456" width="31.85546875" customWidth="1"/>
    <col min="8457" max="8457" width="19.5703125" customWidth="1"/>
    <col min="8458" max="8458" width="23.140625" customWidth="1"/>
    <col min="8459" max="8459" width="15.7109375" customWidth="1"/>
    <col min="8705" max="8705" width="7" customWidth="1"/>
    <col min="8706" max="8706" width="84" customWidth="1"/>
    <col min="8707" max="8707" width="15.140625" customWidth="1"/>
    <col min="8708" max="8708" width="20.85546875" bestFit="1" customWidth="1"/>
    <col min="8709" max="8709" width="21.140625" bestFit="1" customWidth="1"/>
    <col min="8710" max="8710" width="28.28515625" customWidth="1"/>
    <col min="8711" max="8711" width="22" customWidth="1"/>
    <col min="8712" max="8712" width="31.85546875" customWidth="1"/>
    <col min="8713" max="8713" width="19.5703125" customWidth="1"/>
    <col min="8714" max="8714" width="23.140625" customWidth="1"/>
    <col min="8715" max="8715" width="15.7109375" customWidth="1"/>
    <col min="8961" max="8961" width="7" customWidth="1"/>
    <col min="8962" max="8962" width="84" customWidth="1"/>
    <col min="8963" max="8963" width="15.140625" customWidth="1"/>
    <col min="8964" max="8964" width="20.85546875" bestFit="1" customWidth="1"/>
    <col min="8965" max="8965" width="21.140625" bestFit="1" customWidth="1"/>
    <col min="8966" max="8966" width="28.28515625" customWidth="1"/>
    <col min="8967" max="8967" width="22" customWidth="1"/>
    <col min="8968" max="8968" width="31.85546875" customWidth="1"/>
    <col min="8969" max="8969" width="19.5703125" customWidth="1"/>
    <col min="8970" max="8970" width="23.140625" customWidth="1"/>
    <col min="8971" max="8971" width="15.7109375" customWidth="1"/>
    <col min="9217" max="9217" width="7" customWidth="1"/>
    <col min="9218" max="9218" width="84" customWidth="1"/>
    <col min="9219" max="9219" width="15.140625" customWidth="1"/>
    <col min="9220" max="9220" width="20.85546875" bestFit="1" customWidth="1"/>
    <col min="9221" max="9221" width="21.140625" bestFit="1" customWidth="1"/>
    <col min="9222" max="9222" width="28.28515625" customWidth="1"/>
    <col min="9223" max="9223" width="22" customWidth="1"/>
    <col min="9224" max="9224" width="31.85546875" customWidth="1"/>
    <col min="9225" max="9225" width="19.5703125" customWidth="1"/>
    <col min="9226" max="9226" width="23.140625" customWidth="1"/>
    <col min="9227" max="9227" width="15.7109375" customWidth="1"/>
    <col min="9473" max="9473" width="7" customWidth="1"/>
    <col min="9474" max="9474" width="84" customWidth="1"/>
    <col min="9475" max="9475" width="15.140625" customWidth="1"/>
    <col min="9476" max="9476" width="20.85546875" bestFit="1" customWidth="1"/>
    <col min="9477" max="9477" width="21.140625" bestFit="1" customWidth="1"/>
    <col min="9478" max="9478" width="28.28515625" customWidth="1"/>
    <col min="9479" max="9479" width="22" customWidth="1"/>
    <col min="9480" max="9480" width="31.85546875" customWidth="1"/>
    <col min="9481" max="9481" width="19.5703125" customWidth="1"/>
    <col min="9482" max="9482" width="23.140625" customWidth="1"/>
    <col min="9483" max="9483" width="15.7109375" customWidth="1"/>
    <col min="9729" max="9729" width="7" customWidth="1"/>
    <col min="9730" max="9730" width="84" customWidth="1"/>
    <col min="9731" max="9731" width="15.140625" customWidth="1"/>
    <col min="9732" max="9732" width="20.85546875" bestFit="1" customWidth="1"/>
    <col min="9733" max="9733" width="21.140625" bestFit="1" customWidth="1"/>
    <col min="9734" max="9734" width="28.28515625" customWidth="1"/>
    <col min="9735" max="9735" width="22" customWidth="1"/>
    <col min="9736" max="9736" width="31.85546875" customWidth="1"/>
    <col min="9737" max="9737" width="19.5703125" customWidth="1"/>
    <col min="9738" max="9738" width="23.140625" customWidth="1"/>
    <col min="9739" max="9739" width="15.7109375" customWidth="1"/>
    <col min="9985" max="9985" width="7" customWidth="1"/>
    <col min="9986" max="9986" width="84" customWidth="1"/>
    <col min="9987" max="9987" width="15.140625" customWidth="1"/>
    <col min="9988" max="9988" width="20.85546875" bestFit="1" customWidth="1"/>
    <col min="9989" max="9989" width="21.140625" bestFit="1" customWidth="1"/>
    <col min="9990" max="9990" width="28.28515625" customWidth="1"/>
    <col min="9991" max="9991" width="22" customWidth="1"/>
    <col min="9992" max="9992" width="31.85546875" customWidth="1"/>
    <col min="9993" max="9993" width="19.5703125" customWidth="1"/>
    <col min="9994" max="9994" width="23.140625" customWidth="1"/>
    <col min="9995" max="9995" width="15.7109375" customWidth="1"/>
    <col min="10241" max="10241" width="7" customWidth="1"/>
    <col min="10242" max="10242" width="84" customWidth="1"/>
    <col min="10243" max="10243" width="15.140625" customWidth="1"/>
    <col min="10244" max="10244" width="20.85546875" bestFit="1" customWidth="1"/>
    <col min="10245" max="10245" width="21.140625" bestFit="1" customWidth="1"/>
    <col min="10246" max="10246" width="28.28515625" customWidth="1"/>
    <col min="10247" max="10247" width="22" customWidth="1"/>
    <col min="10248" max="10248" width="31.85546875" customWidth="1"/>
    <col min="10249" max="10249" width="19.5703125" customWidth="1"/>
    <col min="10250" max="10250" width="23.140625" customWidth="1"/>
    <col min="10251" max="10251" width="15.7109375" customWidth="1"/>
    <col min="10497" max="10497" width="7" customWidth="1"/>
    <col min="10498" max="10498" width="84" customWidth="1"/>
    <col min="10499" max="10499" width="15.140625" customWidth="1"/>
    <col min="10500" max="10500" width="20.85546875" bestFit="1" customWidth="1"/>
    <col min="10501" max="10501" width="21.140625" bestFit="1" customWidth="1"/>
    <col min="10502" max="10502" width="28.28515625" customWidth="1"/>
    <col min="10503" max="10503" width="22" customWidth="1"/>
    <col min="10504" max="10504" width="31.85546875" customWidth="1"/>
    <col min="10505" max="10505" width="19.5703125" customWidth="1"/>
    <col min="10506" max="10506" width="23.140625" customWidth="1"/>
    <col min="10507" max="10507" width="15.7109375" customWidth="1"/>
    <col min="10753" max="10753" width="7" customWidth="1"/>
    <col min="10754" max="10754" width="84" customWidth="1"/>
    <col min="10755" max="10755" width="15.140625" customWidth="1"/>
    <col min="10756" max="10756" width="20.85546875" bestFit="1" customWidth="1"/>
    <col min="10757" max="10757" width="21.140625" bestFit="1" customWidth="1"/>
    <col min="10758" max="10758" width="28.28515625" customWidth="1"/>
    <col min="10759" max="10759" width="22" customWidth="1"/>
    <col min="10760" max="10760" width="31.85546875" customWidth="1"/>
    <col min="10761" max="10761" width="19.5703125" customWidth="1"/>
    <col min="10762" max="10762" width="23.140625" customWidth="1"/>
    <col min="10763" max="10763" width="15.7109375" customWidth="1"/>
    <col min="11009" max="11009" width="7" customWidth="1"/>
    <col min="11010" max="11010" width="84" customWidth="1"/>
    <col min="11011" max="11011" width="15.140625" customWidth="1"/>
    <col min="11012" max="11012" width="20.85546875" bestFit="1" customWidth="1"/>
    <col min="11013" max="11013" width="21.140625" bestFit="1" customWidth="1"/>
    <col min="11014" max="11014" width="28.28515625" customWidth="1"/>
    <col min="11015" max="11015" width="22" customWidth="1"/>
    <col min="11016" max="11016" width="31.85546875" customWidth="1"/>
    <col min="11017" max="11017" width="19.5703125" customWidth="1"/>
    <col min="11018" max="11018" width="23.140625" customWidth="1"/>
    <col min="11019" max="11019" width="15.7109375" customWidth="1"/>
    <col min="11265" max="11265" width="7" customWidth="1"/>
    <col min="11266" max="11266" width="84" customWidth="1"/>
    <col min="11267" max="11267" width="15.140625" customWidth="1"/>
    <col min="11268" max="11268" width="20.85546875" bestFit="1" customWidth="1"/>
    <col min="11269" max="11269" width="21.140625" bestFit="1" customWidth="1"/>
    <col min="11270" max="11270" width="28.28515625" customWidth="1"/>
    <col min="11271" max="11271" width="22" customWidth="1"/>
    <col min="11272" max="11272" width="31.85546875" customWidth="1"/>
    <col min="11273" max="11273" width="19.5703125" customWidth="1"/>
    <col min="11274" max="11274" width="23.140625" customWidth="1"/>
    <col min="11275" max="11275" width="15.7109375" customWidth="1"/>
    <col min="11521" max="11521" width="7" customWidth="1"/>
    <col min="11522" max="11522" width="84" customWidth="1"/>
    <col min="11523" max="11523" width="15.140625" customWidth="1"/>
    <col min="11524" max="11524" width="20.85546875" bestFit="1" customWidth="1"/>
    <col min="11525" max="11525" width="21.140625" bestFit="1" customWidth="1"/>
    <col min="11526" max="11526" width="28.28515625" customWidth="1"/>
    <col min="11527" max="11527" width="22" customWidth="1"/>
    <col min="11528" max="11528" width="31.85546875" customWidth="1"/>
    <col min="11529" max="11529" width="19.5703125" customWidth="1"/>
    <col min="11530" max="11530" width="23.140625" customWidth="1"/>
    <col min="11531" max="11531" width="15.7109375" customWidth="1"/>
    <col min="11777" max="11777" width="7" customWidth="1"/>
    <col min="11778" max="11778" width="84" customWidth="1"/>
    <col min="11779" max="11779" width="15.140625" customWidth="1"/>
    <col min="11780" max="11780" width="20.85546875" bestFit="1" customWidth="1"/>
    <col min="11781" max="11781" width="21.140625" bestFit="1" customWidth="1"/>
    <col min="11782" max="11782" width="28.28515625" customWidth="1"/>
    <col min="11783" max="11783" width="22" customWidth="1"/>
    <col min="11784" max="11784" width="31.85546875" customWidth="1"/>
    <col min="11785" max="11785" width="19.5703125" customWidth="1"/>
    <col min="11786" max="11786" width="23.140625" customWidth="1"/>
    <col min="11787" max="11787" width="15.7109375" customWidth="1"/>
    <col min="12033" max="12033" width="7" customWidth="1"/>
    <col min="12034" max="12034" width="84" customWidth="1"/>
    <col min="12035" max="12035" width="15.140625" customWidth="1"/>
    <col min="12036" max="12036" width="20.85546875" bestFit="1" customWidth="1"/>
    <col min="12037" max="12037" width="21.140625" bestFit="1" customWidth="1"/>
    <col min="12038" max="12038" width="28.28515625" customWidth="1"/>
    <col min="12039" max="12039" width="22" customWidth="1"/>
    <col min="12040" max="12040" width="31.85546875" customWidth="1"/>
    <col min="12041" max="12041" width="19.5703125" customWidth="1"/>
    <col min="12042" max="12042" width="23.140625" customWidth="1"/>
    <col min="12043" max="12043" width="15.7109375" customWidth="1"/>
    <col min="12289" max="12289" width="7" customWidth="1"/>
    <col min="12290" max="12290" width="84" customWidth="1"/>
    <col min="12291" max="12291" width="15.140625" customWidth="1"/>
    <col min="12292" max="12292" width="20.85546875" bestFit="1" customWidth="1"/>
    <col min="12293" max="12293" width="21.140625" bestFit="1" customWidth="1"/>
    <col min="12294" max="12294" width="28.28515625" customWidth="1"/>
    <col min="12295" max="12295" width="22" customWidth="1"/>
    <col min="12296" max="12296" width="31.85546875" customWidth="1"/>
    <col min="12297" max="12297" width="19.5703125" customWidth="1"/>
    <col min="12298" max="12298" width="23.140625" customWidth="1"/>
    <col min="12299" max="12299" width="15.7109375" customWidth="1"/>
    <col min="12545" max="12545" width="7" customWidth="1"/>
    <col min="12546" max="12546" width="84" customWidth="1"/>
    <col min="12547" max="12547" width="15.140625" customWidth="1"/>
    <col min="12548" max="12548" width="20.85546875" bestFit="1" customWidth="1"/>
    <col min="12549" max="12549" width="21.140625" bestFit="1" customWidth="1"/>
    <col min="12550" max="12550" width="28.28515625" customWidth="1"/>
    <col min="12551" max="12551" width="22" customWidth="1"/>
    <col min="12552" max="12552" width="31.85546875" customWidth="1"/>
    <col min="12553" max="12553" width="19.5703125" customWidth="1"/>
    <col min="12554" max="12554" width="23.140625" customWidth="1"/>
    <col min="12555" max="12555" width="15.7109375" customWidth="1"/>
    <col min="12801" max="12801" width="7" customWidth="1"/>
    <col min="12802" max="12802" width="84" customWidth="1"/>
    <col min="12803" max="12803" width="15.140625" customWidth="1"/>
    <col min="12804" max="12804" width="20.85546875" bestFit="1" customWidth="1"/>
    <col min="12805" max="12805" width="21.140625" bestFit="1" customWidth="1"/>
    <col min="12806" max="12806" width="28.28515625" customWidth="1"/>
    <col min="12807" max="12807" width="22" customWidth="1"/>
    <col min="12808" max="12808" width="31.85546875" customWidth="1"/>
    <col min="12809" max="12809" width="19.5703125" customWidth="1"/>
    <col min="12810" max="12810" width="23.140625" customWidth="1"/>
    <col min="12811" max="12811" width="15.7109375" customWidth="1"/>
    <col min="13057" max="13057" width="7" customWidth="1"/>
    <col min="13058" max="13058" width="84" customWidth="1"/>
    <col min="13059" max="13059" width="15.140625" customWidth="1"/>
    <col min="13060" max="13060" width="20.85546875" bestFit="1" customWidth="1"/>
    <col min="13061" max="13061" width="21.140625" bestFit="1" customWidth="1"/>
    <col min="13062" max="13062" width="28.28515625" customWidth="1"/>
    <col min="13063" max="13063" width="22" customWidth="1"/>
    <col min="13064" max="13064" width="31.85546875" customWidth="1"/>
    <col min="13065" max="13065" width="19.5703125" customWidth="1"/>
    <col min="13066" max="13066" width="23.140625" customWidth="1"/>
    <col min="13067" max="13067" width="15.7109375" customWidth="1"/>
    <col min="13313" max="13313" width="7" customWidth="1"/>
    <col min="13314" max="13314" width="84" customWidth="1"/>
    <col min="13315" max="13315" width="15.140625" customWidth="1"/>
    <col min="13316" max="13316" width="20.85546875" bestFit="1" customWidth="1"/>
    <col min="13317" max="13317" width="21.140625" bestFit="1" customWidth="1"/>
    <col min="13318" max="13318" width="28.28515625" customWidth="1"/>
    <col min="13319" max="13319" width="22" customWidth="1"/>
    <col min="13320" max="13320" width="31.85546875" customWidth="1"/>
    <col min="13321" max="13321" width="19.5703125" customWidth="1"/>
    <col min="13322" max="13322" width="23.140625" customWidth="1"/>
    <col min="13323" max="13323" width="15.7109375" customWidth="1"/>
    <col min="13569" max="13569" width="7" customWidth="1"/>
    <col min="13570" max="13570" width="84" customWidth="1"/>
    <col min="13571" max="13571" width="15.140625" customWidth="1"/>
    <col min="13572" max="13572" width="20.85546875" bestFit="1" customWidth="1"/>
    <col min="13573" max="13573" width="21.140625" bestFit="1" customWidth="1"/>
    <col min="13574" max="13574" width="28.28515625" customWidth="1"/>
    <col min="13575" max="13575" width="22" customWidth="1"/>
    <col min="13576" max="13576" width="31.85546875" customWidth="1"/>
    <col min="13577" max="13577" width="19.5703125" customWidth="1"/>
    <col min="13578" max="13578" width="23.140625" customWidth="1"/>
    <col min="13579" max="13579" width="15.7109375" customWidth="1"/>
    <col min="13825" max="13825" width="7" customWidth="1"/>
    <col min="13826" max="13826" width="84" customWidth="1"/>
    <col min="13827" max="13827" width="15.140625" customWidth="1"/>
    <col min="13828" max="13828" width="20.85546875" bestFit="1" customWidth="1"/>
    <col min="13829" max="13829" width="21.140625" bestFit="1" customWidth="1"/>
    <col min="13830" max="13830" width="28.28515625" customWidth="1"/>
    <col min="13831" max="13831" width="22" customWidth="1"/>
    <col min="13832" max="13832" width="31.85546875" customWidth="1"/>
    <col min="13833" max="13833" width="19.5703125" customWidth="1"/>
    <col min="13834" max="13834" width="23.140625" customWidth="1"/>
    <col min="13835" max="13835" width="15.7109375" customWidth="1"/>
    <col min="14081" max="14081" width="7" customWidth="1"/>
    <col min="14082" max="14082" width="84" customWidth="1"/>
    <col min="14083" max="14083" width="15.140625" customWidth="1"/>
    <col min="14084" max="14084" width="20.85546875" bestFit="1" customWidth="1"/>
    <col min="14085" max="14085" width="21.140625" bestFit="1" customWidth="1"/>
    <col min="14086" max="14086" width="28.28515625" customWidth="1"/>
    <col min="14087" max="14087" width="22" customWidth="1"/>
    <col min="14088" max="14088" width="31.85546875" customWidth="1"/>
    <col min="14089" max="14089" width="19.5703125" customWidth="1"/>
    <col min="14090" max="14090" width="23.140625" customWidth="1"/>
    <col min="14091" max="14091" width="15.7109375" customWidth="1"/>
    <col min="14337" max="14337" width="7" customWidth="1"/>
    <col min="14338" max="14338" width="84" customWidth="1"/>
    <col min="14339" max="14339" width="15.140625" customWidth="1"/>
    <col min="14340" max="14340" width="20.85546875" bestFit="1" customWidth="1"/>
    <col min="14341" max="14341" width="21.140625" bestFit="1" customWidth="1"/>
    <col min="14342" max="14342" width="28.28515625" customWidth="1"/>
    <col min="14343" max="14343" width="22" customWidth="1"/>
    <col min="14344" max="14344" width="31.85546875" customWidth="1"/>
    <col min="14345" max="14345" width="19.5703125" customWidth="1"/>
    <col min="14346" max="14346" width="23.140625" customWidth="1"/>
    <col min="14347" max="14347" width="15.7109375" customWidth="1"/>
    <col min="14593" max="14593" width="7" customWidth="1"/>
    <col min="14594" max="14594" width="84" customWidth="1"/>
    <col min="14595" max="14595" width="15.140625" customWidth="1"/>
    <col min="14596" max="14596" width="20.85546875" bestFit="1" customWidth="1"/>
    <col min="14597" max="14597" width="21.140625" bestFit="1" customWidth="1"/>
    <col min="14598" max="14598" width="28.28515625" customWidth="1"/>
    <col min="14599" max="14599" width="22" customWidth="1"/>
    <col min="14600" max="14600" width="31.85546875" customWidth="1"/>
    <col min="14601" max="14601" width="19.5703125" customWidth="1"/>
    <col min="14602" max="14602" width="23.140625" customWidth="1"/>
    <col min="14603" max="14603" width="15.7109375" customWidth="1"/>
    <col min="14849" max="14849" width="7" customWidth="1"/>
    <col min="14850" max="14850" width="84" customWidth="1"/>
    <col min="14851" max="14851" width="15.140625" customWidth="1"/>
    <col min="14852" max="14852" width="20.85546875" bestFit="1" customWidth="1"/>
    <col min="14853" max="14853" width="21.140625" bestFit="1" customWidth="1"/>
    <col min="14854" max="14854" width="28.28515625" customWidth="1"/>
    <col min="14855" max="14855" width="22" customWidth="1"/>
    <col min="14856" max="14856" width="31.85546875" customWidth="1"/>
    <col min="14857" max="14857" width="19.5703125" customWidth="1"/>
    <col min="14858" max="14858" width="23.140625" customWidth="1"/>
    <col min="14859" max="14859" width="15.7109375" customWidth="1"/>
    <col min="15105" max="15105" width="7" customWidth="1"/>
    <col min="15106" max="15106" width="84" customWidth="1"/>
    <col min="15107" max="15107" width="15.140625" customWidth="1"/>
    <col min="15108" max="15108" width="20.85546875" bestFit="1" customWidth="1"/>
    <col min="15109" max="15109" width="21.140625" bestFit="1" customWidth="1"/>
    <col min="15110" max="15110" width="28.28515625" customWidth="1"/>
    <col min="15111" max="15111" width="22" customWidth="1"/>
    <col min="15112" max="15112" width="31.85546875" customWidth="1"/>
    <col min="15113" max="15113" width="19.5703125" customWidth="1"/>
    <col min="15114" max="15114" width="23.140625" customWidth="1"/>
    <col min="15115" max="15115" width="15.7109375" customWidth="1"/>
    <col min="15361" max="15361" width="7" customWidth="1"/>
    <col min="15362" max="15362" width="84" customWidth="1"/>
    <col min="15363" max="15363" width="15.140625" customWidth="1"/>
    <col min="15364" max="15364" width="20.85546875" bestFit="1" customWidth="1"/>
    <col min="15365" max="15365" width="21.140625" bestFit="1" customWidth="1"/>
    <col min="15366" max="15366" width="28.28515625" customWidth="1"/>
    <col min="15367" max="15367" width="22" customWidth="1"/>
    <col min="15368" max="15368" width="31.85546875" customWidth="1"/>
    <col min="15369" max="15369" width="19.5703125" customWidth="1"/>
    <col min="15370" max="15370" width="23.140625" customWidth="1"/>
    <col min="15371" max="15371" width="15.7109375" customWidth="1"/>
    <col min="15617" max="15617" width="7" customWidth="1"/>
    <col min="15618" max="15618" width="84" customWidth="1"/>
    <col min="15619" max="15619" width="15.140625" customWidth="1"/>
    <col min="15620" max="15620" width="20.85546875" bestFit="1" customWidth="1"/>
    <col min="15621" max="15621" width="21.140625" bestFit="1" customWidth="1"/>
    <col min="15622" max="15622" width="28.28515625" customWidth="1"/>
    <col min="15623" max="15623" width="22" customWidth="1"/>
    <col min="15624" max="15624" width="31.85546875" customWidth="1"/>
    <col min="15625" max="15625" width="19.5703125" customWidth="1"/>
    <col min="15626" max="15626" width="23.140625" customWidth="1"/>
    <col min="15627" max="15627" width="15.7109375" customWidth="1"/>
    <col min="15873" max="15873" width="7" customWidth="1"/>
    <col min="15874" max="15874" width="84" customWidth="1"/>
    <col min="15875" max="15875" width="15.140625" customWidth="1"/>
    <col min="15876" max="15876" width="20.85546875" bestFit="1" customWidth="1"/>
    <col min="15877" max="15877" width="21.140625" bestFit="1" customWidth="1"/>
    <col min="15878" max="15878" width="28.28515625" customWidth="1"/>
    <col min="15879" max="15879" width="22" customWidth="1"/>
    <col min="15880" max="15880" width="31.85546875" customWidth="1"/>
    <col min="15881" max="15881" width="19.5703125" customWidth="1"/>
    <col min="15882" max="15882" width="23.140625" customWidth="1"/>
    <col min="15883" max="15883" width="15.7109375" customWidth="1"/>
    <col min="16129" max="16129" width="7" customWidth="1"/>
    <col min="16130" max="16130" width="84" customWidth="1"/>
    <col min="16131" max="16131" width="15.140625" customWidth="1"/>
    <col min="16132" max="16132" width="20.85546875" bestFit="1" customWidth="1"/>
    <col min="16133" max="16133" width="21.140625" bestFit="1" customWidth="1"/>
    <col min="16134" max="16134" width="28.28515625" customWidth="1"/>
    <col min="16135" max="16135" width="22" customWidth="1"/>
    <col min="16136" max="16136" width="31.85546875" customWidth="1"/>
    <col min="16137" max="16137" width="19.5703125" customWidth="1"/>
    <col min="16138" max="16138" width="23.140625" customWidth="1"/>
    <col min="16139" max="16139" width="15.7109375" customWidth="1"/>
  </cols>
  <sheetData>
    <row r="1" spans="1:9" ht="47.25">
      <c r="A1" s="1439" t="s">
        <v>0</v>
      </c>
      <c r="B1" s="1439" t="s">
        <v>1</v>
      </c>
      <c r="C1" s="448" t="s">
        <v>1975</v>
      </c>
      <c r="D1" s="644" t="s">
        <v>1976</v>
      </c>
      <c r="E1" s="645" t="s">
        <v>1977</v>
      </c>
      <c r="F1" s="645" t="s">
        <v>1978</v>
      </c>
      <c r="G1" s="645" t="s">
        <v>1979</v>
      </c>
      <c r="H1" s="645" t="s">
        <v>1980</v>
      </c>
    </row>
    <row r="2" spans="1:9" ht="32.25" customHeight="1">
      <c r="A2" s="1439"/>
      <c r="B2" s="1439"/>
      <c r="C2" s="448" t="s">
        <v>1554</v>
      </c>
      <c r="D2" s="644" t="s">
        <v>1556</v>
      </c>
      <c r="E2" s="645" t="s">
        <v>1982</v>
      </c>
      <c r="F2" s="645" t="s">
        <v>1562</v>
      </c>
      <c r="G2" s="645" t="s">
        <v>1581</v>
      </c>
      <c r="H2" s="645" t="s">
        <v>1983</v>
      </c>
    </row>
    <row r="3" spans="1:9" ht="48" customHeight="1">
      <c r="A3" s="646">
        <v>1</v>
      </c>
      <c r="B3" s="647" t="s">
        <v>2177</v>
      </c>
      <c r="C3" s="648">
        <v>1</v>
      </c>
      <c r="D3" s="649"/>
      <c r="E3" s="650">
        <f>C3*D3</f>
        <v>0</v>
      </c>
      <c r="F3" s="651">
        <v>0.1</v>
      </c>
      <c r="G3" s="652">
        <v>120</v>
      </c>
      <c r="H3" s="653">
        <f>(E3*0.9)/G3</f>
        <v>0</v>
      </c>
    </row>
    <row r="4" spans="1:9" ht="48" customHeight="1">
      <c r="A4" s="646">
        <v>2</v>
      </c>
      <c r="B4" s="647" t="s">
        <v>2178</v>
      </c>
      <c r="C4" s="652">
        <v>18</v>
      </c>
      <c r="D4" s="649"/>
      <c r="E4" s="650">
        <f t="shared" ref="E4:E10" si="0">C4*D4</f>
        <v>0</v>
      </c>
      <c r="F4" s="651">
        <v>0.1</v>
      </c>
      <c r="G4" s="652">
        <v>120</v>
      </c>
      <c r="H4" s="653">
        <f>(E4*0.9)/G4</f>
        <v>0</v>
      </c>
    </row>
    <row r="5" spans="1:9" ht="48" customHeight="1">
      <c r="A5" s="646">
        <v>3</v>
      </c>
      <c r="B5" s="647" t="s">
        <v>2179</v>
      </c>
      <c r="C5" s="654">
        <v>3</v>
      </c>
      <c r="D5" s="649"/>
      <c r="E5" s="650">
        <f t="shared" si="0"/>
        <v>0</v>
      </c>
      <c r="F5" s="651">
        <v>0.1</v>
      </c>
      <c r="G5" s="652">
        <v>120</v>
      </c>
      <c r="H5" s="653">
        <f t="shared" ref="H5:H10" si="1">(E5*0.9)/G5</f>
        <v>0</v>
      </c>
    </row>
    <row r="6" spans="1:9" ht="48" customHeight="1">
      <c r="A6" s="646">
        <v>4</v>
      </c>
      <c r="B6" s="647" t="s">
        <v>2180</v>
      </c>
      <c r="C6" s="654">
        <v>2</v>
      </c>
      <c r="D6" s="649"/>
      <c r="E6" s="650">
        <f t="shared" si="0"/>
        <v>0</v>
      </c>
      <c r="F6" s="651">
        <v>0.1</v>
      </c>
      <c r="G6" s="652">
        <v>120</v>
      </c>
      <c r="H6" s="653">
        <f t="shared" si="1"/>
        <v>0</v>
      </c>
    </row>
    <row r="7" spans="1:9" ht="48" customHeight="1">
      <c r="A7" s="646">
        <v>5</v>
      </c>
      <c r="B7" s="647" t="s">
        <v>2181</v>
      </c>
      <c r="C7" s="654">
        <v>1</v>
      </c>
      <c r="D7" s="649"/>
      <c r="E7" s="650">
        <f t="shared" si="0"/>
        <v>0</v>
      </c>
      <c r="F7" s="651">
        <v>0.1</v>
      </c>
      <c r="G7" s="652">
        <v>120</v>
      </c>
      <c r="H7" s="653">
        <f t="shared" si="1"/>
        <v>0</v>
      </c>
    </row>
    <row r="8" spans="1:9" ht="48" customHeight="1">
      <c r="A8" s="646">
        <v>6</v>
      </c>
      <c r="B8" s="647" t="s">
        <v>2182</v>
      </c>
      <c r="C8" s="654">
        <v>1</v>
      </c>
      <c r="D8" s="649"/>
      <c r="E8" s="650">
        <f t="shared" si="0"/>
        <v>0</v>
      </c>
      <c r="F8" s="651">
        <v>0.1</v>
      </c>
      <c r="G8" s="652">
        <v>120</v>
      </c>
      <c r="H8" s="653">
        <f t="shared" si="1"/>
        <v>0</v>
      </c>
    </row>
    <row r="9" spans="1:9" ht="48" customHeight="1">
      <c r="A9" s="646">
        <v>7</v>
      </c>
      <c r="B9" s="647" t="s">
        <v>2183</v>
      </c>
      <c r="C9" s="654">
        <v>1</v>
      </c>
      <c r="D9" s="649"/>
      <c r="E9" s="650">
        <f t="shared" si="0"/>
        <v>0</v>
      </c>
      <c r="F9" s="651">
        <v>0.1</v>
      </c>
      <c r="G9" s="652">
        <v>120</v>
      </c>
      <c r="H9" s="653">
        <f t="shared" si="1"/>
        <v>0</v>
      </c>
    </row>
    <row r="10" spans="1:9" ht="48" customHeight="1" thickBot="1">
      <c r="A10" s="655">
        <v>8</v>
      </c>
      <c r="B10" s="656" t="s">
        <v>2184</v>
      </c>
      <c r="C10" s="657">
        <v>30</v>
      </c>
      <c r="D10" s="649"/>
      <c r="E10" s="650">
        <f t="shared" si="0"/>
        <v>0</v>
      </c>
      <c r="F10" s="651">
        <v>0.1</v>
      </c>
      <c r="G10" s="652">
        <v>120</v>
      </c>
      <c r="H10" s="653">
        <f t="shared" si="1"/>
        <v>0</v>
      </c>
    </row>
    <row r="11" spans="1:9" ht="36.75" customHeight="1" thickBot="1">
      <c r="A11" s="1440" t="s">
        <v>1694</v>
      </c>
      <c r="B11" s="1441"/>
      <c r="C11" s="1442"/>
      <c r="D11" s="658">
        <f>SUM(D3:D10)</f>
        <v>0</v>
      </c>
      <c r="E11" s="658">
        <f>SUM(E3:E10)</f>
        <v>0</v>
      </c>
      <c r="F11" s="1443" t="s">
        <v>1994</v>
      </c>
      <c r="G11" s="1444"/>
      <c r="H11" s="659">
        <f>SUM(H3:H10)</f>
        <v>0</v>
      </c>
    </row>
    <row r="12" spans="1:9" ht="36.75" customHeight="1" thickBot="1">
      <c r="A12" s="1445" t="s">
        <v>2185</v>
      </c>
      <c r="B12" s="1446"/>
      <c r="C12" s="1446"/>
      <c r="D12" s="1446"/>
      <c r="E12" s="1446"/>
      <c r="F12" s="1446"/>
      <c r="G12" s="1446"/>
      <c r="H12" s="660">
        <f>H11/24</f>
        <v>0</v>
      </c>
      <c r="I12" s="661"/>
    </row>
  </sheetData>
  <mergeCells count="5">
    <mergeCell ref="A1:A2"/>
    <mergeCell ref="B1:B2"/>
    <mergeCell ref="A11:C11"/>
    <mergeCell ref="F11:G11"/>
    <mergeCell ref="A12:G12"/>
  </mergeCells>
  <printOptions horizontalCentered="1"/>
  <pageMargins left="0.19685039370078741" right="0.19685039370078741" top="1.1429166666666666" bottom="0.78740157480314965" header="0.31496062992125984" footer="0.31496062992125984"/>
  <pageSetup paperSize="9" scale="44" fitToHeight="0" orientation="portrait" r:id="rId1"/>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C730-8703-44BF-9B99-04B854994317}">
  <sheetPr>
    <tabColor rgb="FF92D050"/>
  </sheetPr>
  <dimension ref="A1:G22"/>
  <sheetViews>
    <sheetView view="pageBreakPreview" topLeftCell="A4" zoomScaleNormal="86" zoomScaleSheetLayoutView="100" workbookViewId="0">
      <selection activeCell="D15" sqref="D15:D20"/>
    </sheetView>
  </sheetViews>
  <sheetFormatPr defaultRowHeight="15"/>
  <cols>
    <col min="1" max="1" width="44.140625" customWidth="1"/>
    <col min="2" max="2" width="20.140625" customWidth="1"/>
    <col min="3" max="7" width="19.42578125" customWidth="1"/>
    <col min="257" max="257" width="44.140625" customWidth="1"/>
    <col min="258" max="258" width="20.140625" customWidth="1"/>
    <col min="259" max="263" width="19.42578125" customWidth="1"/>
    <col min="513" max="513" width="44.140625" customWidth="1"/>
    <col min="514" max="514" width="20.140625" customWidth="1"/>
    <col min="515" max="519" width="19.42578125" customWidth="1"/>
    <col min="769" max="769" width="44.140625" customWidth="1"/>
    <col min="770" max="770" width="20.140625" customWidth="1"/>
    <col min="771" max="775" width="19.42578125" customWidth="1"/>
    <col min="1025" max="1025" width="44.140625" customWidth="1"/>
    <col min="1026" max="1026" width="20.140625" customWidth="1"/>
    <col min="1027" max="1031" width="19.42578125" customWidth="1"/>
    <col min="1281" max="1281" width="44.140625" customWidth="1"/>
    <col min="1282" max="1282" width="20.140625" customWidth="1"/>
    <col min="1283" max="1287" width="19.42578125" customWidth="1"/>
    <col min="1537" max="1537" width="44.140625" customWidth="1"/>
    <col min="1538" max="1538" width="20.140625" customWidth="1"/>
    <col min="1539" max="1543" width="19.42578125" customWidth="1"/>
    <col min="1793" max="1793" width="44.140625" customWidth="1"/>
    <col min="1794" max="1794" width="20.140625" customWidth="1"/>
    <col min="1795" max="1799" width="19.42578125" customWidth="1"/>
    <col min="2049" max="2049" width="44.140625" customWidth="1"/>
    <col min="2050" max="2050" width="20.140625" customWidth="1"/>
    <col min="2051" max="2055" width="19.42578125" customWidth="1"/>
    <col min="2305" max="2305" width="44.140625" customWidth="1"/>
    <col min="2306" max="2306" width="20.140625" customWidth="1"/>
    <col min="2307" max="2311" width="19.42578125" customWidth="1"/>
    <col min="2561" max="2561" width="44.140625" customWidth="1"/>
    <col min="2562" max="2562" width="20.140625" customWidth="1"/>
    <col min="2563" max="2567" width="19.42578125" customWidth="1"/>
    <col min="2817" max="2817" width="44.140625" customWidth="1"/>
    <col min="2818" max="2818" width="20.140625" customWidth="1"/>
    <col min="2819" max="2823" width="19.42578125" customWidth="1"/>
    <col min="3073" max="3073" width="44.140625" customWidth="1"/>
    <col min="3074" max="3074" width="20.140625" customWidth="1"/>
    <col min="3075" max="3079" width="19.42578125" customWidth="1"/>
    <col min="3329" max="3329" width="44.140625" customWidth="1"/>
    <col min="3330" max="3330" width="20.140625" customWidth="1"/>
    <col min="3331" max="3335" width="19.42578125" customWidth="1"/>
    <col min="3585" max="3585" width="44.140625" customWidth="1"/>
    <col min="3586" max="3586" width="20.140625" customWidth="1"/>
    <col min="3587" max="3591" width="19.42578125" customWidth="1"/>
    <col min="3841" max="3841" width="44.140625" customWidth="1"/>
    <col min="3842" max="3842" width="20.140625" customWidth="1"/>
    <col min="3843" max="3847" width="19.42578125" customWidth="1"/>
    <col min="4097" max="4097" width="44.140625" customWidth="1"/>
    <col min="4098" max="4098" width="20.140625" customWidth="1"/>
    <col min="4099" max="4103" width="19.42578125" customWidth="1"/>
    <col min="4353" max="4353" width="44.140625" customWidth="1"/>
    <col min="4354" max="4354" width="20.140625" customWidth="1"/>
    <col min="4355" max="4359" width="19.42578125" customWidth="1"/>
    <col min="4609" max="4609" width="44.140625" customWidth="1"/>
    <col min="4610" max="4610" width="20.140625" customWidth="1"/>
    <col min="4611" max="4615" width="19.42578125" customWidth="1"/>
    <col min="4865" max="4865" width="44.140625" customWidth="1"/>
    <col min="4866" max="4866" width="20.140625" customWidth="1"/>
    <col min="4867" max="4871" width="19.42578125" customWidth="1"/>
    <col min="5121" max="5121" width="44.140625" customWidth="1"/>
    <col min="5122" max="5122" width="20.140625" customWidth="1"/>
    <col min="5123" max="5127" width="19.42578125" customWidth="1"/>
    <col min="5377" max="5377" width="44.140625" customWidth="1"/>
    <col min="5378" max="5378" width="20.140625" customWidth="1"/>
    <col min="5379" max="5383" width="19.42578125" customWidth="1"/>
    <col min="5633" max="5633" width="44.140625" customWidth="1"/>
    <col min="5634" max="5634" width="20.140625" customWidth="1"/>
    <col min="5635" max="5639" width="19.42578125" customWidth="1"/>
    <col min="5889" max="5889" width="44.140625" customWidth="1"/>
    <col min="5890" max="5890" width="20.140625" customWidth="1"/>
    <col min="5891" max="5895" width="19.42578125" customWidth="1"/>
    <col min="6145" max="6145" width="44.140625" customWidth="1"/>
    <col min="6146" max="6146" width="20.140625" customWidth="1"/>
    <col min="6147" max="6151" width="19.42578125" customWidth="1"/>
    <col min="6401" max="6401" width="44.140625" customWidth="1"/>
    <col min="6402" max="6402" width="20.140625" customWidth="1"/>
    <col min="6403" max="6407" width="19.42578125" customWidth="1"/>
    <col min="6657" max="6657" width="44.140625" customWidth="1"/>
    <col min="6658" max="6658" width="20.140625" customWidth="1"/>
    <col min="6659" max="6663" width="19.42578125" customWidth="1"/>
    <col min="6913" max="6913" width="44.140625" customWidth="1"/>
    <col min="6914" max="6914" width="20.140625" customWidth="1"/>
    <col min="6915" max="6919" width="19.42578125" customWidth="1"/>
    <col min="7169" max="7169" width="44.140625" customWidth="1"/>
    <col min="7170" max="7170" width="20.140625" customWidth="1"/>
    <col min="7171" max="7175" width="19.42578125" customWidth="1"/>
    <col min="7425" max="7425" width="44.140625" customWidth="1"/>
    <col min="7426" max="7426" width="20.140625" customWidth="1"/>
    <col min="7427" max="7431" width="19.42578125" customWidth="1"/>
    <col min="7681" max="7681" width="44.140625" customWidth="1"/>
    <col min="7682" max="7682" width="20.140625" customWidth="1"/>
    <col min="7683" max="7687" width="19.42578125" customWidth="1"/>
    <col min="7937" max="7937" width="44.140625" customWidth="1"/>
    <col min="7938" max="7938" width="20.140625" customWidth="1"/>
    <col min="7939" max="7943" width="19.42578125" customWidth="1"/>
    <col min="8193" max="8193" width="44.140625" customWidth="1"/>
    <col min="8194" max="8194" width="20.140625" customWidth="1"/>
    <col min="8195" max="8199" width="19.42578125" customWidth="1"/>
    <col min="8449" max="8449" width="44.140625" customWidth="1"/>
    <col min="8450" max="8450" width="20.140625" customWidth="1"/>
    <col min="8451" max="8455" width="19.42578125" customWidth="1"/>
    <col min="8705" max="8705" width="44.140625" customWidth="1"/>
    <col min="8706" max="8706" width="20.140625" customWidth="1"/>
    <col min="8707" max="8711" width="19.42578125" customWidth="1"/>
    <col min="8961" max="8961" width="44.140625" customWidth="1"/>
    <col min="8962" max="8962" width="20.140625" customWidth="1"/>
    <col min="8963" max="8967" width="19.42578125" customWidth="1"/>
    <col min="9217" max="9217" width="44.140625" customWidth="1"/>
    <col min="9218" max="9218" width="20.140625" customWidth="1"/>
    <col min="9219" max="9223" width="19.42578125" customWidth="1"/>
    <col min="9473" max="9473" width="44.140625" customWidth="1"/>
    <col min="9474" max="9474" width="20.140625" customWidth="1"/>
    <col min="9475" max="9479" width="19.42578125" customWidth="1"/>
    <col min="9729" max="9729" width="44.140625" customWidth="1"/>
    <col min="9730" max="9730" width="20.140625" customWidth="1"/>
    <col min="9731" max="9735" width="19.42578125" customWidth="1"/>
    <col min="9985" max="9985" width="44.140625" customWidth="1"/>
    <col min="9986" max="9986" width="20.140625" customWidth="1"/>
    <col min="9987" max="9991" width="19.42578125" customWidth="1"/>
    <col min="10241" max="10241" width="44.140625" customWidth="1"/>
    <col min="10242" max="10242" width="20.140625" customWidth="1"/>
    <col min="10243" max="10247" width="19.42578125" customWidth="1"/>
    <col min="10497" max="10497" width="44.140625" customWidth="1"/>
    <col min="10498" max="10498" width="20.140625" customWidth="1"/>
    <col min="10499" max="10503" width="19.42578125" customWidth="1"/>
    <col min="10753" max="10753" width="44.140625" customWidth="1"/>
    <col min="10754" max="10754" width="20.140625" customWidth="1"/>
    <col min="10755" max="10759" width="19.42578125" customWidth="1"/>
    <col min="11009" max="11009" width="44.140625" customWidth="1"/>
    <col min="11010" max="11010" width="20.140625" customWidth="1"/>
    <col min="11011" max="11015" width="19.42578125" customWidth="1"/>
    <col min="11265" max="11265" width="44.140625" customWidth="1"/>
    <col min="11266" max="11266" width="20.140625" customWidth="1"/>
    <col min="11267" max="11271" width="19.42578125" customWidth="1"/>
    <col min="11521" max="11521" width="44.140625" customWidth="1"/>
    <col min="11522" max="11522" width="20.140625" customWidth="1"/>
    <col min="11523" max="11527" width="19.42578125" customWidth="1"/>
    <col min="11777" max="11777" width="44.140625" customWidth="1"/>
    <col min="11778" max="11778" width="20.140625" customWidth="1"/>
    <col min="11779" max="11783" width="19.42578125" customWidth="1"/>
    <col min="12033" max="12033" width="44.140625" customWidth="1"/>
    <col min="12034" max="12034" width="20.140625" customWidth="1"/>
    <col min="12035" max="12039" width="19.42578125" customWidth="1"/>
    <col min="12289" max="12289" width="44.140625" customWidth="1"/>
    <col min="12290" max="12290" width="20.140625" customWidth="1"/>
    <col min="12291" max="12295" width="19.42578125" customWidth="1"/>
    <col min="12545" max="12545" width="44.140625" customWidth="1"/>
    <col min="12546" max="12546" width="20.140625" customWidth="1"/>
    <col min="12547" max="12551" width="19.42578125" customWidth="1"/>
    <col min="12801" max="12801" width="44.140625" customWidth="1"/>
    <col min="12802" max="12802" width="20.140625" customWidth="1"/>
    <col min="12803" max="12807" width="19.42578125" customWidth="1"/>
    <col min="13057" max="13057" width="44.140625" customWidth="1"/>
    <col min="13058" max="13058" width="20.140625" customWidth="1"/>
    <col min="13059" max="13063" width="19.42578125" customWidth="1"/>
    <col min="13313" max="13313" width="44.140625" customWidth="1"/>
    <col min="13314" max="13314" width="20.140625" customWidth="1"/>
    <col min="13315" max="13319" width="19.42578125" customWidth="1"/>
    <col min="13569" max="13569" width="44.140625" customWidth="1"/>
    <col min="13570" max="13570" width="20.140625" customWidth="1"/>
    <col min="13571" max="13575" width="19.42578125" customWidth="1"/>
    <col min="13825" max="13825" width="44.140625" customWidth="1"/>
    <col min="13826" max="13826" width="20.140625" customWidth="1"/>
    <col min="13827" max="13831" width="19.42578125" customWidth="1"/>
    <col min="14081" max="14081" width="44.140625" customWidth="1"/>
    <col min="14082" max="14082" width="20.140625" customWidth="1"/>
    <col min="14083" max="14087" width="19.42578125" customWidth="1"/>
    <col min="14337" max="14337" width="44.140625" customWidth="1"/>
    <col min="14338" max="14338" width="20.140625" customWidth="1"/>
    <col min="14339" max="14343" width="19.42578125" customWidth="1"/>
    <col min="14593" max="14593" width="44.140625" customWidth="1"/>
    <col min="14594" max="14594" width="20.140625" customWidth="1"/>
    <col min="14595" max="14599" width="19.42578125" customWidth="1"/>
    <col min="14849" max="14849" width="44.140625" customWidth="1"/>
    <col min="14850" max="14850" width="20.140625" customWidth="1"/>
    <col min="14851" max="14855" width="19.42578125" customWidth="1"/>
    <col min="15105" max="15105" width="44.140625" customWidth="1"/>
    <col min="15106" max="15106" width="20.140625" customWidth="1"/>
    <col min="15107" max="15111" width="19.42578125" customWidth="1"/>
    <col min="15361" max="15361" width="44.140625" customWidth="1"/>
    <col min="15362" max="15362" width="20.140625" customWidth="1"/>
    <col min="15363" max="15367" width="19.42578125" customWidth="1"/>
    <col min="15617" max="15617" width="44.140625" customWidth="1"/>
    <col min="15618" max="15618" width="20.140625" customWidth="1"/>
    <col min="15619" max="15623" width="19.42578125" customWidth="1"/>
    <col min="15873" max="15873" width="44.140625" customWidth="1"/>
    <col min="15874" max="15874" width="20.140625" customWidth="1"/>
    <col min="15875" max="15879" width="19.42578125" customWidth="1"/>
    <col min="16129" max="16129" width="44.140625" customWidth="1"/>
    <col min="16130" max="16130" width="20.140625" customWidth="1"/>
    <col min="16131" max="16135" width="19.42578125" customWidth="1"/>
  </cols>
  <sheetData>
    <row r="1" spans="1:7" ht="24">
      <c r="A1" s="1379" t="s">
        <v>2186</v>
      </c>
      <c r="B1" s="1380"/>
      <c r="C1" s="1380"/>
      <c r="D1" s="1380"/>
      <c r="E1" s="1380"/>
      <c r="F1" s="1381"/>
    </row>
    <row r="2" spans="1:7" ht="25.5">
      <c r="A2" s="1382" t="s">
        <v>2090</v>
      </c>
      <c r="B2" s="1383"/>
      <c r="C2" s="1383"/>
      <c r="D2" s="1383"/>
      <c r="E2" s="1383"/>
      <c r="F2" s="1384"/>
    </row>
    <row r="3" spans="1:7" ht="78.75">
      <c r="A3" s="483" t="s">
        <v>2003</v>
      </c>
      <c r="B3" s="484" t="s">
        <v>2004</v>
      </c>
      <c r="C3" s="484" t="s">
        <v>2005</v>
      </c>
      <c r="D3" s="484" t="s">
        <v>2008</v>
      </c>
      <c r="E3" s="484" t="s">
        <v>2037</v>
      </c>
      <c r="F3" s="485" t="s">
        <v>2038</v>
      </c>
    </row>
    <row r="4" spans="1:7" ht="37.5">
      <c r="A4" s="486" t="s">
        <v>2187</v>
      </c>
      <c r="B4" s="487">
        <v>2</v>
      </c>
      <c r="C4" s="487">
        <v>4</v>
      </c>
      <c r="D4" s="488"/>
      <c r="E4" s="489">
        <f>C4*D4</f>
        <v>0</v>
      </c>
      <c r="F4" s="490">
        <f t="shared" ref="F4:F9" si="0">E4/12</f>
        <v>0</v>
      </c>
    </row>
    <row r="5" spans="1:7" ht="37.5">
      <c r="A5" s="486" t="s">
        <v>2188</v>
      </c>
      <c r="B5" s="487">
        <v>2</v>
      </c>
      <c r="C5" s="487">
        <v>4</v>
      </c>
      <c r="D5" s="488"/>
      <c r="E5" s="489">
        <f>C5*D5</f>
        <v>0</v>
      </c>
      <c r="F5" s="490">
        <f t="shared" si="0"/>
        <v>0</v>
      </c>
    </row>
    <row r="6" spans="1:7" ht="18.75">
      <c r="A6" s="486" t="s">
        <v>2189</v>
      </c>
      <c r="B6" s="487">
        <v>1</v>
      </c>
      <c r="C6" s="487">
        <v>2</v>
      </c>
      <c r="D6" s="488"/>
      <c r="E6" s="489">
        <f>C6*D6</f>
        <v>0</v>
      </c>
      <c r="F6" s="490">
        <f t="shared" si="0"/>
        <v>0</v>
      </c>
    </row>
    <row r="7" spans="1:7" ht="37.5">
      <c r="A7" s="486" t="s">
        <v>2190</v>
      </c>
      <c r="B7" s="487">
        <v>2</v>
      </c>
      <c r="C7" s="487">
        <v>4</v>
      </c>
      <c r="D7" s="488"/>
      <c r="E7" s="489">
        <f>C7*D7</f>
        <v>0</v>
      </c>
      <c r="F7" s="490">
        <f t="shared" si="0"/>
        <v>0</v>
      </c>
    </row>
    <row r="8" spans="1:7" ht="37.5">
      <c r="A8" s="486" t="s">
        <v>2015</v>
      </c>
      <c r="B8" s="487">
        <v>1</v>
      </c>
      <c r="C8" s="487">
        <v>1</v>
      </c>
      <c r="D8" s="488"/>
      <c r="E8" s="489">
        <f>C8*D8</f>
        <v>0</v>
      </c>
      <c r="F8" s="490">
        <f t="shared" si="0"/>
        <v>0</v>
      </c>
    </row>
    <row r="9" spans="1:7" ht="18.75">
      <c r="A9" s="1385" t="s">
        <v>2191</v>
      </c>
      <c r="B9" s="1386"/>
      <c r="C9" s="1386"/>
      <c r="D9" s="491"/>
      <c r="E9" s="662">
        <f>SUM(E4:E8)</f>
        <v>0</v>
      </c>
      <c r="F9" s="663">
        <f t="shared" si="0"/>
        <v>0</v>
      </c>
      <c r="G9">
        <v>24</v>
      </c>
    </row>
    <row r="10" spans="1:7">
      <c r="A10" s="1378"/>
      <c r="B10" s="1378"/>
      <c r="C10" s="1378"/>
      <c r="D10" s="1378"/>
      <c r="E10" s="1378"/>
      <c r="F10" s="1378"/>
    </row>
    <row r="11" spans="1:7" ht="15.75" thickBot="1"/>
    <row r="12" spans="1:7" ht="24">
      <c r="A12" s="1379" t="s">
        <v>2192</v>
      </c>
      <c r="B12" s="1380"/>
      <c r="C12" s="1380"/>
      <c r="D12" s="1380"/>
      <c r="E12" s="1380"/>
      <c r="F12" s="1381"/>
    </row>
    <row r="13" spans="1:7" ht="22.5">
      <c r="A13" s="1447" t="s">
        <v>2193</v>
      </c>
      <c r="B13" s="1448"/>
      <c r="C13" s="1448"/>
      <c r="D13" s="1448"/>
      <c r="E13" s="1448"/>
      <c r="F13" s="1449"/>
    </row>
    <row r="14" spans="1:7" ht="78.75">
      <c r="A14" s="483" t="s">
        <v>2003</v>
      </c>
      <c r="B14" s="484" t="s">
        <v>2004</v>
      </c>
      <c r="C14" s="484" t="s">
        <v>2005</v>
      </c>
      <c r="D14" s="484" t="s">
        <v>2008</v>
      </c>
      <c r="E14" s="484" t="s">
        <v>2037</v>
      </c>
      <c r="F14" s="485" t="s">
        <v>2038</v>
      </c>
    </row>
    <row r="15" spans="1:7" ht="37.5">
      <c r="A15" s="486" t="s">
        <v>2194</v>
      </c>
      <c r="B15" s="487">
        <v>2</v>
      </c>
      <c r="C15" s="487">
        <f>B15*2</f>
        <v>4</v>
      </c>
      <c r="D15" s="488"/>
      <c r="E15" s="489">
        <f t="shared" ref="E15:E20" si="1">C15*D15</f>
        <v>0</v>
      </c>
      <c r="F15" s="490">
        <f t="shared" ref="F15:F20" si="2">E15/12</f>
        <v>0</v>
      </c>
    </row>
    <row r="16" spans="1:7" ht="37.5">
      <c r="A16" s="486" t="s">
        <v>2195</v>
      </c>
      <c r="B16" s="487">
        <v>2</v>
      </c>
      <c r="C16" s="487">
        <f>B16*2</f>
        <v>4</v>
      </c>
      <c r="D16" s="488"/>
      <c r="E16" s="489">
        <f t="shared" si="1"/>
        <v>0</v>
      </c>
      <c r="F16" s="490">
        <f t="shared" si="2"/>
        <v>0</v>
      </c>
    </row>
    <row r="17" spans="1:7" ht="18.75">
      <c r="A17" s="486" t="s">
        <v>2196</v>
      </c>
      <c r="B17" s="487">
        <v>1</v>
      </c>
      <c r="C17" s="487">
        <f>B17*2</f>
        <v>2</v>
      </c>
      <c r="D17" s="488"/>
      <c r="E17" s="489">
        <f t="shared" si="1"/>
        <v>0</v>
      </c>
      <c r="F17" s="490">
        <f t="shared" si="2"/>
        <v>0</v>
      </c>
    </row>
    <row r="18" spans="1:7" ht="18.75">
      <c r="A18" s="486" t="s">
        <v>2197</v>
      </c>
      <c r="B18" s="487">
        <v>1</v>
      </c>
      <c r="C18" s="487">
        <f>B18*2</f>
        <v>2</v>
      </c>
      <c r="D18" s="488"/>
      <c r="E18" s="489">
        <f t="shared" si="1"/>
        <v>0</v>
      </c>
      <c r="F18" s="490">
        <f t="shared" si="2"/>
        <v>0</v>
      </c>
    </row>
    <row r="19" spans="1:7" ht="18.75">
      <c r="A19" s="486" t="s">
        <v>2198</v>
      </c>
      <c r="B19" s="487">
        <v>2</v>
      </c>
      <c r="C19" s="487">
        <f>B19*2</f>
        <v>4</v>
      </c>
      <c r="D19" s="488"/>
      <c r="E19" s="489">
        <f t="shared" si="1"/>
        <v>0</v>
      </c>
      <c r="F19" s="490">
        <f t="shared" si="2"/>
        <v>0</v>
      </c>
    </row>
    <row r="20" spans="1:7" ht="37.5">
      <c r="A20" s="486" t="s">
        <v>2015</v>
      </c>
      <c r="B20" s="487">
        <v>1</v>
      </c>
      <c r="C20" s="487">
        <v>1</v>
      </c>
      <c r="D20" s="488"/>
      <c r="E20" s="489">
        <f t="shared" si="1"/>
        <v>0</v>
      </c>
      <c r="F20" s="490">
        <f t="shared" si="2"/>
        <v>0</v>
      </c>
    </row>
    <row r="21" spans="1:7" ht="18.75">
      <c r="A21" s="1376" t="s">
        <v>2191</v>
      </c>
      <c r="B21" s="1377"/>
      <c r="C21" s="1377"/>
      <c r="D21" s="495"/>
      <c r="E21" s="496">
        <f>SUM(E15:E20)</f>
        <v>0</v>
      </c>
      <c r="F21" s="497">
        <f>SUM(F15:F20)</f>
        <v>0</v>
      </c>
      <c r="G21">
        <v>1</v>
      </c>
    </row>
    <row r="22" spans="1:7">
      <c r="A22" s="1378"/>
      <c r="B22" s="1378"/>
      <c r="C22" s="1378"/>
      <c r="D22" s="1378"/>
      <c r="E22" s="1378"/>
      <c r="F22" s="1378"/>
    </row>
  </sheetData>
  <mergeCells count="8">
    <mergeCell ref="A21:C21"/>
    <mergeCell ref="A22:F22"/>
    <mergeCell ref="A1:F1"/>
    <mergeCell ref="A2:F2"/>
    <mergeCell ref="A9:C9"/>
    <mergeCell ref="A10:F10"/>
    <mergeCell ref="A12:F12"/>
    <mergeCell ref="A13:F13"/>
  </mergeCells>
  <conditionalFormatting sqref="A4:C7 A8:D8 A15:C20">
    <cfRule type="expression" dxfId="4" priority="4" stopIfTrue="1">
      <formula>#REF!=TRUE</formula>
    </cfRule>
  </conditionalFormatting>
  <conditionalFormatting sqref="D4:D7">
    <cfRule type="expression" dxfId="3" priority="2" stopIfTrue="1">
      <formula>#REF!=TRUE</formula>
    </cfRule>
  </conditionalFormatting>
  <conditionalFormatting sqref="D15:D19">
    <cfRule type="expression" dxfId="2" priority="1" stopIfTrue="1">
      <formula>#REF!=TRUE</formula>
    </cfRule>
  </conditionalFormatting>
  <conditionalFormatting sqref="D20">
    <cfRule type="expression" dxfId="1" priority="3" stopIfTrue="1">
      <formula>#REF!=TRUE</formula>
    </cfRule>
  </conditionalFormatting>
  <printOptions horizontalCentered="1"/>
  <pageMargins left="0.19685039370078741" right="0.19685039370078741" top="1.1429166666666666" bottom="0.78740157480314965" header="0.31496062992125984" footer="0.31496062992125984"/>
  <pageSetup paperSize="9" scale="52" fitToHeight="0" orientation="portrait" r:id="rId1"/>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1071-2683-46DC-8D15-A46A5DD63651}">
  <sheetPr>
    <tabColor rgb="FFFFFF00"/>
  </sheetPr>
  <dimension ref="A1:H15"/>
  <sheetViews>
    <sheetView zoomScaleNormal="100" workbookViewId="0">
      <selection activeCell="E6" sqref="E6:E14"/>
    </sheetView>
  </sheetViews>
  <sheetFormatPr defaultRowHeight="15"/>
  <cols>
    <col min="1" max="1" width="10.7109375" style="1" customWidth="1"/>
    <col min="2" max="2" width="36.7109375" style="1" customWidth="1"/>
    <col min="3" max="3" width="9.140625" style="1"/>
    <col min="4" max="5" width="12.7109375" style="1" customWidth="1"/>
    <col min="6" max="6" width="15.7109375" style="1" customWidth="1"/>
    <col min="7" max="7" width="12.7109375" customWidth="1"/>
    <col min="8" max="8" width="15.7109375" customWidth="1"/>
  </cols>
  <sheetData>
    <row r="1" spans="1:8" ht="15.75" thickBot="1">
      <c r="A1" s="800" t="s">
        <v>1169</v>
      </c>
      <c r="B1" s="801"/>
      <c r="C1" s="801"/>
      <c r="D1" s="801"/>
      <c r="E1" s="801"/>
      <c r="F1" s="801"/>
      <c r="G1" s="778"/>
      <c r="H1" s="779"/>
    </row>
    <row r="2" spans="1:8" ht="30" customHeight="1">
      <c r="A2" s="805" t="s">
        <v>0</v>
      </c>
      <c r="B2" s="807" t="s">
        <v>1</v>
      </c>
      <c r="C2" s="807" t="s">
        <v>696</v>
      </c>
      <c r="D2" s="809" t="s">
        <v>706</v>
      </c>
      <c r="E2" s="811" t="s">
        <v>43</v>
      </c>
      <c r="F2" s="812"/>
      <c r="G2" s="798" t="s">
        <v>1252</v>
      </c>
      <c r="H2" s="799"/>
    </row>
    <row r="3" spans="1:8">
      <c r="A3" s="806"/>
      <c r="B3" s="808"/>
      <c r="C3" s="808"/>
      <c r="D3" s="810"/>
      <c r="E3" s="24" t="s">
        <v>44</v>
      </c>
      <c r="F3" s="25" t="s">
        <v>15</v>
      </c>
      <c r="G3" s="24" t="s">
        <v>44</v>
      </c>
      <c r="H3" s="25" t="s">
        <v>15</v>
      </c>
    </row>
    <row r="4" spans="1:8" ht="15.75" thickBot="1">
      <c r="A4" s="18"/>
      <c r="B4" s="19"/>
      <c r="C4" s="20"/>
      <c r="D4" s="21" t="s">
        <v>707</v>
      </c>
      <c r="E4" s="22" t="s">
        <v>1248</v>
      </c>
      <c r="F4" s="23" t="s">
        <v>1250</v>
      </c>
      <c r="G4" s="22" t="s">
        <v>1249</v>
      </c>
      <c r="H4" s="23" t="s">
        <v>1251</v>
      </c>
    </row>
    <row r="5" spans="1:8">
      <c r="A5" s="26" t="s">
        <v>45</v>
      </c>
      <c r="B5" s="27" t="s">
        <v>697</v>
      </c>
      <c r="C5" s="28"/>
      <c r="D5" s="29"/>
      <c r="E5" s="30"/>
      <c r="F5" s="31">
        <f>SUM(F6:F7)</f>
        <v>0</v>
      </c>
      <c r="G5" s="30"/>
      <c r="H5" s="31">
        <f>SUM(H6:H7)</f>
        <v>0</v>
      </c>
    </row>
    <row r="6" spans="1:8" ht="51.75">
      <c r="A6" s="55" t="s">
        <v>46</v>
      </c>
      <c r="B6" s="32" t="s">
        <v>1171</v>
      </c>
      <c r="C6" s="33" t="s">
        <v>698</v>
      </c>
      <c r="D6" s="34">
        <v>1</v>
      </c>
      <c r="E6" s="35"/>
      <c r="F6" s="36">
        <f>E6*D6</f>
        <v>0</v>
      </c>
      <c r="G6" s="35">
        <v>0</v>
      </c>
      <c r="H6" s="36">
        <f t="shared" ref="H6:H14" si="0">G6*D6</f>
        <v>0</v>
      </c>
    </row>
    <row r="7" spans="1:8">
      <c r="A7" s="55" t="s">
        <v>49</v>
      </c>
      <c r="B7" s="32" t="s">
        <v>1170</v>
      </c>
      <c r="C7" s="33" t="s">
        <v>64</v>
      </c>
      <c r="D7" s="34">
        <v>1000</v>
      </c>
      <c r="E7" s="35"/>
      <c r="F7" s="36">
        <f t="shared" ref="F7:F14" si="1">E7*D7</f>
        <v>0</v>
      </c>
      <c r="G7" s="35">
        <v>0</v>
      </c>
      <c r="H7" s="36">
        <f t="shared" si="0"/>
        <v>0</v>
      </c>
    </row>
    <row r="8" spans="1:8">
      <c r="A8" s="37" t="s">
        <v>173</v>
      </c>
      <c r="B8" s="38" t="s">
        <v>699</v>
      </c>
      <c r="C8" s="39" t="s">
        <v>698</v>
      </c>
      <c r="D8" s="40">
        <v>2</v>
      </c>
      <c r="E8" s="41"/>
      <c r="F8" s="36">
        <f t="shared" si="1"/>
        <v>0</v>
      </c>
      <c r="G8" s="41">
        <v>0</v>
      </c>
      <c r="H8" s="36">
        <f t="shared" si="0"/>
        <v>0</v>
      </c>
    </row>
    <row r="9" spans="1:8">
      <c r="A9" s="37" t="s">
        <v>185</v>
      </c>
      <c r="B9" s="38" t="s">
        <v>700</v>
      </c>
      <c r="C9" s="39"/>
      <c r="D9" s="40"/>
      <c r="E9" s="41"/>
      <c r="F9" s="36">
        <f t="shared" si="1"/>
        <v>0</v>
      </c>
      <c r="G9" s="41">
        <v>0</v>
      </c>
      <c r="H9" s="36">
        <f t="shared" si="0"/>
        <v>0</v>
      </c>
    </row>
    <row r="10" spans="1:8">
      <c r="A10" s="55" t="s">
        <v>187</v>
      </c>
      <c r="B10" s="32" t="s">
        <v>701</v>
      </c>
      <c r="C10" s="33" t="s">
        <v>698</v>
      </c>
      <c r="D10" s="34">
        <v>55</v>
      </c>
      <c r="E10" s="35"/>
      <c r="F10" s="36">
        <f t="shared" si="1"/>
        <v>0</v>
      </c>
      <c r="G10" s="35">
        <v>0</v>
      </c>
      <c r="H10" s="36">
        <f t="shared" si="0"/>
        <v>0</v>
      </c>
    </row>
    <row r="11" spans="1:8">
      <c r="A11" s="55" t="s">
        <v>190</v>
      </c>
      <c r="B11" s="32" t="s">
        <v>702</v>
      </c>
      <c r="C11" s="33" t="s">
        <v>698</v>
      </c>
      <c r="D11" s="34">
        <v>19</v>
      </c>
      <c r="E11" s="35"/>
      <c r="F11" s="36">
        <f t="shared" si="1"/>
        <v>0</v>
      </c>
      <c r="G11" s="35">
        <v>0</v>
      </c>
      <c r="H11" s="36">
        <f t="shared" si="0"/>
        <v>0</v>
      </c>
    </row>
    <row r="12" spans="1:8">
      <c r="A12" s="55" t="s">
        <v>191</v>
      </c>
      <c r="B12" s="32" t="s">
        <v>703</v>
      </c>
      <c r="C12" s="33" t="s">
        <v>698</v>
      </c>
      <c r="D12" s="34">
        <v>37</v>
      </c>
      <c r="E12" s="35"/>
      <c r="F12" s="36">
        <f t="shared" si="1"/>
        <v>0</v>
      </c>
      <c r="G12" s="35">
        <v>0</v>
      </c>
      <c r="H12" s="36">
        <f t="shared" si="0"/>
        <v>0</v>
      </c>
    </row>
    <row r="13" spans="1:8" ht="26.25">
      <c r="A13" s="37" t="s">
        <v>194</v>
      </c>
      <c r="B13" s="38" t="s">
        <v>704</v>
      </c>
      <c r="C13" s="39" t="s">
        <v>698</v>
      </c>
      <c r="D13" s="40">
        <v>72</v>
      </c>
      <c r="E13" s="41"/>
      <c r="F13" s="36">
        <f t="shared" si="1"/>
        <v>0</v>
      </c>
      <c r="G13" s="41">
        <v>0</v>
      </c>
      <c r="H13" s="36">
        <f t="shared" si="0"/>
        <v>0</v>
      </c>
    </row>
    <row r="14" spans="1:8" ht="27" thickBot="1">
      <c r="A14" s="42" t="s">
        <v>238</v>
      </c>
      <c r="B14" s="43" t="s">
        <v>705</v>
      </c>
      <c r="C14" s="44" t="s">
        <v>698</v>
      </c>
      <c r="D14" s="45">
        <v>1</v>
      </c>
      <c r="E14" s="94"/>
      <c r="F14" s="95">
        <f t="shared" si="1"/>
        <v>0</v>
      </c>
      <c r="G14" s="94">
        <v>0</v>
      </c>
      <c r="H14" s="95">
        <f t="shared" si="0"/>
        <v>0</v>
      </c>
    </row>
    <row r="15" spans="1:8" ht="26.25" thickBot="1">
      <c r="A15" s="802" t="s">
        <v>1166</v>
      </c>
      <c r="B15" s="803"/>
      <c r="C15" s="803"/>
      <c r="D15" s="804"/>
      <c r="E15" s="96" t="s">
        <v>1253</v>
      </c>
      <c r="F15" s="97">
        <f>SUM(F14+F13+F9+F8+F5)</f>
        <v>0</v>
      </c>
      <c r="G15" s="98" t="s">
        <v>1254</v>
      </c>
      <c r="H15" s="99">
        <f>SUM(H14+H13+H9+H8+H5)</f>
        <v>0</v>
      </c>
    </row>
  </sheetData>
  <mergeCells count="8">
    <mergeCell ref="G2:H2"/>
    <mergeCell ref="A1:H1"/>
    <mergeCell ref="A15:D15"/>
    <mergeCell ref="A2:A3"/>
    <mergeCell ref="B2:B3"/>
    <mergeCell ref="C2:C3"/>
    <mergeCell ref="D2:D3"/>
    <mergeCell ref="E2:F2"/>
  </mergeCells>
  <phoneticPr fontId="7" type="noConversion"/>
  <pageMargins left="0.511811024" right="0.511811024" top="0.78740157499999996" bottom="0.78740157499999996" header="0.31496062000000002" footer="0.3149606200000000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97036-2D58-4912-AD21-597A04C9E02D}">
  <sheetPr>
    <tabColor rgb="FF92D050"/>
  </sheetPr>
  <dimension ref="A1:L75"/>
  <sheetViews>
    <sheetView view="pageBreakPreview" zoomScale="80" zoomScaleNormal="80" zoomScaleSheetLayoutView="80" workbookViewId="0">
      <selection activeCell="E2" sqref="E2:E53"/>
    </sheetView>
  </sheetViews>
  <sheetFormatPr defaultRowHeight="15"/>
  <cols>
    <col min="2" max="2" width="78.42578125" style="574" customWidth="1"/>
    <col min="3" max="3" width="17.42578125" customWidth="1"/>
    <col min="4" max="4" width="19.5703125" customWidth="1"/>
    <col min="5" max="5" width="17.7109375" style="602" bestFit="1" customWidth="1"/>
    <col min="6" max="6" width="26.140625" style="602" customWidth="1"/>
    <col min="7" max="7" width="25.7109375" style="602" customWidth="1"/>
    <col min="8" max="9" width="29.85546875" style="602" bestFit="1" customWidth="1"/>
    <col min="11" max="11" width="15.28515625" bestFit="1" customWidth="1"/>
    <col min="12" max="12" width="13" bestFit="1" customWidth="1"/>
    <col min="258" max="258" width="78.42578125" customWidth="1"/>
    <col min="259" max="259" width="17.42578125" customWidth="1"/>
    <col min="260" max="260" width="19.5703125" customWidth="1"/>
    <col min="261" max="261" width="17.7109375" bestFit="1" customWidth="1"/>
    <col min="262" max="262" width="26.140625" customWidth="1"/>
    <col min="263" max="263" width="25.7109375" customWidth="1"/>
    <col min="264" max="265" width="29.85546875" bestFit="1" customWidth="1"/>
    <col min="267" max="267" width="15.28515625" bestFit="1" customWidth="1"/>
    <col min="268" max="268" width="13" bestFit="1" customWidth="1"/>
    <col min="514" max="514" width="78.42578125" customWidth="1"/>
    <col min="515" max="515" width="17.42578125" customWidth="1"/>
    <col min="516" max="516" width="19.5703125" customWidth="1"/>
    <col min="517" max="517" width="17.7109375" bestFit="1" customWidth="1"/>
    <col min="518" max="518" width="26.140625" customWidth="1"/>
    <col min="519" max="519" width="25.7109375" customWidth="1"/>
    <col min="520" max="521" width="29.85546875" bestFit="1" customWidth="1"/>
    <col min="523" max="523" width="15.28515625" bestFit="1" customWidth="1"/>
    <col min="524" max="524" width="13" bestFit="1" customWidth="1"/>
    <col min="770" max="770" width="78.42578125" customWidth="1"/>
    <col min="771" max="771" width="17.42578125" customWidth="1"/>
    <col min="772" max="772" width="19.5703125" customWidth="1"/>
    <col min="773" max="773" width="17.7109375" bestFit="1" customWidth="1"/>
    <col min="774" max="774" width="26.140625" customWidth="1"/>
    <col min="775" max="775" width="25.7109375" customWidth="1"/>
    <col min="776" max="777" width="29.85546875" bestFit="1" customWidth="1"/>
    <col min="779" max="779" width="15.28515625" bestFit="1" customWidth="1"/>
    <col min="780" max="780" width="13" bestFit="1" customWidth="1"/>
    <col min="1026" max="1026" width="78.42578125" customWidth="1"/>
    <col min="1027" max="1027" width="17.42578125" customWidth="1"/>
    <col min="1028" max="1028" width="19.5703125" customWidth="1"/>
    <col min="1029" max="1029" width="17.7109375" bestFit="1" customWidth="1"/>
    <col min="1030" max="1030" width="26.140625" customWidth="1"/>
    <col min="1031" max="1031" width="25.7109375" customWidth="1"/>
    <col min="1032" max="1033" width="29.85546875" bestFit="1" customWidth="1"/>
    <col min="1035" max="1035" width="15.28515625" bestFit="1" customWidth="1"/>
    <col min="1036" max="1036" width="13" bestFit="1" customWidth="1"/>
    <col min="1282" max="1282" width="78.42578125" customWidth="1"/>
    <col min="1283" max="1283" width="17.42578125" customWidth="1"/>
    <col min="1284" max="1284" width="19.5703125" customWidth="1"/>
    <col min="1285" max="1285" width="17.7109375" bestFit="1" customWidth="1"/>
    <col min="1286" max="1286" width="26.140625" customWidth="1"/>
    <col min="1287" max="1287" width="25.7109375" customWidth="1"/>
    <col min="1288" max="1289" width="29.85546875" bestFit="1" customWidth="1"/>
    <col min="1291" max="1291" width="15.28515625" bestFit="1" customWidth="1"/>
    <col min="1292" max="1292" width="13" bestFit="1" customWidth="1"/>
    <col min="1538" max="1538" width="78.42578125" customWidth="1"/>
    <col min="1539" max="1539" width="17.42578125" customWidth="1"/>
    <col min="1540" max="1540" width="19.5703125" customWidth="1"/>
    <col min="1541" max="1541" width="17.7109375" bestFit="1" customWidth="1"/>
    <col min="1542" max="1542" width="26.140625" customWidth="1"/>
    <col min="1543" max="1543" width="25.7109375" customWidth="1"/>
    <col min="1544" max="1545" width="29.85546875" bestFit="1" customWidth="1"/>
    <col min="1547" max="1547" width="15.28515625" bestFit="1" customWidth="1"/>
    <col min="1548" max="1548" width="13" bestFit="1" customWidth="1"/>
    <col min="1794" max="1794" width="78.42578125" customWidth="1"/>
    <col min="1795" max="1795" width="17.42578125" customWidth="1"/>
    <col min="1796" max="1796" width="19.5703125" customWidth="1"/>
    <col min="1797" max="1797" width="17.7109375" bestFit="1" customWidth="1"/>
    <col min="1798" max="1798" width="26.140625" customWidth="1"/>
    <col min="1799" max="1799" width="25.7109375" customWidth="1"/>
    <col min="1800" max="1801" width="29.85546875" bestFit="1" customWidth="1"/>
    <col min="1803" max="1803" width="15.28515625" bestFit="1" customWidth="1"/>
    <col min="1804" max="1804" width="13" bestFit="1" customWidth="1"/>
    <col min="2050" max="2050" width="78.42578125" customWidth="1"/>
    <col min="2051" max="2051" width="17.42578125" customWidth="1"/>
    <col min="2052" max="2052" width="19.5703125" customWidth="1"/>
    <col min="2053" max="2053" width="17.7109375" bestFit="1" customWidth="1"/>
    <col min="2054" max="2054" width="26.140625" customWidth="1"/>
    <col min="2055" max="2055" width="25.7109375" customWidth="1"/>
    <col min="2056" max="2057" width="29.85546875" bestFit="1" customWidth="1"/>
    <col min="2059" max="2059" width="15.28515625" bestFit="1" customWidth="1"/>
    <col min="2060" max="2060" width="13" bestFit="1" customWidth="1"/>
    <col min="2306" max="2306" width="78.42578125" customWidth="1"/>
    <col min="2307" max="2307" width="17.42578125" customWidth="1"/>
    <col min="2308" max="2308" width="19.5703125" customWidth="1"/>
    <col min="2309" max="2309" width="17.7109375" bestFit="1" customWidth="1"/>
    <col min="2310" max="2310" width="26.140625" customWidth="1"/>
    <col min="2311" max="2311" width="25.7109375" customWidth="1"/>
    <col min="2312" max="2313" width="29.85546875" bestFit="1" customWidth="1"/>
    <col min="2315" max="2315" width="15.28515625" bestFit="1" customWidth="1"/>
    <col min="2316" max="2316" width="13" bestFit="1" customWidth="1"/>
    <col min="2562" max="2562" width="78.42578125" customWidth="1"/>
    <col min="2563" max="2563" width="17.42578125" customWidth="1"/>
    <col min="2564" max="2564" width="19.5703125" customWidth="1"/>
    <col min="2565" max="2565" width="17.7109375" bestFit="1" customWidth="1"/>
    <col min="2566" max="2566" width="26.140625" customWidth="1"/>
    <col min="2567" max="2567" width="25.7109375" customWidth="1"/>
    <col min="2568" max="2569" width="29.85546875" bestFit="1" customWidth="1"/>
    <col min="2571" max="2571" width="15.28515625" bestFit="1" customWidth="1"/>
    <col min="2572" max="2572" width="13" bestFit="1" customWidth="1"/>
    <col min="2818" max="2818" width="78.42578125" customWidth="1"/>
    <col min="2819" max="2819" width="17.42578125" customWidth="1"/>
    <col min="2820" max="2820" width="19.5703125" customWidth="1"/>
    <col min="2821" max="2821" width="17.7109375" bestFit="1" customWidth="1"/>
    <col min="2822" max="2822" width="26.140625" customWidth="1"/>
    <col min="2823" max="2823" width="25.7109375" customWidth="1"/>
    <col min="2824" max="2825" width="29.85546875" bestFit="1" customWidth="1"/>
    <col min="2827" max="2827" width="15.28515625" bestFit="1" customWidth="1"/>
    <col min="2828" max="2828" width="13" bestFit="1" customWidth="1"/>
    <col min="3074" max="3074" width="78.42578125" customWidth="1"/>
    <col min="3075" max="3075" width="17.42578125" customWidth="1"/>
    <col min="3076" max="3076" width="19.5703125" customWidth="1"/>
    <col min="3077" max="3077" width="17.7109375" bestFit="1" customWidth="1"/>
    <col min="3078" max="3078" width="26.140625" customWidth="1"/>
    <col min="3079" max="3079" width="25.7109375" customWidth="1"/>
    <col min="3080" max="3081" width="29.85546875" bestFit="1" customWidth="1"/>
    <col min="3083" max="3083" width="15.28515625" bestFit="1" customWidth="1"/>
    <col min="3084" max="3084" width="13" bestFit="1" customWidth="1"/>
    <col min="3330" max="3330" width="78.42578125" customWidth="1"/>
    <col min="3331" max="3331" width="17.42578125" customWidth="1"/>
    <col min="3332" max="3332" width="19.5703125" customWidth="1"/>
    <col min="3333" max="3333" width="17.7109375" bestFit="1" customWidth="1"/>
    <col min="3334" max="3334" width="26.140625" customWidth="1"/>
    <col min="3335" max="3335" width="25.7109375" customWidth="1"/>
    <col min="3336" max="3337" width="29.85546875" bestFit="1" customWidth="1"/>
    <col min="3339" max="3339" width="15.28515625" bestFit="1" customWidth="1"/>
    <col min="3340" max="3340" width="13" bestFit="1" customWidth="1"/>
    <col min="3586" max="3586" width="78.42578125" customWidth="1"/>
    <col min="3587" max="3587" width="17.42578125" customWidth="1"/>
    <col min="3588" max="3588" width="19.5703125" customWidth="1"/>
    <col min="3589" max="3589" width="17.7109375" bestFit="1" customWidth="1"/>
    <col min="3590" max="3590" width="26.140625" customWidth="1"/>
    <col min="3591" max="3591" width="25.7109375" customWidth="1"/>
    <col min="3592" max="3593" width="29.85546875" bestFit="1" customWidth="1"/>
    <col min="3595" max="3595" width="15.28515625" bestFit="1" customWidth="1"/>
    <col min="3596" max="3596" width="13" bestFit="1" customWidth="1"/>
    <col min="3842" max="3842" width="78.42578125" customWidth="1"/>
    <col min="3843" max="3843" width="17.42578125" customWidth="1"/>
    <col min="3844" max="3844" width="19.5703125" customWidth="1"/>
    <col min="3845" max="3845" width="17.7109375" bestFit="1" customWidth="1"/>
    <col min="3846" max="3846" width="26.140625" customWidth="1"/>
    <col min="3847" max="3847" width="25.7109375" customWidth="1"/>
    <col min="3848" max="3849" width="29.85546875" bestFit="1" customWidth="1"/>
    <col min="3851" max="3851" width="15.28515625" bestFit="1" customWidth="1"/>
    <col min="3852" max="3852" width="13" bestFit="1" customWidth="1"/>
    <col min="4098" max="4098" width="78.42578125" customWidth="1"/>
    <col min="4099" max="4099" width="17.42578125" customWidth="1"/>
    <col min="4100" max="4100" width="19.5703125" customWidth="1"/>
    <col min="4101" max="4101" width="17.7109375" bestFit="1" customWidth="1"/>
    <col min="4102" max="4102" width="26.140625" customWidth="1"/>
    <col min="4103" max="4103" width="25.7109375" customWidth="1"/>
    <col min="4104" max="4105" width="29.85546875" bestFit="1" customWidth="1"/>
    <col min="4107" max="4107" width="15.28515625" bestFit="1" customWidth="1"/>
    <col min="4108" max="4108" width="13" bestFit="1" customWidth="1"/>
    <col min="4354" max="4354" width="78.42578125" customWidth="1"/>
    <col min="4355" max="4355" width="17.42578125" customWidth="1"/>
    <col min="4356" max="4356" width="19.5703125" customWidth="1"/>
    <col min="4357" max="4357" width="17.7109375" bestFit="1" customWidth="1"/>
    <col min="4358" max="4358" width="26.140625" customWidth="1"/>
    <col min="4359" max="4359" width="25.7109375" customWidth="1"/>
    <col min="4360" max="4361" width="29.85546875" bestFit="1" customWidth="1"/>
    <col min="4363" max="4363" width="15.28515625" bestFit="1" customWidth="1"/>
    <col min="4364" max="4364" width="13" bestFit="1" customWidth="1"/>
    <col min="4610" max="4610" width="78.42578125" customWidth="1"/>
    <col min="4611" max="4611" width="17.42578125" customWidth="1"/>
    <col min="4612" max="4612" width="19.5703125" customWidth="1"/>
    <col min="4613" max="4613" width="17.7109375" bestFit="1" customWidth="1"/>
    <col min="4614" max="4614" width="26.140625" customWidth="1"/>
    <col min="4615" max="4615" width="25.7109375" customWidth="1"/>
    <col min="4616" max="4617" width="29.85546875" bestFit="1" customWidth="1"/>
    <col min="4619" max="4619" width="15.28515625" bestFit="1" customWidth="1"/>
    <col min="4620" max="4620" width="13" bestFit="1" customWidth="1"/>
    <col min="4866" max="4866" width="78.42578125" customWidth="1"/>
    <col min="4867" max="4867" width="17.42578125" customWidth="1"/>
    <col min="4868" max="4868" width="19.5703125" customWidth="1"/>
    <col min="4869" max="4869" width="17.7109375" bestFit="1" customWidth="1"/>
    <col min="4870" max="4870" width="26.140625" customWidth="1"/>
    <col min="4871" max="4871" width="25.7109375" customWidth="1"/>
    <col min="4872" max="4873" width="29.85546875" bestFit="1" customWidth="1"/>
    <col min="4875" max="4875" width="15.28515625" bestFit="1" customWidth="1"/>
    <col min="4876" max="4876" width="13" bestFit="1" customWidth="1"/>
    <col min="5122" max="5122" width="78.42578125" customWidth="1"/>
    <col min="5123" max="5123" width="17.42578125" customWidth="1"/>
    <col min="5124" max="5124" width="19.5703125" customWidth="1"/>
    <col min="5125" max="5125" width="17.7109375" bestFit="1" customWidth="1"/>
    <col min="5126" max="5126" width="26.140625" customWidth="1"/>
    <col min="5127" max="5127" width="25.7109375" customWidth="1"/>
    <col min="5128" max="5129" width="29.85546875" bestFit="1" customWidth="1"/>
    <col min="5131" max="5131" width="15.28515625" bestFit="1" customWidth="1"/>
    <col min="5132" max="5132" width="13" bestFit="1" customWidth="1"/>
    <col min="5378" max="5378" width="78.42578125" customWidth="1"/>
    <col min="5379" max="5379" width="17.42578125" customWidth="1"/>
    <col min="5380" max="5380" width="19.5703125" customWidth="1"/>
    <col min="5381" max="5381" width="17.7109375" bestFit="1" customWidth="1"/>
    <col min="5382" max="5382" width="26.140625" customWidth="1"/>
    <col min="5383" max="5383" width="25.7109375" customWidth="1"/>
    <col min="5384" max="5385" width="29.85546875" bestFit="1" customWidth="1"/>
    <col min="5387" max="5387" width="15.28515625" bestFit="1" customWidth="1"/>
    <col min="5388" max="5388" width="13" bestFit="1" customWidth="1"/>
    <col min="5634" max="5634" width="78.42578125" customWidth="1"/>
    <col min="5635" max="5635" width="17.42578125" customWidth="1"/>
    <col min="5636" max="5636" width="19.5703125" customWidth="1"/>
    <col min="5637" max="5637" width="17.7109375" bestFit="1" customWidth="1"/>
    <col min="5638" max="5638" width="26.140625" customWidth="1"/>
    <col min="5639" max="5639" width="25.7109375" customWidth="1"/>
    <col min="5640" max="5641" width="29.85546875" bestFit="1" customWidth="1"/>
    <col min="5643" max="5643" width="15.28515625" bestFit="1" customWidth="1"/>
    <col min="5644" max="5644" width="13" bestFit="1" customWidth="1"/>
    <col min="5890" max="5890" width="78.42578125" customWidth="1"/>
    <col min="5891" max="5891" width="17.42578125" customWidth="1"/>
    <col min="5892" max="5892" width="19.5703125" customWidth="1"/>
    <col min="5893" max="5893" width="17.7109375" bestFit="1" customWidth="1"/>
    <col min="5894" max="5894" width="26.140625" customWidth="1"/>
    <col min="5895" max="5895" width="25.7109375" customWidth="1"/>
    <col min="5896" max="5897" width="29.85546875" bestFit="1" customWidth="1"/>
    <col min="5899" max="5899" width="15.28515625" bestFit="1" customWidth="1"/>
    <col min="5900" max="5900" width="13" bestFit="1" customWidth="1"/>
    <col min="6146" max="6146" width="78.42578125" customWidth="1"/>
    <col min="6147" max="6147" width="17.42578125" customWidth="1"/>
    <col min="6148" max="6148" width="19.5703125" customWidth="1"/>
    <col min="6149" max="6149" width="17.7109375" bestFit="1" customWidth="1"/>
    <col min="6150" max="6150" width="26.140625" customWidth="1"/>
    <col min="6151" max="6151" width="25.7109375" customWidth="1"/>
    <col min="6152" max="6153" width="29.85546875" bestFit="1" customWidth="1"/>
    <col min="6155" max="6155" width="15.28515625" bestFit="1" customWidth="1"/>
    <col min="6156" max="6156" width="13" bestFit="1" customWidth="1"/>
    <col min="6402" max="6402" width="78.42578125" customWidth="1"/>
    <col min="6403" max="6403" width="17.42578125" customWidth="1"/>
    <col min="6404" max="6404" width="19.5703125" customWidth="1"/>
    <col min="6405" max="6405" width="17.7109375" bestFit="1" customWidth="1"/>
    <col min="6406" max="6406" width="26.140625" customWidth="1"/>
    <col min="6407" max="6407" width="25.7109375" customWidth="1"/>
    <col min="6408" max="6409" width="29.85546875" bestFit="1" customWidth="1"/>
    <col min="6411" max="6411" width="15.28515625" bestFit="1" customWidth="1"/>
    <col min="6412" max="6412" width="13" bestFit="1" customWidth="1"/>
    <col min="6658" max="6658" width="78.42578125" customWidth="1"/>
    <col min="6659" max="6659" width="17.42578125" customWidth="1"/>
    <col min="6660" max="6660" width="19.5703125" customWidth="1"/>
    <col min="6661" max="6661" width="17.7109375" bestFit="1" customWidth="1"/>
    <col min="6662" max="6662" width="26.140625" customWidth="1"/>
    <col min="6663" max="6663" width="25.7109375" customWidth="1"/>
    <col min="6664" max="6665" width="29.85546875" bestFit="1" customWidth="1"/>
    <col min="6667" max="6667" width="15.28515625" bestFit="1" customWidth="1"/>
    <col min="6668" max="6668" width="13" bestFit="1" customWidth="1"/>
    <col min="6914" max="6914" width="78.42578125" customWidth="1"/>
    <col min="6915" max="6915" width="17.42578125" customWidth="1"/>
    <col min="6916" max="6916" width="19.5703125" customWidth="1"/>
    <col min="6917" max="6917" width="17.7109375" bestFit="1" customWidth="1"/>
    <col min="6918" max="6918" width="26.140625" customWidth="1"/>
    <col min="6919" max="6919" width="25.7109375" customWidth="1"/>
    <col min="6920" max="6921" width="29.85546875" bestFit="1" customWidth="1"/>
    <col min="6923" max="6923" width="15.28515625" bestFit="1" customWidth="1"/>
    <col min="6924" max="6924" width="13" bestFit="1" customWidth="1"/>
    <col min="7170" max="7170" width="78.42578125" customWidth="1"/>
    <col min="7171" max="7171" width="17.42578125" customWidth="1"/>
    <col min="7172" max="7172" width="19.5703125" customWidth="1"/>
    <col min="7173" max="7173" width="17.7109375" bestFit="1" customWidth="1"/>
    <col min="7174" max="7174" width="26.140625" customWidth="1"/>
    <col min="7175" max="7175" width="25.7109375" customWidth="1"/>
    <col min="7176" max="7177" width="29.85546875" bestFit="1" customWidth="1"/>
    <col min="7179" max="7179" width="15.28515625" bestFit="1" customWidth="1"/>
    <col min="7180" max="7180" width="13" bestFit="1" customWidth="1"/>
    <col min="7426" max="7426" width="78.42578125" customWidth="1"/>
    <col min="7427" max="7427" width="17.42578125" customWidth="1"/>
    <col min="7428" max="7428" width="19.5703125" customWidth="1"/>
    <col min="7429" max="7429" width="17.7109375" bestFit="1" customWidth="1"/>
    <col min="7430" max="7430" width="26.140625" customWidth="1"/>
    <col min="7431" max="7431" width="25.7109375" customWidth="1"/>
    <col min="7432" max="7433" width="29.85546875" bestFit="1" customWidth="1"/>
    <col min="7435" max="7435" width="15.28515625" bestFit="1" customWidth="1"/>
    <col min="7436" max="7436" width="13" bestFit="1" customWidth="1"/>
    <col min="7682" max="7682" width="78.42578125" customWidth="1"/>
    <col min="7683" max="7683" width="17.42578125" customWidth="1"/>
    <col min="7684" max="7684" width="19.5703125" customWidth="1"/>
    <col min="7685" max="7685" width="17.7109375" bestFit="1" customWidth="1"/>
    <col min="7686" max="7686" width="26.140625" customWidth="1"/>
    <col min="7687" max="7687" width="25.7109375" customWidth="1"/>
    <col min="7688" max="7689" width="29.85546875" bestFit="1" customWidth="1"/>
    <col min="7691" max="7691" width="15.28515625" bestFit="1" customWidth="1"/>
    <col min="7692" max="7692" width="13" bestFit="1" customWidth="1"/>
    <col min="7938" max="7938" width="78.42578125" customWidth="1"/>
    <col min="7939" max="7939" width="17.42578125" customWidth="1"/>
    <col min="7940" max="7940" width="19.5703125" customWidth="1"/>
    <col min="7941" max="7941" width="17.7109375" bestFit="1" customWidth="1"/>
    <col min="7942" max="7942" width="26.140625" customWidth="1"/>
    <col min="7943" max="7943" width="25.7109375" customWidth="1"/>
    <col min="7944" max="7945" width="29.85546875" bestFit="1" customWidth="1"/>
    <col min="7947" max="7947" width="15.28515625" bestFit="1" customWidth="1"/>
    <col min="7948" max="7948" width="13" bestFit="1" customWidth="1"/>
    <col min="8194" max="8194" width="78.42578125" customWidth="1"/>
    <col min="8195" max="8195" width="17.42578125" customWidth="1"/>
    <col min="8196" max="8196" width="19.5703125" customWidth="1"/>
    <col min="8197" max="8197" width="17.7109375" bestFit="1" customWidth="1"/>
    <col min="8198" max="8198" width="26.140625" customWidth="1"/>
    <col min="8199" max="8199" width="25.7109375" customWidth="1"/>
    <col min="8200" max="8201" width="29.85546875" bestFit="1" customWidth="1"/>
    <col min="8203" max="8203" width="15.28515625" bestFit="1" customWidth="1"/>
    <col min="8204" max="8204" width="13" bestFit="1" customWidth="1"/>
    <col min="8450" max="8450" width="78.42578125" customWidth="1"/>
    <col min="8451" max="8451" width="17.42578125" customWidth="1"/>
    <col min="8452" max="8452" width="19.5703125" customWidth="1"/>
    <col min="8453" max="8453" width="17.7109375" bestFit="1" customWidth="1"/>
    <col min="8454" max="8454" width="26.140625" customWidth="1"/>
    <col min="8455" max="8455" width="25.7109375" customWidth="1"/>
    <col min="8456" max="8457" width="29.85546875" bestFit="1" customWidth="1"/>
    <col min="8459" max="8459" width="15.28515625" bestFit="1" customWidth="1"/>
    <col min="8460" max="8460" width="13" bestFit="1" customWidth="1"/>
    <col min="8706" max="8706" width="78.42578125" customWidth="1"/>
    <col min="8707" max="8707" width="17.42578125" customWidth="1"/>
    <col min="8708" max="8708" width="19.5703125" customWidth="1"/>
    <col min="8709" max="8709" width="17.7109375" bestFit="1" customWidth="1"/>
    <col min="8710" max="8710" width="26.140625" customWidth="1"/>
    <col min="8711" max="8711" width="25.7109375" customWidth="1"/>
    <col min="8712" max="8713" width="29.85546875" bestFit="1" customWidth="1"/>
    <col min="8715" max="8715" width="15.28515625" bestFit="1" customWidth="1"/>
    <col min="8716" max="8716" width="13" bestFit="1" customWidth="1"/>
    <col min="8962" max="8962" width="78.42578125" customWidth="1"/>
    <col min="8963" max="8963" width="17.42578125" customWidth="1"/>
    <col min="8964" max="8964" width="19.5703125" customWidth="1"/>
    <col min="8965" max="8965" width="17.7109375" bestFit="1" customWidth="1"/>
    <col min="8966" max="8966" width="26.140625" customWidth="1"/>
    <col min="8967" max="8967" width="25.7109375" customWidth="1"/>
    <col min="8968" max="8969" width="29.85546875" bestFit="1" customWidth="1"/>
    <col min="8971" max="8971" width="15.28515625" bestFit="1" customWidth="1"/>
    <col min="8972" max="8972" width="13" bestFit="1" customWidth="1"/>
    <col min="9218" max="9218" width="78.42578125" customWidth="1"/>
    <col min="9219" max="9219" width="17.42578125" customWidth="1"/>
    <col min="9220" max="9220" width="19.5703125" customWidth="1"/>
    <col min="9221" max="9221" width="17.7109375" bestFit="1" customWidth="1"/>
    <col min="9222" max="9222" width="26.140625" customWidth="1"/>
    <col min="9223" max="9223" width="25.7109375" customWidth="1"/>
    <col min="9224" max="9225" width="29.85546875" bestFit="1" customWidth="1"/>
    <col min="9227" max="9227" width="15.28515625" bestFit="1" customWidth="1"/>
    <col min="9228" max="9228" width="13" bestFit="1" customWidth="1"/>
    <col min="9474" max="9474" width="78.42578125" customWidth="1"/>
    <col min="9475" max="9475" width="17.42578125" customWidth="1"/>
    <col min="9476" max="9476" width="19.5703125" customWidth="1"/>
    <col min="9477" max="9477" width="17.7109375" bestFit="1" customWidth="1"/>
    <col min="9478" max="9478" width="26.140625" customWidth="1"/>
    <col min="9479" max="9479" width="25.7109375" customWidth="1"/>
    <col min="9480" max="9481" width="29.85546875" bestFit="1" customWidth="1"/>
    <col min="9483" max="9483" width="15.28515625" bestFit="1" customWidth="1"/>
    <col min="9484" max="9484" width="13" bestFit="1" customWidth="1"/>
    <col min="9730" max="9730" width="78.42578125" customWidth="1"/>
    <col min="9731" max="9731" width="17.42578125" customWidth="1"/>
    <col min="9732" max="9732" width="19.5703125" customWidth="1"/>
    <col min="9733" max="9733" width="17.7109375" bestFit="1" customWidth="1"/>
    <col min="9734" max="9734" width="26.140625" customWidth="1"/>
    <col min="9735" max="9735" width="25.7109375" customWidth="1"/>
    <col min="9736" max="9737" width="29.85546875" bestFit="1" customWidth="1"/>
    <col min="9739" max="9739" width="15.28515625" bestFit="1" customWidth="1"/>
    <col min="9740" max="9740" width="13" bestFit="1" customWidth="1"/>
    <col min="9986" max="9986" width="78.42578125" customWidth="1"/>
    <col min="9987" max="9987" width="17.42578125" customWidth="1"/>
    <col min="9988" max="9988" width="19.5703125" customWidth="1"/>
    <col min="9989" max="9989" width="17.7109375" bestFit="1" customWidth="1"/>
    <col min="9990" max="9990" width="26.140625" customWidth="1"/>
    <col min="9991" max="9991" width="25.7109375" customWidth="1"/>
    <col min="9992" max="9993" width="29.85546875" bestFit="1" customWidth="1"/>
    <col min="9995" max="9995" width="15.28515625" bestFit="1" customWidth="1"/>
    <col min="9996" max="9996" width="13" bestFit="1" customWidth="1"/>
    <col min="10242" max="10242" width="78.42578125" customWidth="1"/>
    <col min="10243" max="10243" width="17.42578125" customWidth="1"/>
    <col min="10244" max="10244" width="19.5703125" customWidth="1"/>
    <col min="10245" max="10245" width="17.7109375" bestFit="1" customWidth="1"/>
    <col min="10246" max="10246" width="26.140625" customWidth="1"/>
    <col min="10247" max="10247" width="25.7109375" customWidth="1"/>
    <col min="10248" max="10249" width="29.85546875" bestFit="1" customWidth="1"/>
    <col min="10251" max="10251" width="15.28515625" bestFit="1" customWidth="1"/>
    <col min="10252" max="10252" width="13" bestFit="1" customWidth="1"/>
    <col min="10498" max="10498" width="78.42578125" customWidth="1"/>
    <col min="10499" max="10499" width="17.42578125" customWidth="1"/>
    <col min="10500" max="10500" width="19.5703125" customWidth="1"/>
    <col min="10501" max="10501" width="17.7109375" bestFit="1" customWidth="1"/>
    <col min="10502" max="10502" width="26.140625" customWidth="1"/>
    <col min="10503" max="10503" width="25.7109375" customWidth="1"/>
    <col min="10504" max="10505" width="29.85546875" bestFit="1" customWidth="1"/>
    <col min="10507" max="10507" width="15.28515625" bestFit="1" customWidth="1"/>
    <col min="10508" max="10508" width="13" bestFit="1" customWidth="1"/>
    <col min="10754" max="10754" width="78.42578125" customWidth="1"/>
    <col min="10755" max="10755" width="17.42578125" customWidth="1"/>
    <col min="10756" max="10756" width="19.5703125" customWidth="1"/>
    <col min="10757" max="10757" width="17.7109375" bestFit="1" customWidth="1"/>
    <col min="10758" max="10758" width="26.140625" customWidth="1"/>
    <col min="10759" max="10759" width="25.7109375" customWidth="1"/>
    <col min="10760" max="10761" width="29.85546875" bestFit="1" customWidth="1"/>
    <col min="10763" max="10763" width="15.28515625" bestFit="1" customWidth="1"/>
    <col min="10764" max="10764" width="13" bestFit="1" customWidth="1"/>
    <col min="11010" max="11010" width="78.42578125" customWidth="1"/>
    <col min="11011" max="11011" width="17.42578125" customWidth="1"/>
    <col min="11012" max="11012" width="19.5703125" customWidth="1"/>
    <col min="11013" max="11013" width="17.7109375" bestFit="1" customWidth="1"/>
    <col min="11014" max="11014" width="26.140625" customWidth="1"/>
    <col min="11015" max="11015" width="25.7109375" customWidth="1"/>
    <col min="11016" max="11017" width="29.85546875" bestFit="1" customWidth="1"/>
    <col min="11019" max="11019" width="15.28515625" bestFit="1" customWidth="1"/>
    <col min="11020" max="11020" width="13" bestFit="1" customWidth="1"/>
    <col min="11266" max="11266" width="78.42578125" customWidth="1"/>
    <col min="11267" max="11267" width="17.42578125" customWidth="1"/>
    <col min="11268" max="11268" width="19.5703125" customWidth="1"/>
    <col min="11269" max="11269" width="17.7109375" bestFit="1" customWidth="1"/>
    <col min="11270" max="11270" width="26.140625" customWidth="1"/>
    <col min="11271" max="11271" width="25.7109375" customWidth="1"/>
    <col min="11272" max="11273" width="29.85546875" bestFit="1" customWidth="1"/>
    <col min="11275" max="11275" width="15.28515625" bestFit="1" customWidth="1"/>
    <col min="11276" max="11276" width="13" bestFit="1" customWidth="1"/>
    <col min="11522" max="11522" width="78.42578125" customWidth="1"/>
    <col min="11523" max="11523" width="17.42578125" customWidth="1"/>
    <col min="11524" max="11524" width="19.5703125" customWidth="1"/>
    <col min="11525" max="11525" width="17.7109375" bestFit="1" customWidth="1"/>
    <col min="11526" max="11526" width="26.140625" customWidth="1"/>
    <col min="11527" max="11527" width="25.7109375" customWidth="1"/>
    <col min="11528" max="11529" width="29.85546875" bestFit="1" customWidth="1"/>
    <col min="11531" max="11531" width="15.28515625" bestFit="1" customWidth="1"/>
    <col min="11532" max="11532" width="13" bestFit="1" customWidth="1"/>
    <col min="11778" max="11778" width="78.42578125" customWidth="1"/>
    <col min="11779" max="11779" width="17.42578125" customWidth="1"/>
    <col min="11780" max="11780" width="19.5703125" customWidth="1"/>
    <col min="11781" max="11781" width="17.7109375" bestFit="1" customWidth="1"/>
    <col min="11782" max="11782" width="26.140625" customWidth="1"/>
    <col min="11783" max="11783" width="25.7109375" customWidth="1"/>
    <col min="11784" max="11785" width="29.85546875" bestFit="1" customWidth="1"/>
    <col min="11787" max="11787" width="15.28515625" bestFit="1" customWidth="1"/>
    <col min="11788" max="11788" width="13" bestFit="1" customWidth="1"/>
    <col min="12034" max="12034" width="78.42578125" customWidth="1"/>
    <col min="12035" max="12035" width="17.42578125" customWidth="1"/>
    <col min="12036" max="12036" width="19.5703125" customWidth="1"/>
    <col min="12037" max="12037" width="17.7109375" bestFit="1" customWidth="1"/>
    <col min="12038" max="12038" width="26.140625" customWidth="1"/>
    <col min="12039" max="12039" width="25.7109375" customWidth="1"/>
    <col min="12040" max="12041" width="29.85546875" bestFit="1" customWidth="1"/>
    <col min="12043" max="12043" width="15.28515625" bestFit="1" customWidth="1"/>
    <col min="12044" max="12044" width="13" bestFit="1" customWidth="1"/>
    <col min="12290" max="12290" width="78.42578125" customWidth="1"/>
    <col min="12291" max="12291" width="17.42578125" customWidth="1"/>
    <col min="12292" max="12292" width="19.5703125" customWidth="1"/>
    <col min="12293" max="12293" width="17.7109375" bestFit="1" customWidth="1"/>
    <col min="12294" max="12294" width="26.140625" customWidth="1"/>
    <col min="12295" max="12295" width="25.7109375" customWidth="1"/>
    <col min="12296" max="12297" width="29.85546875" bestFit="1" customWidth="1"/>
    <col min="12299" max="12299" width="15.28515625" bestFit="1" customWidth="1"/>
    <col min="12300" max="12300" width="13" bestFit="1" customWidth="1"/>
    <col min="12546" max="12546" width="78.42578125" customWidth="1"/>
    <col min="12547" max="12547" width="17.42578125" customWidth="1"/>
    <col min="12548" max="12548" width="19.5703125" customWidth="1"/>
    <col min="12549" max="12549" width="17.7109375" bestFit="1" customWidth="1"/>
    <col min="12550" max="12550" width="26.140625" customWidth="1"/>
    <col min="12551" max="12551" width="25.7109375" customWidth="1"/>
    <col min="12552" max="12553" width="29.85546875" bestFit="1" customWidth="1"/>
    <col min="12555" max="12555" width="15.28515625" bestFit="1" customWidth="1"/>
    <col min="12556" max="12556" width="13" bestFit="1" customWidth="1"/>
    <col min="12802" max="12802" width="78.42578125" customWidth="1"/>
    <col min="12803" max="12803" width="17.42578125" customWidth="1"/>
    <col min="12804" max="12804" width="19.5703125" customWidth="1"/>
    <col min="12805" max="12805" width="17.7109375" bestFit="1" customWidth="1"/>
    <col min="12806" max="12806" width="26.140625" customWidth="1"/>
    <col min="12807" max="12807" width="25.7109375" customWidth="1"/>
    <col min="12808" max="12809" width="29.85546875" bestFit="1" customWidth="1"/>
    <col min="12811" max="12811" width="15.28515625" bestFit="1" customWidth="1"/>
    <col min="12812" max="12812" width="13" bestFit="1" customWidth="1"/>
    <col min="13058" max="13058" width="78.42578125" customWidth="1"/>
    <col min="13059" max="13059" width="17.42578125" customWidth="1"/>
    <col min="13060" max="13060" width="19.5703125" customWidth="1"/>
    <col min="13061" max="13061" width="17.7109375" bestFit="1" customWidth="1"/>
    <col min="13062" max="13062" width="26.140625" customWidth="1"/>
    <col min="13063" max="13063" width="25.7109375" customWidth="1"/>
    <col min="13064" max="13065" width="29.85546875" bestFit="1" customWidth="1"/>
    <col min="13067" max="13067" width="15.28515625" bestFit="1" customWidth="1"/>
    <col min="13068" max="13068" width="13" bestFit="1" customWidth="1"/>
    <col min="13314" max="13314" width="78.42578125" customWidth="1"/>
    <col min="13315" max="13315" width="17.42578125" customWidth="1"/>
    <col min="13316" max="13316" width="19.5703125" customWidth="1"/>
    <col min="13317" max="13317" width="17.7109375" bestFit="1" customWidth="1"/>
    <col min="13318" max="13318" width="26.140625" customWidth="1"/>
    <col min="13319" max="13319" width="25.7109375" customWidth="1"/>
    <col min="13320" max="13321" width="29.85546875" bestFit="1" customWidth="1"/>
    <col min="13323" max="13323" width="15.28515625" bestFit="1" customWidth="1"/>
    <col min="13324" max="13324" width="13" bestFit="1" customWidth="1"/>
    <col min="13570" max="13570" width="78.42578125" customWidth="1"/>
    <col min="13571" max="13571" width="17.42578125" customWidth="1"/>
    <col min="13572" max="13572" width="19.5703125" customWidth="1"/>
    <col min="13573" max="13573" width="17.7109375" bestFit="1" customWidth="1"/>
    <col min="13574" max="13574" width="26.140625" customWidth="1"/>
    <col min="13575" max="13575" width="25.7109375" customWidth="1"/>
    <col min="13576" max="13577" width="29.85546875" bestFit="1" customWidth="1"/>
    <col min="13579" max="13579" width="15.28515625" bestFit="1" customWidth="1"/>
    <col min="13580" max="13580" width="13" bestFit="1" customWidth="1"/>
    <col min="13826" max="13826" width="78.42578125" customWidth="1"/>
    <col min="13827" max="13827" width="17.42578125" customWidth="1"/>
    <col min="13828" max="13828" width="19.5703125" customWidth="1"/>
    <col min="13829" max="13829" width="17.7109375" bestFit="1" customWidth="1"/>
    <col min="13830" max="13830" width="26.140625" customWidth="1"/>
    <col min="13831" max="13831" width="25.7109375" customWidth="1"/>
    <col min="13832" max="13833" width="29.85546875" bestFit="1" customWidth="1"/>
    <col min="13835" max="13835" width="15.28515625" bestFit="1" customWidth="1"/>
    <col min="13836" max="13836" width="13" bestFit="1" customWidth="1"/>
    <col min="14082" max="14082" width="78.42578125" customWidth="1"/>
    <col min="14083" max="14083" width="17.42578125" customWidth="1"/>
    <col min="14084" max="14084" width="19.5703125" customWidth="1"/>
    <col min="14085" max="14085" width="17.7109375" bestFit="1" customWidth="1"/>
    <col min="14086" max="14086" width="26.140625" customWidth="1"/>
    <col min="14087" max="14087" width="25.7109375" customWidth="1"/>
    <col min="14088" max="14089" width="29.85546875" bestFit="1" customWidth="1"/>
    <col min="14091" max="14091" width="15.28515625" bestFit="1" customWidth="1"/>
    <col min="14092" max="14092" width="13" bestFit="1" customWidth="1"/>
    <col min="14338" max="14338" width="78.42578125" customWidth="1"/>
    <col min="14339" max="14339" width="17.42578125" customWidth="1"/>
    <col min="14340" max="14340" width="19.5703125" customWidth="1"/>
    <col min="14341" max="14341" width="17.7109375" bestFit="1" customWidth="1"/>
    <col min="14342" max="14342" width="26.140625" customWidth="1"/>
    <col min="14343" max="14343" width="25.7109375" customWidth="1"/>
    <col min="14344" max="14345" width="29.85546875" bestFit="1" customWidth="1"/>
    <col min="14347" max="14347" width="15.28515625" bestFit="1" customWidth="1"/>
    <col min="14348" max="14348" width="13" bestFit="1" customWidth="1"/>
    <col min="14594" max="14594" width="78.42578125" customWidth="1"/>
    <col min="14595" max="14595" width="17.42578125" customWidth="1"/>
    <col min="14596" max="14596" width="19.5703125" customWidth="1"/>
    <col min="14597" max="14597" width="17.7109375" bestFit="1" customWidth="1"/>
    <col min="14598" max="14598" width="26.140625" customWidth="1"/>
    <col min="14599" max="14599" width="25.7109375" customWidth="1"/>
    <col min="14600" max="14601" width="29.85546875" bestFit="1" customWidth="1"/>
    <col min="14603" max="14603" width="15.28515625" bestFit="1" customWidth="1"/>
    <col min="14604" max="14604" width="13" bestFit="1" customWidth="1"/>
    <col min="14850" max="14850" width="78.42578125" customWidth="1"/>
    <col min="14851" max="14851" width="17.42578125" customWidth="1"/>
    <col min="14852" max="14852" width="19.5703125" customWidth="1"/>
    <col min="14853" max="14853" width="17.7109375" bestFit="1" customWidth="1"/>
    <col min="14854" max="14854" width="26.140625" customWidth="1"/>
    <col min="14855" max="14855" width="25.7109375" customWidth="1"/>
    <col min="14856" max="14857" width="29.85546875" bestFit="1" customWidth="1"/>
    <col min="14859" max="14859" width="15.28515625" bestFit="1" customWidth="1"/>
    <col min="14860" max="14860" width="13" bestFit="1" customWidth="1"/>
    <col min="15106" max="15106" width="78.42578125" customWidth="1"/>
    <col min="15107" max="15107" width="17.42578125" customWidth="1"/>
    <col min="15108" max="15108" width="19.5703125" customWidth="1"/>
    <col min="15109" max="15109" width="17.7109375" bestFit="1" customWidth="1"/>
    <col min="15110" max="15110" width="26.140625" customWidth="1"/>
    <col min="15111" max="15111" width="25.7109375" customWidth="1"/>
    <col min="15112" max="15113" width="29.85546875" bestFit="1" customWidth="1"/>
    <col min="15115" max="15115" width="15.28515625" bestFit="1" customWidth="1"/>
    <col min="15116" max="15116" width="13" bestFit="1" customWidth="1"/>
    <col min="15362" max="15362" width="78.42578125" customWidth="1"/>
    <col min="15363" max="15363" width="17.42578125" customWidth="1"/>
    <col min="15364" max="15364" width="19.5703125" customWidth="1"/>
    <col min="15365" max="15365" width="17.7109375" bestFit="1" customWidth="1"/>
    <col min="15366" max="15366" width="26.140625" customWidth="1"/>
    <col min="15367" max="15367" width="25.7109375" customWidth="1"/>
    <col min="15368" max="15369" width="29.85546875" bestFit="1" customWidth="1"/>
    <col min="15371" max="15371" width="15.28515625" bestFit="1" customWidth="1"/>
    <col min="15372" max="15372" width="13" bestFit="1" customWidth="1"/>
    <col min="15618" max="15618" width="78.42578125" customWidth="1"/>
    <col min="15619" max="15619" width="17.42578125" customWidth="1"/>
    <col min="15620" max="15620" width="19.5703125" customWidth="1"/>
    <col min="15621" max="15621" width="17.7109375" bestFit="1" customWidth="1"/>
    <col min="15622" max="15622" width="26.140625" customWidth="1"/>
    <col min="15623" max="15623" width="25.7109375" customWidth="1"/>
    <col min="15624" max="15625" width="29.85546875" bestFit="1" customWidth="1"/>
    <col min="15627" max="15627" width="15.28515625" bestFit="1" customWidth="1"/>
    <col min="15628" max="15628" width="13" bestFit="1" customWidth="1"/>
    <col min="15874" max="15874" width="78.42578125" customWidth="1"/>
    <col min="15875" max="15875" width="17.42578125" customWidth="1"/>
    <col min="15876" max="15876" width="19.5703125" customWidth="1"/>
    <col min="15877" max="15877" width="17.7109375" bestFit="1" customWidth="1"/>
    <col min="15878" max="15878" width="26.140625" customWidth="1"/>
    <col min="15879" max="15879" width="25.7109375" customWidth="1"/>
    <col min="15880" max="15881" width="29.85546875" bestFit="1" customWidth="1"/>
    <col min="15883" max="15883" width="15.28515625" bestFit="1" customWidth="1"/>
    <col min="15884" max="15884" width="13" bestFit="1" customWidth="1"/>
    <col min="16130" max="16130" width="78.42578125" customWidth="1"/>
    <col min="16131" max="16131" width="17.42578125" customWidth="1"/>
    <col min="16132" max="16132" width="19.5703125" customWidth="1"/>
    <col min="16133" max="16133" width="17.7109375" bestFit="1" customWidth="1"/>
    <col min="16134" max="16134" width="26.140625" customWidth="1"/>
    <col min="16135" max="16135" width="25.7109375" customWidth="1"/>
    <col min="16136" max="16137" width="29.85546875" bestFit="1" customWidth="1"/>
    <col min="16139" max="16139" width="15.28515625" bestFit="1" customWidth="1"/>
    <col min="16140" max="16140" width="13" bestFit="1" customWidth="1"/>
  </cols>
  <sheetData>
    <row r="1" spans="1:9" ht="71.25" customHeight="1" thickTop="1" thickBot="1">
      <c r="A1" s="664" t="s">
        <v>2045</v>
      </c>
      <c r="B1" s="664" t="s">
        <v>2199</v>
      </c>
      <c r="C1" s="665" t="s">
        <v>2200</v>
      </c>
      <c r="D1" s="665" t="s">
        <v>2201</v>
      </c>
      <c r="E1" s="666" t="s">
        <v>2202</v>
      </c>
      <c r="F1" s="667" t="s">
        <v>2203</v>
      </c>
      <c r="G1" s="666" t="s">
        <v>2204</v>
      </c>
      <c r="H1" s="668" t="s">
        <v>2053</v>
      </c>
      <c r="I1" s="668" t="s">
        <v>2205</v>
      </c>
    </row>
    <row r="2" spans="1:9" ht="34.5" customHeight="1" thickTop="1">
      <c r="A2" s="669">
        <v>1</v>
      </c>
      <c r="B2" s="670" t="s">
        <v>2206</v>
      </c>
      <c r="C2" s="671">
        <v>60</v>
      </c>
      <c r="D2" s="671">
        <f t="shared" ref="D2:D53" si="0">C2*12</f>
        <v>720</v>
      </c>
      <c r="E2" s="672"/>
      <c r="F2" s="673">
        <f>E2*$G$66</f>
        <v>0</v>
      </c>
      <c r="G2" s="674">
        <f>E2+F2</f>
        <v>0</v>
      </c>
      <c r="H2" s="674">
        <f>G2*C2</f>
        <v>0</v>
      </c>
      <c r="I2" s="674">
        <f>H2*12</f>
        <v>0</v>
      </c>
    </row>
    <row r="3" spans="1:9" s="502" customFormat="1" ht="23.25" customHeight="1">
      <c r="A3" s="675">
        <v>2</v>
      </c>
      <c r="B3" s="676" t="s">
        <v>2207</v>
      </c>
      <c r="C3" s="677">
        <v>50</v>
      </c>
      <c r="D3" s="677">
        <f t="shared" si="0"/>
        <v>600</v>
      </c>
      <c r="E3" s="678"/>
      <c r="F3" s="673">
        <f t="shared" ref="F3:F53" si="1">E3*$G$66</f>
        <v>0</v>
      </c>
      <c r="G3" s="674">
        <f t="shared" ref="G3:G53" si="2">E3+F3</f>
        <v>0</v>
      </c>
      <c r="H3" s="674">
        <f t="shared" ref="H3:H53" si="3">G3*C3</f>
        <v>0</v>
      </c>
      <c r="I3" s="674">
        <f t="shared" ref="I3:I52" si="4">H3*12</f>
        <v>0</v>
      </c>
    </row>
    <row r="4" spans="1:9" ht="23.25" customHeight="1">
      <c r="A4" s="679">
        <v>3</v>
      </c>
      <c r="B4" s="680" t="s">
        <v>2208</v>
      </c>
      <c r="C4" s="681">
        <f>30/5</f>
        <v>6</v>
      </c>
      <c r="D4" s="681">
        <f t="shared" si="0"/>
        <v>72</v>
      </c>
      <c r="E4" s="682"/>
      <c r="F4" s="673">
        <f t="shared" si="1"/>
        <v>0</v>
      </c>
      <c r="G4" s="674">
        <f t="shared" si="2"/>
        <v>0</v>
      </c>
      <c r="H4" s="674">
        <f t="shared" si="3"/>
        <v>0</v>
      </c>
      <c r="I4" s="674">
        <f t="shared" si="4"/>
        <v>0</v>
      </c>
    </row>
    <row r="5" spans="1:9" s="502" customFormat="1" ht="23.25" customHeight="1">
      <c r="A5" s="675">
        <v>4</v>
      </c>
      <c r="B5" s="676" t="s">
        <v>2209</v>
      </c>
      <c r="C5" s="677">
        <v>20</v>
      </c>
      <c r="D5" s="683">
        <f t="shared" si="0"/>
        <v>240</v>
      </c>
      <c r="E5" s="678"/>
      <c r="F5" s="673">
        <f t="shared" si="1"/>
        <v>0</v>
      </c>
      <c r="G5" s="674">
        <f t="shared" si="2"/>
        <v>0</v>
      </c>
      <c r="H5" s="674">
        <f t="shared" si="3"/>
        <v>0</v>
      </c>
      <c r="I5" s="674">
        <f t="shared" si="4"/>
        <v>0</v>
      </c>
    </row>
    <row r="6" spans="1:9" ht="23.25" customHeight="1">
      <c r="A6" s="679">
        <v>5</v>
      </c>
      <c r="B6" s="680" t="s">
        <v>2210</v>
      </c>
      <c r="C6" s="681">
        <v>3</v>
      </c>
      <c r="D6" s="681">
        <f t="shared" si="0"/>
        <v>36</v>
      </c>
      <c r="E6" s="682"/>
      <c r="F6" s="673">
        <f t="shared" si="1"/>
        <v>0</v>
      </c>
      <c r="G6" s="674">
        <f t="shared" si="2"/>
        <v>0</v>
      </c>
      <c r="H6" s="674">
        <f t="shared" si="3"/>
        <v>0</v>
      </c>
      <c r="I6" s="674">
        <f t="shared" si="4"/>
        <v>0</v>
      </c>
    </row>
    <row r="7" spans="1:9" s="502" customFormat="1" ht="23.25" customHeight="1">
      <c r="A7" s="675">
        <v>6</v>
      </c>
      <c r="B7" s="676" t="s">
        <v>2211</v>
      </c>
      <c r="C7" s="677">
        <v>3</v>
      </c>
      <c r="D7" s="677">
        <f t="shared" si="0"/>
        <v>36</v>
      </c>
      <c r="E7" s="678"/>
      <c r="F7" s="673">
        <f t="shared" si="1"/>
        <v>0</v>
      </c>
      <c r="G7" s="674">
        <f t="shared" si="2"/>
        <v>0</v>
      </c>
      <c r="H7" s="674">
        <f t="shared" si="3"/>
        <v>0</v>
      </c>
      <c r="I7" s="674">
        <f t="shared" si="4"/>
        <v>0</v>
      </c>
    </row>
    <row r="8" spans="1:9" s="502" customFormat="1" ht="37.5" customHeight="1">
      <c r="A8" s="675">
        <v>8</v>
      </c>
      <c r="B8" s="676" t="s">
        <v>2212</v>
      </c>
      <c r="C8" s="677">
        <v>4</v>
      </c>
      <c r="D8" s="677">
        <f t="shared" si="0"/>
        <v>48</v>
      </c>
      <c r="E8" s="678"/>
      <c r="F8" s="673">
        <f t="shared" si="1"/>
        <v>0</v>
      </c>
      <c r="G8" s="674">
        <f t="shared" si="2"/>
        <v>0</v>
      </c>
      <c r="H8" s="674">
        <f t="shared" si="3"/>
        <v>0</v>
      </c>
      <c r="I8" s="674">
        <f t="shared" si="4"/>
        <v>0</v>
      </c>
    </row>
    <row r="9" spans="1:9" ht="23.25" customHeight="1">
      <c r="A9" s="679">
        <v>9</v>
      </c>
      <c r="B9" s="680" t="s">
        <v>2213</v>
      </c>
      <c r="C9" s="681">
        <v>1</v>
      </c>
      <c r="D9" s="681">
        <f t="shared" si="0"/>
        <v>12</v>
      </c>
      <c r="E9" s="682"/>
      <c r="F9" s="673">
        <f t="shared" si="1"/>
        <v>0</v>
      </c>
      <c r="G9" s="674">
        <f t="shared" si="2"/>
        <v>0</v>
      </c>
      <c r="H9" s="674">
        <f t="shared" si="3"/>
        <v>0</v>
      </c>
      <c r="I9" s="674">
        <f t="shared" si="4"/>
        <v>0</v>
      </c>
    </row>
    <row r="10" spans="1:9" s="502" customFormat="1" ht="23.25" customHeight="1">
      <c r="A10" s="675">
        <v>10</v>
      </c>
      <c r="B10" s="676" t="s">
        <v>2214</v>
      </c>
      <c r="C10" s="677">
        <v>15</v>
      </c>
      <c r="D10" s="677">
        <f t="shared" si="0"/>
        <v>180</v>
      </c>
      <c r="E10" s="678"/>
      <c r="F10" s="673">
        <f t="shared" si="1"/>
        <v>0</v>
      </c>
      <c r="G10" s="674">
        <f t="shared" si="2"/>
        <v>0</v>
      </c>
      <c r="H10" s="674">
        <f t="shared" si="3"/>
        <v>0</v>
      </c>
      <c r="I10" s="674">
        <f t="shared" si="4"/>
        <v>0</v>
      </c>
    </row>
    <row r="11" spans="1:9" ht="37.5" customHeight="1">
      <c r="A11" s="679">
        <v>11</v>
      </c>
      <c r="B11" s="680" t="s">
        <v>2215</v>
      </c>
      <c r="C11" s="684">
        <v>1</v>
      </c>
      <c r="D11" s="681">
        <f t="shared" si="0"/>
        <v>12</v>
      </c>
      <c r="E11" s="682"/>
      <c r="F11" s="673">
        <f t="shared" si="1"/>
        <v>0</v>
      </c>
      <c r="G11" s="674">
        <f t="shared" si="2"/>
        <v>0</v>
      </c>
      <c r="H11" s="674">
        <f t="shared" si="3"/>
        <v>0</v>
      </c>
      <c r="I11" s="674">
        <f t="shared" si="4"/>
        <v>0</v>
      </c>
    </row>
    <row r="12" spans="1:9" s="502" customFormat="1" ht="23.25" customHeight="1">
      <c r="A12" s="675">
        <v>12</v>
      </c>
      <c r="B12" s="676" t="s">
        <v>2216</v>
      </c>
      <c r="C12" s="677">
        <v>24</v>
      </c>
      <c r="D12" s="677">
        <f t="shared" si="0"/>
        <v>288</v>
      </c>
      <c r="E12" s="678"/>
      <c r="F12" s="673">
        <f t="shared" si="1"/>
        <v>0</v>
      </c>
      <c r="G12" s="674">
        <f t="shared" si="2"/>
        <v>0</v>
      </c>
      <c r="H12" s="674">
        <f t="shared" si="3"/>
        <v>0</v>
      </c>
      <c r="I12" s="674">
        <f t="shared" si="4"/>
        <v>0</v>
      </c>
    </row>
    <row r="13" spans="1:9" ht="23.25" customHeight="1">
      <c r="A13" s="679">
        <v>13</v>
      </c>
      <c r="B13" s="680" t="s">
        <v>2217</v>
      </c>
      <c r="C13" s="681">
        <v>12</v>
      </c>
      <c r="D13" s="681">
        <f t="shared" si="0"/>
        <v>144</v>
      </c>
      <c r="E13" s="682"/>
      <c r="F13" s="673">
        <f t="shared" si="1"/>
        <v>0</v>
      </c>
      <c r="G13" s="674">
        <f t="shared" si="2"/>
        <v>0</v>
      </c>
      <c r="H13" s="674">
        <f t="shared" si="3"/>
        <v>0</v>
      </c>
      <c r="I13" s="674">
        <f t="shared" si="4"/>
        <v>0</v>
      </c>
    </row>
    <row r="14" spans="1:9" ht="23.25" customHeight="1">
      <c r="A14" s="679"/>
      <c r="B14" s="680" t="s">
        <v>2218</v>
      </c>
      <c r="C14" s="681">
        <v>74</v>
      </c>
      <c r="D14" s="681"/>
      <c r="E14" s="682"/>
      <c r="F14" s="673">
        <f t="shared" si="1"/>
        <v>0</v>
      </c>
      <c r="G14" s="674">
        <f t="shared" si="2"/>
        <v>0</v>
      </c>
      <c r="H14" s="674">
        <f t="shared" si="3"/>
        <v>0</v>
      </c>
      <c r="I14" s="674">
        <f t="shared" si="4"/>
        <v>0</v>
      </c>
    </row>
    <row r="15" spans="1:9" s="502" customFormat="1" ht="23.25" customHeight="1">
      <c r="A15" s="675">
        <v>14</v>
      </c>
      <c r="B15" s="676" t="s">
        <v>2219</v>
      </c>
      <c r="C15" s="677">
        <v>2</v>
      </c>
      <c r="D15" s="677">
        <f t="shared" si="0"/>
        <v>24</v>
      </c>
      <c r="E15" s="678"/>
      <c r="F15" s="673">
        <f t="shared" si="1"/>
        <v>0</v>
      </c>
      <c r="G15" s="674">
        <f t="shared" si="2"/>
        <v>0</v>
      </c>
      <c r="H15" s="674">
        <f t="shared" si="3"/>
        <v>0</v>
      </c>
      <c r="I15" s="674">
        <f t="shared" si="4"/>
        <v>0</v>
      </c>
    </row>
    <row r="16" spans="1:9" ht="23.25" customHeight="1">
      <c r="A16" s="679">
        <v>15</v>
      </c>
      <c r="B16" s="680" t="s">
        <v>2220</v>
      </c>
      <c r="C16" s="681">
        <v>2</v>
      </c>
      <c r="D16" s="681">
        <f t="shared" si="0"/>
        <v>24</v>
      </c>
      <c r="E16" s="682"/>
      <c r="F16" s="673">
        <f t="shared" si="1"/>
        <v>0</v>
      </c>
      <c r="G16" s="674">
        <f t="shared" si="2"/>
        <v>0</v>
      </c>
      <c r="H16" s="674">
        <f t="shared" si="3"/>
        <v>0</v>
      </c>
      <c r="I16" s="674">
        <f t="shared" si="4"/>
        <v>0</v>
      </c>
    </row>
    <row r="17" spans="1:11" s="502" customFormat="1" ht="23.25" customHeight="1">
      <c r="A17" s="675">
        <v>16</v>
      </c>
      <c r="B17" s="676" t="s">
        <v>2221</v>
      </c>
      <c r="C17" s="677">
        <v>2</v>
      </c>
      <c r="D17" s="677">
        <f t="shared" si="0"/>
        <v>24</v>
      </c>
      <c r="E17" s="678"/>
      <c r="F17" s="673">
        <f t="shared" si="1"/>
        <v>0</v>
      </c>
      <c r="G17" s="674">
        <f t="shared" si="2"/>
        <v>0</v>
      </c>
      <c r="H17" s="674">
        <f t="shared" si="3"/>
        <v>0</v>
      </c>
      <c r="I17" s="674">
        <f t="shared" si="4"/>
        <v>0</v>
      </c>
    </row>
    <row r="18" spans="1:11" ht="23.25" customHeight="1">
      <c r="A18" s="679">
        <v>17</v>
      </c>
      <c r="B18" s="680" t="s">
        <v>2222</v>
      </c>
      <c r="C18" s="681">
        <v>5</v>
      </c>
      <c r="D18" s="681">
        <f t="shared" si="0"/>
        <v>60</v>
      </c>
      <c r="E18" s="682"/>
      <c r="F18" s="673">
        <f t="shared" si="1"/>
        <v>0</v>
      </c>
      <c r="G18" s="674">
        <f t="shared" si="2"/>
        <v>0</v>
      </c>
      <c r="H18" s="674">
        <f t="shared" si="3"/>
        <v>0</v>
      </c>
      <c r="I18" s="674">
        <f t="shared" si="4"/>
        <v>0</v>
      </c>
    </row>
    <row r="19" spans="1:11" s="502" customFormat="1" ht="23.25" customHeight="1">
      <c r="A19" s="675">
        <v>18</v>
      </c>
      <c r="B19" s="676" t="s">
        <v>2223</v>
      </c>
      <c r="C19" s="677">
        <v>300</v>
      </c>
      <c r="D19" s="677">
        <f t="shared" si="0"/>
        <v>3600</v>
      </c>
      <c r="E19" s="678"/>
      <c r="F19" s="673">
        <f t="shared" si="1"/>
        <v>0</v>
      </c>
      <c r="G19" s="674">
        <f t="shared" si="2"/>
        <v>0</v>
      </c>
      <c r="H19" s="674">
        <f t="shared" si="3"/>
        <v>0</v>
      </c>
      <c r="I19" s="674">
        <f t="shared" si="4"/>
        <v>0</v>
      </c>
    </row>
    <row r="20" spans="1:11" ht="23.25" customHeight="1">
      <c r="A20" s="679">
        <v>19</v>
      </c>
      <c r="B20" s="680" t="s">
        <v>2224</v>
      </c>
      <c r="C20" s="681">
        <v>1</v>
      </c>
      <c r="D20" s="681">
        <f t="shared" si="0"/>
        <v>12</v>
      </c>
      <c r="E20" s="682"/>
      <c r="F20" s="673">
        <f t="shared" si="1"/>
        <v>0</v>
      </c>
      <c r="G20" s="674">
        <f t="shared" si="2"/>
        <v>0</v>
      </c>
      <c r="H20" s="674">
        <f t="shared" si="3"/>
        <v>0</v>
      </c>
      <c r="I20" s="674">
        <f t="shared" si="4"/>
        <v>0</v>
      </c>
    </row>
    <row r="21" spans="1:11" s="502" customFormat="1" ht="23.25" customHeight="1">
      <c r="A21" s="675">
        <v>20</v>
      </c>
      <c r="B21" s="676" t="s">
        <v>2225</v>
      </c>
      <c r="C21" s="677">
        <v>30</v>
      </c>
      <c r="D21" s="677">
        <f t="shared" si="0"/>
        <v>360</v>
      </c>
      <c r="E21" s="678"/>
      <c r="F21" s="673">
        <f t="shared" si="1"/>
        <v>0</v>
      </c>
      <c r="G21" s="674">
        <f t="shared" si="2"/>
        <v>0</v>
      </c>
      <c r="H21" s="674">
        <f t="shared" si="3"/>
        <v>0</v>
      </c>
      <c r="I21" s="674">
        <f t="shared" si="4"/>
        <v>0</v>
      </c>
    </row>
    <row r="22" spans="1:11" ht="23.25" customHeight="1">
      <c r="A22" s="679">
        <v>21</v>
      </c>
      <c r="B22" s="680" t="s">
        <v>2226</v>
      </c>
      <c r="C22" s="681">
        <v>100</v>
      </c>
      <c r="D22" s="681">
        <f t="shared" si="0"/>
        <v>1200</v>
      </c>
      <c r="E22" s="682"/>
      <c r="F22" s="673">
        <f t="shared" si="1"/>
        <v>0</v>
      </c>
      <c r="G22" s="674">
        <f t="shared" si="2"/>
        <v>0</v>
      </c>
      <c r="H22" s="674">
        <f t="shared" si="3"/>
        <v>0</v>
      </c>
      <c r="I22" s="674">
        <f t="shared" si="4"/>
        <v>0</v>
      </c>
    </row>
    <row r="23" spans="1:11" s="502" customFormat="1" ht="23.25" customHeight="1">
      <c r="A23" s="675">
        <v>22</v>
      </c>
      <c r="B23" s="676" t="s">
        <v>2227</v>
      </c>
      <c r="C23" s="677">
        <v>1</v>
      </c>
      <c r="D23" s="677">
        <f t="shared" si="0"/>
        <v>12</v>
      </c>
      <c r="E23" s="678"/>
      <c r="F23" s="673">
        <f t="shared" si="1"/>
        <v>0</v>
      </c>
      <c r="G23" s="674">
        <f t="shared" si="2"/>
        <v>0</v>
      </c>
      <c r="H23" s="674">
        <f t="shared" si="3"/>
        <v>0</v>
      </c>
      <c r="I23" s="674">
        <f t="shared" si="4"/>
        <v>0</v>
      </c>
    </row>
    <row r="24" spans="1:11" ht="23.25" customHeight="1">
      <c r="A24" s="679">
        <v>23</v>
      </c>
      <c r="B24" s="680" t="s">
        <v>2228</v>
      </c>
      <c r="C24" s="681">
        <v>1</v>
      </c>
      <c r="D24" s="681">
        <f t="shared" si="0"/>
        <v>12</v>
      </c>
      <c r="E24" s="682"/>
      <c r="F24" s="673">
        <f t="shared" si="1"/>
        <v>0</v>
      </c>
      <c r="G24" s="674">
        <f t="shared" si="2"/>
        <v>0</v>
      </c>
      <c r="H24" s="674">
        <f t="shared" si="3"/>
        <v>0</v>
      </c>
      <c r="I24" s="674">
        <f t="shared" si="4"/>
        <v>0</v>
      </c>
    </row>
    <row r="25" spans="1:11" s="502" customFormat="1" ht="23.25" customHeight="1">
      <c r="A25" s="675">
        <v>24</v>
      </c>
      <c r="B25" s="676" t="s">
        <v>2229</v>
      </c>
      <c r="C25" s="677">
        <v>4</v>
      </c>
      <c r="D25" s="677">
        <f t="shared" si="0"/>
        <v>48</v>
      </c>
      <c r="E25" s="678"/>
      <c r="F25" s="673">
        <f t="shared" si="1"/>
        <v>0</v>
      </c>
      <c r="G25" s="674">
        <f t="shared" si="2"/>
        <v>0</v>
      </c>
      <c r="H25" s="674">
        <f t="shared" si="3"/>
        <v>0</v>
      </c>
      <c r="I25" s="674">
        <f t="shared" si="4"/>
        <v>0</v>
      </c>
    </row>
    <row r="26" spans="1:11" ht="39" customHeight="1">
      <c r="A26" s="679">
        <v>25</v>
      </c>
      <c r="B26" s="680" t="s">
        <v>2230</v>
      </c>
      <c r="C26" s="681">
        <v>4</v>
      </c>
      <c r="D26" s="681">
        <f t="shared" si="0"/>
        <v>48</v>
      </c>
      <c r="E26" s="682"/>
      <c r="F26" s="673">
        <f t="shared" si="1"/>
        <v>0</v>
      </c>
      <c r="G26" s="674">
        <f t="shared" si="2"/>
        <v>0</v>
      </c>
      <c r="H26" s="674">
        <f t="shared" si="3"/>
        <v>0</v>
      </c>
      <c r="I26" s="674">
        <f t="shared" si="4"/>
        <v>0</v>
      </c>
    </row>
    <row r="27" spans="1:11" s="502" customFormat="1" ht="23.25" customHeight="1">
      <c r="A27" s="675">
        <v>26</v>
      </c>
      <c r="B27" s="676" t="s">
        <v>2231</v>
      </c>
      <c r="C27" s="677">
        <f>168+24</f>
        <v>192</v>
      </c>
      <c r="D27" s="677">
        <f t="shared" si="0"/>
        <v>2304</v>
      </c>
      <c r="E27" s="678"/>
      <c r="F27" s="673">
        <f t="shared" si="1"/>
        <v>0</v>
      </c>
      <c r="G27" s="674">
        <f t="shared" si="2"/>
        <v>0</v>
      </c>
      <c r="H27" s="674">
        <f t="shared" si="3"/>
        <v>0</v>
      </c>
      <c r="I27" s="674">
        <f t="shared" si="4"/>
        <v>0</v>
      </c>
    </row>
    <row r="28" spans="1:11" ht="23.25" customHeight="1">
      <c r="A28" s="679">
        <v>27</v>
      </c>
      <c r="B28" s="680" t="s">
        <v>2232</v>
      </c>
      <c r="C28" s="681">
        <v>1</v>
      </c>
      <c r="D28" s="681">
        <f t="shared" si="0"/>
        <v>12</v>
      </c>
      <c r="E28" s="682"/>
      <c r="F28" s="673">
        <f t="shared" si="1"/>
        <v>0</v>
      </c>
      <c r="G28" s="674">
        <f t="shared" si="2"/>
        <v>0</v>
      </c>
      <c r="H28" s="674">
        <f t="shared" si="3"/>
        <v>0</v>
      </c>
      <c r="I28" s="674">
        <f t="shared" si="4"/>
        <v>0</v>
      </c>
    </row>
    <row r="29" spans="1:11" s="502" customFormat="1" ht="23.25" customHeight="1">
      <c r="A29" s="675">
        <v>28</v>
      </c>
      <c r="B29" s="676" t="s">
        <v>2233</v>
      </c>
      <c r="C29" s="677">
        <v>1</v>
      </c>
      <c r="D29" s="677">
        <f t="shared" si="0"/>
        <v>12</v>
      </c>
      <c r="E29" s="678"/>
      <c r="F29" s="673">
        <f t="shared" si="1"/>
        <v>0</v>
      </c>
      <c r="G29" s="674">
        <f t="shared" si="2"/>
        <v>0</v>
      </c>
      <c r="H29" s="674">
        <f t="shared" si="3"/>
        <v>0</v>
      </c>
      <c r="I29" s="674">
        <f t="shared" si="4"/>
        <v>0</v>
      </c>
      <c r="K29" s="510"/>
    </row>
    <row r="30" spans="1:11" ht="23.25" customHeight="1">
      <c r="A30" s="679">
        <v>29</v>
      </c>
      <c r="B30" s="680" t="s">
        <v>2234</v>
      </c>
      <c r="C30" s="681">
        <v>1</v>
      </c>
      <c r="D30" s="681">
        <f t="shared" si="0"/>
        <v>12</v>
      </c>
      <c r="E30" s="682"/>
      <c r="F30" s="673">
        <f t="shared" si="1"/>
        <v>0</v>
      </c>
      <c r="G30" s="674">
        <f t="shared" si="2"/>
        <v>0</v>
      </c>
      <c r="H30" s="674">
        <f t="shared" si="3"/>
        <v>0</v>
      </c>
      <c r="I30" s="674">
        <f t="shared" si="4"/>
        <v>0</v>
      </c>
    </row>
    <row r="31" spans="1:11" s="502" customFormat="1" ht="39" customHeight="1">
      <c r="A31" s="675">
        <v>30</v>
      </c>
      <c r="B31" s="676" t="s">
        <v>2235</v>
      </c>
      <c r="C31" s="677">
        <v>12</v>
      </c>
      <c r="D31" s="677">
        <f t="shared" si="0"/>
        <v>144</v>
      </c>
      <c r="E31" s="678"/>
      <c r="F31" s="673">
        <f t="shared" si="1"/>
        <v>0</v>
      </c>
      <c r="G31" s="674">
        <f t="shared" si="2"/>
        <v>0</v>
      </c>
      <c r="H31" s="674">
        <f t="shared" si="3"/>
        <v>0</v>
      </c>
      <c r="I31" s="674">
        <f t="shared" si="4"/>
        <v>0</v>
      </c>
    </row>
    <row r="32" spans="1:11" ht="23.25" customHeight="1">
      <c r="A32" s="679">
        <v>31</v>
      </c>
      <c r="B32" s="680" t="s">
        <v>2236</v>
      </c>
      <c r="C32" s="681">
        <v>5</v>
      </c>
      <c r="D32" s="681">
        <f t="shared" si="0"/>
        <v>60</v>
      </c>
      <c r="E32" s="682"/>
      <c r="F32" s="673">
        <f t="shared" si="1"/>
        <v>0</v>
      </c>
      <c r="G32" s="674">
        <f t="shared" si="2"/>
        <v>0</v>
      </c>
      <c r="H32" s="674">
        <f t="shared" si="3"/>
        <v>0</v>
      </c>
      <c r="I32" s="674">
        <f t="shared" si="4"/>
        <v>0</v>
      </c>
    </row>
    <row r="33" spans="1:11" s="502" customFormat="1" ht="41.25" customHeight="1">
      <c r="A33" s="675">
        <v>32</v>
      </c>
      <c r="B33" s="676" t="s">
        <v>2237</v>
      </c>
      <c r="C33" s="677">
        <v>10</v>
      </c>
      <c r="D33" s="677">
        <f t="shared" si="0"/>
        <v>120</v>
      </c>
      <c r="E33" s="678"/>
      <c r="F33" s="673">
        <f t="shared" si="1"/>
        <v>0</v>
      </c>
      <c r="G33" s="674">
        <f t="shared" si="2"/>
        <v>0</v>
      </c>
      <c r="H33" s="674">
        <f t="shared" si="3"/>
        <v>0</v>
      </c>
      <c r="I33" s="674">
        <f t="shared" si="4"/>
        <v>0</v>
      </c>
      <c r="K33" s="510"/>
    </row>
    <row r="34" spans="1:11" ht="23.25" customHeight="1">
      <c r="A34" s="679">
        <v>33</v>
      </c>
      <c r="B34" s="680" t="s">
        <v>2238</v>
      </c>
      <c r="C34" s="681">
        <v>5</v>
      </c>
      <c r="D34" s="681">
        <f t="shared" si="0"/>
        <v>60</v>
      </c>
      <c r="E34" s="682"/>
      <c r="F34" s="673">
        <f t="shared" si="1"/>
        <v>0</v>
      </c>
      <c r="G34" s="674">
        <f t="shared" si="2"/>
        <v>0</v>
      </c>
      <c r="H34" s="674">
        <f t="shared" si="3"/>
        <v>0</v>
      </c>
      <c r="I34" s="674">
        <f t="shared" si="4"/>
        <v>0</v>
      </c>
    </row>
    <row r="35" spans="1:11" s="502" customFormat="1" ht="23.25" customHeight="1">
      <c r="A35" s="675">
        <v>34</v>
      </c>
      <c r="B35" s="676" t="s">
        <v>2239</v>
      </c>
      <c r="C35" s="677">
        <v>80</v>
      </c>
      <c r="D35" s="677">
        <f t="shared" si="0"/>
        <v>960</v>
      </c>
      <c r="E35" s="678"/>
      <c r="F35" s="673">
        <f t="shared" si="1"/>
        <v>0</v>
      </c>
      <c r="G35" s="674">
        <f t="shared" si="2"/>
        <v>0</v>
      </c>
      <c r="H35" s="674">
        <f t="shared" si="3"/>
        <v>0</v>
      </c>
      <c r="I35" s="674">
        <f t="shared" si="4"/>
        <v>0</v>
      </c>
    </row>
    <row r="36" spans="1:11" ht="23.25" customHeight="1">
      <c r="A36" s="679">
        <v>35</v>
      </c>
      <c r="B36" s="680" t="s">
        <v>2240</v>
      </c>
      <c r="C36" s="681">
        <v>1</v>
      </c>
      <c r="D36" s="681">
        <f t="shared" si="0"/>
        <v>12</v>
      </c>
      <c r="E36" s="682"/>
      <c r="F36" s="673">
        <f t="shared" si="1"/>
        <v>0</v>
      </c>
      <c r="G36" s="674">
        <f t="shared" si="2"/>
        <v>0</v>
      </c>
      <c r="H36" s="674">
        <f t="shared" si="3"/>
        <v>0</v>
      </c>
      <c r="I36" s="674">
        <f t="shared" si="4"/>
        <v>0</v>
      </c>
    </row>
    <row r="37" spans="1:11" s="502" customFormat="1" ht="42" customHeight="1">
      <c r="A37" s="675">
        <v>36</v>
      </c>
      <c r="B37" s="676" t="s">
        <v>2241</v>
      </c>
      <c r="C37" s="677">
        <v>50</v>
      </c>
      <c r="D37" s="677">
        <f t="shared" si="0"/>
        <v>600</v>
      </c>
      <c r="E37" s="678"/>
      <c r="F37" s="673">
        <f t="shared" si="1"/>
        <v>0</v>
      </c>
      <c r="G37" s="674">
        <f t="shared" si="2"/>
        <v>0</v>
      </c>
      <c r="H37" s="674">
        <f t="shared" si="3"/>
        <v>0</v>
      </c>
      <c r="I37" s="674">
        <f t="shared" si="4"/>
        <v>0</v>
      </c>
    </row>
    <row r="38" spans="1:11" ht="38.25" customHeight="1">
      <c r="A38" s="679">
        <v>37</v>
      </c>
      <c r="B38" s="680" t="s">
        <v>2242</v>
      </c>
      <c r="C38" s="681">
        <v>450</v>
      </c>
      <c r="D38" s="681">
        <f t="shared" si="0"/>
        <v>5400</v>
      </c>
      <c r="E38" s="682"/>
      <c r="F38" s="673">
        <f t="shared" si="1"/>
        <v>0</v>
      </c>
      <c r="G38" s="674">
        <f t="shared" si="2"/>
        <v>0</v>
      </c>
      <c r="H38" s="674">
        <f t="shared" si="3"/>
        <v>0</v>
      </c>
      <c r="I38" s="674">
        <f t="shared" si="4"/>
        <v>0</v>
      </c>
    </row>
    <row r="39" spans="1:11" s="502" customFormat="1" ht="23.25" customHeight="1">
      <c r="A39" s="675">
        <v>38</v>
      </c>
      <c r="B39" s="676" t="s">
        <v>2243</v>
      </c>
      <c r="C39" s="677">
        <v>2</v>
      </c>
      <c r="D39" s="677">
        <f t="shared" si="0"/>
        <v>24</v>
      </c>
      <c r="E39" s="678"/>
      <c r="F39" s="673">
        <f t="shared" si="1"/>
        <v>0</v>
      </c>
      <c r="G39" s="674">
        <f t="shared" si="2"/>
        <v>0</v>
      </c>
      <c r="H39" s="674">
        <f t="shared" si="3"/>
        <v>0</v>
      </c>
      <c r="I39" s="674">
        <f t="shared" si="4"/>
        <v>0</v>
      </c>
    </row>
    <row r="40" spans="1:11" ht="23.25" customHeight="1">
      <c r="A40" s="679">
        <v>39</v>
      </c>
      <c r="B40" s="680" t="s">
        <v>2244</v>
      </c>
      <c r="C40" s="681">
        <v>12</v>
      </c>
      <c r="D40" s="681">
        <f t="shared" si="0"/>
        <v>144</v>
      </c>
      <c r="E40" s="682"/>
      <c r="F40" s="673">
        <f t="shared" si="1"/>
        <v>0</v>
      </c>
      <c r="G40" s="674">
        <f t="shared" si="2"/>
        <v>0</v>
      </c>
      <c r="H40" s="674">
        <f t="shared" si="3"/>
        <v>0</v>
      </c>
      <c r="I40" s="674">
        <f t="shared" si="4"/>
        <v>0</v>
      </c>
    </row>
    <row r="41" spans="1:11" s="502" customFormat="1" ht="23.25" customHeight="1">
      <c r="A41" s="675">
        <v>40</v>
      </c>
      <c r="B41" s="676" t="s">
        <v>2245</v>
      </c>
      <c r="C41" s="677">
        <v>10</v>
      </c>
      <c r="D41" s="677">
        <f t="shared" si="0"/>
        <v>120</v>
      </c>
      <c r="E41" s="678"/>
      <c r="F41" s="673">
        <f t="shared" si="1"/>
        <v>0</v>
      </c>
      <c r="G41" s="674">
        <f t="shared" si="2"/>
        <v>0</v>
      </c>
      <c r="H41" s="674">
        <f t="shared" si="3"/>
        <v>0</v>
      </c>
      <c r="I41" s="674">
        <f t="shared" si="4"/>
        <v>0</v>
      </c>
    </row>
    <row r="42" spans="1:11" ht="23.25" customHeight="1">
      <c r="A42" s="679">
        <v>41</v>
      </c>
      <c r="B42" s="680" t="s">
        <v>2246</v>
      </c>
      <c r="C42" s="681">
        <v>10</v>
      </c>
      <c r="D42" s="681">
        <f t="shared" si="0"/>
        <v>120</v>
      </c>
      <c r="E42" s="682"/>
      <c r="F42" s="673">
        <f t="shared" si="1"/>
        <v>0</v>
      </c>
      <c r="G42" s="674">
        <f t="shared" si="2"/>
        <v>0</v>
      </c>
      <c r="H42" s="674">
        <f t="shared" si="3"/>
        <v>0</v>
      </c>
      <c r="I42" s="674">
        <f t="shared" si="4"/>
        <v>0</v>
      </c>
    </row>
    <row r="43" spans="1:11" s="502" customFormat="1" ht="23.25" customHeight="1">
      <c r="A43" s="675">
        <v>42</v>
      </c>
      <c r="B43" s="676" t="s">
        <v>2247</v>
      </c>
      <c r="C43" s="677">
        <v>20</v>
      </c>
      <c r="D43" s="677">
        <f t="shared" si="0"/>
        <v>240</v>
      </c>
      <c r="E43" s="678"/>
      <c r="F43" s="673">
        <f t="shared" si="1"/>
        <v>0</v>
      </c>
      <c r="G43" s="674">
        <f t="shared" si="2"/>
        <v>0</v>
      </c>
      <c r="H43" s="674">
        <f t="shared" si="3"/>
        <v>0</v>
      </c>
      <c r="I43" s="674">
        <f t="shared" si="4"/>
        <v>0</v>
      </c>
    </row>
    <row r="44" spans="1:11" s="502" customFormat="1" ht="23.25" customHeight="1">
      <c r="A44" s="675"/>
      <c r="B44" s="676" t="s">
        <v>2248</v>
      </c>
      <c r="C44" s="677">
        <v>10</v>
      </c>
      <c r="D44" s="677"/>
      <c r="E44" s="678"/>
      <c r="F44" s="673">
        <f t="shared" si="1"/>
        <v>0</v>
      </c>
      <c r="G44" s="674">
        <f t="shared" si="2"/>
        <v>0</v>
      </c>
      <c r="H44" s="674">
        <f t="shared" si="3"/>
        <v>0</v>
      </c>
      <c r="I44" s="674">
        <f t="shared" si="4"/>
        <v>0</v>
      </c>
    </row>
    <row r="45" spans="1:11" ht="39" customHeight="1">
      <c r="A45" s="679">
        <v>43</v>
      </c>
      <c r="B45" s="680" t="s">
        <v>2249</v>
      </c>
      <c r="C45" s="681">
        <v>15</v>
      </c>
      <c r="D45" s="681">
        <f t="shared" si="0"/>
        <v>180</v>
      </c>
      <c r="E45" s="682"/>
      <c r="F45" s="673">
        <f t="shared" si="1"/>
        <v>0</v>
      </c>
      <c r="G45" s="674">
        <f t="shared" si="2"/>
        <v>0</v>
      </c>
      <c r="H45" s="674">
        <f t="shared" si="3"/>
        <v>0</v>
      </c>
      <c r="I45" s="674">
        <f t="shared" si="4"/>
        <v>0</v>
      </c>
    </row>
    <row r="46" spans="1:11" s="502" customFormat="1" ht="23.25" customHeight="1">
      <c r="A46" s="675">
        <v>44</v>
      </c>
      <c r="B46" s="676" t="s">
        <v>2250</v>
      </c>
      <c r="C46" s="677">
        <v>15</v>
      </c>
      <c r="D46" s="677">
        <f t="shared" si="0"/>
        <v>180</v>
      </c>
      <c r="E46" s="678"/>
      <c r="F46" s="673">
        <f t="shared" si="1"/>
        <v>0</v>
      </c>
      <c r="G46" s="674">
        <f t="shared" si="2"/>
        <v>0</v>
      </c>
      <c r="H46" s="674">
        <f t="shared" si="3"/>
        <v>0</v>
      </c>
      <c r="I46" s="674">
        <f t="shared" si="4"/>
        <v>0</v>
      </c>
    </row>
    <row r="47" spans="1:11" ht="23.25" customHeight="1">
      <c r="A47" s="679">
        <v>45</v>
      </c>
      <c r="B47" s="680" t="s">
        <v>2251</v>
      </c>
      <c r="C47" s="681">
        <v>15</v>
      </c>
      <c r="D47" s="681">
        <f t="shared" si="0"/>
        <v>180</v>
      </c>
      <c r="E47" s="682"/>
      <c r="F47" s="673">
        <f t="shared" si="1"/>
        <v>0</v>
      </c>
      <c r="G47" s="674">
        <f t="shared" si="2"/>
        <v>0</v>
      </c>
      <c r="H47" s="674">
        <f t="shared" si="3"/>
        <v>0</v>
      </c>
      <c r="I47" s="674">
        <f t="shared" si="4"/>
        <v>0</v>
      </c>
    </row>
    <row r="48" spans="1:11" s="502" customFormat="1" ht="23.25" customHeight="1">
      <c r="A48" s="675">
        <v>46</v>
      </c>
      <c r="B48" s="676" t="s">
        <v>2252</v>
      </c>
      <c r="C48" s="677">
        <v>15</v>
      </c>
      <c r="D48" s="677">
        <f t="shared" si="0"/>
        <v>180</v>
      </c>
      <c r="E48" s="678"/>
      <c r="F48" s="673">
        <f t="shared" si="1"/>
        <v>0</v>
      </c>
      <c r="G48" s="674">
        <f t="shared" si="2"/>
        <v>0</v>
      </c>
      <c r="H48" s="674">
        <f t="shared" si="3"/>
        <v>0</v>
      </c>
      <c r="I48" s="674">
        <f t="shared" si="4"/>
        <v>0</v>
      </c>
    </row>
    <row r="49" spans="1:12" ht="23.25" customHeight="1">
      <c r="A49" s="679">
        <v>47</v>
      </c>
      <c r="B49" s="680" t="s">
        <v>2253</v>
      </c>
      <c r="C49" s="681">
        <v>1</v>
      </c>
      <c r="D49" s="681">
        <f t="shared" si="0"/>
        <v>12</v>
      </c>
      <c r="E49" s="682"/>
      <c r="F49" s="673">
        <f t="shared" si="1"/>
        <v>0</v>
      </c>
      <c r="G49" s="674">
        <f t="shared" si="2"/>
        <v>0</v>
      </c>
      <c r="H49" s="674">
        <f t="shared" si="3"/>
        <v>0</v>
      </c>
      <c r="I49" s="674">
        <f t="shared" si="4"/>
        <v>0</v>
      </c>
    </row>
    <row r="50" spans="1:12" s="502" customFormat="1" ht="23.25" customHeight="1">
      <c r="A50" s="675">
        <v>48</v>
      </c>
      <c r="B50" s="676" t="s">
        <v>2254</v>
      </c>
      <c r="C50" s="677">
        <v>1</v>
      </c>
      <c r="D50" s="677">
        <f t="shared" si="0"/>
        <v>12</v>
      </c>
      <c r="E50" s="678"/>
      <c r="F50" s="673">
        <f t="shared" si="1"/>
        <v>0</v>
      </c>
      <c r="G50" s="674">
        <f t="shared" si="2"/>
        <v>0</v>
      </c>
      <c r="H50" s="674">
        <f t="shared" si="3"/>
        <v>0</v>
      </c>
      <c r="I50" s="674">
        <f t="shared" si="4"/>
        <v>0</v>
      </c>
    </row>
    <row r="51" spans="1:12" ht="23.25" customHeight="1">
      <c r="A51" s="679">
        <v>49</v>
      </c>
      <c r="B51" s="680" t="s">
        <v>2255</v>
      </c>
      <c r="C51" s="681">
        <v>60</v>
      </c>
      <c r="D51" s="681">
        <f t="shared" si="0"/>
        <v>720</v>
      </c>
      <c r="E51" s="682"/>
      <c r="F51" s="673">
        <f t="shared" si="1"/>
        <v>0</v>
      </c>
      <c r="G51" s="674">
        <f t="shared" si="2"/>
        <v>0</v>
      </c>
      <c r="H51" s="674">
        <f t="shared" si="3"/>
        <v>0</v>
      </c>
      <c r="I51" s="674">
        <f t="shared" si="4"/>
        <v>0</v>
      </c>
    </row>
    <row r="52" spans="1:12" s="502" customFormat="1" ht="23.25" customHeight="1">
      <c r="A52" s="675">
        <v>50</v>
      </c>
      <c r="B52" s="676" t="s">
        <v>2256</v>
      </c>
      <c r="C52" s="677">
        <v>5</v>
      </c>
      <c r="D52" s="677">
        <f t="shared" si="0"/>
        <v>60</v>
      </c>
      <c r="E52" s="678"/>
      <c r="F52" s="673">
        <f t="shared" si="1"/>
        <v>0</v>
      </c>
      <c r="G52" s="674">
        <f t="shared" si="2"/>
        <v>0</v>
      </c>
      <c r="H52" s="674">
        <f t="shared" si="3"/>
        <v>0</v>
      </c>
      <c r="I52" s="674">
        <f t="shared" si="4"/>
        <v>0</v>
      </c>
    </row>
    <row r="53" spans="1:12" ht="23.25" customHeight="1" thickBot="1">
      <c r="A53" s="679">
        <v>51</v>
      </c>
      <c r="B53" s="680" t="s">
        <v>2257</v>
      </c>
      <c r="C53" s="681">
        <v>72</v>
      </c>
      <c r="D53" s="681">
        <f t="shared" si="0"/>
        <v>864</v>
      </c>
      <c r="E53" s="682"/>
      <c r="F53" s="673">
        <f t="shared" si="1"/>
        <v>0</v>
      </c>
      <c r="G53" s="674">
        <f t="shared" si="2"/>
        <v>0</v>
      </c>
      <c r="H53" s="674">
        <f t="shared" si="3"/>
        <v>0</v>
      </c>
      <c r="I53" s="674">
        <f>H53*12</f>
        <v>0</v>
      </c>
    </row>
    <row r="54" spans="1:12" ht="23.25" customHeight="1" thickTop="1" thickBot="1">
      <c r="C54" s="574"/>
      <c r="D54" s="574"/>
      <c r="G54" s="685" t="s">
        <v>2258</v>
      </c>
      <c r="H54" s="686">
        <f>SUM(H2:H53)</f>
        <v>0</v>
      </c>
      <c r="I54" s="686">
        <f>SUM(I2:I53)</f>
        <v>0</v>
      </c>
      <c r="K54" s="602"/>
      <c r="L54" s="329"/>
    </row>
    <row r="55" spans="1:12" s="335" customFormat="1" ht="31.5" customHeight="1" thickBot="1">
      <c r="A55" s="522" t="s">
        <v>2085</v>
      </c>
      <c r="B55" s="523"/>
      <c r="C55" s="687"/>
      <c r="D55" s="687"/>
      <c r="E55" s="523"/>
      <c r="F55" s="523"/>
      <c r="G55" s="688"/>
      <c r="H55" s="689"/>
      <c r="I55" s="687"/>
    </row>
    <row r="56" spans="1:12" s="335" customFormat="1" ht="18">
      <c r="A56" s="406" t="s">
        <v>1897</v>
      </c>
      <c r="B56" s="525" t="s">
        <v>1646</v>
      </c>
      <c r="C56" s="690"/>
      <c r="D56" s="690"/>
      <c r="E56" s="526"/>
      <c r="F56" s="525" t="s">
        <v>1588</v>
      </c>
      <c r="G56" s="691"/>
      <c r="H56" s="692"/>
      <c r="I56" s="690"/>
    </row>
    <row r="57" spans="1:12" s="335" customFormat="1" ht="18">
      <c r="A57" s="382" t="s">
        <v>1554</v>
      </c>
      <c r="B57" s="529" t="s">
        <v>1647</v>
      </c>
      <c r="C57" s="534"/>
      <c r="D57" s="693"/>
      <c r="E57" s="530"/>
      <c r="F57" s="532">
        <v>5.5E-2</v>
      </c>
      <c r="G57" s="694"/>
      <c r="H57" s="534"/>
      <c r="I57" s="534"/>
    </row>
    <row r="58" spans="1:12" s="335" customFormat="1" ht="18">
      <c r="A58" s="382" t="s">
        <v>1556</v>
      </c>
      <c r="B58" s="529" t="s">
        <v>1648</v>
      </c>
      <c r="C58" s="534"/>
      <c r="D58" s="693"/>
      <c r="E58" s="530"/>
      <c r="F58" s="532">
        <v>2.5499999999999998E-2</v>
      </c>
      <c r="G58" s="694"/>
      <c r="H58" s="534"/>
      <c r="I58" s="534"/>
    </row>
    <row r="59" spans="1:12" s="335" customFormat="1" ht="18">
      <c r="A59" s="382" t="s">
        <v>1559</v>
      </c>
      <c r="B59" s="535" t="s">
        <v>1649</v>
      </c>
      <c r="C59" s="540"/>
      <c r="D59" s="695"/>
      <c r="E59" s="536"/>
      <c r="F59" s="696">
        <f>SUM(F60:G62)</f>
        <v>3.6499999999999998E-2</v>
      </c>
      <c r="G59" s="697"/>
      <c r="H59" s="540"/>
      <c r="I59" s="540"/>
    </row>
    <row r="60" spans="1:12" s="335" customFormat="1" ht="18">
      <c r="A60" s="339"/>
      <c r="B60" s="409" t="s">
        <v>1900</v>
      </c>
      <c r="C60" s="544"/>
      <c r="D60" s="698"/>
      <c r="E60" s="541" t="s">
        <v>1901</v>
      </c>
      <c r="F60" s="546">
        <v>6.4999999999999997E-3</v>
      </c>
      <c r="G60" s="699"/>
      <c r="H60" s="544"/>
      <c r="I60" s="544"/>
    </row>
    <row r="61" spans="1:12" s="335" customFormat="1" ht="16.5" customHeight="1">
      <c r="A61" s="339"/>
      <c r="B61" s="409" t="s">
        <v>1902</v>
      </c>
      <c r="C61" s="544"/>
      <c r="D61" s="698"/>
      <c r="E61" s="545" t="s">
        <v>1903</v>
      </c>
      <c r="F61" s="546">
        <v>0.03</v>
      </c>
      <c r="G61" s="694"/>
      <c r="H61" s="544"/>
      <c r="I61" s="544"/>
    </row>
    <row r="62" spans="1:12" s="335" customFormat="1" ht="16.5" customHeight="1">
      <c r="A62" s="339"/>
      <c r="B62" s="409" t="s">
        <v>1904</v>
      </c>
      <c r="C62" s="544"/>
      <c r="D62" s="698"/>
      <c r="E62" s="700" t="s">
        <v>2086</v>
      </c>
      <c r="F62" s="546"/>
      <c r="G62" s="694"/>
      <c r="H62" s="544"/>
      <c r="I62" s="544"/>
    </row>
    <row r="63" spans="1:12" s="335" customFormat="1" ht="19.5" customHeight="1">
      <c r="A63" s="410"/>
      <c r="B63" s="409" t="s">
        <v>1906</v>
      </c>
      <c r="C63" s="402"/>
      <c r="D63" s="701"/>
      <c r="E63" s="541" t="s">
        <v>1907</v>
      </c>
      <c r="F63" s="548"/>
      <c r="G63" s="699"/>
      <c r="H63" s="402"/>
      <c r="I63" s="402"/>
    </row>
    <row r="64" spans="1:12" s="335" customFormat="1" ht="20.25">
      <c r="A64" s="550" t="s">
        <v>1908</v>
      </c>
      <c r="B64" s="551"/>
      <c r="C64" s="555"/>
      <c r="D64" s="702"/>
      <c r="E64" s="551"/>
      <c r="F64" s="553">
        <f>F57+F58+F59</f>
        <v>0.11699999999999999</v>
      </c>
      <c r="G64" s="703"/>
      <c r="H64" s="555"/>
      <c r="I64" s="555"/>
    </row>
    <row r="65" spans="1:8" ht="15.75" thickBot="1"/>
    <row r="66" spans="1:8" ht="23.25">
      <c r="B66" s="1012" t="s">
        <v>1240</v>
      </c>
      <c r="E66" s="1014" t="s">
        <v>1926</v>
      </c>
      <c r="F66" s="1015"/>
      <c r="G66" s="424">
        <f>(1+F57)*(1+F58)/(1-F59)-1</f>
        <v>0.1228879086663206</v>
      </c>
    </row>
    <row r="67" spans="1:8" ht="21" thickBot="1">
      <c r="B67" s="1013"/>
      <c r="E67" s="1450" t="s">
        <v>1972</v>
      </c>
      <c r="F67" s="1451"/>
      <c r="G67" s="704"/>
    </row>
    <row r="68" spans="1:8">
      <c r="B68" s="335"/>
      <c r="E68" s="335"/>
      <c r="F68" s="335"/>
      <c r="G68" s="570"/>
    </row>
    <row r="69" spans="1:8" ht="20.25">
      <c r="B69" s="1006" t="s">
        <v>1928</v>
      </c>
      <c r="C69" s="1006"/>
      <c r="D69" s="1006"/>
      <c r="E69" s="1006"/>
      <c r="F69" s="1006"/>
      <c r="G69" s="1006"/>
    </row>
    <row r="70" spans="1:8" ht="20.25">
      <c r="B70" s="1006" t="s">
        <v>1930</v>
      </c>
      <c r="C70" s="1006"/>
      <c r="D70" s="1006"/>
      <c r="E70" s="1006"/>
      <c r="F70" s="1006"/>
      <c r="G70" s="1006"/>
    </row>
    <row r="71" spans="1:8" ht="20.25">
      <c r="B71" s="1006" t="s">
        <v>1932</v>
      </c>
      <c r="C71" s="1006"/>
      <c r="D71" s="1006"/>
      <c r="E71" s="1006"/>
      <c r="F71" s="1006"/>
      <c r="G71" s="1006"/>
    </row>
    <row r="72" spans="1:8">
      <c r="B72" s="429"/>
      <c r="E72" s="429"/>
      <c r="F72" s="429"/>
      <c r="G72" s="705"/>
    </row>
    <row r="73" spans="1:8" s="502" customFormat="1" ht="19.5" customHeight="1">
      <c r="A73" s="567" t="s">
        <v>2087</v>
      </c>
      <c r="B73" s="1387" t="s">
        <v>1909</v>
      </c>
      <c r="C73" s="1387"/>
      <c r="D73" s="1387"/>
      <c r="E73" s="1387"/>
      <c r="F73" s="1387"/>
      <c r="G73" s="1387"/>
      <c r="H73" s="510"/>
    </row>
    <row r="74" spans="1:8" s="502" customFormat="1">
      <c r="A74" s="567"/>
      <c r="B74" s="568" t="s">
        <v>2088</v>
      </c>
      <c r="C74" s="567"/>
      <c r="D74" s="567"/>
      <c r="E74" s="567"/>
      <c r="F74" s="569"/>
      <c r="G74" s="521"/>
      <c r="H74" s="510"/>
    </row>
    <row r="75" spans="1:8" s="502" customFormat="1">
      <c r="B75" s="518"/>
      <c r="F75" s="519"/>
      <c r="G75" s="510"/>
      <c r="H75" s="510"/>
    </row>
  </sheetData>
  <mergeCells count="7">
    <mergeCell ref="B73:G73"/>
    <mergeCell ref="B66:B67"/>
    <mergeCell ref="E66:F66"/>
    <mergeCell ref="E67:F67"/>
    <mergeCell ref="B69:G69"/>
    <mergeCell ref="B70:G70"/>
    <mergeCell ref="B71:G71"/>
  </mergeCells>
  <conditionalFormatting sqref="G1">
    <cfRule type="containsText" dxfId="0" priority="1" operator="containsText" text="ACEITÁVEL">
      <formula>NOT(ISERROR(SEARCH("ACEITÁVEL",G1)))</formula>
    </cfRule>
  </conditionalFormatting>
  <pageMargins left="0.19685039370078741" right="0.19685039370078741" top="1.1429166666666666" bottom="0.78740157480314965" header="0.31496062992125984" footer="0.31496062992125984"/>
  <pageSetup paperSize="9" scale="39" orientation="portrait"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C2C63-932F-46FD-AA90-2ACC070B1233}">
  <sheetPr>
    <tabColor rgb="FFFFFF00"/>
  </sheetPr>
  <dimension ref="A1:H31"/>
  <sheetViews>
    <sheetView zoomScale="115" zoomScaleNormal="115" workbookViewId="0">
      <selection activeCell="E5" sqref="E5:E30"/>
    </sheetView>
  </sheetViews>
  <sheetFormatPr defaultRowHeight="15"/>
  <cols>
    <col min="1" max="1" width="9.7109375" customWidth="1"/>
    <col min="2" max="2" width="49.7109375" customWidth="1"/>
    <col min="3" max="3" width="9.7109375" customWidth="1"/>
    <col min="4" max="5" width="11.7109375" customWidth="1"/>
    <col min="6" max="6" width="15.7109375" customWidth="1"/>
    <col min="7" max="7" width="11.7109375" customWidth="1"/>
    <col min="8" max="8" width="16.7109375" customWidth="1"/>
  </cols>
  <sheetData>
    <row r="1" spans="1:8" ht="16.5" thickBot="1">
      <c r="A1" s="817" t="s">
        <v>1291</v>
      </c>
      <c r="B1" s="818"/>
      <c r="C1" s="818"/>
      <c r="D1" s="818"/>
      <c r="E1" s="818"/>
      <c r="F1" s="818"/>
      <c r="G1" s="819"/>
      <c r="H1" s="820"/>
    </row>
    <row r="2" spans="1:8" ht="30" customHeight="1">
      <c r="A2" s="821" t="s">
        <v>0</v>
      </c>
      <c r="B2" s="824" t="s">
        <v>1</v>
      </c>
      <c r="C2" s="824" t="s">
        <v>696</v>
      </c>
      <c r="D2" s="827" t="s">
        <v>1256</v>
      </c>
      <c r="E2" s="829" t="s">
        <v>43</v>
      </c>
      <c r="F2" s="830"/>
      <c r="G2" s="815" t="s">
        <v>1257</v>
      </c>
      <c r="H2" s="816"/>
    </row>
    <row r="3" spans="1:8">
      <c r="A3" s="822"/>
      <c r="B3" s="825"/>
      <c r="C3" s="825"/>
      <c r="D3" s="828"/>
      <c r="E3" s="109" t="s">
        <v>44</v>
      </c>
      <c r="F3" s="110" t="s">
        <v>15</v>
      </c>
      <c r="G3" s="111" t="s">
        <v>44</v>
      </c>
      <c r="H3" s="112" t="s">
        <v>15</v>
      </c>
    </row>
    <row r="4" spans="1:8" ht="15.75" thickBot="1">
      <c r="A4" s="823"/>
      <c r="B4" s="826"/>
      <c r="C4" s="826"/>
      <c r="D4" s="113" t="s">
        <v>707</v>
      </c>
      <c r="E4" s="114" t="s">
        <v>1248</v>
      </c>
      <c r="F4" s="115" t="s">
        <v>1289</v>
      </c>
      <c r="G4" s="114" t="s">
        <v>1249</v>
      </c>
      <c r="H4" s="115" t="s">
        <v>1290</v>
      </c>
    </row>
    <row r="5" spans="1:8">
      <c r="A5" s="116" t="s">
        <v>1292</v>
      </c>
      <c r="B5" s="117" t="s">
        <v>1259</v>
      </c>
      <c r="C5" s="116" t="s">
        <v>1258</v>
      </c>
      <c r="D5" s="116">
        <v>11</v>
      </c>
      <c r="E5" s="121"/>
      <c r="F5" s="121">
        <f t="shared" ref="F5:F30" si="0">E5*D5</f>
        <v>0</v>
      </c>
      <c r="G5" s="122">
        <v>0</v>
      </c>
      <c r="H5" s="122">
        <f t="shared" ref="H5:H30" si="1">D5*G5</f>
        <v>0</v>
      </c>
    </row>
    <row r="6" spans="1:8">
      <c r="A6" s="116" t="s">
        <v>1293</v>
      </c>
      <c r="B6" s="117" t="s">
        <v>1260</v>
      </c>
      <c r="C6" s="116" t="s">
        <v>1258</v>
      </c>
      <c r="D6" s="116">
        <v>12</v>
      </c>
      <c r="E6" s="121"/>
      <c r="F6" s="121">
        <f t="shared" si="0"/>
        <v>0</v>
      </c>
      <c r="G6" s="122">
        <v>0</v>
      </c>
      <c r="H6" s="122">
        <f t="shared" si="1"/>
        <v>0</v>
      </c>
    </row>
    <row r="7" spans="1:8">
      <c r="A7" s="116" t="s">
        <v>1294</v>
      </c>
      <c r="B7" s="117" t="s">
        <v>1261</v>
      </c>
      <c r="C7" s="116" t="s">
        <v>1258</v>
      </c>
      <c r="D7" s="116">
        <v>74</v>
      </c>
      <c r="E7" s="121"/>
      <c r="F7" s="121">
        <f t="shared" si="0"/>
        <v>0</v>
      </c>
      <c r="G7" s="122">
        <v>0</v>
      </c>
      <c r="H7" s="122">
        <f t="shared" si="1"/>
        <v>0</v>
      </c>
    </row>
    <row r="8" spans="1:8">
      <c r="A8" s="116" t="s">
        <v>1295</v>
      </c>
      <c r="B8" s="117" t="s">
        <v>1262</v>
      </c>
      <c r="C8" s="116" t="s">
        <v>1258</v>
      </c>
      <c r="D8" s="116">
        <v>12</v>
      </c>
      <c r="E8" s="121"/>
      <c r="F8" s="121">
        <f t="shared" si="0"/>
        <v>0</v>
      </c>
      <c r="G8" s="122">
        <v>0</v>
      </c>
      <c r="H8" s="122">
        <f t="shared" si="1"/>
        <v>0</v>
      </c>
    </row>
    <row r="9" spans="1:8">
      <c r="A9" s="116" t="s">
        <v>1296</v>
      </c>
      <c r="B9" s="117" t="s">
        <v>1263</v>
      </c>
      <c r="C9" s="116" t="s">
        <v>1258</v>
      </c>
      <c r="D9" s="116">
        <v>10</v>
      </c>
      <c r="E9" s="121"/>
      <c r="F9" s="121">
        <f t="shared" si="0"/>
        <v>0</v>
      </c>
      <c r="G9" s="122">
        <v>0</v>
      </c>
      <c r="H9" s="122">
        <f t="shared" si="1"/>
        <v>0</v>
      </c>
    </row>
    <row r="10" spans="1:8">
      <c r="A10" s="116" t="s">
        <v>1297</v>
      </c>
      <c r="B10" s="117" t="s">
        <v>1264</v>
      </c>
      <c r="C10" s="116" t="s">
        <v>1258</v>
      </c>
      <c r="D10" s="116">
        <v>24</v>
      </c>
      <c r="E10" s="121"/>
      <c r="F10" s="121">
        <f t="shared" si="0"/>
        <v>0</v>
      </c>
      <c r="G10" s="122">
        <v>0</v>
      </c>
      <c r="H10" s="122">
        <f t="shared" si="1"/>
        <v>0</v>
      </c>
    </row>
    <row r="11" spans="1:8" ht="22.5">
      <c r="A11" s="116" t="s">
        <v>1298</v>
      </c>
      <c r="B11" s="117" t="s">
        <v>1265</v>
      </c>
      <c r="C11" s="116" t="s">
        <v>1258</v>
      </c>
      <c r="D11" s="116">
        <v>24</v>
      </c>
      <c r="E11" s="121"/>
      <c r="F11" s="121">
        <f t="shared" si="0"/>
        <v>0</v>
      </c>
      <c r="G11" s="122">
        <v>0</v>
      </c>
      <c r="H11" s="122">
        <f t="shared" si="1"/>
        <v>0</v>
      </c>
    </row>
    <row r="12" spans="1:8">
      <c r="A12" s="116" t="s">
        <v>1299</v>
      </c>
      <c r="B12" s="117" t="s">
        <v>1266</v>
      </c>
      <c r="C12" s="116" t="s">
        <v>1258</v>
      </c>
      <c r="D12" s="116">
        <v>48</v>
      </c>
      <c r="E12" s="121"/>
      <c r="F12" s="121">
        <f t="shared" si="0"/>
        <v>0</v>
      </c>
      <c r="G12" s="122">
        <v>0</v>
      </c>
      <c r="H12" s="122">
        <f t="shared" si="1"/>
        <v>0</v>
      </c>
    </row>
    <row r="13" spans="1:8">
      <c r="A13" s="116" t="s">
        <v>1300</v>
      </c>
      <c r="B13" s="117" t="s">
        <v>1267</v>
      </c>
      <c r="C13" s="116" t="s">
        <v>1258</v>
      </c>
      <c r="D13" s="116">
        <v>60</v>
      </c>
      <c r="E13" s="121"/>
      <c r="F13" s="121">
        <f t="shared" si="0"/>
        <v>0</v>
      </c>
      <c r="G13" s="122">
        <v>0</v>
      </c>
      <c r="H13" s="122">
        <f t="shared" si="1"/>
        <v>0</v>
      </c>
    </row>
    <row r="14" spans="1:8">
      <c r="A14" s="116" t="s">
        <v>1301</v>
      </c>
      <c r="B14" s="117" t="s">
        <v>1268</v>
      </c>
      <c r="C14" s="116" t="s">
        <v>1258</v>
      </c>
      <c r="D14" s="116">
        <v>18</v>
      </c>
      <c r="E14" s="121"/>
      <c r="F14" s="121">
        <f t="shared" si="0"/>
        <v>0</v>
      </c>
      <c r="G14" s="122">
        <v>0</v>
      </c>
      <c r="H14" s="122">
        <f t="shared" si="1"/>
        <v>0</v>
      </c>
    </row>
    <row r="15" spans="1:8">
      <c r="A15" s="116" t="s">
        <v>1302</v>
      </c>
      <c r="B15" s="117" t="s">
        <v>1269</v>
      </c>
      <c r="C15" s="116" t="s">
        <v>1258</v>
      </c>
      <c r="D15" s="116">
        <v>64</v>
      </c>
      <c r="E15" s="121"/>
      <c r="F15" s="121">
        <f t="shared" si="0"/>
        <v>0</v>
      </c>
      <c r="G15" s="122">
        <v>0</v>
      </c>
      <c r="H15" s="122">
        <f t="shared" si="1"/>
        <v>0</v>
      </c>
    </row>
    <row r="16" spans="1:8">
      <c r="A16" s="116" t="s">
        <v>1303</v>
      </c>
      <c r="B16" s="117" t="s">
        <v>1270</v>
      </c>
      <c r="C16" s="116" t="s">
        <v>1258</v>
      </c>
      <c r="D16" s="116">
        <v>20</v>
      </c>
      <c r="E16" s="121"/>
      <c r="F16" s="121">
        <f t="shared" si="0"/>
        <v>0</v>
      </c>
      <c r="G16" s="122">
        <v>0</v>
      </c>
      <c r="H16" s="122">
        <f t="shared" si="1"/>
        <v>0</v>
      </c>
    </row>
    <row r="17" spans="1:8" ht="22.5">
      <c r="A17" s="116" t="s">
        <v>1304</v>
      </c>
      <c r="B17" s="117" t="s">
        <v>1271</v>
      </c>
      <c r="C17" s="116" t="s">
        <v>1258</v>
      </c>
      <c r="D17" s="116">
        <v>12</v>
      </c>
      <c r="E17" s="121"/>
      <c r="F17" s="121">
        <f t="shared" si="0"/>
        <v>0</v>
      </c>
      <c r="G17" s="122">
        <v>0</v>
      </c>
      <c r="H17" s="122">
        <f t="shared" si="1"/>
        <v>0</v>
      </c>
    </row>
    <row r="18" spans="1:8">
      <c r="A18" s="116" t="s">
        <v>1305</v>
      </c>
      <c r="B18" s="117" t="s">
        <v>1272</v>
      </c>
      <c r="C18" s="116" t="s">
        <v>1273</v>
      </c>
      <c r="D18" s="116">
        <v>5</v>
      </c>
      <c r="E18" s="121"/>
      <c r="F18" s="121">
        <f t="shared" si="0"/>
        <v>0</v>
      </c>
      <c r="G18" s="122">
        <v>0</v>
      </c>
      <c r="H18" s="122">
        <f t="shared" si="1"/>
        <v>0</v>
      </c>
    </row>
    <row r="19" spans="1:8">
      <c r="A19" s="116" t="s">
        <v>1306</v>
      </c>
      <c r="B19" s="117" t="s">
        <v>1274</v>
      </c>
      <c r="C19" s="116" t="s">
        <v>1275</v>
      </c>
      <c r="D19" s="116">
        <v>11</v>
      </c>
      <c r="E19" s="121"/>
      <c r="F19" s="121">
        <f t="shared" si="0"/>
        <v>0</v>
      </c>
      <c r="G19" s="122">
        <v>0</v>
      </c>
      <c r="H19" s="122">
        <f t="shared" si="1"/>
        <v>0</v>
      </c>
    </row>
    <row r="20" spans="1:8">
      <c r="A20" s="116" t="s">
        <v>1307</v>
      </c>
      <c r="B20" s="117" t="s">
        <v>1276</v>
      </c>
      <c r="C20" s="116" t="s">
        <v>1275</v>
      </c>
      <c r="D20" s="116">
        <v>15</v>
      </c>
      <c r="E20" s="121"/>
      <c r="F20" s="121">
        <f t="shared" si="0"/>
        <v>0</v>
      </c>
      <c r="G20" s="122">
        <v>0</v>
      </c>
      <c r="H20" s="122">
        <f t="shared" si="1"/>
        <v>0</v>
      </c>
    </row>
    <row r="21" spans="1:8">
      <c r="A21" s="116" t="s">
        <v>1308</v>
      </c>
      <c r="B21" s="117" t="s">
        <v>1277</v>
      </c>
      <c r="C21" s="116" t="s">
        <v>1275</v>
      </c>
      <c r="D21" s="116">
        <v>12</v>
      </c>
      <c r="E21" s="121"/>
      <c r="F21" s="121">
        <f t="shared" si="0"/>
        <v>0</v>
      </c>
      <c r="G21" s="122">
        <v>0</v>
      </c>
      <c r="H21" s="122">
        <f t="shared" si="1"/>
        <v>0</v>
      </c>
    </row>
    <row r="22" spans="1:8">
      <c r="A22" s="116" t="s">
        <v>1309</v>
      </c>
      <c r="B22" s="117" t="s">
        <v>1278</v>
      </c>
      <c r="C22" s="116" t="s">
        <v>1275</v>
      </c>
      <c r="D22" s="116">
        <v>12</v>
      </c>
      <c r="E22" s="121"/>
      <c r="F22" s="121">
        <f t="shared" si="0"/>
        <v>0</v>
      </c>
      <c r="G22" s="122">
        <v>0</v>
      </c>
      <c r="H22" s="122">
        <f t="shared" si="1"/>
        <v>0</v>
      </c>
    </row>
    <row r="23" spans="1:8">
      <c r="A23" s="116" t="s">
        <v>1310</v>
      </c>
      <c r="B23" s="117" t="s">
        <v>1279</v>
      </c>
      <c r="C23" s="116" t="s">
        <v>1275</v>
      </c>
      <c r="D23" s="116">
        <v>48</v>
      </c>
      <c r="E23" s="121"/>
      <c r="F23" s="121">
        <f t="shared" si="0"/>
        <v>0</v>
      </c>
      <c r="G23" s="122">
        <v>0</v>
      </c>
      <c r="H23" s="122">
        <f t="shared" si="1"/>
        <v>0</v>
      </c>
    </row>
    <row r="24" spans="1:8" ht="22.5">
      <c r="A24" s="116" t="s">
        <v>1311</v>
      </c>
      <c r="B24" s="117" t="s">
        <v>1280</v>
      </c>
      <c r="C24" s="116" t="s">
        <v>1275</v>
      </c>
      <c r="D24" s="116">
        <v>48</v>
      </c>
      <c r="E24" s="121"/>
      <c r="F24" s="121">
        <f t="shared" si="0"/>
        <v>0</v>
      </c>
      <c r="G24" s="122">
        <v>0</v>
      </c>
      <c r="H24" s="122">
        <f t="shared" si="1"/>
        <v>0</v>
      </c>
    </row>
    <row r="25" spans="1:8">
      <c r="A25" s="116" t="s">
        <v>1312</v>
      </c>
      <c r="B25" s="117" t="s">
        <v>1281</v>
      </c>
      <c r="C25" s="116" t="s">
        <v>1273</v>
      </c>
      <c r="D25" s="116">
        <v>6</v>
      </c>
      <c r="E25" s="121"/>
      <c r="F25" s="121">
        <f t="shared" si="0"/>
        <v>0</v>
      </c>
      <c r="G25" s="122">
        <v>0</v>
      </c>
      <c r="H25" s="122">
        <f t="shared" si="1"/>
        <v>0</v>
      </c>
    </row>
    <row r="26" spans="1:8">
      <c r="A26" s="116" t="s">
        <v>1313</v>
      </c>
      <c r="B26" s="117" t="s">
        <v>1282</v>
      </c>
      <c r="C26" s="116" t="s">
        <v>1275</v>
      </c>
      <c r="D26" s="116">
        <v>18</v>
      </c>
      <c r="E26" s="121"/>
      <c r="F26" s="121">
        <f t="shared" si="0"/>
        <v>0</v>
      </c>
      <c r="G26" s="122">
        <v>0</v>
      </c>
      <c r="H26" s="122">
        <f t="shared" si="1"/>
        <v>0</v>
      </c>
    </row>
    <row r="27" spans="1:8">
      <c r="A27" s="116" t="s">
        <v>1314</v>
      </c>
      <c r="B27" s="117" t="s">
        <v>1283</v>
      </c>
      <c r="C27" s="116" t="s">
        <v>1275</v>
      </c>
      <c r="D27" s="116">
        <v>22</v>
      </c>
      <c r="E27" s="121"/>
      <c r="F27" s="121">
        <f t="shared" si="0"/>
        <v>0</v>
      </c>
      <c r="G27" s="122">
        <v>0</v>
      </c>
      <c r="H27" s="122">
        <f t="shared" si="1"/>
        <v>0</v>
      </c>
    </row>
    <row r="28" spans="1:8">
      <c r="A28" s="116" t="s">
        <v>1315</v>
      </c>
      <c r="B28" s="117" t="s">
        <v>1284</v>
      </c>
      <c r="C28" s="116" t="s">
        <v>1258</v>
      </c>
      <c r="D28" s="116">
        <v>18</v>
      </c>
      <c r="E28" s="121"/>
      <c r="F28" s="121">
        <f t="shared" si="0"/>
        <v>0</v>
      </c>
      <c r="G28" s="122">
        <v>0</v>
      </c>
      <c r="H28" s="122">
        <f t="shared" si="1"/>
        <v>0</v>
      </c>
    </row>
    <row r="29" spans="1:8">
      <c r="A29" s="116" t="s">
        <v>1316</v>
      </c>
      <c r="B29" s="117" t="s">
        <v>1285</v>
      </c>
      <c r="C29" s="116" t="s">
        <v>1258</v>
      </c>
      <c r="D29" s="116">
        <v>10</v>
      </c>
      <c r="E29" s="121"/>
      <c r="F29" s="121">
        <f t="shared" si="0"/>
        <v>0</v>
      </c>
      <c r="G29" s="122">
        <v>0</v>
      </c>
      <c r="H29" s="122">
        <f t="shared" si="1"/>
        <v>0</v>
      </c>
    </row>
    <row r="30" spans="1:8" ht="15.75" thickBot="1">
      <c r="A30" s="116" t="s">
        <v>1317</v>
      </c>
      <c r="B30" s="117" t="s">
        <v>1286</v>
      </c>
      <c r="C30" s="116" t="s">
        <v>1258</v>
      </c>
      <c r="D30" s="116">
        <v>2</v>
      </c>
      <c r="E30" s="121"/>
      <c r="F30" s="121">
        <f t="shared" si="0"/>
        <v>0</v>
      </c>
      <c r="G30" s="122">
        <v>0</v>
      </c>
      <c r="H30" s="122">
        <f t="shared" si="1"/>
        <v>0</v>
      </c>
    </row>
    <row r="31" spans="1:8" ht="30" customHeight="1" thickBot="1">
      <c r="A31" s="813" t="s">
        <v>1166</v>
      </c>
      <c r="B31" s="814"/>
      <c r="C31" s="814"/>
      <c r="D31" s="814"/>
      <c r="E31" s="119" t="s">
        <v>1287</v>
      </c>
      <c r="F31" s="118">
        <f>SUM(F5:F30)</f>
        <v>0</v>
      </c>
      <c r="G31" s="120" t="s">
        <v>1288</v>
      </c>
      <c r="H31" s="123">
        <f>SUM(H5:H30)</f>
        <v>0</v>
      </c>
    </row>
  </sheetData>
  <mergeCells count="8">
    <mergeCell ref="A31:D31"/>
    <mergeCell ref="G2:H2"/>
    <mergeCell ref="A1:H1"/>
    <mergeCell ref="A2:A4"/>
    <mergeCell ref="B2:B4"/>
    <mergeCell ref="C2:C4"/>
    <mergeCell ref="D2:D3"/>
    <mergeCell ref="E2:F2"/>
  </mergeCells>
  <phoneticPr fontId="7" type="noConversion"/>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AB4FD-D850-49B4-ABBC-7588F060D91B}">
  <sheetPr>
    <tabColor rgb="FFFFFF00"/>
  </sheetPr>
  <dimension ref="A1:H33"/>
  <sheetViews>
    <sheetView zoomScaleNormal="100" workbookViewId="0">
      <selection activeCell="E6" sqref="E6:E32"/>
    </sheetView>
  </sheetViews>
  <sheetFormatPr defaultRowHeight="15"/>
  <cols>
    <col min="1" max="1" width="10.7109375" customWidth="1"/>
    <col min="2" max="2" width="55.7109375" customWidth="1"/>
    <col min="3" max="3" width="10.7109375" customWidth="1"/>
    <col min="4" max="5" width="12.7109375" customWidth="1"/>
    <col min="6" max="6" width="15.7109375" customWidth="1"/>
    <col min="7" max="7" width="12.7109375" customWidth="1"/>
    <col min="8" max="8" width="15.7109375" customWidth="1"/>
  </cols>
  <sheetData>
    <row r="1" spans="1:8" ht="15.75" thickBot="1"/>
    <row r="2" spans="1:8" ht="16.5" thickBot="1">
      <c r="A2" s="836" t="s">
        <v>1441</v>
      </c>
      <c r="B2" s="837"/>
      <c r="C2" s="837"/>
      <c r="D2" s="837"/>
      <c r="E2" s="837"/>
      <c r="F2" s="837"/>
      <c r="G2" s="838"/>
      <c r="H2" s="839"/>
    </row>
    <row r="3" spans="1:8" ht="30" customHeight="1">
      <c r="A3" s="840" t="s">
        <v>0</v>
      </c>
      <c r="B3" s="843" t="s">
        <v>1</v>
      </c>
      <c r="C3" s="843" t="s">
        <v>696</v>
      </c>
      <c r="D3" s="846" t="s">
        <v>706</v>
      </c>
      <c r="E3" s="848" t="s">
        <v>43</v>
      </c>
      <c r="F3" s="849"/>
      <c r="G3" s="834" t="s">
        <v>1257</v>
      </c>
      <c r="H3" s="835"/>
    </row>
    <row r="4" spans="1:8">
      <c r="A4" s="841"/>
      <c r="B4" s="844"/>
      <c r="C4" s="844"/>
      <c r="D4" s="847"/>
      <c r="E4" s="102" t="s">
        <v>44</v>
      </c>
      <c r="F4" s="105" t="s">
        <v>15</v>
      </c>
      <c r="G4" s="102" t="s">
        <v>44</v>
      </c>
      <c r="H4" s="103" t="s">
        <v>15</v>
      </c>
    </row>
    <row r="5" spans="1:8" ht="15.75" thickBot="1">
      <c r="A5" s="842"/>
      <c r="B5" s="844"/>
      <c r="C5" s="845"/>
      <c r="D5" s="106" t="s">
        <v>707</v>
      </c>
      <c r="E5" s="107" t="s">
        <v>1248</v>
      </c>
      <c r="F5" s="108" t="s">
        <v>1250</v>
      </c>
      <c r="G5" s="107" t="s">
        <v>1249</v>
      </c>
      <c r="H5" s="108" t="s">
        <v>1251</v>
      </c>
    </row>
    <row r="6" spans="1:8" ht="33.75">
      <c r="A6" s="164" t="s">
        <v>1337</v>
      </c>
      <c r="B6" s="117" t="s">
        <v>1449</v>
      </c>
      <c r="C6" s="124" t="s">
        <v>1258</v>
      </c>
      <c r="D6" s="124">
        <v>472</v>
      </c>
      <c r="E6" s="189"/>
      <c r="F6" s="190">
        <f t="shared" ref="F6:F32" si="0">E6*D6</f>
        <v>0</v>
      </c>
      <c r="G6" s="128">
        <v>0</v>
      </c>
      <c r="H6" s="129">
        <f>D6*G6</f>
        <v>0</v>
      </c>
    </row>
    <row r="7" spans="1:8" ht="67.5">
      <c r="A7" s="164" t="s">
        <v>1338</v>
      </c>
      <c r="B7" s="117" t="s">
        <v>1442</v>
      </c>
      <c r="C7" s="124" t="s">
        <v>1258</v>
      </c>
      <c r="D7" s="124">
        <v>84</v>
      </c>
      <c r="E7" s="191"/>
      <c r="F7" s="192">
        <f t="shared" si="0"/>
        <v>0</v>
      </c>
      <c r="G7" s="128">
        <v>0</v>
      </c>
      <c r="H7" s="129">
        <f t="shared" ref="H7:H32" si="1">D7*G7</f>
        <v>0</v>
      </c>
    </row>
    <row r="8" spans="1:8" ht="78.75">
      <c r="A8" s="164" t="s">
        <v>1339</v>
      </c>
      <c r="B8" s="117" t="s">
        <v>1443</v>
      </c>
      <c r="C8" s="124" t="s">
        <v>1258</v>
      </c>
      <c r="D8" s="124">
        <v>168</v>
      </c>
      <c r="E8" s="191"/>
      <c r="F8" s="192">
        <f t="shared" si="0"/>
        <v>0</v>
      </c>
      <c r="G8" s="128">
        <v>0</v>
      </c>
      <c r="H8" s="129">
        <f t="shared" si="1"/>
        <v>0</v>
      </c>
    </row>
    <row r="9" spans="1:8" ht="22.5">
      <c r="A9" s="164" t="s">
        <v>1340</v>
      </c>
      <c r="B9" s="117" t="s">
        <v>1524</v>
      </c>
      <c r="C9" s="124" t="s">
        <v>1258</v>
      </c>
      <c r="D9" s="124">
        <v>132</v>
      </c>
      <c r="E9" s="191"/>
      <c r="F9" s="192">
        <f t="shared" si="0"/>
        <v>0</v>
      </c>
      <c r="G9" s="128">
        <v>0</v>
      </c>
      <c r="H9" s="129">
        <f t="shared" si="1"/>
        <v>0</v>
      </c>
    </row>
    <row r="10" spans="1:8" ht="67.5">
      <c r="A10" s="164" t="s">
        <v>1341</v>
      </c>
      <c r="B10" s="117" t="s">
        <v>1444</v>
      </c>
      <c r="C10" s="124" t="s">
        <v>1258</v>
      </c>
      <c r="D10" s="124">
        <v>84</v>
      </c>
      <c r="E10" s="191"/>
      <c r="F10" s="192">
        <f t="shared" si="0"/>
        <v>0</v>
      </c>
      <c r="G10" s="128">
        <v>0</v>
      </c>
      <c r="H10" s="129">
        <f t="shared" si="1"/>
        <v>0</v>
      </c>
    </row>
    <row r="11" spans="1:8" ht="33.75">
      <c r="A11" s="164" t="s">
        <v>1342</v>
      </c>
      <c r="B11" s="117" t="s">
        <v>1445</v>
      </c>
      <c r="C11" s="124" t="s">
        <v>1318</v>
      </c>
      <c r="D11" s="124">
        <v>30</v>
      </c>
      <c r="E11" s="191"/>
      <c r="F11" s="192">
        <f t="shared" si="0"/>
        <v>0</v>
      </c>
      <c r="G11" s="128">
        <v>0</v>
      </c>
      <c r="H11" s="129">
        <f t="shared" si="1"/>
        <v>0</v>
      </c>
    </row>
    <row r="12" spans="1:8" ht="56.25">
      <c r="A12" s="164" t="s">
        <v>1343</v>
      </c>
      <c r="B12" s="117" t="s">
        <v>1446</v>
      </c>
      <c r="C12" s="124" t="s">
        <v>1258</v>
      </c>
      <c r="D12" s="124">
        <v>664</v>
      </c>
      <c r="E12" s="191"/>
      <c r="F12" s="192">
        <f t="shared" si="0"/>
        <v>0</v>
      </c>
      <c r="G12" s="128">
        <v>0</v>
      </c>
      <c r="H12" s="129">
        <f t="shared" si="1"/>
        <v>0</v>
      </c>
    </row>
    <row r="13" spans="1:8" ht="56.25">
      <c r="A13" s="164" t="s">
        <v>1344</v>
      </c>
      <c r="B13" s="117" t="s">
        <v>1447</v>
      </c>
      <c r="C13" s="124" t="s">
        <v>1258</v>
      </c>
      <c r="D13" s="124">
        <v>132</v>
      </c>
      <c r="E13" s="191"/>
      <c r="F13" s="192">
        <f t="shared" si="0"/>
        <v>0</v>
      </c>
      <c r="G13" s="128">
        <v>0</v>
      </c>
      <c r="H13" s="129">
        <f t="shared" si="1"/>
        <v>0</v>
      </c>
    </row>
    <row r="14" spans="1:8" ht="90">
      <c r="A14" s="164" t="s">
        <v>1345</v>
      </c>
      <c r="B14" s="117" t="s">
        <v>1448</v>
      </c>
      <c r="C14" s="124" t="s">
        <v>1258</v>
      </c>
      <c r="D14" s="124">
        <v>84</v>
      </c>
      <c r="E14" s="191"/>
      <c r="F14" s="192">
        <f t="shared" si="0"/>
        <v>0</v>
      </c>
      <c r="G14" s="128">
        <v>0</v>
      </c>
      <c r="H14" s="129">
        <f t="shared" si="1"/>
        <v>0</v>
      </c>
    </row>
    <row r="15" spans="1:8" ht="45">
      <c r="A15" s="164" t="s">
        <v>1346</v>
      </c>
      <c r="B15" s="117" t="s">
        <v>1451</v>
      </c>
      <c r="C15" s="124" t="s">
        <v>1258</v>
      </c>
      <c r="D15" s="124">
        <v>84</v>
      </c>
      <c r="E15" s="191"/>
      <c r="F15" s="192">
        <f t="shared" si="0"/>
        <v>0</v>
      </c>
      <c r="G15" s="128">
        <v>0</v>
      </c>
      <c r="H15" s="129">
        <f t="shared" si="1"/>
        <v>0</v>
      </c>
    </row>
    <row r="16" spans="1:8" ht="78.75">
      <c r="A16" s="164" t="s">
        <v>1347</v>
      </c>
      <c r="B16" s="117" t="s">
        <v>1452</v>
      </c>
      <c r="C16" s="124" t="s">
        <v>1258</v>
      </c>
      <c r="D16" s="124">
        <v>264</v>
      </c>
      <c r="E16" s="191"/>
      <c r="F16" s="192">
        <f t="shared" si="0"/>
        <v>0</v>
      </c>
      <c r="G16" s="128">
        <v>0</v>
      </c>
      <c r="H16" s="129">
        <f t="shared" si="1"/>
        <v>0</v>
      </c>
    </row>
    <row r="17" spans="1:8" ht="45">
      <c r="A17" s="164" t="s">
        <v>1348</v>
      </c>
      <c r="B17" s="117" t="s">
        <v>1450</v>
      </c>
      <c r="C17" s="124" t="s">
        <v>41</v>
      </c>
      <c r="D17" s="124">
        <v>30</v>
      </c>
      <c r="E17" s="191"/>
      <c r="F17" s="192">
        <f t="shared" si="0"/>
        <v>0</v>
      </c>
      <c r="G17" s="128">
        <v>0</v>
      </c>
      <c r="H17" s="129">
        <f t="shared" si="1"/>
        <v>0</v>
      </c>
    </row>
    <row r="18" spans="1:8">
      <c r="A18" s="164" t="s">
        <v>1349</v>
      </c>
      <c r="B18" s="195" t="s">
        <v>1322</v>
      </c>
      <c r="C18" s="124" t="s">
        <v>682</v>
      </c>
      <c r="D18" s="124">
        <v>30</v>
      </c>
      <c r="E18" s="191"/>
      <c r="F18" s="192">
        <f t="shared" si="0"/>
        <v>0</v>
      </c>
      <c r="G18" s="128">
        <v>0</v>
      </c>
      <c r="H18" s="129">
        <f t="shared" si="1"/>
        <v>0</v>
      </c>
    </row>
    <row r="19" spans="1:8">
      <c r="A19" s="164" t="s">
        <v>1350</v>
      </c>
      <c r="B19" s="195" t="s">
        <v>1323</v>
      </c>
      <c r="C19" s="124" t="s">
        <v>682</v>
      </c>
      <c r="D19" s="124">
        <v>130</v>
      </c>
      <c r="E19" s="191"/>
      <c r="F19" s="192">
        <f t="shared" si="0"/>
        <v>0</v>
      </c>
      <c r="G19" s="128">
        <v>0</v>
      </c>
      <c r="H19" s="129">
        <f t="shared" si="1"/>
        <v>0</v>
      </c>
    </row>
    <row r="20" spans="1:8">
      <c r="A20" s="164" t="s">
        <v>1351</v>
      </c>
      <c r="B20" s="195" t="s">
        <v>1324</v>
      </c>
      <c r="C20" s="124" t="s">
        <v>682</v>
      </c>
      <c r="D20" s="124">
        <v>80</v>
      </c>
      <c r="E20" s="191"/>
      <c r="F20" s="192">
        <f t="shared" si="0"/>
        <v>0</v>
      </c>
      <c r="G20" s="128">
        <v>0</v>
      </c>
      <c r="H20" s="129">
        <f t="shared" si="1"/>
        <v>0</v>
      </c>
    </row>
    <row r="21" spans="1:8">
      <c r="A21" s="164" t="s">
        <v>1352</v>
      </c>
      <c r="B21" s="195" t="s">
        <v>1325</v>
      </c>
      <c r="C21" s="124" t="s">
        <v>682</v>
      </c>
      <c r="D21" s="124">
        <v>80</v>
      </c>
      <c r="E21" s="191"/>
      <c r="F21" s="192">
        <f t="shared" si="0"/>
        <v>0</v>
      </c>
      <c r="G21" s="128">
        <v>0</v>
      </c>
      <c r="H21" s="129">
        <f t="shared" si="1"/>
        <v>0</v>
      </c>
    </row>
    <row r="22" spans="1:8">
      <c r="A22" s="164" t="s">
        <v>1353</v>
      </c>
      <c r="B22" s="195" t="s">
        <v>1326</v>
      </c>
      <c r="C22" s="124" t="s">
        <v>682</v>
      </c>
      <c r="D22" s="124">
        <v>100</v>
      </c>
      <c r="E22" s="191"/>
      <c r="F22" s="192">
        <f t="shared" si="0"/>
        <v>0</v>
      </c>
      <c r="G22" s="128">
        <v>0</v>
      </c>
      <c r="H22" s="129">
        <f t="shared" si="1"/>
        <v>0</v>
      </c>
    </row>
    <row r="23" spans="1:8">
      <c r="A23" s="164" t="s">
        <v>1354</v>
      </c>
      <c r="B23" s="195" t="s">
        <v>1327</v>
      </c>
      <c r="C23" s="124" t="s">
        <v>682</v>
      </c>
      <c r="D23" s="124">
        <v>100</v>
      </c>
      <c r="E23" s="191"/>
      <c r="F23" s="192">
        <f t="shared" si="0"/>
        <v>0</v>
      </c>
      <c r="G23" s="128">
        <v>0</v>
      </c>
      <c r="H23" s="129">
        <f t="shared" si="1"/>
        <v>0</v>
      </c>
    </row>
    <row r="24" spans="1:8">
      <c r="A24" s="164" t="s">
        <v>1355</v>
      </c>
      <c r="B24" s="195" t="s">
        <v>1328</v>
      </c>
      <c r="C24" s="124" t="s">
        <v>682</v>
      </c>
      <c r="D24" s="124">
        <v>30</v>
      </c>
      <c r="E24" s="191"/>
      <c r="F24" s="192">
        <f t="shared" si="0"/>
        <v>0</v>
      </c>
      <c r="G24" s="128">
        <v>0</v>
      </c>
      <c r="H24" s="129">
        <f t="shared" si="1"/>
        <v>0</v>
      </c>
    </row>
    <row r="25" spans="1:8">
      <c r="A25" s="164" t="s">
        <v>1356</v>
      </c>
      <c r="B25" s="195" t="s">
        <v>1329</v>
      </c>
      <c r="C25" s="124" t="s">
        <v>682</v>
      </c>
      <c r="D25" s="124">
        <v>30</v>
      </c>
      <c r="E25" s="191"/>
      <c r="F25" s="192">
        <f t="shared" si="0"/>
        <v>0</v>
      </c>
      <c r="G25" s="128">
        <v>0</v>
      </c>
      <c r="H25" s="129">
        <f t="shared" si="1"/>
        <v>0</v>
      </c>
    </row>
    <row r="26" spans="1:8">
      <c r="A26" s="164" t="s">
        <v>1357</v>
      </c>
      <c r="B26" s="195" t="s">
        <v>1330</v>
      </c>
      <c r="C26" s="124" t="s">
        <v>1258</v>
      </c>
      <c r="D26" s="124">
        <v>30</v>
      </c>
      <c r="E26" s="191"/>
      <c r="F26" s="192">
        <f t="shared" si="0"/>
        <v>0</v>
      </c>
      <c r="G26" s="128">
        <v>0</v>
      </c>
      <c r="H26" s="129">
        <f t="shared" si="1"/>
        <v>0</v>
      </c>
    </row>
    <row r="27" spans="1:8">
      <c r="A27" s="164" t="s">
        <v>1358</v>
      </c>
      <c r="B27" s="195" t="s">
        <v>1331</v>
      </c>
      <c r="C27" s="124" t="s">
        <v>1273</v>
      </c>
      <c r="D27" s="124">
        <v>5</v>
      </c>
      <c r="E27" s="191"/>
      <c r="F27" s="192">
        <f t="shared" si="0"/>
        <v>0</v>
      </c>
      <c r="G27" s="128">
        <v>0</v>
      </c>
      <c r="H27" s="129">
        <f t="shared" si="1"/>
        <v>0</v>
      </c>
    </row>
    <row r="28" spans="1:8">
      <c r="A28" s="164" t="s">
        <v>1359</v>
      </c>
      <c r="B28" s="195" t="s">
        <v>1332</v>
      </c>
      <c r="C28" s="124" t="s">
        <v>1319</v>
      </c>
      <c r="D28" s="124">
        <v>200</v>
      </c>
      <c r="E28" s="191"/>
      <c r="F28" s="192">
        <f t="shared" si="0"/>
        <v>0</v>
      </c>
      <c r="G28" s="128">
        <v>0</v>
      </c>
      <c r="H28" s="129">
        <f t="shared" si="1"/>
        <v>0</v>
      </c>
    </row>
    <row r="29" spans="1:8" ht="22.5">
      <c r="A29" s="164" t="s">
        <v>1360</v>
      </c>
      <c r="B29" s="117" t="s">
        <v>1333</v>
      </c>
      <c r="C29" s="124" t="s">
        <v>1258</v>
      </c>
      <c r="D29" s="124">
        <v>500</v>
      </c>
      <c r="E29" s="191"/>
      <c r="F29" s="192">
        <f t="shared" si="0"/>
        <v>0</v>
      </c>
      <c r="G29" s="128">
        <v>0</v>
      </c>
      <c r="H29" s="129">
        <f t="shared" si="1"/>
        <v>0</v>
      </c>
    </row>
    <row r="30" spans="1:8" ht="33.75">
      <c r="A30" s="164" t="s">
        <v>1361</v>
      </c>
      <c r="B30" s="117" t="s">
        <v>1334</v>
      </c>
      <c r="C30" s="124" t="s">
        <v>1258</v>
      </c>
      <c r="D30" s="124">
        <v>100</v>
      </c>
      <c r="E30" s="191"/>
      <c r="F30" s="192">
        <f t="shared" si="0"/>
        <v>0</v>
      </c>
      <c r="G30" s="128">
        <v>0</v>
      </c>
      <c r="H30" s="129">
        <f t="shared" si="1"/>
        <v>0</v>
      </c>
    </row>
    <row r="31" spans="1:8">
      <c r="A31" s="164" t="s">
        <v>1362</v>
      </c>
      <c r="B31" s="134" t="s">
        <v>1335</v>
      </c>
      <c r="C31" s="124" t="s">
        <v>1258</v>
      </c>
      <c r="D31" s="124">
        <v>2000</v>
      </c>
      <c r="E31" s="191"/>
      <c r="F31" s="192">
        <f t="shared" si="0"/>
        <v>0</v>
      </c>
      <c r="G31" s="128">
        <v>0</v>
      </c>
      <c r="H31" s="129">
        <f t="shared" si="1"/>
        <v>0</v>
      </c>
    </row>
    <row r="32" spans="1:8" ht="15.75" thickBot="1">
      <c r="A32" s="164" t="s">
        <v>1363</v>
      </c>
      <c r="B32" s="135" t="s">
        <v>1336</v>
      </c>
      <c r="C32" s="126" t="s">
        <v>1258</v>
      </c>
      <c r="D32" s="126">
        <v>2000</v>
      </c>
      <c r="E32" s="193"/>
      <c r="F32" s="194">
        <f t="shared" si="0"/>
        <v>0</v>
      </c>
      <c r="G32" s="128">
        <v>0</v>
      </c>
      <c r="H32" s="129">
        <f t="shared" si="1"/>
        <v>0</v>
      </c>
    </row>
    <row r="33" spans="1:8" ht="32.25" thickBot="1">
      <c r="A33" s="831" t="s">
        <v>1166</v>
      </c>
      <c r="B33" s="832"/>
      <c r="C33" s="832"/>
      <c r="D33" s="833"/>
      <c r="E33" s="130" t="s">
        <v>1320</v>
      </c>
      <c r="F33" s="131">
        <f>SUM(F6:F32)</f>
        <v>0</v>
      </c>
      <c r="G33" s="132" t="s">
        <v>1321</v>
      </c>
      <c r="H33" s="133">
        <f>SUM(H6:H32)</f>
        <v>0</v>
      </c>
    </row>
  </sheetData>
  <mergeCells count="8">
    <mergeCell ref="A33:D33"/>
    <mergeCell ref="G3:H3"/>
    <mergeCell ref="A2:H2"/>
    <mergeCell ref="A3:A5"/>
    <mergeCell ref="B3:B5"/>
    <mergeCell ref="C3:C5"/>
    <mergeCell ref="D3:D4"/>
    <mergeCell ref="E3:F3"/>
  </mergeCells>
  <phoneticPr fontId="7" type="noConversion"/>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A1A72-0ECF-4D58-BA99-585FC5A9E18A}">
  <sheetPr>
    <tabColor rgb="FFFFFF00"/>
  </sheetPr>
  <dimension ref="A1:K81"/>
  <sheetViews>
    <sheetView zoomScale="115" zoomScaleNormal="115" workbookViewId="0">
      <selection activeCell="E5" sqref="E5"/>
    </sheetView>
  </sheetViews>
  <sheetFormatPr defaultRowHeight="15"/>
  <cols>
    <col min="1" max="1" width="16.7109375" customWidth="1"/>
    <col min="2" max="2" width="30.7109375" customWidth="1"/>
    <col min="3" max="4" width="16.7109375" customWidth="1"/>
    <col min="5" max="8" width="10.7109375" customWidth="1"/>
    <col min="11" max="12" width="9.5703125" bestFit="1" customWidth="1"/>
  </cols>
  <sheetData>
    <row r="1" spans="1:11" ht="16.5" thickBot="1">
      <c r="A1" s="877" t="s">
        <v>1435</v>
      </c>
      <c r="B1" s="878"/>
      <c r="C1" s="878"/>
      <c r="D1" s="879"/>
      <c r="E1" s="878"/>
      <c r="F1" s="878"/>
      <c r="G1" s="778"/>
      <c r="H1" s="779"/>
    </row>
    <row r="2" spans="1:11" ht="30" customHeight="1">
      <c r="A2" s="840" t="s">
        <v>0</v>
      </c>
      <c r="B2" s="843" t="s">
        <v>1</v>
      </c>
      <c r="C2" s="843" t="s">
        <v>696</v>
      </c>
      <c r="D2" s="880" t="s">
        <v>1439</v>
      </c>
      <c r="E2" s="881" t="s">
        <v>43</v>
      </c>
      <c r="F2" s="849"/>
      <c r="G2" s="834" t="s">
        <v>1257</v>
      </c>
      <c r="H2" s="835"/>
    </row>
    <row r="3" spans="1:11">
      <c r="A3" s="841"/>
      <c r="B3" s="844"/>
      <c r="C3" s="844"/>
      <c r="D3" s="880"/>
      <c r="E3" s="104" t="s">
        <v>44</v>
      </c>
      <c r="F3" s="155" t="s">
        <v>15</v>
      </c>
      <c r="G3" s="156" t="s">
        <v>44</v>
      </c>
      <c r="H3" s="159" t="s">
        <v>15</v>
      </c>
    </row>
    <row r="4" spans="1:11" ht="15.75" thickBot="1">
      <c r="A4" s="842"/>
      <c r="B4" s="845"/>
      <c r="C4" s="845"/>
      <c r="D4" s="106" t="s">
        <v>707</v>
      </c>
      <c r="E4" s="157" t="s">
        <v>1248</v>
      </c>
      <c r="F4" s="157" t="s">
        <v>1436</v>
      </c>
      <c r="G4" s="158" t="s">
        <v>1249</v>
      </c>
      <c r="H4" s="160" t="s">
        <v>1437</v>
      </c>
    </row>
    <row r="5" spans="1:11" ht="30" customHeight="1" thickBot="1">
      <c r="A5" s="144">
        <v>6</v>
      </c>
      <c r="B5" s="150" t="s">
        <v>1438</v>
      </c>
      <c r="C5" s="145" t="s">
        <v>1434</v>
      </c>
      <c r="D5" s="145">
        <v>12</v>
      </c>
      <c r="E5" s="151"/>
      <c r="F5" s="152">
        <f>D5*E5</f>
        <v>0</v>
      </c>
      <c r="G5" s="153"/>
      <c r="H5" s="154">
        <f>D5*G5</f>
        <v>0</v>
      </c>
      <c r="K5" s="149"/>
    </row>
    <row r="6" spans="1:11" ht="15" customHeight="1">
      <c r="A6" s="886" t="s">
        <v>1531</v>
      </c>
      <c r="B6" s="887"/>
      <c r="C6" s="887"/>
      <c r="D6" s="887"/>
      <c r="E6" s="888"/>
      <c r="F6" s="888"/>
      <c r="G6" s="888"/>
      <c r="H6" s="889"/>
    </row>
    <row r="7" spans="1:11" ht="15.75" thickBot="1">
      <c r="A7" s="890"/>
      <c r="B7" s="891"/>
      <c r="C7" s="891"/>
      <c r="D7" s="891"/>
      <c r="E7" s="892"/>
      <c r="F7" s="892"/>
      <c r="G7" s="892"/>
      <c r="H7" s="893"/>
    </row>
    <row r="8" spans="1:11" ht="22.5">
      <c r="A8" s="146" t="s">
        <v>1424</v>
      </c>
      <c r="B8" s="147" t="s">
        <v>1425</v>
      </c>
      <c r="C8" s="147" t="s">
        <v>1430</v>
      </c>
      <c r="D8" s="148" t="s">
        <v>1427</v>
      </c>
      <c r="E8" s="894" t="s">
        <v>1427</v>
      </c>
      <c r="F8" s="873"/>
      <c r="G8" s="873"/>
      <c r="H8" s="864"/>
    </row>
    <row r="9" spans="1:11">
      <c r="A9" s="850" t="s">
        <v>1423</v>
      </c>
      <c r="B9" s="140" t="s">
        <v>1364</v>
      </c>
      <c r="C9" s="859" t="s">
        <v>1426</v>
      </c>
      <c r="D9" s="895"/>
      <c r="E9" s="868" t="s">
        <v>1428</v>
      </c>
      <c r="F9" s="869"/>
      <c r="G9" s="869"/>
      <c r="H9" s="860"/>
    </row>
    <row r="10" spans="1:11">
      <c r="A10" s="851"/>
      <c r="B10" s="137" t="s">
        <v>1365</v>
      </c>
      <c r="C10" s="896"/>
      <c r="D10" s="897"/>
      <c r="E10" s="870"/>
      <c r="F10" s="871"/>
      <c r="G10" s="871"/>
      <c r="H10" s="862"/>
    </row>
    <row r="11" spans="1:11">
      <c r="A11" s="851"/>
      <c r="B11" s="136" t="s">
        <v>1366</v>
      </c>
      <c r="C11" s="896"/>
      <c r="D11" s="897"/>
      <c r="E11" s="870"/>
      <c r="F11" s="871"/>
      <c r="G11" s="871"/>
      <c r="H11" s="862"/>
    </row>
    <row r="12" spans="1:11">
      <c r="A12" s="851"/>
      <c r="B12" s="137" t="s">
        <v>1367</v>
      </c>
      <c r="C12" s="896"/>
      <c r="D12" s="897"/>
      <c r="E12" s="870"/>
      <c r="F12" s="871"/>
      <c r="G12" s="871"/>
      <c r="H12" s="862"/>
    </row>
    <row r="13" spans="1:11">
      <c r="A13" s="851"/>
      <c r="B13" s="136" t="s">
        <v>1368</v>
      </c>
      <c r="C13" s="896"/>
      <c r="D13" s="897"/>
      <c r="E13" s="870"/>
      <c r="F13" s="871"/>
      <c r="G13" s="871"/>
      <c r="H13" s="862"/>
    </row>
    <row r="14" spans="1:11">
      <c r="A14" s="851"/>
      <c r="B14" s="137" t="s">
        <v>1369</v>
      </c>
      <c r="C14" s="896"/>
      <c r="D14" s="897"/>
      <c r="E14" s="870"/>
      <c r="F14" s="871"/>
      <c r="G14" s="871"/>
      <c r="H14" s="862"/>
    </row>
    <row r="15" spans="1:11">
      <c r="A15" s="851"/>
      <c r="B15" s="136" t="s">
        <v>1370</v>
      </c>
      <c r="C15" s="896"/>
      <c r="D15" s="897"/>
      <c r="E15" s="870"/>
      <c r="F15" s="871"/>
      <c r="G15" s="871"/>
      <c r="H15" s="862"/>
    </row>
    <row r="16" spans="1:11">
      <c r="A16" s="851"/>
      <c r="B16" s="140" t="s">
        <v>1371</v>
      </c>
      <c r="C16" s="896"/>
      <c r="D16" s="897"/>
      <c r="E16" s="870"/>
      <c r="F16" s="871"/>
      <c r="G16" s="871"/>
      <c r="H16" s="862"/>
    </row>
    <row r="17" spans="1:8">
      <c r="A17" s="851"/>
      <c r="B17" s="137" t="s">
        <v>1372</v>
      </c>
      <c r="C17" s="896"/>
      <c r="D17" s="897"/>
      <c r="E17" s="870"/>
      <c r="F17" s="871"/>
      <c r="G17" s="871"/>
      <c r="H17" s="862"/>
    </row>
    <row r="18" spans="1:8">
      <c r="A18" s="851"/>
      <c r="B18" s="136" t="s">
        <v>1373</v>
      </c>
      <c r="C18" s="896"/>
      <c r="D18" s="897"/>
      <c r="E18" s="870"/>
      <c r="F18" s="871"/>
      <c r="G18" s="871"/>
      <c r="H18" s="862"/>
    </row>
    <row r="19" spans="1:8">
      <c r="A19" s="851"/>
      <c r="B19" s="140" t="s">
        <v>1374</v>
      </c>
      <c r="C19" s="896"/>
      <c r="D19" s="897"/>
      <c r="E19" s="870"/>
      <c r="F19" s="871"/>
      <c r="G19" s="871"/>
      <c r="H19" s="862"/>
    </row>
    <row r="20" spans="1:8">
      <c r="A20" s="851"/>
      <c r="B20" s="137" t="s">
        <v>1375</v>
      </c>
      <c r="C20" s="896"/>
      <c r="D20" s="897"/>
      <c r="E20" s="870"/>
      <c r="F20" s="871"/>
      <c r="G20" s="871"/>
      <c r="H20" s="862"/>
    </row>
    <row r="21" spans="1:8">
      <c r="A21" s="853"/>
      <c r="B21" s="136" t="s">
        <v>1376</v>
      </c>
      <c r="C21" s="898"/>
      <c r="D21" s="899"/>
      <c r="E21" s="872"/>
      <c r="F21" s="873"/>
      <c r="G21" s="873"/>
      <c r="H21" s="864"/>
    </row>
    <row r="22" spans="1:8">
      <c r="A22" s="865"/>
      <c r="B22" s="866"/>
      <c r="C22" s="866"/>
      <c r="D22" s="866"/>
      <c r="E22" s="866"/>
      <c r="F22" s="866"/>
      <c r="G22" s="866"/>
      <c r="H22" s="867"/>
    </row>
    <row r="23" spans="1:8">
      <c r="A23" s="850" t="s">
        <v>1432</v>
      </c>
      <c r="B23" s="140" t="s">
        <v>1377</v>
      </c>
      <c r="C23" s="859" t="s">
        <v>1426</v>
      </c>
      <c r="D23" s="860"/>
      <c r="E23" s="868" t="s">
        <v>1429</v>
      </c>
      <c r="F23" s="869"/>
      <c r="G23" s="869"/>
      <c r="H23" s="860"/>
    </row>
    <row r="24" spans="1:8">
      <c r="A24" s="851"/>
      <c r="B24" s="140" t="s">
        <v>1378</v>
      </c>
      <c r="C24" s="861"/>
      <c r="D24" s="862"/>
      <c r="E24" s="870"/>
      <c r="F24" s="871"/>
      <c r="G24" s="871"/>
      <c r="H24" s="862"/>
    </row>
    <row r="25" spans="1:8">
      <c r="A25" s="851"/>
      <c r="B25" s="137" t="s">
        <v>1379</v>
      </c>
      <c r="C25" s="861"/>
      <c r="D25" s="862"/>
      <c r="E25" s="870"/>
      <c r="F25" s="871"/>
      <c r="G25" s="871"/>
      <c r="H25" s="862"/>
    </row>
    <row r="26" spans="1:8">
      <c r="A26" s="853"/>
      <c r="B26" s="136" t="s">
        <v>1380</v>
      </c>
      <c r="C26" s="863"/>
      <c r="D26" s="864"/>
      <c r="E26" s="872"/>
      <c r="F26" s="873"/>
      <c r="G26" s="873"/>
      <c r="H26" s="864"/>
    </row>
    <row r="27" spans="1:8">
      <c r="A27" s="900"/>
      <c r="B27" s="901"/>
      <c r="C27" s="901"/>
      <c r="D27" s="901"/>
      <c r="E27" s="901"/>
      <c r="F27" s="901"/>
      <c r="G27" s="901"/>
      <c r="H27" s="902"/>
    </row>
    <row r="28" spans="1:8">
      <c r="A28" s="854" t="s">
        <v>1431</v>
      </c>
      <c r="B28" s="142" t="s">
        <v>1381</v>
      </c>
      <c r="C28" s="859" t="s">
        <v>1426</v>
      </c>
      <c r="D28" s="895"/>
      <c r="E28" s="868" t="s">
        <v>1429</v>
      </c>
      <c r="F28" s="869"/>
      <c r="G28" s="869"/>
      <c r="H28" s="860"/>
    </row>
    <row r="29" spans="1:8">
      <c r="A29" s="855"/>
      <c r="B29" s="143" t="s">
        <v>1382</v>
      </c>
      <c r="C29" s="861"/>
      <c r="D29" s="897"/>
      <c r="E29" s="870"/>
      <c r="F29" s="871"/>
      <c r="G29" s="871"/>
      <c r="H29" s="862"/>
    </row>
    <row r="30" spans="1:8">
      <c r="A30" s="855"/>
      <c r="B30" s="141" t="s">
        <v>1383</v>
      </c>
      <c r="C30" s="861"/>
      <c r="D30" s="897"/>
      <c r="E30" s="870"/>
      <c r="F30" s="871"/>
      <c r="G30" s="871"/>
      <c r="H30" s="862"/>
    </row>
    <row r="31" spans="1:8">
      <c r="A31" s="855"/>
      <c r="B31" s="142" t="s">
        <v>1384</v>
      </c>
      <c r="C31" s="861"/>
      <c r="D31" s="897"/>
      <c r="E31" s="870"/>
      <c r="F31" s="871"/>
      <c r="G31" s="871"/>
      <c r="H31" s="862"/>
    </row>
    <row r="32" spans="1:8">
      <c r="A32" s="855"/>
      <c r="B32" s="143" t="s">
        <v>1385</v>
      </c>
      <c r="C32" s="896"/>
      <c r="D32" s="897"/>
      <c r="E32" s="870"/>
      <c r="F32" s="871"/>
      <c r="G32" s="871"/>
      <c r="H32" s="862"/>
    </row>
    <row r="33" spans="1:8">
      <c r="A33" s="855"/>
      <c r="B33" s="142" t="s">
        <v>1386</v>
      </c>
      <c r="C33" s="896"/>
      <c r="D33" s="897"/>
      <c r="E33" s="870"/>
      <c r="F33" s="871"/>
      <c r="G33" s="871"/>
      <c r="H33" s="862"/>
    </row>
    <row r="34" spans="1:8">
      <c r="A34" s="855"/>
      <c r="B34" s="143" t="s">
        <v>1387</v>
      </c>
      <c r="C34" s="896"/>
      <c r="D34" s="897"/>
      <c r="E34" s="870"/>
      <c r="F34" s="871"/>
      <c r="G34" s="871"/>
      <c r="H34" s="862"/>
    </row>
    <row r="35" spans="1:8">
      <c r="A35" s="855"/>
      <c r="B35" s="141" t="s">
        <v>1388</v>
      </c>
      <c r="C35" s="896"/>
      <c r="D35" s="897"/>
      <c r="E35" s="870"/>
      <c r="F35" s="871"/>
      <c r="G35" s="871"/>
      <c r="H35" s="862"/>
    </row>
    <row r="36" spans="1:8">
      <c r="A36" s="855"/>
      <c r="B36" s="141" t="s">
        <v>1389</v>
      </c>
      <c r="C36" s="896"/>
      <c r="D36" s="897"/>
      <c r="E36" s="870"/>
      <c r="F36" s="871"/>
      <c r="G36" s="871"/>
      <c r="H36" s="862"/>
    </row>
    <row r="37" spans="1:8">
      <c r="A37" s="855"/>
      <c r="B37" s="141" t="s">
        <v>1390</v>
      </c>
      <c r="C37" s="896"/>
      <c r="D37" s="897"/>
      <c r="E37" s="870"/>
      <c r="F37" s="871"/>
      <c r="G37" s="871"/>
      <c r="H37" s="862"/>
    </row>
    <row r="38" spans="1:8">
      <c r="A38" s="855"/>
      <c r="B38" s="142" t="s">
        <v>1391</v>
      </c>
      <c r="C38" s="896"/>
      <c r="D38" s="897"/>
      <c r="E38" s="870"/>
      <c r="F38" s="871"/>
      <c r="G38" s="871"/>
      <c r="H38" s="862"/>
    </row>
    <row r="39" spans="1:8">
      <c r="A39" s="855"/>
      <c r="B39" s="143" t="s">
        <v>1366</v>
      </c>
      <c r="C39" s="896"/>
      <c r="D39" s="897"/>
      <c r="E39" s="870"/>
      <c r="F39" s="871"/>
      <c r="G39" s="871"/>
      <c r="H39" s="862"/>
    </row>
    <row r="40" spans="1:8">
      <c r="A40" s="855"/>
      <c r="B40" s="141" t="s">
        <v>1392</v>
      </c>
      <c r="C40" s="896"/>
      <c r="D40" s="897"/>
      <c r="E40" s="870"/>
      <c r="F40" s="871"/>
      <c r="G40" s="871"/>
      <c r="H40" s="862"/>
    </row>
    <row r="41" spans="1:8">
      <c r="A41" s="855"/>
      <c r="B41" s="141" t="s">
        <v>1393</v>
      </c>
      <c r="C41" s="896"/>
      <c r="D41" s="897"/>
      <c r="E41" s="870"/>
      <c r="F41" s="871"/>
      <c r="G41" s="871"/>
      <c r="H41" s="862"/>
    </row>
    <row r="42" spans="1:8">
      <c r="A42" s="855"/>
      <c r="B42" s="141" t="s">
        <v>1394</v>
      </c>
      <c r="C42" s="898"/>
      <c r="D42" s="899"/>
      <c r="E42" s="872"/>
      <c r="F42" s="873"/>
      <c r="G42" s="873"/>
      <c r="H42" s="864"/>
    </row>
    <row r="43" spans="1:8">
      <c r="A43" s="856"/>
      <c r="B43" s="857"/>
      <c r="C43" s="857"/>
      <c r="D43" s="857"/>
      <c r="E43" s="857"/>
      <c r="F43" s="857"/>
      <c r="G43" s="857"/>
      <c r="H43" s="858"/>
    </row>
    <row r="44" spans="1:8">
      <c r="A44" s="850" t="s">
        <v>1395</v>
      </c>
      <c r="B44" s="137" t="s">
        <v>1396</v>
      </c>
      <c r="C44" s="903" t="s">
        <v>1426</v>
      </c>
      <c r="D44" s="860"/>
      <c r="E44" s="868" t="s">
        <v>1429</v>
      </c>
      <c r="F44" s="869"/>
      <c r="G44" s="869"/>
      <c r="H44" s="860"/>
    </row>
    <row r="45" spans="1:8">
      <c r="A45" s="851"/>
      <c r="B45" s="136" t="s">
        <v>1385</v>
      </c>
      <c r="C45" s="861"/>
      <c r="D45" s="862"/>
      <c r="E45" s="870"/>
      <c r="F45" s="871"/>
      <c r="G45" s="871"/>
      <c r="H45" s="862"/>
    </row>
    <row r="46" spans="1:8">
      <c r="A46" s="851"/>
      <c r="B46" s="137" t="s">
        <v>1397</v>
      </c>
      <c r="C46" s="861"/>
      <c r="D46" s="862"/>
      <c r="E46" s="870"/>
      <c r="F46" s="871"/>
      <c r="G46" s="871"/>
      <c r="H46" s="862"/>
    </row>
    <row r="47" spans="1:8">
      <c r="A47" s="851"/>
      <c r="B47" s="138" t="s">
        <v>1398</v>
      </c>
      <c r="C47" s="861"/>
      <c r="D47" s="862"/>
      <c r="E47" s="870"/>
      <c r="F47" s="871"/>
      <c r="G47" s="871"/>
      <c r="H47" s="862"/>
    </row>
    <row r="48" spans="1:8">
      <c r="A48" s="851"/>
      <c r="B48" s="139"/>
      <c r="C48" s="861"/>
      <c r="D48" s="862"/>
      <c r="E48" s="870"/>
      <c r="F48" s="871"/>
      <c r="G48" s="871"/>
      <c r="H48" s="862"/>
    </row>
    <row r="49" spans="1:8">
      <c r="A49" s="851"/>
      <c r="B49" s="140" t="s">
        <v>1399</v>
      </c>
      <c r="C49" s="861"/>
      <c r="D49" s="862"/>
      <c r="E49" s="870"/>
      <c r="F49" s="871"/>
      <c r="G49" s="871"/>
      <c r="H49" s="862"/>
    </row>
    <row r="50" spans="1:8">
      <c r="A50" s="851"/>
      <c r="B50" s="140" t="s">
        <v>1400</v>
      </c>
      <c r="C50" s="861"/>
      <c r="D50" s="862"/>
      <c r="E50" s="870"/>
      <c r="F50" s="871"/>
      <c r="G50" s="871"/>
      <c r="H50" s="862"/>
    </row>
    <row r="51" spans="1:8">
      <c r="A51" s="851"/>
      <c r="B51" s="140" t="s">
        <v>1401</v>
      </c>
      <c r="C51" s="861"/>
      <c r="D51" s="862"/>
      <c r="E51" s="870"/>
      <c r="F51" s="871"/>
      <c r="G51" s="871"/>
      <c r="H51" s="862"/>
    </row>
    <row r="52" spans="1:8">
      <c r="A52" s="853"/>
      <c r="B52" s="140" t="s">
        <v>1402</v>
      </c>
      <c r="C52" s="863"/>
      <c r="D52" s="864"/>
      <c r="E52" s="872"/>
      <c r="F52" s="873"/>
      <c r="G52" s="873"/>
      <c r="H52" s="864"/>
    </row>
    <row r="53" spans="1:8">
      <c r="A53" s="865"/>
      <c r="B53" s="866"/>
      <c r="C53" s="866"/>
      <c r="D53" s="866"/>
      <c r="E53" s="866"/>
      <c r="F53" s="866"/>
      <c r="G53" s="866"/>
      <c r="H53" s="867"/>
    </row>
    <row r="54" spans="1:8">
      <c r="A54" s="850" t="s">
        <v>1433</v>
      </c>
      <c r="B54" s="140" t="s">
        <v>1403</v>
      </c>
      <c r="C54" s="859" t="s">
        <v>1426</v>
      </c>
      <c r="D54" s="860"/>
      <c r="E54" s="868" t="s">
        <v>1429</v>
      </c>
      <c r="F54" s="869"/>
      <c r="G54" s="869"/>
      <c r="H54" s="860"/>
    </row>
    <row r="55" spans="1:8" ht="18.75" customHeight="1">
      <c r="A55" s="851"/>
      <c r="B55" s="874" t="s">
        <v>1404</v>
      </c>
      <c r="C55" s="861"/>
      <c r="D55" s="862"/>
      <c r="E55" s="870"/>
      <c r="F55" s="871"/>
      <c r="G55" s="871"/>
      <c r="H55" s="862"/>
    </row>
    <row r="56" spans="1:8">
      <c r="A56" s="851"/>
      <c r="B56" s="876"/>
      <c r="C56" s="861"/>
      <c r="D56" s="862"/>
      <c r="E56" s="870"/>
      <c r="F56" s="871"/>
      <c r="G56" s="871"/>
      <c r="H56" s="862"/>
    </row>
    <row r="57" spans="1:8">
      <c r="A57" s="851"/>
      <c r="B57" s="140" t="s">
        <v>1405</v>
      </c>
      <c r="C57" s="861"/>
      <c r="D57" s="862"/>
      <c r="E57" s="870"/>
      <c r="F57" s="871"/>
      <c r="G57" s="871"/>
      <c r="H57" s="862"/>
    </row>
    <row r="58" spans="1:8" ht="18.75" customHeight="1">
      <c r="A58" s="851"/>
      <c r="B58" s="874" t="s">
        <v>1406</v>
      </c>
      <c r="C58" s="861"/>
      <c r="D58" s="862"/>
      <c r="E58" s="870"/>
      <c r="F58" s="871"/>
      <c r="G58" s="871"/>
      <c r="H58" s="862"/>
    </row>
    <row r="59" spans="1:8">
      <c r="A59" s="851"/>
      <c r="B59" s="876"/>
      <c r="C59" s="861"/>
      <c r="D59" s="862"/>
      <c r="E59" s="870"/>
      <c r="F59" s="871"/>
      <c r="G59" s="871"/>
      <c r="H59" s="862"/>
    </row>
    <row r="60" spans="1:8" ht="52.5" customHeight="1">
      <c r="A60" s="851"/>
      <c r="B60" s="874" t="s">
        <v>1407</v>
      </c>
      <c r="C60" s="861"/>
      <c r="D60" s="862"/>
      <c r="E60" s="870"/>
      <c r="F60" s="871"/>
      <c r="G60" s="871"/>
      <c r="H60" s="862"/>
    </row>
    <row r="61" spans="1:8">
      <c r="A61" s="851"/>
      <c r="B61" s="876"/>
      <c r="C61" s="861"/>
      <c r="D61" s="862"/>
      <c r="E61" s="870"/>
      <c r="F61" s="871"/>
      <c r="G61" s="871"/>
      <c r="H61" s="862"/>
    </row>
    <row r="62" spans="1:8">
      <c r="A62" s="851"/>
      <c r="B62" s="140" t="s">
        <v>1408</v>
      </c>
      <c r="C62" s="861"/>
      <c r="D62" s="862"/>
      <c r="E62" s="870"/>
      <c r="F62" s="871"/>
      <c r="G62" s="871"/>
      <c r="H62" s="862"/>
    </row>
    <row r="63" spans="1:8" ht="18.75" customHeight="1">
      <c r="A63" s="851"/>
      <c r="B63" s="874" t="s">
        <v>1409</v>
      </c>
      <c r="C63" s="861"/>
      <c r="D63" s="862"/>
      <c r="E63" s="870"/>
      <c r="F63" s="871"/>
      <c r="G63" s="871"/>
      <c r="H63" s="862"/>
    </row>
    <row r="64" spans="1:8">
      <c r="A64" s="851"/>
      <c r="B64" s="876"/>
      <c r="C64" s="861"/>
      <c r="D64" s="862"/>
      <c r="E64" s="870"/>
      <c r="F64" s="871"/>
      <c r="G64" s="871"/>
      <c r="H64" s="862"/>
    </row>
    <row r="65" spans="1:8" ht="18.75" customHeight="1">
      <c r="A65" s="851"/>
      <c r="B65" s="874" t="s">
        <v>1410</v>
      </c>
      <c r="C65" s="861"/>
      <c r="D65" s="862"/>
      <c r="E65" s="870"/>
      <c r="F65" s="871"/>
      <c r="G65" s="871"/>
      <c r="H65" s="862"/>
    </row>
    <row r="66" spans="1:8">
      <c r="A66" s="853"/>
      <c r="B66" s="876"/>
      <c r="C66" s="863"/>
      <c r="D66" s="864"/>
      <c r="E66" s="872"/>
      <c r="F66" s="873"/>
      <c r="G66" s="873"/>
      <c r="H66" s="864"/>
    </row>
    <row r="67" spans="1:8">
      <c r="A67" s="865"/>
      <c r="B67" s="866"/>
      <c r="C67" s="866"/>
      <c r="D67" s="866"/>
      <c r="E67" s="866"/>
      <c r="F67" s="866"/>
      <c r="G67" s="866"/>
      <c r="H67" s="867"/>
    </row>
    <row r="68" spans="1:8">
      <c r="A68" s="850" t="s">
        <v>1411</v>
      </c>
      <c r="B68" s="140" t="s">
        <v>1412</v>
      </c>
      <c r="C68" s="859" t="s">
        <v>1426</v>
      </c>
      <c r="D68" s="860"/>
      <c r="E68" s="868" t="s">
        <v>1429</v>
      </c>
      <c r="F68" s="869"/>
      <c r="G68" s="869"/>
      <c r="H68" s="860"/>
    </row>
    <row r="69" spans="1:8">
      <c r="A69" s="851"/>
      <c r="B69" s="140" t="s">
        <v>1413</v>
      </c>
      <c r="C69" s="861"/>
      <c r="D69" s="862"/>
      <c r="E69" s="870"/>
      <c r="F69" s="871"/>
      <c r="G69" s="871"/>
      <c r="H69" s="862"/>
    </row>
    <row r="70" spans="1:8">
      <c r="A70" s="851"/>
      <c r="B70" s="140" t="s">
        <v>1414</v>
      </c>
      <c r="C70" s="861"/>
      <c r="D70" s="862"/>
      <c r="E70" s="870"/>
      <c r="F70" s="871"/>
      <c r="G70" s="871"/>
      <c r="H70" s="862"/>
    </row>
    <row r="71" spans="1:8" ht="41.25" customHeight="1">
      <c r="A71" s="851"/>
      <c r="B71" s="874" t="s">
        <v>1415</v>
      </c>
      <c r="C71" s="861"/>
      <c r="D71" s="862"/>
      <c r="E71" s="870"/>
      <c r="F71" s="871"/>
      <c r="G71" s="871"/>
      <c r="H71" s="862"/>
    </row>
    <row r="72" spans="1:8">
      <c r="A72" s="851"/>
      <c r="B72" s="876"/>
      <c r="C72" s="861"/>
      <c r="D72" s="862"/>
      <c r="E72" s="870"/>
      <c r="F72" s="871"/>
      <c r="G72" s="871"/>
      <c r="H72" s="862"/>
    </row>
    <row r="73" spans="1:8">
      <c r="A73" s="851"/>
      <c r="B73" s="140" t="s">
        <v>1416</v>
      </c>
      <c r="C73" s="861"/>
      <c r="D73" s="862"/>
      <c r="E73" s="870"/>
      <c r="F73" s="871"/>
      <c r="G73" s="871"/>
      <c r="H73" s="862"/>
    </row>
    <row r="74" spans="1:8">
      <c r="A74" s="851"/>
      <c r="B74" s="140" t="s">
        <v>1417</v>
      </c>
      <c r="C74" s="861"/>
      <c r="D74" s="862"/>
      <c r="E74" s="870"/>
      <c r="F74" s="871"/>
      <c r="G74" s="871"/>
      <c r="H74" s="862"/>
    </row>
    <row r="75" spans="1:8">
      <c r="A75" s="853"/>
      <c r="B75" s="140" t="s">
        <v>1418</v>
      </c>
      <c r="C75" s="863"/>
      <c r="D75" s="864"/>
      <c r="E75" s="872"/>
      <c r="F75" s="873"/>
      <c r="G75" s="873"/>
      <c r="H75" s="864"/>
    </row>
    <row r="76" spans="1:8">
      <c r="A76" s="865"/>
      <c r="B76" s="866"/>
      <c r="C76" s="866"/>
      <c r="D76" s="866"/>
      <c r="E76" s="866"/>
      <c r="F76" s="866"/>
      <c r="G76" s="866"/>
      <c r="H76" s="867"/>
    </row>
    <row r="77" spans="1:8">
      <c r="A77" s="850" t="s">
        <v>1419</v>
      </c>
      <c r="B77" s="140" t="s">
        <v>1420</v>
      </c>
      <c r="C77" s="859" t="s">
        <v>1426</v>
      </c>
      <c r="D77" s="860"/>
      <c r="E77" s="868" t="s">
        <v>1429</v>
      </c>
      <c r="F77" s="869"/>
      <c r="G77" s="869"/>
      <c r="H77" s="860"/>
    </row>
    <row r="78" spans="1:8" ht="41.25" customHeight="1">
      <c r="A78" s="851"/>
      <c r="B78" s="874" t="s">
        <v>1421</v>
      </c>
      <c r="C78" s="861"/>
      <c r="D78" s="862"/>
      <c r="E78" s="870"/>
      <c r="F78" s="871"/>
      <c r="G78" s="871"/>
      <c r="H78" s="862"/>
    </row>
    <row r="79" spans="1:8">
      <c r="A79" s="851"/>
      <c r="B79" s="876"/>
      <c r="C79" s="861"/>
      <c r="D79" s="862"/>
      <c r="E79" s="870"/>
      <c r="F79" s="871"/>
      <c r="G79" s="871"/>
      <c r="H79" s="862"/>
    </row>
    <row r="80" spans="1:8" ht="30" customHeight="1">
      <c r="A80" s="851"/>
      <c r="B80" s="874" t="s">
        <v>1422</v>
      </c>
      <c r="C80" s="861"/>
      <c r="D80" s="862"/>
      <c r="E80" s="870"/>
      <c r="F80" s="871"/>
      <c r="G80" s="871"/>
      <c r="H80" s="862"/>
    </row>
    <row r="81" spans="1:8" ht="15.75" thickBot="1">
      <c r="A81" s="852"/>
      <c r="B81" s="875"/>
      <c r="C81" s="885"/>
      <c r="D81" s="884"/>
      <c r="E81" s="882"/>
      <c r="F81" s="883"/>
      <c r="G81" s="883"/>
      <c r="H81" s="884"/>
    </row>
  </sheetData>
  <mergeCells count="44">
    <mergeCell ref="A76:H76"/>
    <mergeCell ref="E77:H81"/>
    <mergeCell ref="C77:D81"/>
    <mergeCell ref="A6:H7"/>
    <mergeCell ref="E8:H8"/>
    <mergeCell ref="E9:H21"/>
    <mergeCell ref="E23:H26"/>
    <mergeCell ref="A22:H22"/>
    <mergeCell ref="C9:D21"/>
    <mergeCell ref="C23:D26"/>
    <mergeCell ref="E28:H42"/>
    <mergeCell ref="A27:H27"/>
    <mergeCell ref="C28:D42"/>
    <mergeCell ref="A53:H53"/>
    <mergeCell ref="E44:H52"/>
    <mergeCell ref="C44:D52"/>
    <mergeCell ref="E54:H66"/>
    <mergeCell ref="A1:H1"/>
    <mergeCell ref="A2:A4"/>
    <mergeCell ref="B2:B4"/>
    <mergeCell ref="C2:C4"/>
    <mergeCell ref="D2:D3"/>
    <mergeCell ref="G2:H2"/>
    <mergeCell ref="E2:F2"/>
    <mergeCell ref="B63:B64"/>
    <mergeCell ref="B60:B61"/>
    <mergeCell ref="B58:B59"/>
    <mergeCell ref="B55:B56"/>
    <mergeCell ref="A77:A81"/>
    <mergeCell ref="A9:A21"/>
    <mergeCell ref="A23:A26"/>
    <mergeCell ref="A28:A42"/>
    <mergeCell ref="A44:A52"/>
    <mergeCell ref="A54:A66"/>
    <mergeCell ref="A68:A75"/>
    <mergeCell ref="A43:H43"/>
    <mergeCell ref="C54:D66"/>
    <mergeCell ref="A67:H67"/>
    <mergeCell ref="E68:H75"/>
    <mergeCell ref="B80:B81"/>
    <mergeCell ref="B78:B79"/>
    <mergeCell ref="B71:B72"/>
    <mergeCell ref="C68:D75"/>
    <mergeCell ref="B65:B66"/>
  </mergeCells>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49553-3D74-4EE2-AE4E-7A15189E9A57}">
  <sheetPr>
    <tabColor rgb="FFFFFF00"/>
  </sheetPr>
  <dimension ref="A1:H21"/>
  <sheetViews>
    <sheetView workbookViewId="0">
      <selection activeCell="E5" sqref="E5:E20"/>
    </sheetView>
  </sheetViews>
  <sheetFormatPr defaultRowHeight="15"/>
  <cols>
    <col min="1" max="1" width="5.7109375" customWidth="1"/>
    <col min="2" max="2" width="45.7109375" customWidth="1"/>
    <col min="3" max="3" width="10.7109375" customWidth="1"/>
    <col min="4" max="8" width="13.7109375" customWidth="1"/>
  </cols>
  <sheetData>
    <row r="1" spans="1:8" ht="16.5" thickBot="1">
      <c r="A1" s="907" t="s">
        <v>1487</v>
      </c>
      <c r="B1" s="908"/>
      <c r="C1" s="908"/>
      <c r="D1" s="908"/>
      <c r="E1" s="908"/>
      <c r="F1" s="908"/>
      <c r="G1" s="778"/>
      <c r="H1" s="779"/>
    </row>
    <row r="2" spans="1:8" ht="30" customHeight="1">
      <c r="A2" s="840" t="s">
        <v>0</v>
      </c>
      <c r="B2" s="843" t="s">
        <v>1</v>
      </c>
      <c r="C2" s="843" t="s">
        <v>696</v>
      </c>
      <c r="D2" s="846" t="s">
        <v>706</v>
      </c>
      <c r="E2" s="881" t="s">
        <v>43</v>
      </c>
      <c r="F2" s="849"/>
      <c r="G2" s="834" t="s">
        <v>1257</v>
      </c>
      <c r="H2" s="835"/>
    </row>
    <row r="3" spans="1:8">
      <c r="A3" s="841"/>
      <c r="B3" s="844"/>
      <c r="C3" s="844"/>
      <c r="D3" s="847"/>
      <c r="E3" s="155" t="s">
        <v>44</v>
      </c>
      <c r="F3" s="105" t="s">
        <v>15</v>
      </c>
      <c r="G3" s="102" t="s">
        <v>44</v>
      </c>
      <c r="H3" s="103" t="s">
        <v>15</v>
      </c>
    </row>
    <row r="4" spans="1:8" ht="15.75" thickBot="1">
      <c r="A4" s="842"/>
      <c r="B4" s="845"/>
      <c r="C4" s="845"/>
      <c r="D4" s="171" t="s">
        <v>707</v>
      </c>
      <c r="E4" s="157" t="s">
        <v>1248</v>
      </c>
      <c r="F4" s="108" t="s">
        <v>1250</v>
      </c>
      <c r="G4" s="157" t="s">
        <v>1249</v>
      </c>
      <c r="H4" s="108" t="s">
        <v>1251</v>
      </c>
    </row>
    <row r="5" spans="1:8" ht="23.25">
      <c r="A5" s="164" t="s">
        <v>1486</v>
      </c>
      <c r="B5" s="165" t="s">
        <v>1454</v>
      </c>
      <c r="C5" s="166" t="s">
        <v>1455</v>
      </c>
      <c r="D5" s="166">
        <v>10</v>
      </c>
      <c r="E5" s="172"/>
      <c r="F5" s="125">
        <f t="shared" ref="F5:F20" si="0">E5*D5</f>
        <v>0</v>
      </c>
      <c r="G5" s="173">
        <v>0</v>
      </c>
      <c r="H5" s="174">
        <f>G5*D5</f>
        <v>0</v>
      </c>
    </row>
    <row r="6" spans="1:8" ht="23.25">
      <c r="A6" s="164" t="s">
        <v>1488</v>
      </c>
      <c r="B6" s="165" t="s">
        <v>1457</v>
      </c>
      <c r="C6" s="166" t="s">
        <v>1455</v>
      </c>
      <c r="D6" s="166">
        <v>10</v>
      </c>
      <c r="E6" s="167"/>
      <c r="F6" s="125">
        <f t="shared" si="0"/>
        <v>0</v>
      </c>
      <c r="G6" s="173">
        <v>0</v>
      </c>
      <c r="H6" s="174">
        <f t="shared" ref="H6:H20" si="1">G6*D6</f>
        <v>0</v>
      </c>
    </row>
    <row r="7" spans="1:8">
      <c r="A7" s="164" t="s">
        <v>1489</v>
      </c>
      <c r="B7" s="165" t="s">
        <v>1459</v>
      </c>
      <c r="C7" s="166" t="s">
        <v>1455</v>
      </c>
      <c r="D7" s="166">
        <v>100</v>
      </c>
      <c r="E7" s="167"/>
      <c r="F7" s="125">
        <f t="shared" si="0"/>
        <v>0</v>
      </c>
      <c r="G7" s="173">
        <v>0</v>
      </c>
      <c r="H7" s="174">
        <f t="shared" si="1"/>
        <v>0</v>
      </c>
    </row>
    <row r="8" spans="1:8">
      <c r="A8" s="164" t="s">
        <v>1490</v>
      </c>
      <c r="B8" s="165" t="s">
        <v>1461</v>
      </c>
      <c r="C8" s="166" t="s">
        <v>1455</v>
      </c>
      <c r="D8" s="166">
        <v>200</v>
      </c>
      <c r="E8" s="167"/>
      <c r="F8" s="125">
        <f t="shared" si="0"/>
        <v>0</v>
      </c>
      <c r="G8" s="173">
        <v>0</v>
      </c>
      <c r="H8" s="174">
        <f t="shared" si="1"/>
        <v>0</v>
      </c>
    </row>
    <row r="9" spans="1:8">
      <c r="A9" s="164" t="s">
        <v>1491</v>
      </c>
      <c r="B9" s="165" t="s">
        <v>1463</v>
      </c>
      <c r="C9" s="166" t="s">
        <v>1455</v>
      </c>
      <c r="D9" s="166">
        <v>15</v>
      </c>
      <c r="E9" s="167"/>
      <c r="F9" s="125">
        <f t="shared" si="0"/>
        <v>0</v>
      </c>
      <c r="G9" s="173">
        <v>0</v>
      </c>
      <c r="H9" s="174">
        <f t="shared" si="1"/>
        <v>0</v>
      </c>
    </row>
    <row r="10" spans="1:8">
      <c r="A10" s="164" t="s">
        <v>1492</v>
      </c>
      <c r="B10" s="165" t="s">
        <v>1465</v>
      </c>
      <c r="C10" s="166" t="s">
        <v>1455</v>
      </c>
      <c r="D10" s="166">
        <v>15</v>
      </c>
      <c r="E10" s="167"/>
      <c r="F10" s="125">
        <f t="shared" si="0"/>
        <v>0</v>
      </c>
      <c r="G10" s="173">
        <v>0</v>
      </c>
      <c r="H10" s="174">
        <f t="shared" si="1"/>
        <v>0</v>
      </c>
    </row>
    <row r="11" spans="1:8">
      <c r="A11" s="164" t="s">
        <v>1493</v>
      </c>
      <c r="B11" s="165" t="s">
        <v>1467</v>
      </c>
      <c r="C11" s="166" t="s">
        <v>1455</v>
      </c>
      <c r="D11" s="166">
        <v>50</v>
      </c>
      <c r="E11" s="167"/>
      <c r="F11" s="125">
        <f t="shared" si="0"/>
        <v>0</v>
      </c>
      <c r="G11" s="173">
        <v>0</v>
      </c>
      <c r="H11" s="174">
        <f t="shared" si="1"/>
        <v>0</v>
      </c>
    </row>
    <row r="12" spans="1:8">
      <c r="A12" s="164" t="s">
        <v>1494</v>
      </c>
      <c r="B12" s="165" t="s">
        <v>1469</v>
      </c>
      <c r="C12" s="166" t="s">
        <v>1273</v>
      </c>
      <c r="D12" s="166">
        <v>50</v>
      </c>
      <c r="E12" s="167"/>
      <c r="F12" s="125">
        <f t="shared" si="0"/>
        <v>0</v>
      </c>
      <c r="G12" s="173">
        <v>0</v>
      </c>
      <c r="H12" s="174">
        <f t="shared" si="1"/>
        <v>0</v>
      </c>
    </row>
    <row r="13" spans="1:8">
      <c r="A13" s="164" t="s">
        <v>1495</v>
      </c>
      <c r="B13" s="165" t="s">
        <v>1471</v>
      </c>
      <c r="C13" s="166" t="s">
        <v>1273</v>
      </c>
      <c r="D13" s="166">
        <v>50</v>
      </c>
      <c r="E13" s="167"/>
      <c r="F13" s="125">
        <f t="shared" si="0"/>
        <v>0</v>
      </c>
      <c r="G13" s="173">
        <v>0</v>
      </c>
      <c r="H13" s="174">
        <f t="shared" si="1"/>
        <v>0</v>
      </c>
    </row>
    <row r="14" spans="1:8">
      <c r="A14" s="164" t="s">
        <v>1496</v>
      </c>
      <c r="B14" s="165" t="s">
        <v>1473</v>
      </c>
      <c r="C14" s="166" t="s">
        <v>1273</v>
      </c>
      <c r="D14" s="166">
        <v>20</v>
      </c>
      <c r="E14" s="167"/>
      <c r="F14" s="125">
        <f t="shared" si="0"/>
        <v>0</v>
      </c>
      <c r="G14" s="173">
        <v>0</v>
      </c>
      <c r="H14" s="174">
        <f t="shared" si="1"/>
        <v>0</v>
      </c>
    </row>
    <row r="15" spans="1:8">
      <c r="A15" s="164" t="s">
        <v>1497</v>
      </c>
      <c r="B15" s="165" t="s">
        <v>1475</v>
      </c>
      <c r="C15" s="166" t="s">
        <v>1273</v>
      </c>
      <c r="D15" s="166">
        <v>20</v>
      </c>
      <c r="E15" s="167"/>
      <c r="F15" s="125">
        <f t="shared" si="0"/>
        <v>0</v>
      </c>
      <c r="G15" s="173">
        <v>0</v>
      </c>
      <c r="H15" s="174">
        <f t="shared" si="1"/>
        <v>0</v>
      </c>
    </row>
    <row r="16" spans="1:8">
      <c r="A16" s="164" t="s">
        <v>1498</v>
      </c>
      <c r="B16" s="165" t="s">
        <v>1477</v>
      </c>
      <c r="C16" s="166" t="s">
        <v>1273</v>
      </c>
      <c r="D16" s="166">
        <v>100</v>
      </c>
      <c r="E16" s="167"/>
      <c r="F16" s="125">
        <f t="shared" si="0"/>
        <v>0</v>
      </c>
      <c r="G16" s="173">
        <v>0</v>
      </c>
      <c r="H16" s="174">
        <f t="shared" si="1"/>
        <v>0</v>
      </c>
    </row>
    <row r="17" spans="1:8">
      <c r="A17" s="164" t="s">
        <v>1499</v>
      </c>
      <c r="B17" s="165" t="s">
        <v>1479</v>
      </c>
      <c r="C17" s="166" t="s">
        <v>1273</v>
      </c>
      <c r="D17" s="166">
        <v>100</v>
      </c>
      <c r="E17" s="167"/>
      <c r="F17" s="125">
        <f t="shared" si="0"/>
        <v>0</v>
      </c>
      <c r="G17" s="173">
        <v>0</v>
      </c>
      <c r="H17" s="174">
        <f t="shared" si="1"/>
        <v>0</v>
      </c>
    </row>
    <row r="18" spans="1:8">
      <c r="A18" s="164" t="s">
        <v>1500</v>
      </c>
      <c r="B18" s="165" t="s">
        <v>1481</v>
      </c>
      <c r="C18" s="166" t="s">
        <v>1273</v>
      </c>
      <c r="D18" s="166">
        <v>300</v>
      </c>
      <c r="E18" s="167"/>
      <c r="F18" s="125">
        <f t="shared" si="0"/>
        <v>0</v>
      </c>
      <c r="G18" s="173">
        <v>0</v>
      </c>
      <c r="H18" s="174">
        <f t="shared" si="1"/>
        <v>0</v>
      </c>
    </row>
    <row r="19" spans="1:8">
      <c r="A19" s="164" t="s">
        <v>1501</v>
      </c>
      <c r="B19" s="165" t="s">
        <v>1483</v>
      </c>
      <c r="C19" s="166" t="s">
        <v>1273</v>
      </c>
      <c r="D19" s="166">
        <v>300</v>
      </c>
      <c r="E19" s="167"/>
      <c r="F19" s="125">
        <f t="shared" si="0"/>
        <v>0</v>
      </c>
      <c r="G19" s="173">
        <v>0</v>
      </c>
      <c r="H19" s="174">
        <f t="shared" si="1"/>
        <v>0</v>
      </c>
    </row>
    <row r="20" spans="1:8" ht="15.75" thickBot="1">
      <c r="A20" s="164" t="s">
        <v>1502</v>
      </c>
      <c r="B20" s="168" t="s">
        <v>1485</v>
      </c>
      <c r="C20" s="169" t="s">
        <v>1273</v>
      </c>
      <c r="D20" s="166">
        <v>50</v>
      </c>
      <c r="E20" s="170"/>
      <c r="F20" s="127">
        <f t="shared" si="0"/>
        <v>0</v>
      </c>
      <c r="G20" s="173">
        <v>0</v>
      </c>
      <c r="H20" s="174">
        <f t="shared" si="1"/>
        <v>0</v>
      </c>
    </row>
    <row r="21" spans="1:8" ht="27.75" thickBot="1">
      <c r="A21" s="904" t="s">
        <v>1166</v>
      </c>
      <c r="B21" s="905"/>
      <c r="C21" s="905"/>
      <c r="D21" s="906"/>
      <c r="E21" s="175" t="s">
        <v>1287</v>
      </c>
      <c r="F21" s="176">
        <f>SUM(F5:F20)</f>
        <v>0</v>
      </c>
      <c r="G21" s="175" t="s">
        <v>1288</v>
      </c>
      <c r="H21" s="176">
        <f>SUM(H5:H20)</f>
        <v>0</v>
      </c>
    </row>
  </sheetData>
  <mergeCells count="8">
    <mergeCell ref="A21:D21"/>
    <mergeCell ref="G2:H2"/>
    <mergeCell ref="A1:H1"/>
    <mergeCell ref="A2:A4"/>
    <mergeCell ref="B2:B4"/>
    <mergeCell ref="C2:C4"/>
    <mergeCell ref="D2:D3"/>
    <mergeCell ref="E2:F2"/>
  </mergeCells>
  <phoneticPr fontId="7" type="noConversion"/>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0320A-4F05-4A7B-93C6-2268AC4E25DF}">
  <sheetPr>
    <tabColor rgb="FFFFFF00"/>
  </sheetPr>
  <dimension ref="A1:H22"/>
  <sheetViews>
    <sheetView workbookViewId="0">
      <selection activeCell="E5" sqref="E5:E21"/>
    </sheetView>
  </sheetViews>
  <sheetFormatPr defaultRowHeight="15"/>
  <cols>
    <col min="1" max="1" width="5.7109375" customWidth="1"/>
    <col min="2" max="2" width="40.7109375" customWidth="1"/>
    <col min="3" max="3" width="9.7109375" customWidth="1"/>
    <col min="4" max="4" width="12.7109375" customWidth="1"/>
    <col min="5" max="5" width="11.7109375" customWidth="1"/>
    <col min="6" max="6" width="14.7109375" customWidth="1"/>
    <col min="7" max="7" width="11.7109375" customWidth="1"/>
    <col min="8" max="8" width="14.7109375" customWidth="1"/>
  </cols>
  <sheetData>
    <row r="1" spans="1:8" ht="16.5" thickBot="1">
      <c r="A1" s="912" t="s">
        <v>1521</v>
      </c>
      <c r="B1" s="913"/>
      <c r="C1" s="913"/>
      <c r="D1" s="913"/>
      <c r="E1" s="913"/>
      <c r="F1" s="913"/>
      <c r="G1" s="819"/>
      <c r="H1" s="820"/>
    </row>
    <row r="2" spans="1:8" ht="35.1" customHeight="1">
      <c r="A2" s="821" t="s">
        <v>0</v>
      </c>
      <c r="B2" s="824" t="s">
        <v>1</v>
      </c>
      <c r="C2" s="824" t="s">
        <v>696</v>
      </c>
      <c r="D2" s="827" t="s">
        <v>706</v>
      </c>
      <c r="E2" s="914" t="s">
        <v>43</v>
      </c>
      <c r="F2" s="830"/>
      <c r="G2" s="911" t="s">
        <v>1257</v>
      </c>
      <c r="H2" s="816"/>
    </row>
    <row r="3" spans="1:8">
      <c r="A3" s="822"/>
      <c r="B3" s="825"/>
      <c r="C3" s="825"/>
      <c r="D3" s="828"/>
      <c r="E3" s="109" t="s">
        <v>44</v>
      </c>
      <c r="F3" s="110" t="s">
        <v>15</v>
      </c>
      <c r="G3" s="111" t="s">
        <v>44</v>
      </c>
      <c r="H3" s="112" t="s">
        <v>15</v>
      </c>
    </row>
    <row r="4" spans="1:8" ht="15.75" thickBot="1">
      <c r="A4" s="823"/>
      <c r="B4" s="826"/>
      <c r="C4" s="826"/>
      <c r="D4" s="113" t="s">
        <v>707</v>
      </c>
      <c r="E4" s="114" t="s">
        <v>1248</v>
      </c>
      <c r="F4" s="115" t="s">
        <v>1250</v>
      </c>
      <c r="G4" s="114" t="s">
        <v>1249</v>
      </c>
      <c r="H4" s="115" t="s">
        <v>1251</v>
      </c>
    </row>
    <row r="5" spans="1:8">
      <c r="A5" s="116" t="s">
        <v>1453</v>
      </c>
      <c r="B5" s="117" t="s">
        <v>1503</v>
      </c>
      <c r="C5" s="116" t="s">
        <v>1504</v>
      </c>
      <c r="D5" s="116">
        <v>60</v>
      </c>
      <c r="E5" s="121"/>
      <c r="F5" s="121">
        <f t="shared" ref="F5:F21" si="0">E5*D5</f>
        <v>0</v>
      </c>
      <c r="G5" s="122">
        <v>0</v>
      </c>
      <c r="H5" s="122">
        <f>D5*G5</f>
        <v>0</v>
      </c>
    </row>
    <row r="6" spans="1:8">
      <c r="A6" s="116" t="s">
        <v>1456</v>
      </c>
      <c r="B6" s="117" t="s">
        <v>1505</v>
      </c>
      <c r="C6" s="116" t="s">
        <v>1504</v>
      </c>
      <c r="D6" s="116">
        <v>40</v>
      </c>
      <c r="E6" s="121"/>
      <c r="F6" s="121">
        <f t="shared" si="0"/>
        <v>0</v>
      </c>
      <c r="G6" s="122">
        <v>0</v>
      </c>
      <c r="H6" s="122">
        <f t="shared" ref="H6:H21" si="1">D6*G6</f>
        <v>0</v>
      </c>
    </row>
    <row r="7" spans="1:8">
      <c r="A7" s="116" t="s">
        <v>1458</v>
      </c>
      <c r="B7" s="180" t="s">
        <v>1506</v>
      </c>
      <c r="C7" s="116" t="s">
        <v>1504</v>
      </c>
      <c r="D7" s="116">
        <v>3</v>
      </c>
      <c r="E7" s="121"/>
      <c r="F7" s="121">
        <f t="shared" si="0"/>
        <v>0</v>
      </c>
      <c r="G7" s="122">
        <v>0</v>
      </c>
      <c r="H7" s="122">
        <f t="shared" si="1"/>
        <v>0</v>
      </c>
    </row>
    <row r="8" spans="1:8">
      <c r="A8" s="116" t="s">
        <v>1460</v>
      </c>
      <c r="B8" s="117" t="s">
        <v>1507</v>
      </c>
      <c r="C8" s="116" t="s">
        <v>1504</v>
      </c>
      <c r="D8" s="116">
        <v>3</v>
      </c>
      <c r="E8" s="121"/>
      <c r="F8" s="121">
        <f t="shared" si="0"/>
        <v>0</v>
      </c>
      <c r="G8" s="122">
        <v>0</v>
      </c>
      <c r="H8" s="122">
        <f t="shared" si="1"/>
        <v>0</v>
      </c>
    </row>
    <row r="9" spans="1:8">
      <c r="A9" s="116" t="s">
        <v>1462</v>
      </c>
      <c r="B9" s="117" t="s">
        <v>1508</v>
      </c>
      <c r="C9" s="116" t="s">
        <v>1504</v>
      </c>
      <c r="D9" s="116">
        <v>50</v>
      </c>
      <c r="E9" s="121"/>
      <c r="F9" s="121">
        <f t="shared" si="0"/>
        <v>0</v>
      </c>
      <c r="G9" s="122">
        <v>0</v>
      </c>
      <c r="H9" s="122">
        <f t="shared" si="1"/>
        <v>0</v>
      </c>
    </row>
    <row r="10" spans="1:8">
      <c r="A10" s="116" t="s">
        <v>1464</v>
      </c>
      <c r="B10" s="117" t="s">
        <v>1509</v>
      </c>
      <c r="C10" s="116" t="s">
        <v>1504</v>
      </c>
      <c r="D10" s="116">
        <v>3</v>
      </c>
      <c r="E10" s="121"/>
      <c r="F10" s="121">
        <f t="shared" si="0"/>
        <v>0</v>
      </c>
      <c r="G10" s="122">
        <v>0</v>
      </c>
      <c r="H10" s="122">
        <f t="shared" si="1"/>
        <v>0</v>
      </c>
    </row>
    <row r="11" spans="1:8">
      <c r="A11" s="116" t="s">
        <v>1466</v>
      </c>
      <c r="B11" s="117" t="s">
        <v>1510</v>
      </c>
      <c r="C11" s="116" t="s">
        <v>1504</v>
      </c>
      <c r="D11" s="116">
        <v>500</v>
      </c>
      <c r="E11" s="121"/>
      <c r="F11" s="121">
        <f t="shared" si="0"/>
        <v>0</v>
      </c>
      <c r="G11" s="122">
        <v>0</v>
      </c>
      <c r="H11" s="122">
        <f t="shared" si="1"/>
        <v>0</v>
      </c>
    </row>
    <row r="12" spans="1:8">
      <c r="A12" s="116" t="s">
        <v>1468</v>
      </c>
      <c r="B12" s="117" t="s">
        <v>1511</v>
      </c>
      <c r="C12" s="116" t="s">
        <v>1504</v>
      </c>
      <c r="D12" s="116">
        <v>5</v>
      </c>
      <c r="E12" s="121"/>
      <c r="F12" s="121">
        <f t="shared" si="0"/>
        <v>0</v>
      </c>
      <c r="G12" s="122">
        <v>0</v>
      </c>
      <c r="H12" s="122">
        <f t="shared" si="1"/>
        <v>0</v>
      </c>
    </row>
    <row r="13" spans="1:8">
      <c r="A13" s="116" t="s">
        <v>1470</v>
      </c>
      <c r="B13" s="117" t="s">
        <v>1512</v>
      </c>
      <c r="C13" s="116" t="s">
        <v>1504</v>
      </c>
      <c r="D13" s="116">
        <v>30</v>
      </c>
      <c r="E13" s="121"/>
      <c r="F13" s="121">
        <f t="shared" si="0"/>
        <v>0</v>
      </c>
      <c r="G13" s="122">
        <v>0</v>
      </c>
      <c r="H13" s="122">
        <f t="shared" si="1"/>
        <v>0</v>
      </c>
    </row>
    <row r="14" spans="1:8">
      <c r="A14" s="116" t="s">
        <v>1472</v>
      </c>
      <c r="B14" s="117" t="s">
        <v>1513</v>
      </c>
      <c r="C14" s="116" t="s">
        <v>1504</v>
      </c>
      <c r="D14" s="116">
        <v>30</v>
      </c>
      <c r="E14" s="121"/>
      <c r="F14" s="121">
        <f t="shared" si="0"/>
        <v>0</v>
      </c>
      <c r="G14" s="122">
        <v>0</v>
      </c>
      <c r="H14" s="122">
        <f t="shared" si="1"/>
        <v>0</v>
      </c>
    </row>
    <row r="15" spans="1:8">
      <c r="A15" s="116" t="s">
        <v>1474</v>
      </c>
      <c r="B15" s="117" t="s">
        <v>1514</v>
      </c>
      <c r="C15" s="116" t="s">
        <v>1504</v>
      </c>
      <c r="D15" s="116">
        <v>30</v>
      </c>
      <c r="E15" s="121"/>
      <c r="F15" s="121">
        <f t="shared" si="0"/>
        <v>0</v>
      </c>
      <c r="G15" s="122">
        <v>0</v>
      </c>
      <c r="H15" s="122">
        <f t="shared" si="1"/>
        <v>0</v>
      </c>
    </row>
    <row r="16" spans="1:8">
      <c r="A16" s="116" t="s">
        <v>1476</v>
      </c>
      <c r="B16" s="117" t="s">
        <v>1515</v>
      </c>
      <c r="C16" s="116" t="s">
        <v>1504</v>
      </c>
      <c r="D16" s="116">
        <v>15</v>
      </c>
      <c r="E16" s="121"/>
      <c r="F16" s="121">
        <f t="shared" si="0"/>
        <v>0</v>
      </c>
      <c r="G16" s="122">
        <v>0</v>
      </c>
      <c r="H16" s="122">
        <f t="shared" si="1"/>
        <v>0</v>
      </c>
    </row>
    <row r="17" spans="1:8">
      <c r="A17" s="116" t="s">
        <v>1478</v>
      </c>
      <c r="B17" s="117" t="s">
        <v>1516</v>
      </c>
      <c r="C17" s="116" t="s">
        <v>1504</v>
      </c>
      <c r="D17" s="116">
        <v>5</v>
      </c>
      <c r="E17" s="121"/>
      <c r="F17" s="121">
        <f t="shared" si="0"/>
        <v>0</v>
      </c>
      <c r="G17" s="122">
        <v>0</v>
      </c>
      <c r="H17" s="122">
        <f t="shared" si="1"/>
        <v>0</v>
      </c>
    </row>
    <row r="18" spans="1:8">
      <c r="A18" s="116" t="s">
        <v>1480</v>
      </c>
      <c r="B18" s="181" t="s">
        <v>1517</v>
      </c>
      <c r="C18" s="116" t="s">
        <v>1504</v>
      </c>
      <c r="D18" s="116">
        <v>200</v>
      </c>
      <c r="E18" s="121"/>
      <c r="F18" s="121">
        <f t="shared" si="0"/>
        <v>0</v>
      </c>
      <c r="G18" s="122">
        <v>0</v>
      </c>
      <c r="H18" s="122">
        <f t="shared" si="1"/>
        <v>0</v>
      </c>
    </row>
    <row r="19" spans="1:8">
      <c r="A19" s="116" t="s">
        <v>1482</v>
      </c>
      <c r="B19" s="117" t="s">
        <v>1518</v>
      </c>
      <c r="C19" s="116" t="s">
        <v>1504</v>
      </c>
      <c r="D19" s="116">
        <v>5</v>
      </c>
      <c r="E19" s="121"/>
      <c r="F19" s="121">
        <f t="shared" si="0"/>
        <v>0</v>
      </c>
      <c r="G19" s="122">
        <v>0</v>
      </c>
      <c r="H19" s="122">
        <f t="shared" si="1"/>
        <v>0</v>
      </c>
    </row>
    <row r="20" spans="1:8">
      <c r="A20" s="116" t="s">
        <v>1484</v>
      </c>
      <c r="B20" s="117" t="s">
        <v>1519</v>
      </c>
      <c r="C20" s="116" t="s">
        <v>1504</v>
      </c>
      <c r="D20" s="116">
        <v>20</v>
      </c>
      <c r="E20" s="121"/>
      <c r="F20" s="121">
        <f t="shared" si="0"/>
        <v>0</v>
      </c>
      <c r="G20" s="122">
        <v>0</v>
      </c>
      <c r="H20" s="122">
        <f t="shared" si="1"/>
        <v>0</v>
      </c>
    </row>
    <row r="21" spans="1:8">
      <c r="A21" s="116" t="s">
        <v>1522</v>
      </c>
      <c r="B21" s="117" t="s">
        <v>1520</v>
      </c>
      <c r="C21" s="116" t="s">
        <v>1504</v>
      </c>
      <c r="D21" s="116">
        <v>20</v>
      </c>
      <c r="E21" s="121"/>
      <c r="F21" s="121">
        <f t="shared" si="0"/>
        <v>0</v>
      </c>
      <c r="G21" s="122">
        <v>0</v>
      </c>
      <c r="H21" s="122">
        <f t="shared" si="1"/>
        <v>0</v>
      </c>
    </row>
    <row r="22" spans="1:8" ht="26.25" thickBot="1">
      <c r="A22" s="909" t="s">
        <v>1166</v>
      </c>
      <c r="B22" s="910"/>
      <c r="C22" s="910"/>
      <c r="D22" s="910"/>
      <c r="E22" s="182" t="s">
        <v>1287</v>
      </c>
      <c r="F22" s="183">
        <f>SUM(F5:F21)</f>
        <v>0</v>
      </c>
      <c r="G22" s="182" t="s">
        <v>1523</v>
      </c>
      <c r="H22" s="183">
        <f>SUM(H5:H21)</f>
        <v>0</v>
      </c>
    </row>
  </sheetData>
  <mergeCells count="8">
    <mergeCell ref="A22:D22"/>
    <mergeCell ref="G2:H2"/>
    <mergeCell ref="A1:H1"/>
    <mergeCell ref="A2:A4"/>
    <mergeCell ref="B2:B4"/>
    <mergeCell ref="C2:C4"/>
    <mergeCell ref="D2:D3"/>
    <mergeCell ref="E2:F2"/>
  </mergeCells>
  <phoneticPr fontId="7" type="noConversion"/>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C1D46B8F69CC54BBFC2D638554C4999" ma:contentTypeVersion="13" ma:contentTypeDescription="Crie um novo documento." ma:contentTypeScope="" ma:versionID="f3dbd68ffde1855a157fe0737cf17c3e">
  <xsd:schema xmlns:xsd="http://www.w3.org/2001/XMLSchema" xmlns:xs="http://www.w3.org/2001/XMLSchema" xmlns:p="http://schemas.microsoft.com/office/2006/metadata/properties" xmlns:ns3="7d538415-2702-42c1-8144-f323e72baea8" xmlns:ns4="6cfd44d1-3e13-4ae1-9b5c-98b68a744034" targetNamespace="http://schemas.microsoft.com/office/2006/metadata/properties" ma:root="true" ma:fieldsID="52cff7ded977a26ffd030e1073e2b556" ns3:_="" ns4:_="">
    <xsd:import namespace="7d538415-2702-42c1-8144-f323e72baea8"/>
    <xsd:import namespace="6cfd44d1-3e13-4ae1-9b5c-98b68a744034"/>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538415-2702-42c1-8144-f323e72baea8"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fd44d1-3e13-4ae1-9b5c-98b68a744034" elementFormDefault="qualified">
    <xsd:import namespace="http://schemas.microsoft.com/office/2006/documentManagement/types"/>
    <xsd:import namespace="http://schemas.microsoft.com/office/infopath/2007/PartnerControls"/>
    <xsd:element name="SharedWithUsers" ma:index="9"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Detalhes de Compartilhado Com" ma:internalName="SharedWithDetails" ma:readOnly="true">
      <xsd:simpleType>
        <xsd:restriction base="dms:Note">
          <xsd:maxLength value="255"/>
        </xsd:restriction>
      </xsd:simpleType>
    </xsd:element>
    <xsd:element name="SharingHintHash" ma:index="11"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7d538415-2702-42c1-8144-f323e72bae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6A410-0079-4DB4-A8DD-02AED95662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538415-2702-42c1-8144-f323e72baea8"/>
    <ds:schemaRef ds:uri="6cfd44d1-3e13-4ae1-9b5c-98b68a7440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6BBE55-590C-46D1-ADE2-F38E36CFE2F5}">
  <ds:schemaRefs>
    <ds:schemaRef ds:uri="http://schemas.microsoft.com/office/2006/metadata/properties"/>
    <ds:schemaRef ds:uri="http://www.w3.org/XML/1998/namespace"/>
    <ds:schemaRef ds:uri="http://purl.org/dc/elements/1.1/"/>
    <ds:schemaRef ds:uri="http://schemas.microsoft.com/office/2006/documentManagement/types"/>
    <ds:schemaRef ds:uri="7d538415-2702-42c1-8144-f323e72baea8"/>
    <ds:schemaRef ds:uri="http://schemas.microsoft.com/office/infopath/2007/PartnerControls"/>
    <ds:schemaRef ds:uri="http://schemas.openxmlformats.org/package/2006/metadata/core-properties"/>
    <ds:schemaRef ds:uri="6cfd44d1-3e13-4ae1-9b5c-98b68a744034"/>
    <ds:schemaRef ds:uri="http://purl.org/dc/dcmitype/"/>
    <ds:schemaRef ds:uri="http://purl.org/dc/terms/"/>
  </ds:schemaRefs>
</ds:datastoreItem>
</file>

<file path=customXml/itemProps3.xml><?xml version="1.0" encoding="utf-8"?>
<ds:datastoreItem xmlns:ds="http://schemas.openxmlformats.org/officeDocument/2006/customXml" ds:itemID="{1D834E56-3609-4180-BFC7-8151433DADE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40</vt:i4>
      </vt:variant>
      <vt:variant>
        <vt:lpstr>Intervalos Nomeados</vt:lpstr>
      </vt:variant>
      <vt:variant>
        <vt:i4>24</vt:i4>
      </vt:variant>
    </vt:vector>
  </HeadingPairs>
  <TitlesOfParts>
    <vt:vector size="64" baseType="lpstr">
      <vt:lpstr>RESUMO GERAL</vt:lpstr>
      <vt:lpstr>MO Man</vt:lpstr>
      <vt:lpstr>Mat Man</vt:lpstr>
      <vt:lpstr>Serv Esp</vt:lpstr>
      <vt:lpstr>Vidro</vt:lpstr>
      <vt:lpstr>Divi</vt:lpstr>
      <vt:lpstr>Elev</vt:lpstr>
      <vt:lpstr>Sinal</vt:lpstr>
      <vt:lpstr>Chave</vt:lpstr>
      <vt:lpstr>Dedet</vt:lpstr>
      <vt:lpstr>Res Sol</vt:lpstr>
      <vt:lpstr>RES_Briga</vt:lpstr>
      <vt:lpstr>12x36h Not</vt:lpstr>
      <vt:lpstr>12x36h Dia</vt:lpstr>
      <vt:lpstr>12x36h Lider</vt:lpstr>
      <vt:lpstr>Uniforme_briga</vt:lpstr>
      <vt:lpstr>MAT-EQUIP_briga</vt:lpstr>
      <vt:lpstr>RES_vigia</vt:lpstr>
      <vt:lpstr>Vigia 12x36h Noite</vt:lpstr>
      <vt:lpstr>Vigia 12x36h Dia</vt:lpstr>
      <vt:lpstr>Super_Vigia</vt:lpstr>
      <vt:lpstr>Vigia Desamado</vt:lpstr>
      <vt:lpstr>Uniform_vigia</vt:lpstr>
      <vt:lpstr>RESUMO</vt:lpstr>
      <vt:lpstr>Copeira</vt:lpstr>
      <vt:lpstr>Garçom</vt:lpstr>
      <vt:lpstr>Carregador</vt:lpstr>
      <vt:lpstr>ENCARREGADO - Geral </vt:lpstr>
      <vt:lpstr>EQUIPAMENTOS </vt:lpstr>
      <vt:lpstr>UNIFORME</vt:lpstr>
      <vt:lpstr>materiais </vt:lpstr>
      <vt:lpstr>Resumo Limp</vt:lpstr>
      <vt:lpstr>ENCARREGADO </vt:lpstr>
      <vt:lpstr>PRODUTIVIDADE consolidado </vt:lpstr>
      <vt:lpstr>SERVENTE 44 HORAS SEMANAIS</vt:lpstr>
      <vt:lpstr>JAUZEIRO</vt:lpstr>
      <vt:lpstr>QUANT. ESTIMADA POR SERVENTES</vt:lpstr>
      <vt:lpstr>EQUIP_limp </vt:lpstr>
      <vt:lpstr>Uniforme_limp</vt:lpstr>
      <vt:lpstr>MATERIAL </vt:lpstr>
      <vt:lpstr>'12x36h Dia'!Area_de_impressao</vt:lpstr>
      <vt:lpstr>'12x36h Lider'!Area_de_impressao</vt:lpstr>
      <vt:lpstr>'12x36h Not'!Area_de_impressao</vt:lpstr>
      <vt:lpstr>Carregador!Area_de_impressao</vt:lpstr>
      <vt:lpstr>Copeira!Area_de_impressao</vt:lpstr>
      <vt:lpstr>'ENCARREGADO '!Area_de_impressao</vt:lpstr>
      <vt:lpstr>'ENCARREGADO - Geral '!Area_de_impressao</vt:lpstr>
      <vt:lpstr>'EQUIP_limp '!Area_de_impressao</vt:lpstr>
      <vt:lpstr>'EQUIPAMENTOS '!Area_de_impressao</vt:lpstr>
      <vt:lpstr>Garçom!Area_de_impressao</vt:lpstr>
      <vt:lpstr>JAUZEIRO!Area_de_impressao</vt:lpstr>
      <vt:lpstr>'MAT-EQUIP_briga'!Area_de_impressao</vt:lpstr>
      <vt:lpstr>'MATERIAL '!Area_de_impressao</vt:lpstr>
      <vt:lpstr>'PRODUTIVIDADE consolidado '!Area_de_impressao</vt:lpstr>
      <vt:lpstr>'QUANT. ESTIMADA POR SERVENTES'!Area_de_impressao</vt:lpstr>
      <vt:lpstr>RES_Briga!Area_de_impressao</vt:lpstr>
      <vt:lpstr>RES_vigia!Area_de_impressao</vt:lpstr>
      <vt:lpstr>RESUMO!Area_de_impressao</vt:lpstr>
      <vt:lpstr>'SERVENTE 44 HORAS SEMANAIS'!Area_de_impressao</vt:lpstr>
      <vt:lpstr>Super_Vigia!Area_de_impressao</vt:lpstr>
      <vt:lpstr>Uniform_vigia!Area_de_impressao</vt:lpstr>
      <vt:lpstr>Uniforme_briga!Area_de_impressao</vt:lpstr>
      <vt:lpstr>'Vigia 12x36h Dia'!Area_de_impressao</vt:lpstr>
      <vt:lpstr>'Vigia 12x36h Noite'!Area_de_impressao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Euripedes Rosa</dc:creator>
  <cp:lastModifiedBy>Raimundo Rodrigues de Castro Junior</cp:lastModifiedBy>
  <dcterms:created xsi:type="dcterms:W3CDTF">2024-08-21T12:34:30Z</dcterms:created>
  <dcterms:modified xsi:type="dcterms:W3CDTF">2024-08-30T13:20:00Z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2024-08-22T10:15:45Z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1f1be804-ebdf-42f4-bda1-7f29abe6d47a</vt:lpwstr>
  </property>
  <property fmtid="{D5CDD505-2E9C-101B-9397-08002B2CF9AE}" pid="7" name="MSIP_Label_defa4170-0d19-0005-0004-bc88714345d2_ActionId">
    <vt:lpwstr>fc9e4d42-8560-4576-af21-ca4e83834847</vt:lpwstr>
  </property>
  <property fmtid="{D5CDD505-2E9C-101B-9397-08002B2CF9AE}" pid="8" name="MSIP_Label_defa4170-0d19-0005-0004-bc88714345d2_ContentBits">
    <vt:lpwstr>0</vt:lpwstr>
  </property>
  <property fmtid="{D5CDD505-2E9C-101B-9397-08002B2CF9AE}" pid="9" name="ContentTypeId">
    <vt:lpwstr>0x010100FC1D46B8F69CC54BBFC2D638554C4999</vt:lpwstr>
  </property>
</Properties>
</file>